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18.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drawings/drawing2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drawings/drawing25.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bookViews>
    <workbookView xWindow="0" yWindow="492" windowWidth="23256" windowHeight="13176" activeTab="5"/>
  </bookViews>
  <sheets>
    <sheet name="Contents" sheetId="66" r:id="rId1"/>
    <sheet name="OPEN" sheetId="4" r:id="rId2"/>
    <sheet name="F110" sheetId="84" r:id="rId3"/>
    <sheet name="F118" sheetId="85" r:id="rId4"/>
    <sheet name="F148" sheetId="103" r:id="rId5"/>
    <sheet name="F150" sheetId="104" r:id="rId6"/>
    <sheet name="HD-AR_BLDG" sheetId="105" r:id="rId7"/>
    <sheet name="F155" sheetId="88" r:id="rId8"/>
    <sheet name="F162" sheetId="112" r:id="rId9"/>
    <sheet name="F194" sheetId="90" r:id="rId10"/>
    <sheet name="F195" sheetId="91" r:id="rId11"/>
    <sheet name="F196" sheetId="92" state="hidden" r:id="rId12"/>
    <sheet name="F239" sheetId="102" r:id="rId13"/>
    <sheet name="F242" sheetId="93" r:id="rId14"/>
    <sheet name="F242A" sheetId="94" r:id="rId15"/>
    <sheet name="C01" sheetId="5" r:id="rId16"/>
    <sheet name="C02" sheetId="6" r:id="rId17"/>
    <sheet name="C04" sheetId="7" r:id="rId18"/>
    <sheet name="C05" sheetId="8" r:id="rId19"/>
    <sheet name="C05a" sheetId="9" r:id="rId20"/>
    <sheet name="C06" sheetId="10" r:id="rId21"/>
    <sheet name="C07" sheetId="11" r:id="rId22"/>
    <sheet name="C08" sheetId="12" r:id="rId23"/>
    <sheet name="C010" sheetId="13" r:id="rId24"/>
    <sheet name="C011" sheetId="60" r:id="rId25"/>
    <sheet name="C012" sheetId="14" r:id="rId26"/>
    <sheet name="C013" sheetId="61" r:id="rId27"/>
    <sheet name="C014" sheetId="15" r:id="rId28"/>
    <sheet name="C015" sheetId="71" r:id="rId29"/>
    <sheet name="C016" sheetId="16" r:id="rId30"/>
    <sheet name="C018" sheetId="17" r:id="rId31"/>
    <sheet name="C019" sheetId="65" r:id="rId32"/>
    <sheet name="C022" sheetId="18" r:id="rId33"/>
    <sheet name="C024" sheetId="19" r:id="rId34"/>
    <sheet name="C026" sheetId="20" r:id="rId35"/>
    <sheet name="C028" sheetId="21" r:id="rId36"/>
    <sheet name="C029" sheetId="22" r:id="rId37"/>
    <sheet name="C030" sheetId="23" r:id="rId38"/>
    <sheet name="C033" sheetId="70" r:id="rId39"/>
    <sheet name="C034" sheetId="26" r:id="rId40"/>
    <sheet name="C035" sheetId="52" r:id="rId41"/>
    <sheet name="C042" sheetId="29" r:id="rId42"/>
    <sheet name="C044" sheetId="30" r:id="rId43"/>
    <sheet name="C045" sheetId="31" r:id="rId44"/>
    <sheet name="C047" sheetId="32" r:id="rId45"/>
    <sheet name="C051" sheetId="58" r:id="rId46"/>
    <sheet name="C053" sheetId="37" r:id="rId47"/>
    <sheet name="C055" sheetId="38" r:id="rId48"/>
    <sheet name="C056" sheetId="74" r:id="rId49"/>
    <sheet name="C062" sheetId="39" r:id="rId50"/>
    <sheet name="C063" sheetId="40" r:id="rId51"/>
    <sheet name="C066" sheetId="41" r:id="rId52"/>
    <sheet name="C067" sheetId="42" r:id="rId53"/>
    <sheet name="C068" sheetId="43" r:id="rId54"/>
    <sheet name="C078" sheetId="44" r:id="rId55"/>
    <sheet name="C080" sheetId="45" r:id="rId56"/>
    <sheet name="C082" sheetId="46" r:id="rId57"/>
    <sheet name="C083" sheetId="47" r:id="rId58"/>
    <sheet name="C084" sheetId="48" r:id="rId59"/>
    <sheet name="C086" sheetId="49" r:id="rId60"/>
    <sheet name="CO99" sheetId="50" r:id="rId61"/>
    <sheet name="Certify" sheetId="83" r:id="rId62"/>
    <sheet name="RevenueNeutral" sheetId="80" r:id="rId63"/>
    <sheet name="Headings" sheetId="99" state="hidden" r:id="rId64"/>
    <sheet name="AMEND" sheetId="96" r:id="rId65"/>
    <sheet name="AveSalary" sheetId="101" r:id="rId66"/>
    <sheet name="Salaries" sheetId="100" r:id="rId67"/>
    <sheet name="CashBalances" sheetId="97" r:id="rId68"/>
    <sheet name="Bdgt Checks" sheetId="78" r:id="rId69"/>
    <sheet name="OpenData" sheetId="106" state="hidden" r:id="rId70"/>
    <sheet name="DATA" sheetId="75" state="hidden" r:id="rId71"/>
    <sheet name="DATA1" sheetId="79" state="hidden" r:id="rId72"/>
    <sheet name="Edits" sheetId="76" state="hidden" r:id="rId73"/>
    <sheet name="Edits1" sheetId="77" state="hidden" r:id="rId74"/>
  </sheets>
  <externalReferences>
    <externalReference r:id="rId75"/>
  </externalReferences>
  <definedNames>
    <definedName name="_300_Purchased_Professional_and_Tech_Svcs">'C029'!$A$148</definedName>
    <definedName name="_xlnm._FilterDatabase" localSheetId="60" hidden="1">'CO99'!$B$12:$J$57</definedName>
    <definedName name="_xlnm._FilterDatabase" localSheetId="70" hidden="1">DATA!$A$3:$BQ$289</definedName>
    <definedName name="_xlnm._FilterDatabase" localSheetId="6" hidden="1">'HD-AR_BLDG'!$A$31:$M$1346</definedName>
    <definedName name="April">'CO99'!$W$2:$W$31</definedName>
    <definedName name="August">'CO99'!$AA$2:$AA$32</definedName>
    <definedName name="BSAPP" localSheetId="5">'F150'!$N$119</definedName>
    <definedName name="BSAPP" localSheetId="8">#REF!</definedName>
    <definedName name="BSAPP">#REF!</definedName>
    <definedName name="CC.P">'F110'!$B$1:$M$62</definedName>
    <definedName name="Code_78">'C078'!$E$9</definedName>
    <definedName name="_xlnm.Criteria" localSheetId="5">'F150'!$A$1484:$A$1531</definedName>
    <definedName name="_xlnm.Criteria" localSheetId="8">#REF!</definedName>
    <definedName name="_xlnm.Criteria">'HD-AR_BLDG'!$B$30</definedName>
    <definedName name="December">'CO99'!$AE$2:$AE$32</definedName>
    <definedName name="Factor_A" localSheetId="5">'F150'!$R$109</definedName>
    <definedName name="Factor_A" localSheetId="8">#REF!</definedName>
    <definedName name="Factor_A">#REF!</definedName>
    <definedName name="Factor_B" localSheetId="5">'F150'!$R$110</definedName>
    <definedName name="Factor_B" localSheetId="8">#REF!</definedName>
    <definedName name="Factor_B">#REF!</definedName>
    <definedName name="February">'CO99'!$U$2:$U$30</definedName>
    <definedName name="file" localSheetId="8">#REF!</definedName>
    <definedName name="file">#REF!</definedName>
    <definedName name="file_information" localSheetId="8">#REF!</definedName>
    <definedName name="file_information">#REF!</definedName>
    <definedName name="FillDOWN1">'C08'!$E$9:$E$38</definedName>
    <definedName name="FILLDOWN2">'C08'!$E$51:$E$66</definedName>
    <definedName name="FILLDOWN3">'C08'!$E$67:$E$115</definedName>
    <definedName name="FILLDOWN4">'C08'!$E$116:$E$172</definedName>
    <definedName name="FILLDOWN5">'C08'!$E$173:$E$285</definedName>
    <definedName name="Form_4_212_150" localSheetId="5">'F150'!$A$1:$J$128</definedName>
    <definedName name="Form_4_212_150" localSheetId="8">#REF!</definedName>
    <definedName name="Form_4_212_150">#REF!</definedName>
    <definedName name="January">'CO99'!$T$2:$T$32</definedName>
    <definedName name="July">'CO99'!$Z$2:$Z$32</definedName>
    <definedName name="June">'CO99'!$Y$2:$Y$31</definedName>
    <definedName name="March">'CO99'!$V$2:$V$32</definedName>
    <definedName name="May">'CO99'!$X$2:$X$32</definedName>
    <definedName name="Min_Cost" localSheetId="5">'F150'!$R$111</definedName>
    <definedName name="Min_Cost" localSheetId="8">#REF!</definedName>
    <definedName name="Min_Cost">#REF!</definedName>
    <definedName name="Notice_of_hearing">'CO99'!$B$1:$J$86</definedName>
    <definedName name="November">'CO99'!$AD$2:$AD$31</definedName>
    <definedName name="October">'CO99'!$AC$2:$AC$32</definedName>
    <definedName name="Percent_Inflate" localSheetId="5">'F150'!$R$112</definedName>
    <definedName name="Percent_Inflate" localSheetId="8">#REF!</definedName>
    <definedName name="Percent_Inflate">#REF!</definedName>
    <definedName name="_xlnm.Print_Area" localSheetId="64">AMEND!$A$3:$E$30</definedName>
    <definedName name="_xlnm.Print_Area" localSheetId="65">AveSalary!$B$1</definedName>
    <definedName name="_xlnm.Print_Area" localSheetId="68">'Bdgt Checks'!$A$32</definedName>
    <definedName name="_xlnm.Print_Area" localSheetId="15">'C01'!$A$1:$F$97</definedName>
    <definedName name="_xlnm.Print_Area" localSheetId="23">'C010'!$A$1:$F$153</definedName>
    <definedName name="_xlnm.Print_Area" localSheetId="24">'C011'!$A$1:$E$167</definedName>
    <definedName name="_xlnm.Print_Area" localSheetId="25">'C012'!$A$1:$E$122</definedName>
    <definedName name="_xlnm.Print_Area" localSheetId="26">'C013'!$A$1:$E$167</definedName>
    <definedName name="_xlnm.Print_Area" localSheetId="27">'C014'!$A$1:$E$163</definedName>
    <definedName name="_xlnm.Print_Area" localSheetId="28">'C015'!$A$1:$E$159</definedName>
    <definedName name="_xlnm.Print_Area" localSheetId="29">'C016'!$A$1:$F$145</definedName>
    <definedName name="_xlnm.Print_Area" localSheetId="30">'C018'!$A$1:$E$167</definedName>
    <definedName name="_xlnm.Print_Area" localSheetId="31">'C019'!$A$1:$E$38</definedName>
    <definedName name="_xlnm.Print_Area" localSheetId="16">'C02'!$A$1:$G$23</definedName>
    <definedName name="_xlnm.Print_Area" localSheetId="32">'C022'!$A$1:$E$159</definedName>
    <definedName name="_xlnm.Print_Area" localSheetId="33">'C024'!$A$1:$E$86</definedName>
    <definedName name="_xlnm.Print_Area" localSheetId="34">'C026'!$A$1:$E$83</definedName>
    <definedName name="_xlnm.Print_Area" localSheetId="35">'C028'!$A$1:$E$103</definedName>
    <definedName name="_xlnm.Print_Area" localSheetId="36">'C029'!$A$1:$E$170</definedName>
    <definedName name="_xlnm.Print_Area" localSheetId="37">'C030'!$A$1:$E$240</definedName>
    <definedName name="_xlnm.Print_Area" localSheetId="38">'C033'!$A$1:$E$36</definedName>
    <definedName name="_xlnm.Print_Area" localSheetId="39">'C034'!$A$1:$E$178</definedName>
    <definedName name="_xlnm.Print_Area" localSheetId="40">'C035'!$A$1:$E$240</definedName>
    <definedName name="_xlnm.Print_Area" localSheetId="17">'C04'!$A$1:$L$36</definedName>
    <definedName name="_xlnm.Print_Area" localSheetId="41">'C042'!$A$1:$F$54</definedName>
    <definedName name="_xlnm.Print_Area" localSheetId="42">'C044'!$A$1:$F$42</definedName>
    <definedName name="_xlnm.Print_Area" localSheetId="43">'C045'!$A$1:$E$35</definedName>
    <definedName name="_xlnm.Print_Area" localSheetId="44">'C047'!$A$1:$E$47</definedName>
    <definedName name="_xlnm.Print_Area" localSheetId="18">'C05'!$A$1:$L$42</definedName>
    <definedName name="_xlnm.Print_Area" localSheetId="45">'C051'!$A$1:$E$39</definedName>
    <definedName name="_xlnm.Print_Area" localSheetId="46">'C053'!$A$1:$E$246</definedName>
    <definedName name="_xlnm.Print_Area" localSheetId="47">'C055'!$A$1:$E$42</definedName>
    <definedName name="_xlnm.Print_Area" localSheetId="48">'C056'!$A$1:$E$57</definedName>
    <definedName name="_xlnm.Print_Area" localSheetId="19">'C05a'!$A$1:$J$29</definedName>
    <definedName name="_xlnm.Print_Area" localSheetId="20">'C06'!$A$1:$E$285</definedName>
    <definedName name="_xlnm.Print_Area" localSheetId="49">'C062'!$A$1:$F$60</definedName>
    <definedName name="_xlnm.Print_Area" localSheetId="50">'C063'!$A$1:$F$60</definedName>
    <definedName name="_xlnm.Print_Area" localSheetId="51">'C066'!$A$1:$F$43</definedName>
    <definedName name="_xlnm.Print_Area" localSheetId="52">'C067'!$A$1:$F$41</definedName>
    <definedName name="_xlnm.Print_Area" localSheetId="53">'C068'!$A$1:$F$45</definedName>
    <definedName name="_xlnm.Print_Area" localSheetId="21">'C07'!$A$1:$E$220</definedName>
    <definedName name="_xlnm.Print_Area" localSheetId="54">'C078'!$A$1:$E$231</definedName>
    <definedName name="_xlnm.Print_Area" localSheetId="22">'C08'!$A$1:$F$289</definedName>
    <definedName name="_xlnm.Print_Area" localSheetId="55">'C080'!$A$1:$F$41</definedName>
    <definedName name="_xlnm.Print_Area" localSheetId="56">'C082'!$A$1:$F$41</definedName>
    <definedName name="_xlnm.Print_Area" localSheetId="57">'C083'!$A$1:$F$43</definedName>
    <definedName name="_xlnm.Print_Area" localSheetId="58">'C084'!$A$1:$F$41</definedName>
    <definedName name="_xlnm.Print_Area" localSheetId="59">'C086'!$A$1:$F$42</definedName>
    <definedName name="_xlnm.Print_Area" localSheetId="67">CashBalances!$A$1:$E$54</definedName>
    <definedName name="_xlnm.Print_Area" localSheetId="61">Certify!$A$1:$J$42</definedName>
    <definedName name="_xlnm.Print_Area" localSheetId="60">'CO99'!$B$4:$J$119</definedName>
    <definedName name="_xlnm.Print_Area" localSheetId="0">Contents!$A$1:$B$51</definedName>
    <definedName name="_xlnm.Print_Area" localSheetId="70">DATA!$A$291</definedName>
    <definedName name="_xlnm.Print_Area" localSheetId="71">DATA1!$A$290</definedName>
    <definedName name="_xlnm.Print_Area" localSheetId="72">Edits!$A$4</definedName>
    <definedName name="_xlnm.Print_Area" localSheetId="73">Edits1!$A$4</definedName>
    <definedName name="_xlnm.Print_Area" localSheetId="2">'F110'!$A$1:$N$1043</definedName>
    <definedName name="_xlnm.Print_Area" localSheetId="3">'F118'!$A$1:$G$57</definedName>
    <definedName name="_xlnm.Print_Area" localSheetId="4">'F148'!$A$1:$E$28</definedName>
    <definedName name="_xlnm.Print_Area" localSheetId="5">'F150'!$A$1:$K$255</definedName>
    <definedName name="_xlnm.Print_Area" localSheetId="7">'F155'!$A$1:$K$42</definedName>
    <definedName name="_xlnm.Print_Area" localSheetId="8">'F162'!$A$1:$J$112</definedName>
    <definedName name="_xlnm.Print_Area" localSheetId="9">'F194'!$A$1:$S$101</definedName>
    <definedName name="_xlnm.Print_Area" localSheetId="10">'F195'!$A$1:$H$39</definedName>
    <definedName name="_xlnm.Print_Area" localSheetId="11">'F196'!$A$1:$F$38</definedName>
    <definedName name="_xlnm.Print_Area" localSheetId="12">'F239'!$A$1:$I$30</definedName>
    <definedName name="_xlnm.Print_Area" localSheetId="13">'F242'!$A$1:$I$65</definedName>
    <definedName name="_xlnm.Print_Area" localSheetId="14">F242A!$A$1:$I$64</definedName>
    <definedName name="_xlnm.Print_Area" localSheetId="6">'HD-AR_BLDG'!$A$1:$M$1346</definedName>
    <definedName name="_xlnm.Print_Area" localSheetId="63">Headings!$A$1:$D$30</definedName>
    <definedName name="_xlnm.Print_Area" localSheetId="1">OPEN!$A$3:$G$158</definedName>
    <definedName name="_xlnm.Print_Area" localSheetId="69">OpenData!$M$1:$AA$112</definedName>
    <definedName name="_xlnm.Print_Area" localSheetId="62">RevenueNeutral!$B$1:$F$33</definedName>
    <definedName name="_xlnm.Print_Area" localSheetId="66">Salaries!$A$1:$J$37</definedName>
    <definedName name="_xlnm.Print_Titles" localSheetId="65">AveSalary!$B:$B</definedName>
    <definedName name="_xlnm.Print_Titles" localSheetId="23">'C010'!$56:$65</definedName>
    <definedName name="_xlnm.Print_Titles" localSheetId="24">'C011'!$32:$41</definedName>
    <definedName name="_xlnm.Print_Titles" localSheetId="25">'C012'!$28:$37</definedName>
    <definedName name="_xlnm.Print_Titles" localSheetId="26">'C013'!$32:$41</definedName>
    <definedName name="_xlnm.Print_Titles" localSheetId="27">'C014'!$27:$36</definedName>
    <definedName name="_xlnm.Print_Titles" localSheetId="28">'C015'!$28:$37</definedName>
    <definedName name="_xlnm.Print_Titles" localSheetId="29">'C016'!$49:$58</definedName>
    <definedName name="_xlnm.Print_Titles" localSheetId="30">'C018'!$28:$37</definedName>
    <definedName name="_xlnm.Print_Titles" localSheetId="32">'C022'!$27:$36</definedName>
    <definedName name="_xlnm.Print_Titles" localSheetId="33">'C024'!$36:$45</definedName>
    <definedName name="_xlnm.Print_Titles" localSheetId="34">'C026'!$26:$35</definedName>
    <definedName name="_xlnm.Print_Titles" localSheetId="35">'C028'!$29:$38</definedName>
    <definedName name="_xlnm.Print_Titles" localSheetId="36">'C029'!$31:$40</definedName>
    <definedName name="_xlnm.Print_Titles" localSheetId="37">'C030'!$35:$44</definedName>
    <definedName name="_xlnm.Print_Titles" localSheetId="39">'C034'!$39:$48</definedName>
    <definedName name="_xlnm.Print_Titles" localSheetId="40">'C035'!$40:$49</definedName>
    <definedName name="_xlnm.Print_Titles" localSheetId="41">'C042'!$39:$40</definedName>
    <definedName name="_xlnm.Print_Titles" localSheetId="44">'C047'!$39:$40</definedName>
    <definedName name="_xlnm.Print_Titles" localSheetId="18">'C05'!$1:$7</definedName>
    <definedName name="_xlnm.Print_Titles" localSheetId="45">'C051'!$17:$17</definedName>
    <definedName name="_xlnm.Print_Titles" localSheetId="46">'C053'!$19:$28</definedName>
    <definedName name="_xlnm.Print_Titles" localSheetId="47">'C055'!$27:$27</definedName>
    <definedName name="_xlnm.Print_Titles" localSheetId="48">'C056'!$24:$33</definedName>
    <definedName name="_xlnm.Print_Titles" localSheetId="19">'C05a'!$1:$8</definedName>
    <definedName name="_xlnm.Print_Titles" localSheetId="20">'C06'!$37:$45</definedName>
    <definedName name="_xlnm.Print_Titles" localSheetId="21">'C07'!$29:$38</definedName>
    <definedName name="_xlnm.Print_Titles" localSheetId="54">'C078'!$28:$37</definedName>
    <definedName name="_xlnm.Print_Titles" localSheetId="22">'C08'!$41:$50</definedName>
    <definedName name="_xlnm.Print_Titles" localSheetId="67">CashBalances!$1:$6</definedName>
    <definedName name="_xlnm.Print_Titles" localSheetId="3">'F118'!$1:$2</definedName>
    <definedName name="_xlnm.Print_Titles" localSheetId="4">'F148'!$1:$2</definedName>
    <definedName name="_xlnm.Print_Titles" localSheetId="5">'F150'!$1:$2</definedName>
    <definedName name="_xlnm.Print_Titles" localSheetId="7">'F155'!$1:$5</definedName>
    <definedName name="_xlnm.Print_Titles" localSheetId="8">'F162'!$1:$5</definedName>
    <definedName name="_xlnm.Print_Titles" localSheetId="10">'F195'!$1:$5</definedName>
    <definedName name="_xlnm.Print_Titles" localSheetId="6">'HD-AR_BLDG'!$26:$31</definedName>
    <definedName name="Prior_to_July_1_2015_Total">'C05'!$F$29</definedName>
    <definedName name="pupils_trans_2.5" localSheetId="5">'F150'!$J$119</definedName>
    <definedName name="pupils_trans_2.5" localSheetId="8">#REF!</definedName>
    <definedName name="pupils_trans_2.5">#REF!</definedName>
    <definedName name="Range1" localSheetId="43">'C045'!$B$9:$F$15</definedName>
    <definedName name="Range1" localSheetId="54">'C078'!$B$9:$E$25</definedName>
    <definedName name="Range1" localSheetId="57">'C083'!$B$9:$F$15</definedName>
    <definedName name="Range1">'C08'!$B$9:$E$38</definedName>
    <definedName name="Range2" localSheetId="43">'C045'!$B$16:$F$19</definedName>
    <definedName name="Range2" localSheetId="54">'C078'!$B$38:$E$71</definedName>
    <definedName name="Range2" localSheetId="57">'C083'!$B$16:$F$20</definedName>
    <definedName name="Range2">'C08'!$B$51:$E$66</definedName>
    <definedName name="Range3" localSheetId="43">'C045'!$B$20:$F$28</definedName>
    <definedName name="Range3" localSheetId="54">'C078'!$B$72:$E$119</definedName>
    <definedName name="Range3" localSheetId="57">'C083'!$B$21:$F$29</definedName>
    <definedName name="Range3">'C08'!$B$67:$E$115</definedName>
    <definedName name="Range4" localSheetId="43">'C045'!$B$29:$F$35</definedName>
    <definedName name="Range4" localSheetId="54">'C078'!$B$134:$E$185</definedName>
    <definedName name="Range4" localSheetId="57">'C083'!$B$30:$F$35</definedName>
    <definedName name="Range4">'C08'!$B$116:$E$172</definedName>
    <definedName name="Range5" localSheetId="43">'C045'!$B$36:$F$40</definedName>
    <definedName name="Range5" localSheetId="54">'C078'!$B$186:$E$229</definedName>
    <definedName name="Range5" localSheetId="57">'C083'!$B$36:$F$41</definedName>
    <definedName name="Range5">'C08'!$B$173:$E$285</definedName>
    <definedName name="Revenue_Neutral">'CO99'!$B$89:$J$119</definedName>
    <definedName name="September">'CO99'!$AB$2:$AB$31</definedName>
    <definedName name="USD" localSheetId="5">'F150'!$AC$3:$AC$6</definedName>
    <definedName name="USD" localSheetId="8">#REF!</definedName>
    <definedName name="USD">#REF!</definedName>
    <definedName name="Yes" localSheetId="8">#REF!</definedName>
    <definedName name="Yes">#REF!</definedName>
  </definedNames>
  <calcPr calcId="145621" fullPrecision="0"/>
</workbook>
</file>

<file path=xl/calcChain.xml><?xml version="1.0" encoding="utf-8"?>
<calcChain xmlns="http://schemas.openxmlformats.org/spreadsheetml/2006/main">
  <c r="D30" i="10" l="1"/>
  <c r="N92" i="50" l="1"/>
  <c r="E24" i="83" l="1"/>
  <c r="I151" i="4" l="1"/>
  <c r="J18" i="88" l="1"/>
  <c r="E230" i="44" l="1"/>
  <c r="D230" i="44"/>
  <c r="C230" i="44"/>
  <c r="D56" i="74"/>
  <c r="C56" i="74"/>
  <c r="D41" i="38"/>
  <c r="C41" i="38"/>
  <c r="E245" i="37"/>
  <c r="D245" i="37"/>
  <c r="C245" i="37"/>
  <c r="E239" i="52"/>
  <c r="D239" i="52"/>
  <c r="C239" i="52"/>
  <c r="E173" i="26"/>
  <c r="D173" i="26"/>
  <c r="C173" i="26"/>
  <c r="E239" i="23"/>
  <c r="D239" i="23"/>
  <c r="C239" i="23"/>
  <c r="E169" i="22"/>
  <c r="D169" i="22"/>
  <c r="C169" i="22"/>
  <c r="E102" i="21"/>
  <c r="D102" i="21"/>
  <c r="C102" i="21"/>
  <c r="D82" i="20"/>
  <c r="C82" i="20"/>
  <c r="E85" i="19"/>
  <c r="D85" i="19"/>
  <c r="C85" i="19"/>
  <c r="E158" i="18"/>
  <c r="D158" i="18"/>
  <c r="C158" i="18"/>
  <c r="E166" i="17"/>
  <c r="D166" i="17"/>
  <c r="C166" i="17"/>
  <c r="E144" i="16"/>
  <c r="D144" i="16"/>
  <c r="C144" i="16"/>
  <c r="E158" i="71"/>
  <c r="D158" i="71"/>
  <c r="C158" i="71"/>
  <c r="E162" i="15"/>
  <c r="D162" i="15"/>
  <c r="C162" i="15"/>
  <c r="E166" i="61"/>
  <c r="D166" i="61"/>
  <c r="C166" i="61"/>
  <c r="E121" i="14"/>
  <c r="D121" i="14"/>
  <c r="C121" i="14"/>
  <c r="E166" i="60"/>
  <c r="D166" i="60"/>
  <c r="C166" i="60"/>
  <c r="E152" i="13"/>
  <c r="D152" i="13"/>
  <c r="C152" i="13"/>
  <c r="E219" i="11"/>
  <c r="D219" i="11"/>
  <c r="C219" i="11"/>
  <c r="M232" i="75"/>
  <c r="M163" i="75"/>
  <c r="E16" i="83" l="1"/>
  <c r="A46" i="94" l="1"/>
  <c r="A45" i="94"/>
  <c r="A25" i="94"/>
  <c r="A24" i="94"/>
  <c r="I2" i="94"/>
  <c r="I46" i="94" s="1"/>
  <c r="I1" i="94"/>
  <c r="K15" i="94" s="1"/>
  <c r="G59" i="94"/>
  <c r="E59" i="94"/>
  <c r="E38" i="94"/>
  <c r="E17" i="94"/>
  <c r="K19" i="94"/>
  <c r="K17" i="94"/>
  <c r="A46" i="93"/>
  <c r="A45" i="93"/>
  <c r="A25" i="93"/>
  <c r="A24" i="93"/>
  <c r="I2" i="93"/>
  <c r="I46" i="93" s="1"/>
  <c r="I1" i="93"/>
  <c r="I45" i="93" s="1"/>
  <c r="E60" i="93"/>
  <c r="G60" i="93"/>
  <c r="E38" i="93"/>
  <c r="K13" i="93"/>
  <c r="E17" i="93"/>
  <c r="A21" i="102"/>
  <c r="I2" i="102"/>
  <c r="I22" i="102" s="1"/>
  <c r="I1" i="102"/>
  <c r="I21" i="102" s="1"/>
  <c r="E30" i="102"/>
  <c r="E13" i="102"/>
  <c r="H2" i="91"/>
  <c r="H1" i="91"/>
  <c r="H20" i="91"/>
  <c r="A60" i="90"/>
  <c r="A59" i="90"/>
  <c r="R2" i="90"/>
  <c r="R60" i="90" s="1"/>
  <c r="R1" i="90"/>
  <c r="R59" i="90" s="1"/>
  <c r="J2" i="112"/>
  <c r="J1" i="112"/>
  <c r="J2" i="88"/>
  <c r="K1" i="88"/>
  <c r="A26" i="105"/>
  <c r="M2" i="105"/>
  <c r="M27" i="105" s="1"/>
  <c r="M1" i="105"/>
  <c r="M26" i="105" s="1"/>
  <c r="A163" i="104"/>
  <c r="E2" i="103"/>
  <c r="J2" i="104"/>
  <c r="K1" i="104"/>
  <c r="G250" i="104"/>
  <c r="G249" i="104"/>
  <c r="D48" i="104"/>
  <c r="E1" i="103"/>
  <c r="G1" i="85"/>
  <c r="I25" i="93" l="1"/>
  <c r="I25" i="94"/>
  <c r="I24" i="93"/>
  <c r="I24" i="94"/>
  <c r="I45" i="94"/>
  <c r="G84" i="4"/>
  <c r="G3" i="4"/>
  <c r="A113" i="4"/>
  <c r="G24" i="4"/>
  <c r="P17" i="106"/>
  <c r="O17" i="106"/>
  <c r="E1" i="97"/>
  <c r="A4" i="96"/>
  <c r="C61" i="50"/>
  <c r="C62" i="50"/>
  <c r="C60" i="50"/>
  <c r="H59" i="50"/>
  <c r="F59" i="50"/>
  <c r="E60" i="50"/>
  <c r="F60" i="50"/>
  <c r="G60" i="50"/>
  <c r="H60" i="50"/>
  <c r="J60" i="50"/>
  <c r="E61" i="50"/>
  <c r="F61" i="50"/>
  <c r="G61" i="50"/>
  <c r="H61" i="50"/>
  <c r="I61" i="50"/>
  <c r="J61" i="50"/>
  <c r="E62" i="50"/>
  <c r="F62" i="50"/>
  <c r="G62" i="50"/>
  <c r="H62" i="50"/>
  <c r="I62" i="50"/>
  <c r="J62" i="50"/>
  <c r="G59" i="50"/>
  <c r="I59" i="50"/>
  <c r="J59" i="50"/>
  <c r="E59" i="50"/>
  <c r="D61" i="50"/>
  <c r="D62" i="50"/>
  <c r="D60" i="50"/>
  <c r="D59" i="50"/>
  <c r="J95" i="50"/>
  <c r="A42" i="10" l="1"/>
  <c r="C41" i="10" l="1"/>
  <c r="C5" i="10"/>
  <c r="A51" i="104" l="1"/>
  <c r="O97" i="50" l="1"/>
  <c r="N93" i="50"/>
  <c r="H11" i="96" l="1"/>
  <c r="E238" i="104" l="1"/>
  <c r="E241" i="104" s="1"/>
  <c r="B243" i="104" s="1"/>
  <c r="D226" i="104" l="1"/>
  <c r="E226" i="104" s="1"/>
  <c r="A38" i="10" l="1"/>
  <c r="A37" i="10"/>
  <c r="I24" i="96" l="1"/>
  <c r="A6" i="96" s="1"/>
  <c r="E1" i="96" l="1"/>
  <c r="D51" i="5" l="1"/>
  <c r="J29" i="10" l="1"/>
  <c r="I33" i="7" l="1"/>
  <c r="A175" i="104" l="1"/>
  <c r="G175" i="104"/>
  <c r="L56" i="104"/>
  <c r="B1003" i="84" l="1"/>
  <c r="B1002" i="84"/>
  <c r="B962" i="84"/>
  <c r="B961" i="84"/>
  <c r="B921" i="84"/>
  <c r="B920" i="84"/>
  <c r="B878" i="84"/>
  <c r="B877" i="84"/>
  <c r="B837" i="84"/>
  <c r="B836" i="84"/>
  <c r="B797" i="84"/>
  <c r="B796" i="84"/>
  <c r="B756" i="84"/>
  <c r="B755" i="84"/>
  <c r="B706" i="84"/>
  <c r="B705" i="84"/>
  <c r="B665" i="84"/>
  <c r="B664" i="84"/>
  <c r="B624" i="84"/>
  <c r="B623" i="84"/>
  <c r="B584" i="84"/>
  <c r="B583" i="84"/>
  <c r="B534" i="84"/>
  <c r="B533" i="84"/>
  <c r="B492" i="84"/>
  <c r="B491" i="84"/>
  <c r="B451" i="84"/>
  <c r="B450" i="84"/>
  <c r="B406" i="84"/>
  <c r="B405" i="84"/>
  <c r="B356" i="84"/>
  <c r="B355" i="84"/>
  <c r="B314" i="84"/>
  <c r="B313" i="84"/>
  <c r="B273" i="84"/>
  <c r="B272" i="84"/>
  <c r="B230" i="84"/>
  <c r="B229" i="84"/>
  <c r="B183" i="84"/>
  <c r="B182" i="84"/>
  <c r="B141" i="84"/>
  <c r="B140" i="84"/>
  <c r="B100" i="84"/>
  <c r="B99" i="84"/>
  <c r="B52" i="84"/>
  <c r="B51" i="84"/>
  <c r="E288" i="12" l="1"/>
  <c r="D288" i="12"/>
  <c r="C288" i="12"/>
  <c r="I82" i="20" l="1"/>
  <c r="V28" i="58"/>
  <c r="F2" i="80" l="1"/>
  <c r="F1" i="80"/>
  <c r="B109" i="50" l="1"/>
  <c r="B110" i="50"/>
  <c r="B108" i="50"/>
  <c r="B105" i="50"/>
  <c r="B106" i="50"/>
  <c r="B107" i="50"/>
  <c r="B103" i="50"/>
  <c r="B102" i="50"/>
  <c r="B101" i="50"/>
  <c r="B96" i="50"/>
  <c r="B100" i="50"/>
  <c r="B99" i="50"/>
  <c r="B95" i="50"/>
  <c r="J86" i="112" l="1"/>
  <c r="B43" i="4"/>
  <c r="A144" i="4"/>
  <c r="A109" i="4"/>
  <c r="A105" i="4"/>
  <c r="L24" i="10" l="1"/>
  <c r="Q20" i="8" l="1"/>
  <c r="L1" i="8" l="1"/>
  <c r="L1" i="7"/>
  <c r="G1" i="6"/>
  <c r="D97" i="5" l="1"/>
  <c r="A49" i="94" l="1"/>
  <c r="A28" i="94"/>
  <c r="A7" i="94"/>
  <c r="A50" i="93"/>
  <c r="A28" i="93"/>
  <c r="A7" i="93"/>
  <c r="A26" i="102"/>
  <c r="A6" i="102"/>
  <c r="B8" i="92"/>
  <c r="A3" i="92"/>
  <c r="A5" i="91"/>
  <c r="B3" i="84"/>
  <c r="C4" i="112"/>
  <c r="G2" i="85"/>
  <c r="B798" i="84" l="1"/>
  <c r="B452" i="84"/>
  <c r="B101" i="84"/>
  <c r="B53" i="84"/>
  <c r="B625" i="84"/>
  <c r="B1004" i="84"/>
  <c r="B666" i="84"/>
  <c r="B315" i="84"/>
  <c r="B274" i="84"/>
  <c r="B585" i="84"/>
  <c r="B231" i="84"/>
  <c r="B879" i="84"/>
  <c r="B535" i="84"/>
  <c r="B184" i="84"/>
  <c r="B493" i="84"/>
  <c r="B357" i="84"/>
  <c r="B757" i="84"/>
  <c r="B407" i="84"/>
  <c r="B838" i="84"/>
  <c r="B963" i="84"/>
  <c r="B142" i="84"/>
  <c r="B707" i="84"/>
  <c r="B922" i="84"/>
  <c r="N91" i="50"/>
  <c r="B15" i="99" l="1"/>
  <c r="B14" i="99"/>
  <c r="B13" i="99"/>
  <c r="B12" i="99"/>
  <c r="B11" i="99"/>
  <c r="N2" i="50"/>
  <c r="J41" i="8" l="1"/>
  <c r="K41" i="8"/>
  <c r="L41" i="8"/>
  <c r="E284" i="10" l="1"/>
  <c r="D284" i="10"/>
  <c r="C284" i="10"/>
  <c r="C31" i="10" s="1"/>
  <c r="A34" i="44" l="1"/>
  <c r="A33" i="44"/>
  <c r="A47" i="5" l="1"/>
  <c r="D8" i="50" l="1"/>
  <c r="D58" i="50" s="1"/>
  <c r="J1" i="50"/>
  <c r="A46" i="52" l="1"/>
  <c r="A45" i="52"/>
  <c r="A47" i="12"/>
  <c r="A46" i="12"/>
  <c r="A35" i="11"/>
  <c r="A34" i="11"/>
  <c r="F54" i="5" l="1"/>
  <c r="F53" i="5"/>
  <c r="R40" i="106" l="1"/>
  <c r="H57" i="40"/>
  <c r="D29" i="44" l="1"/>
  <c r="D28" i="44"/>
  <c r="A28" i="44"/>
  <c r="H57" i="39" l="1"/>
  <c r="N40" i="106"/>
  <c r="A55" i="16" l="1"/>
  <c r="A49" i="16"/>
  <c r="A62" i="13"/>
  <c r="D57" i="13"/>
  <c r="D56" i="13"/>
  <c r="D42" i="12"/>
  <c r="E42" i="12"/>
  <c r="D41" i="12"/>
  <c r="A41" i="12"/>
  <c r="A30" i="74" l="1"/>
  <c r="D25" i="74"/>
  <c r="D24" i="74"/>
  <c r="A24" i="74"/>
  <c r="D20" i="37" l="1"/>
  <c r="D19" i="37"/>
  <c r="A19" i="37"/>
  <c r="A25" i="37"/>
  <c r="D41" i="52" l="1"/>
  <c r="D40" i="52"/>
  <c r="A40" i="52"/>
  <c r="D40" i="26"/>
  <c r="D39" i="26"/>
  <c r="A39" i="26"/>
  <c r="A45" i="26"/>
  <c r="D36" i="23"/>
  <c r="D35" i="23"/>
  <c r="A35" i="23"/>
  <c r="A41" i="23"/>
  <c r="D32" i="22"/>
  <c r="D31" i="22"/>
  <c r="A31" i="22"/>
  <c r="A37" i="22"/>
  <c r="D30" i="21"/>
  <c r="D29" i="21"/>
  <c r="A29" i="21"/>
  <c r="A35" i="21"/>
  <c r="A32" i="20"/>
  <c r="B31" i="20"/>
  <c r="B32" i="20"/>
  <c r="B33" i="20"/>
  <c r="C30" i="20"/>
  <c r="D30" i="20"/>
  <c r="C32" i="20"/>
  <c r="D32" i="20"/>
  <c r="C33" i="20"/>
  <c r="D33" i="20"/>
  <c r="E32" i="20"/>
  <c r="E33" i="20"/>
  <c r="E30" i="20"/>
  <c r="D27" i="20"/>
  <c r="D26" i="20"/>
  <c r="A26" i="20"/>
  <c r="A42" i="19"/>
  <c r="D37" i="19"/>
  <c r="D36" i="19"/>
  <c r="A36" i="19"/>
  <c r="D28" i="18"/>
  <c r="E27" i="18"/>
  <c r="A27" i="18"/>
  <c r="A33" i="18"/>
  <c r="A34" i="17"/>
  <c r="D29" i="17"/>
  <c r="D28" i="17"/>
  <c r="A28" i="17"/>
  <c r="D29" i="71"/>
  <c r="D28" i="71"/>
  <c r="A28" i="71"/>
  <c r="A34" i="71"/>
  <c r="D28" i="15"/>
  <c r="D27" i="15"/>
  <c r="A27" i="15"/>
  <c r="A33" i="15"/>
  <c r="D33" i="61"/>
  <c r="D32" i="61"/>
  <c r="E29" i="14"/>
  <c r="E28" i="14"/>
  <c r="A28" i="14"/>
  <c r="A32" i="61"/>
  <c r="A38" i="61"/>
  <c r="A34" i="14"/>
  <c r="B1" i="71"/>
  <c r="B28" i="71" s="1"/>
  <c r="B1" i="17"/>
  <c r="B28" i="17" s="1"/>
  <c r="B1" i="18"/>
  <c r="B27" i="18" s="1"/>
  <c r="B1" i="19"/>
  <c r="B36" i="19" s="1"/>
  <c r="B1" i="20"/>
  <c r="B1" i="21"/>
  <c r="B29" i="21" s="1"/>
  <c r="B1" i="22"/>
  <c r="B31" i="22" s="1"/>
  <c r="B1" i="23"/>
  <c r="B35" i="23" s="1"/>
  <c r="B1" i="29"/>
  <c r="B1" i="58"/>
  <c r="B1" i="37"/>
  <c r="B19" i="37" s="1"/>
  <c r="B1" i="38"/>
  <c r="B1" i="32"/>
  <c r="B1" i="40"/>
  <c r="A7" i="40" s="1"/>
  <c r="B1" i="39"/>
  <c r="A7" i="39" s="1"/>
  <c r="B1" i="43"/>
  <c r="B1" i="44"/>
  <c r="B28" i="44" s="1"/>
  <c r="B1" i="45"/>
  <c r="B1" i="42"/>
  <c r="B1" i="47"/>
  <c r="B1" i="48"/>
  <c r="B1" i="49"/>
  <c r="B1" i="46"/>
  <c r="B26" i="20" l="1"/>
  <c r="C17" i="20"/>
  <c r="I59" i="40"/>
  <c r="A38" i="60"/>
  <c r="C6" i="11"/>
  <c r="C34" i="11" s="1"/>
  <c r="B42" i="10" l="1"/>
  <c r="B43" i="10"/>
  <c r="B41" i="10"/>
  <c r="A3" i="77" l="1"/>
  <c r="A3" i="76"/>
  <c r="D27" i="10"/>
  <c r="C27" i="10"/>
  <c r="D25" i="10"/>
  <c r="C25" i="10"/>
  <c r="E2" i="10"/>
  <c r="E38" i="10" s="1"/>
  <c r="E1" i="10"/>
  <c r="E37" i="10" s="1"/>
  <c r="I8" i="9"/>
  <c r="J2" i="9"/>
  <c r="J1" i="9"/>
  <c r="O21" i="8"/>
  <c r="L2" i="8"/>
  <c r="L2" i="7"/>
  <c r="I30" i="7"/>
  <c r="G7" i="7"/>
  <c r="D9" i="7"/>
  <c r="G2" i="6" l="1"/>
  <c r="F2" i="5" l="1"/>
  <c r="F1" i="5"/>
  <c r="E97" i="5"/>
  <c r="B97" i="5"/>
  <c r="B58" i="5"/>
  <c r="A57" i="5"/>
  <c r="C56" i="5"/>
  <c r="D58" i="5"/>
  <c r="F56" i="5"/>
  <c r="E56" i="5"/>
  <c r="D56" i="5"/>
  <c r="F50" i="5"/>
  <c r="F49" i="5"/>
  <c r="B50" i="5"/>
  <c r="B49" i="5"/>
  <c r="D8" i="5"/>
  <c r="D55" i="5" s="1"/>
  <c r="A6" i="5"/>
  <c r="D98" i="5" l="1"/>
  <c r="U43" i="101"/>
  <c r="U41" i="101"/>
  <c r="U28" i="101"/>
  <c r="U27" i="101"/>
  <c r="U14" i="101"/>
  <c r="U13" i="101" l="1"/>
  <c r="A14" i="4"/>
  <c r="A11" i="4"/>
  <c r="AN289" i="79"/>
  <c r="AP289" i="79" s="1"/>
  <c r="AN288" i="79"/>
  <c r="AP288" i="79" s="1"/>
  <c r="AN287" i="79"/>
  <c r="AP287" i="79" s="1"/>
  <c r="AN286" i="79"/>
  <c r="AP286" i="79" s="1"/>
  <c r="AN285" i="79"/>
  <c r="AP285" i="79" s="1"/>
  <c r="AN284" i="79"/>
  <c r="AP284" i="79" s="1"/>
  <c r="AN283" i="79"/>
  <c r="AP283" i="79" s="1"/>
  <c r="AN282" i="79"/>
  <c r="AP282" i="79" s="1"/>
  <c r="AN281" i="79"/>
  <c r="AP281" i="79" s="1"/>
  <c r="AN280" i="79"/>
  <c r="AP280" i="79" s="1"/>
  <c r="AN279" i="79"/>
  <c r="AP279" i="79" s="1"/>
  <c r="AN278" i="79"/>
  <c r="AP278" i="79" s="1"/>
  <c r="AN277" i="79"/>
  <c r="AP277" i="79" s="1"/>
  <c r="AN276" i="79"/>
  <c r="AP276" i="79" s="1"/>
  <c r="AN275" i="79"/>
  <c r="AP275" i="79" s="1"/>
  <c r="AN274" i="79"/>
  <c r="AP274" i="79" s="1"/>
  <c r="AN273" i="79"/>
  <c r="AP273" i="79" s="1"/>
  <c r="AN272" i="79"/>
  <c r="AP272" i="79" s="1"/>
  <c r="AN271" i="79"/>
  <c r="AP271" i="79" s="1"/>
  <c r="AN270" i="79"/>
  <c r="AP270" i="79" s="1"/>
  <c r="AN269" i="79"/>
  <c r="AP269" i="79" s="1"/>
  <c r="AN268" i="79"/>
  <c r="AP268" i="79" s="1"/>
  <c r="AN267" i="79"/>
  <c r="AP267" i="79" s="1"/>
  <c r="AN266" i="79"/>
  <c r="AP266" i="79" s="1"/>
  <c r="AN265" i="79"/>
  <c r="AP265" i="79" s="1"/>
  <c r="AN264" i="79"/>
  <c r="AP264" i="79" s="1"/>
  <c r="AN263" i="79"/>
  <c r="AP263" i="79" s="1"/>
  <c r="AN262" i="79"/>
  <c r="AP262" i="79" s="1"/>
  <c r="AN261" i="79"/>
  <c r="AP261" i="79" s="1"/>
  <c r="AN260" i="79"/>
  <c r="AP260" i="79" s="1"/>
  <c r="AN259" i="79"/>
  <c r="AP259" i="79" s="1"/>
  <c r="AN258" i="79"/>
  <c r="AP258" i="79" s="1"/>
  <c r="AN257" i="79"/>
  <c r="AP257" i="79" s="1"/>
  <c r="AN256" i="79"/>
  <c r="AP256" i="79" s="1"/>
  <c r="AN255" i="79"/>
  <c r="AP255" i="79" s="1"/>
  <c r="AN254" i="79"/>
  <c r="AP254" i="79" s="1"/>
  <c r="AN253" i="79"/>
  <c r="AP253" i="79" s="1"/>
  <c r="AN252" i="79"/>
  <c r="AP252" i="79" s="1"/>
  <c r="AN251" i="79"/>
  <c r="AP251" i="79" s="1"/>
  <c r="AN250" i="79"/>
  <c r="AP250" i="79" s="1"/>
  <c r="AN249" i="79"/>
  <c r="AP249" i="79" s="1"/>
  <c r="AN248" i="79"/>
  <c r="AP248" i="79" s="1"/>
  <c r="AN247" i="79"/>
  <c r="AP247" i="79" s="1"/>
  <c r="AN246" i="79"/>
  <c r="AP246" i="79" s="1"/>
  <c r="AN245" i="79"/>
  <c r="AP245" i="79" s="1"/>
  <c r="AN244" i="79"/>
  <c r="AP244" i="79" s="1"/>
  <c r="AN243" i="79"/>
  <c r="AP243" i="79" s="1"/>
  <c r="AN242" i="79"/>
  <c r="AP242" i="79" s="1"/>
  <c r="AN241" i="79"/>
  <c r="AP241" i="79" s="1"/>
  <c r="AN240" i="79"/>
  <c r="AP240" i="79" s="1"/>
  <c r="AN239" i="79"/>
  <c r="AP239" i="79" s="1"/>
  <c r="AN238" i="79"/>
  <c r="AP238" i="79" s="1"/>
  <c r="AN237" i="79"/>
  <c r="AP237" i="79" s="1"/>
  <c r="AN236" i="79"/>
  <c r="AP236" i="79" s="1"/>
  <c r="AN235" i="79"/>
  <c r="AP235" i="79" s="1"/>
  <c r="AN234" i="79"/>
  <c r="AP234" i="79" s="1"/>
  <c r="AN233" i="79"/>
  <c r="AP233" i="79" s="1"/>
  <c r="AN232" i="79"/>
  <c r="AP232" i="79" s="1"/>
  <c r="AN231" i="79"/>
  <c r="AP231" i="79" s="1"/>
  <c r="AN230" i="79"/>
  <c r="AP230" i="79" s="1"/>
  <c r="AN229" i="79"/>
  <c r="AP229" i="79" s="1"/>
  <c r="AN228" i="79"/>
  <c r="AP228" i="79" s="1"/>
  <c r="AN227" i="79"/>
  <c r="AP227" i="79" s="1"/>
  <c r="AN226" i="79"/>
  <c r="AP226" i="79" s="1"/>
  <c r="AN225" i="79"/>
  <c r="AP225" i="79" s="1"/>
  <c r="AN224" i="79"/>
  <c r="AP224" i="79" s="1"/>
  <c r="AN223" i="79"/>
  <c r="AP223" i="79" s="1"/>
  <c r="AN222" i="79"/>
  <c r="AP222" i="79" s="1"/>
  <c r="AN221" i="79"/>
  <c r="AP221" i="79" s="1"/>
  <c r="AN220" i="79"/>
  <c r="AP220" i="79" s="1"/>
  <c r="AN219" i="79"/>
  <c r="AP219" i="79" s="1"/>
  <c r="AN218" i="79"/>
  <c r="AP218" i="79" s="1"/>
  <c r="AN217" i="79"/>
  <c r="AP217" i="79" s="1"/>
  <c r="AN216" i="79"/>
  <c r="AP216" i="79" s="1"/>
  <c r="AN215" i="79"/>
  <c r="AP215" i="79" s="1"/>
  <c r="AN214" i="79"/>
  <c r="AP214" i="79" s="1"/>
  <c r="AN213" i="79"/>
  <c r="AP213" i="79" s="1"/>
  <c r="AN212" i="79"/>
  <c r="AP212" i="79" s="1"/>
  <c r="AN211" i="79"/>
  <c r="AP211" i="79" s="1"/>
  <c r="AN210" i="79"/>
  <c r="AP210" i="79" s="1"/>
  <c r="AN209" i="79"/>
  <c r="AP209" i="79" s="1"/>
  <c r="AN208" i="79"/>
  <c r="AP208" i="79" s="1"/>
  <c r="AN207" i="79"/>
  <c r="AP207" i="79" s="1"/>
  <c r="AN206" i="79"/>
  <c r="AP206" i="79" s="1"/>
  <c r="AN205" i="79"/>
  <c r="AP205" i="79" s="1"/>
  <c r="AN204" i="79"/>
  <c r="AP204" i="79" s="1"/>
  <c r="AN203" i="79"/>
  <c r="AP203" i="79" s="1"/>
  <c r="AN202" i="79"/>
  <c r="AP202" i="79" s="1"/>
  <c r="AN201" i="79"/>
  <c r="AP201" i="79" s="1"/>
  <c r="AN200" i="79"/>
  <c r="AP200" i="79" s="1"/>
  <c r="AN199" i="79"/>
  <c r="AP199" i="79" s="1"/>
  <c r="AN198" i="79"/>
  <c r="AP198" i="79" s="1"/>
  <c r="AN197" i="79"/>
  <c r="AP197" i="79" s="1"/>
  <c r="AN196" i="79"/>
  <c r="AP196" i="79" s="1"/>
  <c r="AN195" i="79"/>
  <c r="AP195" i="79" s="1"/>
  <c r="AN194" i="79"/>
  <c r="AP194" i="79" s="1"/>
  <c r="AN193" i="79"/>
  <c r="AP193" i="79" s="1"/>
  <c r="AN192" i="79"/>
  <c r="AP192" i="79" s="1"/>
  <c r="AN191" i="79"/>
  <c r="AP191" i="79" s="1"/>
  <c r="AN190" i="79"/>
  <c r="AP190" i="79" s="1"/>
  <c r="AN189" i="79"/>
  <c r="AP189" i="79" s="1"/>
  <c r="AN188" i="79"/>
  <c r="AP188" i="79" s="1"/>
  <c r="AN187" i="79"/>
  <c r="AP187" i="79" s="1"/>
  <c r="AN186" i="79"/>
  <c r="AP186" i="79" s="1"/>
  <c r="AN185" i="79"/>
  <c r="AP185" i="79" s="1"/>
  <c r="AN184" i="79"/>
  <c r="AP184" i="79" s="1"/>
  <c r="AN183" i="79"/>
  <c r="AP183" i="79" s="1"/>
  <c r="AN182" i="79"/>
  <c r="AP182" i="79" s="1"/>
  <c r="AN181" i="79"/>
  <c r="AP181" i="79" s="1"/>
  <c r="AN180" i="79"/>
  <c r="AP180" i="79" s="1"/>
  <c r="AN179" i="79"/>
  <c r="AP179" i="79" s="1"/>
  <c r="AN178" i="79"/>
  <c r="AP178" i="79" s="1"/>
  <c r="AN177" i="79"/>
  <c r="AP177" i="79" s="1"/>
  <c r="AN176" i="79"/>
  <c r="AP176" i="79" s="1"/>
  <c r="AN175" i="79"/>
  <c r="AP175" i="79" s="1"/>
  <c r="AN174" i="79"/>
  <c r="AP174" i="79" s="1"/>
  <c r="AN173" i="79"/>
  <c r="AP173" i="79" s="1"/>
  <c r="AN172" i="79"/>
  <c r="AP172" i="79" s="1"/>
  <c r="AN171" i="79"/>
  <c r="AP171" i="79" s="1"/>
  <c r="AN170" i="79"/>
  <c r="AP170" i="79" s="1"/>
  <c r="AN169" i="79"/>
  <c r="AP169" i="79" s="1"/>
  <c r="AN168" i="79"/>
  <c r="AP168" i="79" s="1"/>
  <c r="AN167" i="79"/>
  <c r="AP167" i="79" s="1"/>
  <c r="AN166" i="79"/>
  <c r="AP166" i="79" s="1"/>
  <c r="AN165" i="79"/>
  <c r="AP165" i="79" s="1"/>
  <c r="AN164" i="79"/>
  <c r="AP164" i="79" s="1"/>
  <c r="AN163" i="79"/>
  <c r="AP163" i="79" s="1"/>
  <c r="AN162" i="79"/>
  <c r="AP162" i="79" s="1"/>
  <c r="AN161" i="79"/>
  <c r="AP161" i="79" s="1"/>
  <c r="AN160" i="79"/>
  <c r="AP160" i="79" s="1"/>
  <c r="AN159" i="79"/>
  <c r="AP159" i="79" s="1"/>
  <c r="AN158" i="79"/>
  <c r="AP158" i="79" s="1"/>
  <c r="AN157" i="79"/>
  <c r="AP157" i="79" s="1"/>
  <c r="AN156" i="79"/>
  <c r="AP156" i="79" s="1"/>
  <c r="AN155" i="79"/>
  <c r="AP155" i="79" s="1"/>
  <c r="AN154" i="79"/>
  <c r="AP154" i="79" s="1"/>
  <c r="AN153" i="79"/>
  <c r="AP153" i="79" s="1"/>
  <c r="AN152" i="79"/>
  <c r="AP152" i="79" s="1"/>
  <c r="AN151" i="79"/>
  <c r="AP151" i="79" s="1"/>
  <c r="AN150" i="79"/>
  <c r="AP150" i="79" s="1"/>
  <c r="AN149" i="79"/>
  <c r="AP149" i="79" s="1"/>
  <c r="AN148" i="79"/>
  <c r="AP148" i="79" s="1"/>
  <c r="AN147" i="79"/>
  <c r="AP147" i="79" s="1"/>
  <c r="AN146" i="79"/>
  <c r="AP146" i="79" s="1"/>
  <c r="AN145" i="79"/>
  <c r="AP145" i="79" s="1"/>
  <c r="AN144" i="79"/>
  <c r="AP144" i="79" s="1"/>
  <c r="AN143" i="79"/>
  <c r="AP143" i="79" s="1"/>
  <c r="AN142" i="79"/>
  <c r="AP142" i="79" s="1"/>
  <c r="AN141" i="79"/>
  <c r="AP141" i="79" s="1"/>
  <c r="AN140" i="79"/>
  <c r="AP140" i="79" s="1"/>
  <c r="AN139" i="79"/>
  <c r="AP139" i="79" s="1"/>
  <c r="AN138" i="79"/>
  <c r="AP138" i="79" s="1"/>
  <c r="AN137" i="79"/>
  <c r="AP137" i="79" s="1"/>
  <c r="AN136" i="79"/>
  <c r="AP136" i="79" s="1"/>
  <c r="AN135" i="79"/>
  <c r="AP135" i="79" s="1"/>
  <c r="AN134" i="79"/>
  <c r="AP134" i="79" s="1"/>
  <c r="AN133" i="79"/>
  <c r="AP133" i="79" s="1"/>
  <c r="AN132" i="79"/>
  <c r="AP132" i="79" s="1"/>
  <c r="AN131" i="79"/>
  <c r="AP131" i="79" s="1"/>
  <c r="AN130" i="79"/>
  <c r="AP130" i="79" s="1"/>
  <c r="AN129" i="79"/>
  <c r="AP129" i="79" s="1"/>
  <c r="AN128" i="79"/>
  <c r="AP128" i="79" s="1"/>
  <c r="AN127" i="79"/>
  <c r="AP127" i="79" s="1"/>
  <c r="AN126" i="79"/>
  <c r="AP126" i="79" s="1"/>
  <c r="AN125" i="79"/>
  <c r="AP125" i="79" s="1"/>
  <c r="AN124" i="79"/>
  <c r="AP124" i="79" s="1"/>
  <c r="AN123" i="79"/>
  <c r="AP123" i="79" s="1"/>
  <c r="AN122" i="79"/>
  <c r="AP122" i="79" s="1"/>
  <c r="AN121" i="79"/>
  <c r="AP121" i="79" s="1"/>
  <c r="AN120" i="79"/>
  <c r="AP120" i="79" s="1"/>
  <c r="AN119" i="79"/>
  <c r="AP119" i="79" s="1"/>
  <c r="AN118" i="79"/>
  <c r="AP118" i="79" s="1"/>
  <c r="AN117" i="79"/>
  <c r="AP117" i="79" s="1"/>
  <c r="AN116" i="79"/>
  <c r="AP116" i="79" s="1"/>
  <c r="AN115" i="79"/>
  <c r="AP115" i="79" s="1"/>
  <c r="AN114" i="79"/>
  <c r="AP114" i="79" s="1"/>
  <c r="AN113" i="79"/>
  <c r="AP113" i="79" s="1"/>
  <c r="AN112" i="79"/>
  <c r="AP112" i="79" s="1"/>
  <c r="AN111" i="79"/>
  <c r="AP111" i="79" s="1"/>
  <c r="AN110" i="79"/>
  <c r="AP110" i="79" s="1"/>
  <c r="AN109" i="79"/>
  <c r="AP109" i="79" s="1"/>
  <c r="AN108" i="79"/>
  <c r="AP108" i="79" s="1"/>
  <c r="AN107" i="79"/>
  <c r="AP107" i="79" s="1"/>
  <c r="AN106" i="79"/>
  <c r="AP106" i="79" s="1"/>
  <c r="AN105" i="79"/>
  <c r="AP105" i="79" s="1"/>
  <c r="AN104" i="79"/>
  <c r="AP104" i="79" s="1"/>
  <c r="AN103" i="79"/>
  <c r="AP103" i="79" s="1"/>
  <c r="AN102" i="79"/>
  <c r="AP102" i="79" s="1"/>
  <c r="AN101" i="79"/>
  <c r="AP101" i="79" s="1"/>
  <c r="AN100" i="79"/>
  <c r="AP100" i="79" s="1"/>
  <c r="AN99" i="79"/>
  <c r="AP99" i="79" s="1"/>
  <c r="AN98" i="79"/>
  <c r="AP98" i="79" s="1"/>
  <c r="AN97" i="79"/>
  <c r="AP97" i="79" s="1"/>
  <c r="AN96" i="79"/>
  <c r="AP96" i="79" s="1"/>
  <c r="AN95" i="79"/>
  <c r="AP95" i="79" s="1"/>
  <c r="AN94" i="79"/>
  <c r="AP94" i="79" s="1"/>
  <c r="AN93" i="79"/>
  <c r="AP93" i="79" s="1"/>
  <c r="AN92" i="79"/>
  <c r="AP92" i="79" s="1"/>
  <c r="AN91" i="79"/>
  <c r="AP91" i="79" s="1"/>
  <c r="AN90" i="79"/>
  <c r="AP90" i="79" s="1"/>
  <c r="AN89" i="79"/>
  <c r="AP89" i="79" s="1"/>
  <c r="AN88" i="79"/>
  <c r="AP88" i="79" s="1"/>
  <c r="AN87" i="79"/>
  <c r="AP87" i="79" s="1"/>
  <c r="AN86" i="79"/>
  <c r="AP86" i="79" s="1"/>
  <c r="AN85" i="79"/>
  <c r="AP85" i="79" s="1"/>
  <c r="AN84" i="79"/>
  <c r="AP84" i="79" s="1"/>
  <c r="AN83" i="79"/>
  <c r="AP83" i="79" s="1"/>
  <c r="AN82" i="79"/>
  <c r="AP82" i="79" s="1"/>
  <c r="AN81" i="79"/>
  <c r="AP81" i="79" s="1"/>
  <c r="AN80" i="79"/>
  <c r="AP80" i="79" s="1"/>
  <c r="AN79" i="79"/>
  <c r="AP79" i="79" s="1"/>
  <c r="AN78" i="79"/>
  <c r="AP78" i="79" s="1"/>
  <c r="AN77" i="79"/>
  <c r="AP77" i="79" s="1"/>
  <c r="AN76" i="79"/>
  <c r="AP76" i="79" s="1"/>
  <c r="AN75" i="79"/>
  <c r="AP75" i="79" s="1"/>
  <c r="AN74" i="79"/>
  <c r="AP74" i="79" s="1"/>
  <c r="AN73" i="79"/>
  <c r="AP73" i="79" s="1"/>
  <c r="AN72" i="79"/>
  <c r="AP72" i="79" s="1"/>
  <c r="AN71" i="79"/>
  <c r="AP71" i="79" s="1"/>
  <c r="AN70" i="79"/>
  <c r="AP70" i="79" s="1"/>
  <c r="AN69" i="79"/>
  <c r="AP69" i="79" s="1"/>
  <c r="AN68" i="79"/>
  <c r="AP68" i="79" s="1"/>
  <c r="AN67" i="79"/>
  <c r="AP67" i="79" s="1"/>
  <c r="AN66" i="79"/>
  <c r="AP66" i="79" s="1"/>
  <c r="AN65" i="79"/>
  <c r="AP65" i="79" s="1"/>
  <c r="AN64" i="79"/>
  <c r="AP64" i="79" s="1"/>
  <c r="AN63" i="79"/>
  <c r="AP63" i="79" s="1"/>
  <c r="AN62" i="79"/>
  <c r="AP62" i="79" s="1"/>
  <c r="AN61" i="79"/>
  <c r="AP61" i="79" s="1"/>
  <c r="AN60" i="79"/>
  <c r="AP60" i="79" s="1"/>
  <c r="AN59" i="79"/>
  <c r="AP59" i="79" s="1"/>
  <c r="AN58" i="79"/>
  <c r="AP58" i="79" s="1"/>
  <c r="AN57" i="79"/>
  <c r="AP57" i="79" s="1"/>
  <c r="AN56" i="79"/>
  <c r="AP56" i="79" s="1"/>
  <c r="AN55" i="79"/>
  <c r="AP55" i="79" s="1"/>
  <c r="AN54" i="79"/>
  <c r="AP54" i="79" s="1"/>
  <c r="AN53" i="79"/>
  <c r="AP53" i="79" s="1"/>
  <c r="AN52" i="79"/>
  <c r="AP52" i="79" s="1"/>
  <c r="AN51" i="79"/>
  <c r="AP51" i="79" s="1"/>
  <c r="AN50" i="79"/>
  <c r="AP50" i="79" s="1"/>
  <c r="AN49" i="79"/>
  <c r="AP49" i="79" s="1"/>
  <c r="AN48" i="79"/>
  <c r="AP48" i="79" s="1"/>
  <c r="AN47" i="79"/>
  <c r="AP47" i="79" s="1"/>
  <c r="AN46" i="79"/>
  <c r="AP46" i="79" s="1"/>
  <c r="AN45" i="79"/>
  <c r="AP45" i="79" s="1"/>
  <c r="AN44" i="79"/>
  <c r="AP44" i="79" s="1"/>
  <c r="AN43" i="79"/>
  <c r="AP43" i="79" s="1"/>
  <c r="AN42" i="79"/>
  <c r="AP42" i="79" s="1"/>
  <c r="AN41" i="79"/>
  <c r="AP41" i="79" s="1"/>
  <c r="AN40" i="79"/>
  <c r="AP40" i="79" s="1"/>
  <c r="AN39" i="79"/>
  <c r="AP39" i="79" s="1"/>
  <c r="AN38" i="79"/>
  <c r="AP38" i="79" s="1"/>
  <c r="AN37" i="79"/>
  <c r="AP37" i="79" s="1"/>
  <c r="AN36" i="79"/>
  <c r="AP36" i="79" s="1"/>
  <c r="AN35" i="79"/>
  <c r="AP35" i="79" s="1"/>
  <c r="AN34" i="79"/>
  <c r="AP34" i="79" s="1"/>
  <c r="AN33" i="79"/>
  <c r="AP33" i="79" s="1"/>
  <c r="AN32" i="79"/>
  <c r="AP32" i="79" s="1"/>
  <c r="AN31" i="79"/>
  <c r="AP31" i="79" s="1"/>
  <c r="AN30" i="79"/>
  <c r="AP30" i="79" s="1"/>
  <c r="AN29" i="79"/>
  <c r="AP29" i="79" s="1"/>
  <c r="AN28" i="79"/>
  <c r="AP28" i="79" s="1"/>
  <c r="AN27" i="79"/>
  <c r="AP27" i="79" s="1"/>
  <c r="AN26" i="79"/>
  <c r="AP26" i="79" s="1"/>
  <c r="AN25" i="79"/>
  <c r="AP25" i="79" s="1"/>
  <c r="AN24" i="79"/>
  <c r="AP24" i="79" s="1"/>
  <c r="AN23" i="79"/>
  <c r="AP23" i="79" s="1"/>
  <c r="AN22" i="79"/>
  <c r="AP22" i="79" s="1"/>
  <c r="AN21" i="79"/>
  <c r="AP21" i="79" s="1"/>
  <c r="AN20" i="79"/>
  <c r="AP20" i="79" s="1"/>
  <c r="AN19" i="79"/>
  <c r="AP19" i="79" s="1"/>
  <c r="AN18" i="79"/>
  <c r="AP18" i="79" s="1"/>
  <c r="AN17" i="79"/>
  <c r="AP17" i="79" s="1"/>
  <c r="AN16" i="79"/>
  <c r="AP16" i="79" s="1"/>
  <c r="AN15" i="79"/>
  <c r="AP15" i="79" s="1"/>
  <c r="AN14" i="79"/>
  <c r="AP14" i="79" s="1"/>
  <c r="AN13" i="79"/>
  <c r="AP13" i="79" s="1"/>
  <c r="AN12" i="79"/>
  <c r="AP12" i="79" s="1"/>
  <c r="AN11" i="79"/>
  <c r="AP11" i="79" s="1"/>
  <c r="AN10" i="79"/>
  <c r="AP10" i="79" s="1"/>
  <c r="AN9" i="79"/>
  <c r="AP9" i="79" s="1"/>
  <c r="AN8" i="79"/>
  <c r="AP8" i="79" s="1"/>
  <c r="AN7" i="79"/>
  <c r="AP7" i="79" s="1"/>
  <c r="AN6" i="79"/>
  <c r="AP6" i="79" s="1"/>
  <c r="AN5" i="79"/>
  <c r="AP5" i="79" s="1"/>
  <c r="AN4" i="79"/>
  <c r="AP4" i="79" s="1"/>
  <c r="AF291" i="75"/>
  <c r="U42" i="101" l="1"/>
  <c r="B5" i="101" l="1"/>
  <c r="A91" i="104"/>
  <c r="A79" i="104"/>
  <c r="A73" i="104"/>
  <c r="A67" i="104"/>
  <c r="A64" i="104"/>
  <c r="V25" i="58"/>
  <c r="V24" i="58"/>
  <c r="E29" i="10"/>
  <c r="F11" i="6"/>
  <c r="D11" i="6"/>
  <c r="B11" i="6"/>
  <c r="J1" i="99"/>
  <c r="B7" i="99"/>
  <c r="B10" i="99"/>
  <c r="B18" i="99"/>
  <c r="J11" i="88"/>
  <c r="A149" i="4"/>
  <c r="I150" i="4"/>
  <c r="I149" i="4"/>
  <c r="I148" i="4"/>
  <c r="A151" i="4"/>
  <c r="A150" i="4"/>
  <c r="A148" i="4"/>
  <c r="A119" i="4"/>
  <c r="A94" i="4"/>
  <c r="J116" i="104" s="1"/>
  <c r="G121" i="104" s="1"/>
  <c r="A70" i="4"/>
  <c r="G79" i="104" s="1"/>
  <c r="A69" i="4"/>
  <c r="G73" i="104" s="1"/>
  <c r="A68" i="4"/>
  <c r="G67" i="104" s="1"/>
  <c r="A45" i="4"/>
  <c r="J76" i="104" s="1"/>
  <c r="A44" i="4"/>
  <c r="J70" i="104" s="1"/>
  <c r="A43" i="4"/>
  <c r="J64" i="104" s="1"/>
  <c r="A9" i="4"/>
  <c r="A10" i="4"/>
  <c r="D72" i="50" s="1"/>
  <c r="A12" i="4"/>
  <c r="A13" i="4"/>
  <c r="F72" i="50" s="1"/>
  <c r="H20" i="16"/>
  <c r="J107" i="4"/>
  <c r="J103" i="4"/>
  <c r="J98" i="4"/>
  <c r="K28" i="102"/>
  <c r="F6" i="4"/>
  <c r="I14" i="50"/>
  <c r="A164" i="104"/>
  <c r="E44" i="16"/>
  <c r="D44" i="16"/>
  <c r="C44" i="16"/>
  <c r="F33" i="7"/>
  <c r="A66" i="4"/>
  <c r="W26" i="90"/>
  <c r="J26" i="90" s="1"/>
  <c r="D26" i="90"/>
  <c r="F26" i="90" s="1"/>
  <c r="A37" i="4"/>
  <c r="I45" i="84"/>
  <c r="I46" i="84" s="1"/>
  <c r="H72" i="50"/>
  <c r="H74" i="50"/>
  <c r="G44" i="58"/>
  <c r="H44" i="58"/>
  <c r="F20" i="29"/>
  <c r="E33" i="65"/>
  <c r="E12" i="5"/>
  <c r="C29" i="52"/>
  <c r="T158" i="104"/>
  <c r="T148" i="104"/>
  <c r="G16" i="112"/>
  <c r="G15" i="112"/>
  <c r="G14" i="112"/>
  <c r="G13" i="112"/>
  <c r="G12" i="112"/>
  <c r="E16" i="112"/>
  <c r="E15" i="112"/>
  <c r="E14" i="112"/>
  <c r="E13" i="112"/>
  <c r="E12" i="112"/>
  <c r="M29" i="105"/>
  <c r="J29" i="105"/>
  <c r="I30" i="105"/>
  <c r="H30" i="105"/>
  <c r="G30" i="105"/>
  <c r="F30" i="105"/>
  <c r="E30" i="105"/>
  <c r="D30" i="105"/>
  <c r="X16" i="83"/>
  <c r="W15" i="83"/>
  <c r="A15" i="83" s="1"/>
  <c r="C6" i="97"/>
  <c r="R4" i="106"/>
  <c r="N6" i="106"/>
  <c r="C35" i="31" s="1"/>
  <c r="O12" i="106"/>
  <c r="E3" i="100" s="1"/>
  <c r="O14" i="106"/>
  <c r="F9" i="7" s="1"/>
  <c r="N9" i="106"/>
  <c r="T5" i="106"/>
  <c r="B148" i="4" s="1"/>
  <c r="O5" i="106"/>
  <c r="O4" i="106"/>
  <c r="A84" i="4"/>
  <c r="C18" i="112"/>
  <c r="I17" i="112"/>
  <c r="I16" i="112"/>
  <c r="I14" i="112"/>
  <c r="I13" i="112"/>
  <c r="I12" i="112"/>
  <c r="J109" i="112"/>
  <c r="C106" i="112"/>
  <c r="I105" i="112"/>
  <c r="I106" i="112" s="1"/>
  <c r="E104" i="112"/>
  <c r="E106" i="112" s="1"/>
  <c r="C101" i="112"/>
  <c r="I100" i="112"/>
  <c r="E99" i="112"/>
  <c r="E101" i="112" s="1"/>
  <c r="C96" i="112"/>
  <c r="I95" i="112"/>
  <c r="J95" i="112" s="1"/>
  <c r="E94" i="112"/>
  <c r="C91" i="112"/>
  <c r="I90" i="112"/>
  <c r="I91" i="112" s="1"/>
  <c r="E89" i="112"/>
  <c r="J89" i="112" s="1"/>
  <c r="C79" i="112"/>
  <c r="I78" i="112"/>
  <c r="J78" i="112" s="1"/>
  <c r="E77" i="112"/>
  <c r="J77" i="112" s="1"/>
  <c r="E76" i="112"/>
  <c r="J76" i="112" s="1"/>
  <c r="I75" i="112"/>
  <c r="E75" i="112"/>
  <c r="I74" i="112"/>
  <c r="E74" i="112"/>
  <c r="I73" i="112"/>
  <c r="E73" i="112"/>
  <c r="C70" i="112"/>
  <c r="I69" i="112"/>
  <c r="J69" i="112" s="1"/>
  <c r="E68" i="112"/>
  <c r="J68" i="112" s="1"/>
  <c r="E67" i="112"/>
  <c r="I66" i="112"/>
  <c r="E66" i="112"/>
  <c r="I65" i="112"/>
  <c r="E65" i="112"/>
  <c r="I64" i="112"/>
  <c r="E64" i="112"/>
  <c r="C61" i="112"/>
  <c r="I60" i="112"/>
  <c r="J60" i="112" s="1"/>
  <c r="E59" i="112"/>
  <c r="J59" i="112" s="1"/>
  <c r="E58" i="112"/>
  <c r="J58" i="112" s="1"/>
  <c r="I57" i="112"/>
  <c r="E57" i="112"/>
  <c r="I56" i="112"/>
  <c r="E56" i="112"/>
  <c r="I55" i="112"/>
  <c r="E55" i="112"/>
  <c r="C52" i="112"/>
  <c r="I51" i="112"/>
  <c r="J51" i="112" s="1"/>
  <c r="E50" i="112"/>
  <c r="J50" i="112" s="1"/>
  <c r="E49" i="112"/>
  <c r="J49" i="112" s="1"/>
  <c r="I48" i="112"/>
  <c r="E48" i="112"/>
  <c r="I47" i="112"/>
  <c r="E47" i="112"/>
  <c r="I46" i="112"/>
  <c r="E46" i="112"/>
  <c r="C42" i="112"/>
  <c r="E41" i="112"/>
  <c r="J41" i="112" s="1"/>
  <c r="I40" i="112"/>
  <c r="E40" i="112"/>
  <c r="C36" i="112"/>
  <c r="I35" i="112"/>
  <c r="J35" i="112" s="1"/>
  <c r="I34" i="112"/>
  <c r="E34" i="112"/>
  <c r="E33" i="112"/>
  <c r="J33" i="112" s="1"/>
  <c r="I32" i="112"/>
  <c r="E32" i="112"/>
  <c r="I31" i="112"/>
  <c r="E31" i="112"/>
  <c r="I30" i="112"/>
  <c r="E30" i="112"/>
  <c r="C27" i="112"/>
  <c r="I26" i="112"/>
  <c r="I25" i="112"/>
  <c r="E25" i="112"/>
  <c r="E24" i="112"/>
  <c r="J24" i="112" s="1"/>
  <c r="I23" i="112"/>
  <c r="E23" i="112"/>
  <c r="I22" i="112"/>
  <c r="E22" i="112"/>
  <c r="I21" i="112"/>
  <c r="E21" i="112"/>
  <c r="N117" i="104"/>
  <c r="N119" i="104"/>
  <c r="N110" i="106"/>
  <c r="A162" i="104"/>
  <c r="O46" i="106"/>
  <c r="O44" i="4"/>
  <c r="O44" i="106"/>
  <c r="O42" i="4"/>
  <c r="O53" i="106"/>
  <c r="O51" i="4"/>
  <c r="O55" i="106"/>
  <c r="N62" i="106"/>
  <c r="N59" i="106"/>
  <c r="H37" i="48" s="1"/>
  <c r="Q62" i="106"/>
  <c r="Q59" i="106"/>
  <c r="Q57" i="106"/>
  <c r="B68" i="50" s="1"/>
  <c r="Q55" i="106"/>
  <c r="A67" i="5" s="1"/>
  <c r="S57" i="106"/>
  <c r="S55" i="106"/>
  <c r="S53" i="106"/>
  <c r="A7" i="48" s="1"/>
  <c r="N46" i="106"/>
  <c r="N44" i="106"/>
  <c r="R42" i="106"/>
  <c r="R41" i="106"/>
  <c r="N41" i="106"/>
  <c r="I59" i="39" s="1"/>
  <c r="H40" i="48"/>
  <c r="N44" i="4"/>
  <c r="N42" i="4"/>
  <c r="N39" i="4"/>
  <c r="AR3" i="76"/>
  <c r="AQ3" i="76"/>
  <c r="AP3" i="76"/>
  <c r="AL3" i="76"/>
  <c r="AK3" i="76"/>
  <c r="AJ3" i="76"/>
  <c r="AH3" i="76"/>
  <c r="AG3" i="76"/>
  <c r="AF3" i="76"/>
  <c r="AB3" i="76"/>
  <c r="AA3" i="76"/>
  <c r="Z3" i="76"/>
  <c r="V3" i="76"/>
  <c r="U3" i="76"/>
  <c r="T3" i="76"/>
  <c r="P3" i="76"/>
  <c r="O3" i="76"/>
  <c r="N3" i="76"/>
  <c r="BS3" i="76"/>
  <c r="BR3" i="76"/>
  <c r="BQ3" i="76"/>
  <c r="BK3" i="76"/>
  <c r="BJ3" i="76"/>
  <c r="BI3" i="76"/>
  <c r="BH3" i="76"/>
  <c r="AY3" i="76"/>
  <c r="AX3" i="76"/>
  <c r="AW3" i="76"/>
  <c r="AU3" i="76"/>
  <c r="AT3" i="76"/>
  <c r="AS3" i="76"/>
  <c r="AN3" i="76"/>
  <c r="BB3" i="76"/>
  <c r="BA3" i="76"/>
  <c r="AZ3" i="76"/>
  <c r="G3" i="76"/>
  <c r="F3" i="76"/>
  <c r="E3" i="76"/>
  <c r="I157" i="4"/>
  <c r="A152" i="4"/>
  <c r="T151" i="104"/>
  <c r="B22" i="91"/>
  <c r="M72" i="4"/>
  <c r="R40" i="4"/>
  <c r="R39" i="4"/>
  <c r="E15" i="103"/>
  <c r="Q75" i="106"/>
  <c r="S54" i="4"/>
  <c r="S51" i="4"/>
  <c r="Q54" i="4"/>
  <c r="Q56" i="4"/>
  <c r="Q59" i="4"/>
  <c r="M67" i="4"/>
  <c r="M66" i="4"/>
  <c r="M65" i="4"/>
  <c r="M64" i="4"/>
  <c r="M63" i="4"/>
  <c r="N59" i="4"/>
  <c r="N56" i="4"/>
  <c r="T162" i="104"/>
  <c r="T161" i="104"/>
  <c r="T160" i="104"/>
  <c r="T159" i="104"/>
  <c r="T157" i="104"/>
  <c r="T156" i="104"/>
  <c r="T155" i="104"/>
  <c r="T154" i="104"/>
  <c r="T153" i="104"/>
  <c r="T152" i="104"/>
  <c r="T150" i="104"/>
  <c r="T149" i="104"/>
  <c r="T147" i="104"/>
  <c r="T146" i="104"/>
  <c r="T145" i="104"/>
  <c r="T144" i="104"/>
  <c r="T143" i="104"/>
  <c r="T142" i="104"/>
  <c r="T141" i="104"/>
  <c r="T140" i="104"/>
  <c r="T139" i="104"/>
  <c r="T138" i="104"/>
  <c r="T137" i="104"/>
  <c r="T136" i="104"/>
  <c r="T135" i="104"/>
  <c r="T134" i="104"/>
  <c r="T133" i="104"/>
  <c r="T132" i="104"/>
  <c r="T131" i="104"/>
  <c r="T130" i="104"/>
  <c r="T129" i="104"/>
  <c r="T128" i="104"/>
  <c r="T127" i="104"/>
  <c r="T126" i="104"/>
  <c r="T125" i="104"/>
  <c r="T124" i="104"/>
  <c r="T123" i="104"/>
  <c r="T122" i="104"/>
  <c r="T121" i="104"/>
  <c r="T120" i="104"/>
  <c r="T119" i="104"/>
  <c r="T118" i="104"/>
  <c r="T117" i="104"/>
  <c r="T116" i="104"/>
  <c r="T115" i="104"/>
  <c r="T114" i="104"/>
  <c r="T113" i="104"/>
  <c r="Q113" i="104"/>
  <c r="Q114" i="104" s="1"/>
  <c r="Q115" i="104" s="1"/>
  <c r="Q116" i="104" s="1"/>
  <c r="Q117" i="104" s="1"/>
  <c r="Q118" i="104" s="1"/>
  <c r="Q119" i="104" s="1"/>
  <c r="Q120" i="104" s="1"/>
  <c r="Q121" i="104" s="1"/>
  <c r="Q122" i="104" s="1"/>
  <c r="Q123" i="104" s="1"/>
  <c r="Q124" i="104" s="1"/>
  <c r="Q125" i="104" s="1"/>
  <c r="Q126" i="104" s="1"/>
  <c r="Q127" i="104" s="1"/>
  <c r="Q128" i="104" s="1"/>
  <c r="Q129" i="104" s="1"/>
  <c r="Q130" i="104" s="1"/>
  <c r="Q131" i="104" s="1"/>
  <c r="Q132" i="104" s="1"/>
  <c r="Q133" i="104" s="1"/>
  <c r="Q134" i="104" s="1"/>
  <c r="Q135" i="104" s="1"/>
  <c r="Q136" i="104" s="1"/>
  <c r="Q137" i="104" s="1"/>
  <c r="Q138" i="104" s="1"/>
  <c r="Q139" i="104" s="1"/>
  <c r="Q140" i="104" s="1"/>
  <c r="Q141" i="104" s="1"/>
  <c r="Q142" i="104" s="1"/>
  <c r="Q143" i="104" s="1"/>
  <c r="Q144" i="104" s="1"/>
  <c r="Q145" i="104" s="1"/>
  <c r="Q146" i="104" s="1"/>
  <c r="Q147" i="104" s="1"/>
  <c r="Q148" i="104" s="1"/>
  <c r="Q149" i="104" s="1"/>
  <c r="Q150" i="104" s="1"/>
  <c r="Q151" i="104" s="1"/>
  <c r="Q152" i="104" s="1"/>
  <c r="Q153" i="104" s="1"/>
  <c r="Q154" i="104" s="1"/>
  <c r="Q155" i="104" s="1"/>
  <c r="Q156" i="104" s="1"/>
  <c r="Q157" i="104" s="1"/>
  <c r="Q158" i="104" s="1"/>
  <c r="Q159" i="104" s="1"/>
  <c r="Q160" i="104" s="1"/>
  <c r="Q161" i="104" s="1"/>
  <c r="Q162" i="104" s="1"/>
  <c r="Q163" i="104" s="1"/>
  <c r="T112" i="104"/>
  <c r="N118" i="104"/>
  <c r="M102" i="104"/>
  <c r="M98" i="104"/>
  <c r="D30" i="52"/>
  <c r="C30" i="52"/>
  <c r="D35" i="50" s="1"/>
  <c r="P259" i="104"/>
  <c r="P241" i="104"/>
  <c r="K14" i="10"/>
  <c r="E29" i="104"/>
  <c r="B20" i="4"/>
  <c r="B3" i="4"/>
  <c r="G140" i="104"/>
  <c r="G139" i="104"/>
  <c r="G138" i="104"/>
  <c r="G51" i="104"/>
  <c r="G48" i="104"/>
  <c r="G46" i="104"/>
  <c r="G40" i="104"/>
  <c r="G38" i="104"/>
  <c r="G36" i="104"/>
  <c r="G34" i="104"/>
  <c r="E25" i="104"/>
  <c r="E20" i="104"/>
  <c r="A15" i="70"/>
  <c r="S5" i="100"/>
  <c r="B21" i="4"/>
  <c r="B3" i="100"/>
  <c r="B6" i="101"/>
  <c r="E14" i="96"/>
  <c r="B14" i="96"/>
  <c r="J2" i="50"/>
  <c r="A15" i="49"/>
  <c r="C6" i="49"/>
  <c r="F3" i="49"/>
  <c r="A15" i="48"/>
  <c r="C6" i="48"/>
  <c r="F3" i="48"/>
  <c r="A15" i="47"/>
  <c r="C6" i="47"/>
  <c r="F3" i="47"/>
  <c r="A15" i="46"/>
  <c r="C6" i="46"/>
  <c r="F3" i="46"/>
  <c r="A15" i="45"/>
  <c r="C6" i="45"/>
  <c r="F3" i="45"/>
  <c r="C6" i="44"/>
  <c r="E3" i="44"/>
  <c r="A14" i="43"/>
  <c r="C6" i="43"/>
  <c r="F3" i="43"/>
  <c r="A14" i="42"/>
  <c r="C6" i="42"/>
  <c r="F3" i="42"/>
  <c r="A14" i="41"/>
  <c r="C6" i="41"/>
  <c r="F3" i="41"/>
  <c r="A14" i="40"/>
  <c r="C6" i="40"/>
  <c r="F3" i="40"/>
  <c r="A14" i="39"/>
  <c r="C6" i="39"/>
  <c r="F3" i="39"/>
  <c r="C6" i="74"/>
  <c r="C29" i="74" s="1"/>
  <c r="C6" i="38"/>
  <c r="E3" i="38"/>
  <c r="C6" i="37"/>
  <c r="C24" i="37" s="1"/>
  <c r="E3" i="37"/>
  <c r="E21" i="37" s="1"/>
  <c r="C6" i="58"/>
  <c r="G42" i="58" s="1"/>
  <c r="E3" i="58"/>
  <c r="C6" i="32"/>
  <c r="E3" i="32"/>
  <c r="A15" i="31"/>
  <c r="C6" i="31"/>
  <c r="E3" i="31"/>
  <c r="A15" i="30"/>
  <c r="C6" i="30"/>
  <c r="F3" i="30"/>
  <c r="A15" i="29"/>
  <c r="C6" i="29"/>
  <c r="F3" i="29"/>
  <c r="C6" i="52"/>
  <c r="E3" i="52"/>
  <c r="E42" i="52" s="1"/>
  <c r="C6" i="26"/>
  <c r="E3" i="26"/>
  <c r="E41" i="26" s="1"/>
  <c r="C6" i="70"/>
  <c r="C6" i="23"/>
  <c r="E3" i="23"/>
  <c r="C6" i="22"/>
  <c r="C36" i="22" s="1"/>
  <c r="E3" i="22"/>
  <c r="C6" i="21"/>
  <c r="E3" i="21"/>
  <c r="C6" i="20"/>
  <c r="C31" i="20" s="1"/>
  <c r="E3" i="20"/>
  <c r="E28" i="20" s="1"/>
  <c r="C6" i="19"/>
  <c r="C41" i="19" s="1"/>
  <c r="E3" i="19"/>
  <c r="E38" i="19" s="1"/>
  <c r="C6" i="18"/>
  <c r="E3" i="18"/>
  <c r="A15" i="65"/>
  <c r="C6" i="65"/>
  <c r="E3" i="65"/>
  <c r="C6" i="17"/>
  <c r="C33" i="17" s="1"/>
  <c r="E3" i="17"/>
  <c r="A15" i="16"/>
  <c r="C6" i="16"/>
  <c r="C54" i="16" s="1"/>
  <c r="F3" i="16"/>
  <c r="E51" i="16" s="1"/>
  <c r="C6" i="71"/>
  <c r="C33" i="71" s="1"/>
  <c r="E3" i="71"/>
  <c r="C6" i="15"/>
  <c r="C32" i="15" s="1"/>
  <c r="E3" i="15"/>
  <c r="E29" i="15" s="1"/>
  <c r="C6" i="61"/>
  <c r="C37" i="61" s="1"/>
  <c r="E3" i="61"/>
  <c r="C6" i="14"/>
  <c r="C33" i="14" s="1"/>
  <c r="E3" i="14"/>
  <c r="E30" i="14" s="1"/>
  <c r="C6" i="60"/>
  <c r="E3" i="60"/>
  <c r="A15" i="13"/>
  <c r="C6" i="13"/>
  <c r="F3" i="13"/>
  <c r="A15" i="12"/>
  <c r="C6" i="12"/>
  <c r="C46" i="12" s="1"/>
  <c r="E3" i="12"/>
  <c r="E43" i="12" s="1"/>
  <c r="D3" i="11"/>
  <c r="D31" i="11" s="1"/>
  <c r="D31" i="92"/>
  <c r="F26" i="92"/>
  <c r="C26" i="92"/>
  <c r="F21" i="92"/>
  <c r="C21" i="92"/>
  <c r="F16" i="92"/>
  <c r="C16" i="92"/>
  <c r="B35" i="91"/>
  <c r="H33" i="91"/>
  <c r="B33" i="91"/>
  <c r="H16" i="91"/>
  <c r="E17" i="17" s="1"/>
  <c r="E16" i="91"/>
  <c r="H11" i="91"/>
  <c r="E16" i="17" s="1"/>
  <c r="E11" i="91"/>
  <c r="A5" i="90"/>
  <c r="A62" i="90" s="1"/>
  <c r="A4" i="104"/>
  <c r="K42" i="84"/>
  <c r="K41" i="84"/>
  <c r="G43" i="84"/>
  <c r="G42" i="84"/>
  <c r="G41" i="84"/>
  <c r="B5" i="84"/>
  <c r="B668" i="84" s="1"/>
  <c r="K442" i="84"/>
  <c r="G442" i="84"/>
  <c r="E442" i="84"/>
  <c r="B1" i="16"/>
  <c r="E42" i="16"/>
  <c r="F31" i="16"/>
  <c r="D42" i="16"/>
  <c r="F22" i="16"/>
  <c r="F20" i="16"/>
  <c r="F38" i="16"/>
  <c r="C42" i="16"/>
  <c r="F40" i="16"/>
  <c r="B1" i="31"/>
  <c r="B1" i="70"/>
  <c r="B1" i="60"/>
  <c r="B1" i="11"/>
  <c r="E38" i="104"/>
  <c r="E30" i="31" s="1"/>
  <c r="F30" i="7"/>
  <c r="L30" i="7" s="1"/>
  <c r="B1" i="52"/>
  <c r="K90" i="84"/>
  <c r="D33" i="90"/>
  <c r="F33" i="90" s="1"/>
  <c r="B1" i="15"/>
  <c r="B90" i="84"/>
  <c r="H93" i="90" s="1"/>
  <c r="D28" i="90"/>
  <c r="F28" i="90" s="1"/>
  <c r="B93" i="84"/>
  <c r="P93" i="90" s="1"/>
  <c r="D22" i="90"/>
  <c r="F22" i="90" s="1"/>
  <c r="G90" i="84"/>
  <c r="L93" i="90" s="1"/>
  <c r="D20" i="90"/>
  <c r="D19" i="90"/>
  <c r="F19" i="90" s="1"/>
  <c r="D27" i="90"/>
  <c r="F27" i="90" s="1"/>
  <c r="D32" i="90"/>
  <c r="F32" i="90" s="1"/>
  <c r="D21" i="90"/>
  <c r="D25" i="90"/>
  <c r="F25" i="90" s="1"/>
  <c r="D30" i="90"/>
  <c r="F30" i="90" s="1"/>
  <c r="D23" i="90"/>
  <c r="F23" i="90" s="1"/>
  <c r="AI3" i="76"/>
  <c r="B1" i="12"/>
  <c r="G93" i="84"/>
  <c r="R36" i="90" s="1"/>
  <c r="D35" i="90"/>
  <c r="F35" i="90" s="1"/>
  <c r="D31" i="90"/>
  <c r="F31" i="90" s="1"/>
  <c r="B1" i="26"/>
  <c r="D18" i="90"/>
  <c r="D24" i="90"/>
  <c r="F24" i="90" s="1"/>
  <c r="B12" i="104"/>
  <c r="C255" i="104"/>
  <c r="G255" i="104"/>
  <c r="E138" i="104"/>
  <c r="E139" i="104"/>
  <c r="E140" i="104"/>
  <c r="B24" i="4"/>
  <c r="E15" i="50" s="1"/>
  <c r="B28" i="4"/>
  <c r="E45" i="50" s="1"/>
  <c r="D24" i="4"/>
  <c r="D28" i="4"/>
  <c r="G45" i="50" s="1"/>
  <c r="B37" i="4"/>
  <c r="E68" i="50" s="1"/>
  <c r="B38" i="4"/>
  <c r="E38" i="50" s="1"/>
  <c r="D37" i="4"/>
  <c r="G68" i="50" s="1"/>
  <c r="D38" i="4"/>
  <c r="G38" i="50" s="1"/>
  <c r="B26" i="4"/>
  <c r="E24" i="50" s="1"/>
  <c r="D34" i="4"/>
  <c r="G65" i="50" s="1"/>
  <c r="D26" i="4"/>
  <c r="B25" i="4"/>
  <c r="E18" i="50" s="1"/>
  <c r="D25" i="4"/>
  <c r="G18" i="50" s="1"/>
  <c r="B34" i="4"/>
  <c r="E65" i="50" s="1"/>
  <c r="B30" i="4"/>
  <c r="E47" i="50" s="1"/>
  <c r="D36" i="4"/>
  <c r="G67" i="50" s="1"/>
  <c r="D30" i="4"/>
  <c r="G47" i="50" s="1"/>
  <c r="B35" i="4"/>
  <c r="E66" i="50" s="1"/>
  <c r="B29" i="4"/>
  <c r="E46" i="50" s="1"/>
  <c r="D35" i="4"/>
  <c r="G66" i="50" s="1"/>
  <c r="D29" i="4"/>
  <c r="G46" i="50" s="1"/>
  <c r="B36" i="4"/>
  <c r="E67" i="50" s="1"/>
  <c r="D77" i="50"/>
  <c r="D78" i="50"/>
  <c r="D79" i="50"/>
  <c r="D80" i="50"/>
  <c r="D81" i="50"/>
  <c r="B32" i="4"/>
  <c r="E49" i="50" s="1"/>
  <c r="D32" i="4"/>
  <c r="G49" i="50" s="1"/>
  <c r="B27" i="4"/>
  <c r="E36" i="50" s="1"/>
  <c r="B31" i="4"/>
  <c r="E48" i="50" s="1"/>
  <c r="D27" i="4"/>
  <c r="G36" i="50" s="1"/>
  <c r="D31" i="4"/>
  <c r="G48" i="50" s="1"/>
  <c r="B23" i="4"/>
  <c r="E14" i="50" s="1"/>
  <c r="H77" i="50"/>
  <c r="H78" i="50"/>
  <c r="H79" i="50"/>
  <c r="H80" i="50"/>
  <c r="H81" i="50"/>
  <c r="B33" i="4"/>
  <c r="E64" i="50" s="1"/>
  <c r="B39" i="4"/>
  <c r="E33" i="50" s="1"/>
  <c r="D23" i="4"/>
  <c r="G14" i="50" s="1"/>
  <c r="D33" i="4"/>
  <c r="G64" i="50" s="1"/>
  <c r="D39" i="4"/>
  <c r="G33" i="50" s="1"/>
  <c r="F77" i="50"/>
  <c r="F78" i="50"/>
  <c r="F79" i="50"/>
  <c r="F80" i="50"/>
  <c r="F81" i="50"/>
  <c r="H73" i="50"/>
  <c r="B29" i="104"/>
  <c r="G158" i="104"/>
  <c r="G157" i="104"/>
  <c r="D119" i="104"/>
  <c r="J42" i="104"/>
  <c r="B20" i="104"/>
  <c r="B21" i="104"/>
  <c r="B25" i="104"/>
  <c r="C34" i="104"/>
  <c r="F32" i="105"/>
  <c r="I32" i="105"/>
  <c r="I1346" i="105"/>
  <c r="F1346" i="105"/>
  <c r="I1345" i="105"/>
  <c r="F1345" i="105"/>
  <c r="I1344" i="105"/>
  <c r="F1344" i="105"/>
  <c r="I1343" i="105"/>
  <c r="F1343" i="105"/>
  <c r="I1342" i="105"/>
  <c r="F1342" i="105"/>
  <c r="I1341" i="105"/>
  <c r="F1341" i="105"/>
  <c r="I1340" i="105"/>
  <c r="F1340" i="105"/>
  <c r="I1339" i="105"/>
  <c r="F1339" i="105"/>
  <c r="I1338" i="105"/>
  <c r="F1338" i="105"/>
  <c r="I1337" i="105"/>
  <c r="F1337" i="105"/>
  <c r="I1336" i="105"/>
  <c r="F1336" i="105"/>
  <c r="I1335" i="105"/>
  <c r="F1335" i="105"/>
  <c r="I1334" i="105"/>
  <c r="F1334" i="105"/>
  <c r="I1333" i="105"/>
  <c r="F1333" i="105"/>
  <c r="I1332" i="105"/>
  <c r="F1332" i="105"/>
  <c r="I1331" i="105"/>
  <c r="F1331" i="105"/>
  <c r="I1330" i="105"/>
  <c r="F1330" i="105"/>
  <c r="I1329" i="105"/>
  <c r="F1329" i="105"/>
  <c r="I1328" i="105"/>
  <c r="F1328" i="105"/>
  <c r="I1327" i="105"/>
  <c r="F1327" i="105"/>
  <c r="I1326" i="105"/>
  <c r="F1326" i="105"/>
  <c r="I1325" i="105"/>
  <c r="F1325" i="105"/>
  <c r="I1324" i="105"/>
  <c r="F1324" i="105"/>
  <c r="I1323" i="105"/>
  <c r="F1323" i="105"/>
  <c r="I1322" i="105"/>
  <c r="F1322" i="105"/>
  <c r="I1321" i="105"/>
  <c r="F1321" i="105"/>
  <c r="I1320" i="105"/>
  <c r="F1320" i="105"/>
  <c r="I1319" i="105"/>
  <c r="F1319" i="105"/>
  <c r="I1318" i="105"/>
  <c r="F1318" i="105"/>
  <c r="I1317" i="105"/>
  <c r="F1317" i="105"/>
  <c r="I1316" i="105"/>
  <c r="F1316" i="105"/>
  <c r="I1315" i="105"/>
  <c r="F1315" i="105"/>
  <c r="I1314" i="105"/>
  <c r="F1314" i="105"/>
  <c r="I1313" i="105"/>
  <c r="F1313" i="105"/>
  <c r="I1312" i="105"/>
  <c r="F1312" i="105"/>
  <c r="I1311" i="105"/>
  <c r="F1311" i="105"/>
  <c r="I1310" i="105"/>
  <c r="F1310" i="105"/>
  <c r="I1309" i="105"/>
  <c r="F1309" i="105"/>
  <c r="I1308" i="105"/>
  <c r="F1308" i="105"/>
  <c r="I1307" i="105"/>
  <c r="F1307" i="105"/>
  <c r="I1306" i="105"/>
  <c r="F1306" i="105"/>
  <c r="I1305" i="105"/>
  <c r="F1305" i="105"/>
  <c r="I1304" i="105"/>
  <c r="F1304" i="105"/>
  <c r="I1303" i="105"/>
  <c r="F1303" i="105"/>
  <c r="I1302" i="105"/>
  <c r="F1302" i="105"/>
  <c r="I1301" i="105"/>
  <c r="F1301" i="105"/>
  <c r="I1300" i="105"/>
  <c r="F1300" i="105"/>
  <c r="I1299" i="105"/>
  <c r="F1299" i="105"/>
  <c r="I1298" i="105"/>
  <c r="F1298" i="105"/>
  <c r="I1297" i="105"/>
  <c r="F1297" i="105"/>
  <c r="I1296" i="105"/>
  <c r="F1296" i="105"/>
  <c r="I1295" i="105"/>
  <c r="F1295" i="105"/>
  <c r="I1294" i="105"/>
  <c r="F1294" i="105"/>
  <c r="I1293" i="105"/>
  <c r="F1293" i="105"/>
  <c r="I1292" i="105"/>
  <c r="F1292" i="105"/>
  <c r="I1291" i="105"/>
  <c r="F1291" i="105"/>
  <c r="I1290" i="105"/>
  <c r="F1290" i="105"/>
  <c r="I1289" i="105"/>
  <c r="F1289" i="105"/>
  <c r="I1288" i="105"/>
  <c r="F1288" i="105"/>
  <c r="I1287" i="105"/>
  <c r="F1287" i="105"/>
  <c r="I1286" i="105"/>
  <c r="F1286" i="105"/>
  <c r="I1285" i="105"/>
  <c r="F1285" i="105"/>
  <c r="I1284" i="105"/>
  <c r="F1284" i="105"/>
  <c r="I1283" i="105"/>
  <c r="F1283" i="105"/>
  <c r="I1282" i="105"/>
  <c r="F1282" i="105"/>
  <c r="I1281" i="105"/>
  <c r="F1281" i="105"/>
  <c r="I1280" i="105"/>
  <c r="F1280" i="105"/>
  <c r="I1279" i="105"/>
  <c r="F1279" i="105"/>
  <c r="I1278" i="105"/>
  <c r="F1278" i="105"/>
  <c r="I1277" i="105"/>
  <c r="F1277" i="105"/>
  <c r="I1276" i="105"/>
  <c r="F1276" i="105"/>
  <c r="I1275" i="105"/>
  <c r="F1275" i="105"/>
  <c r="I1274" i="105"/>
  <c r="F1274" i="105"/>
  <c r="I1273" i="105"/>
  <c r="F1273" i="105"/>
  <c r="I1272" i="105"/>
  <c r="F1272" i="105"/>
  <c r="I1271" i="105"/>
  <c r="F1271" i="105"/>
  <c r="I1270" i="105"/>
  <c r="F1270" i="105"/>
  <c r="I1269" i="105"/>
  <c r="F1269" i="105"/>
  <c r="I1268" i="105"/>
  <c r="F1268" i="105"/>
  <c r="I1267" i="105"/>
  <c r="F1267" i="105"/>
  <c r="I1266" i="105"/>
  <c r="F1266" i="105"/>
  <c r="I1265" i="105"/>
  <c r="F1265" i="105"/>
  <c r="I1264" i="105"/>
  <c r="F1264" i="105"/>
  <c r="I1263" i="105"/>
  <c r="F1263" i="105"/>
  <c r="I1262" i="105"/>
  <c r="F1262" i="105"/>
  <c r="I1261" i="105"/>
  <c r="F1261" i="105"/>
  <c r="I1260" i="105"/>
  <c r="F1260" i="105"/>
  <c r="I1259" i="105"/>
  <c r="F1259" i="105"/>
  <c r="I1258" i="105"/>
  <c r="F1258" i="105"/>
  <c r="I1257" i="105"/>
  <c r="F1257" i="105"/>
  <c r="I1256" i="105"/>
  <c r="F1256" i="105"/>
  <c r="I1255" i="105"/>
  <c r="F1255" i="105"/>
  <c r="I1254" i="105"/>
  <c r="F1254" i="105"/>
  <c r="I1253" i="105"/>
  <c r="F1253" i="105"/>
  <c r="I1252" i="105"/>
  <c r="F1252" i="105"/>
  <c r="I1251" i="105"/>
  <c r="F1251" i="105"/>
  <c r="I1250" i="105"/>
  <c r="F1250" i="105"/>
  <c r="I1249" i="105"/>
  <c r="F1249" i="105"/>
  <c r="I1248" i="105"/>
  <c r="F1248" i="105"/>
  <c r="I1247" i="105"/>
  <c r="F1247" i="105"/>
  <c r="I1246" i="105"/>
  <c r="F1246" i="105"/>
  <c r="I1245" i="105"/>
  <c r="F1245" i="105"/>
  <c r="I1244" i="105"/>
  <c r="F1244" i="105"/>
  <c r="I1243" i="105"/>
  <c r="F1243" i="105"/>
  <c r="I1242" i="105"/>
  <c r="F1242" i="105"/>
  <c r="I1241" i="105"/>
  <c r="F1241" i="105"/>
  <c r="I1240" i="105"/>
  <c r="F1240" i="105"/>
  <c r="I1239" i="105"/>
  <c r="F1239" i="105"/>
  <c r="I1238" i="105"/>
  <c r="F1238" i="105"/>
  <c r="I1237" i="105"/>
  <c r="F1237" i="105"/>
  <c r="I1236" i="105"/>
  <c r="F1236" i="105"/>
  <c r="I1235" i="105"/>
  <c r="F1235" i="105"/>
  <c r="I1234" i="105"/>
  <c r="F1234" i="105"/>
  <c r="I1233" i="105"/>
  <c r="F1233" i="105"/>
  <c r="I1232" i="105"/>
  <c r="F1232" i="105"/>
  <c r="I1231" i="105"/>
  <c r="F1231" i="105"/>
  <c r="I1230" i="105"/>
  <c r="F1230" i="105"/>
  <c r="I1229" i="105"/>
  <c r="F1229" i="105"/>
  <c r="I1228" i="105"/>
  <c r="F1228" i="105"/>
  <c r="I1227" i="105"/>
  <c r="F1227" i="105"/>
  <c r="I1226" i="105"/>
  <c r="F1226" i="105"/>
  <c r="I1225" i="105"/>
  <c r="F1225" i="105"/>
  <c r="I1224" i="105"/>
  <c r="F1224" i="105"/>
  <c r="I1223" i="105"/>
  <c r="F1223" i="105"/>
  <c r="I1222" i="105"/>
  <c r="F1222" i="105"/>
  <c r="I1221" i="105"/>
  <c r="F1221" i="105"/>
  <c r="I1220" i="105"/>
  <c r="F1220" i="105"/>
  <c r="I1219" i="105"/>
  <c r="F1219" i="105"/>
  <c r="I1218" i="105"/>
  <c r="F1218" i="105"/>
  <c r="I1217" i="105"/>
  <c r="F1217" i="105"/>
  <c r="I1216" i="105"/>
  <c r="F1216" i="105"/>
  <c r="I1215" i="105"/>
  <c r="F1215" i="105"/>
  <c r="I1214" i="105"/>
  <c r="F1214" i="105"/>
  <c r="I1213" i="105"/>
  <c r="F1213" i="105"/>
  <c r="I1212" i="105"/>
  <c r="F1212" i="105"/>
  <c r="I1211" i="105"/>
  <c r="F1211" i="105"/>
  <c r="I1210" i="105"/>
  <c r="F1210" i="105"/>
  <c r="I1209" i="105"/>
  <c r="F1209" i="105"/>
  <c r="I1208" i="105"/>
  <c r="F1208" i="105"/>
  <c r="I1207" i="105"/>
  <c r="F1207" i="105"/>
  <c r="I1206" i="105"/>
  <c r="F1206" i="105"/>
  <c r="I1205" i="105"/>
  <c r="F1205" i="105"/>
  <c r="I1204" i="105"/>
  <c r="F1204" i="105"/>
  <c r="I1203" i="105"/>
  <c r="F1203" i="105"/>
  <c r="I1202" i="105"/>
  <c r="F1202" i="105"/>
  <c r="I1201" i="105"/>
  <c r="F1201" i="105"/>
  <c r="I1200" i="105"/>
  <c r="F1200" i="105"/>
  <c r="I1199" i="105"/>
  <c r="F1199" i="105"/>
  <c r="I1198" i="105"/>
  <c r="F1198" i="105"/>
  <c r="I1197" i="105"/>
  <c r="F1197" i="105"/>
  <c r="I1196" i="105"/>
  <c r="F1196" i="105"/>
  <c r="I1195" i="105"/>
  <c r="F1195" i="105"/>
  <c r="I1194" i="105"/>
  <c r="F1194" i="105"/>
  <c r="I1193" i="105"/>
  <c r="F1193" i="105"/>
  <c r="I1192" i="105"/>
  <c r="F1192" i="105"/>
  <c r="I1191" i="105"/>
  <c r="F1191" i="105"/>
  <c r="I1190" i="105"/>
  <c r="F1190" i="105"/>
  <c r="I1189" i="105"/>
  <c r="F1189" i="105"/>
  <c r="I1188" i="105"/>
  <c r="F1188" i="105"/>
  <c r="I1187" i="105"/>
  <c r="F1187" i="105"/>
  <c r="I1186" i="105"/>
  <c r="F1186" i="105"/>
  <c r="I1185" i="105"/>
  <c r="F1185" i="105"/>
  <c r="I1184" i="105"/>
  <c r="F1184" i="105"/>
  <c r="I1183" i="105"/>
  <c r="F1183" i="105"/>
  <c r="I1182" i="105"/>
  <c r="F1182" i="105"/>
  <c r="I1181" i="105"/>
  <c r="F1181" i="105"/>
  <c r="I1180" i="105"/>
  <c r="F1180" i="105"/>
  <c r="I1179" i="105"/>
  <c r="F1179" i="105"/>
  <c r="I1178" i="105"/>
  <c r="F1178" i="105"/>
  <c r="I1177" i="105"/>
  <c r="F1177" i="105"/>
  <c r="I1176" i="105"/>
  <c r="F1176" i="105"/>
  <c r="I1175" i="105"/>
  <c r="F1175" i="105"/>
  <c r="I1174" i="105"/>
  <c r="F1174" i="105"/>
  <c r="I1173" i="105"/>
  <c r="F1173" i="105"/>
  <c r="I1172" i="105"/>
  <c r="F1172" i="105"/>
  <c r="I1171" i="105"/>
  <c r="F1171" i="105"/>
  <c r="I1170" i="105"/>
  <c r="F1170" i="105"/>
  <c r="I1169" i="105"/>
  <c r="F1169" i="105"/>
  <c r="I1168" i="105"/>
  <c r="F1168" i="105"/>
  <c r="I1167" i="105"/>
  <c r="F1167" i="105"/>
  <c r="I1166" i="105"/>
  <c r="F1166" i="105"/>
  <c r="I1165" i="105"/>
  <c r="F1165" i="105"/>
  <c r="I1164" i="105"/>
  <c r="F1164" i="105"/>
  <c r="I1163" i="105"/>
  <c r="F1163" i="105"/>
  <c r="I1162" i="105"/>
  <c r="F1162" i="105"/>
  <c r="I1161" i="105"/>
  <c r="F1161" i="105"/>
  <c r="I1160" i="105"/>
  <c r="F1160" i="105"/>
  <c r="I1159" i="105"/>
  <c r="F1159" i="105"/>
  <c r="I1158" i="105"/>
  <c r="F1158" i="105"/>
  <c r="I1157" i="105"/>
  <c r="F1157" i="105"/>
  <c r="I1156" i="105"/>
  <c r="F1156" i="105"/>
  <c r="I1155" i="105"/>
  <c r="F1155" i="105"/>
  <c r="I1154" i="105"/>
  <c r="F1154" i="105"/>
  <c r="I1153" i="105"/>
  <c r="F1153" i="105"/>
  <c r="I1152" i="105"/>
  <c r="F1152" i="105"/>
  <c r="I1151" i="105"/>
  <c r="F1151" i="105"/>
  <c r="I1150" i="105"/>
  <c r="F1150" i="105"/>
  <c r="I1149" i="105"/>
  <c r="F1149" i="105"/>
  <c r="I1148" i="105"/>
  <c r="F1148" i="105"/>
  <c r="I1147" i="105"/>
  <c r="F1147" i="105"/>
  <c r="I1146" i="105"/>
  <c r="F1146" i="105"/>
  <c r="I1145" i="105"/>
  <c r="F1145" i="105"/>
  <c r="I1144" i="105"/>
  <c r="F1144" i="105"/>
  <c r="I1143" i="105"/>
  <c r="F1143" i="105"/>
  <c r="I1142" i="105"/>
  <c r="F1142" i="105"/>
  <c r="I1141" i="105"/>
  <c r="F1141" i="105"/>
  <c r="I1140" i="105"/>
  <c r="F1140" i="105"/>
  <c r="I1139" i="105"/>
  <c r="F1139" i="105"/>
  <c r="I1138" i="105"/>
  <c r="F1138" i="105"/>
  <c r="I1137" i="105"/>
  <c r="F1137" i="105"/>
  <c r="I1136" i="105"/>
  <c r="F1136" i="105"/>
  <c r="I1135" i="105"/>
  <c r="F1135" i="105"/>
  <c r="I1134" i="105"/>
  <c r="F1134" i="105"/>
  <c r="I1133" i="105"/>
  <c r="F1133" i="105"/>
  <c r="I1132" i="105"/>
  <c r="F1132" i="105"/>
  <c r="I1131" i="105"/>
  <c r="F1131" i="105"/>
  <c r="I1130" i="105"/>
  <c r="F1130" i="105"/>
  <c r="I1129" i="105"/>
  <c r="F1129" i="105"/>
  <c r="I1128" i="105"/>
  <c r="F1128" i="105"/>
  <c r="I1127" i="105"/>
  <c r="F1127" i="105"/>
  <c r="I1126" i="105"/>
  <c r="F1126" i="105"/>
  <c r="I1125" i="105"/>
  <c r="F1125" i="105"/>
  <c r="I1124" i="105"/>
  <c r="F1124" i="105"/>
  <c r="I1123" i="105"/>
  <c r="F1123" i="105"/>
  <c r="I1122" i="105"/>
  <c r="F1122" i="105"/>
  <c r="I1121" i="105"/>
  <c r="F1121" i="105"/>
  <c r="I1120" i="105"/>
  <c r="F1120" i="105"/>
  <c r="I1119" i="105"/>
  <c r="F1119" i="105"/>
  <c r="I1118" i="105"/>
  <c r="F1118" i="105"/>
  <c r="I1117" i="105"/>
  <c r="F1117" i="105"/>
  <c r="I1116" i="105"/>
  <c r="F1116" i="105"/>
  <c r="I1115" i="105"/>
  <c r="F1115" i="105"/>
  <c r="I1114" i="105"/>
  <c r="F1114" i="105"/>
  <c r="I1113" i="105"/>
  <c r="F1113" i="105"/>
  <c r="I1112" i="105"/>
  <c r="F1112" i="105"/>
  <c r="I1111" i="105"/>
  <c r="F1111" i="105"/>
  <c r="I1110" i="105"/>
  <c r="F1110" i="105"/>
  <c r="I1109" i="105"/>
  <c r="F1109" i="105"/>
  <c r="I1108" i="105"/>
  <c r="F1108" i="105"/>
  <c r="I1107" i="105"/>
  <c r="F1107" i="105"/>
  <c r="I1106" i="105"/>
  <c r="F1106" i="105"/>
  <c r="I1105" i="105"/>
  <c r="F1105" i="105"/>
  <c r="I1104" i="105"/>
  <c r="F1104" i="105"/>
  <c r="I1103" i="105"/>
  <c r="F1103" i="105"/>
  <c r="I1102" i="105"/>
  <c r="F1102" i="105"/>
  <c r="I1101" i="105"/>
  <c r="F1101" i="105"/>
  <c r="I1100" i="105"/>
  <c r="F1100" i="105"/>
  <c r="I1099" i="105"/>
  <c r="F1099" i="105"/>
  <c r="I1098" i="105"/>
  <c r="F1098" i="105"/>
  <c r="I1097" i="105"/>
  <c r="F1097" i="105"/>
  <c r="I1096" i="105"/>
  <c r="F1096" i="105"/>
  <c r="I1095" i="105"/>
  <c r="F1095" i="105"/>
  <c r="I1094" i="105"/>
  <c r="F1094" i="105"/>
  <c r="I1093" i="105"/>
  <c r="F1093" i="105"/>
  <c r="I1092" i="105"/>
  <c r="F1092" i="105"/>
  <c r="I1091" i="105"/>
  <c r="F1091" i="105"/>
  <c r="I1090" i="105"/>
  <c r="F1090" i="105"/>
  <c r="I1089" i="105"/>
  <c r="F1089" i="105"/>
  <c r="I1088" i="105"/>
  <c r="F1088" i="105"/>
  <c r="I1087" i="105"/>
  <c r="F1087" i="105"/>
  <c r="I1086" i="105"/>
  <c r="F1086" i="105"/>
  <c r="I1085" i="105"/>
  <c r="F1085" i="105"/>
  <c r="I1084" i="105"/>
  <c r="F1084" i="105"/>
  <c r="I1083" i="105"/>
  <c r="F1083" i="105"/>
  <c r="I1082" i="105"/>
  <c r="F1082" i="105"/>
  <c r="I1081" i="105"/>
  <c r="F1081" i="105"/>
  <c r="I1080" i="105"/>
  <c r="F1080" i="105"/>
  <c r="I1079" i="105"/>
  <c r="F1079" i="105"/>
  <c r="I1078" i="105"/>
  <c r="F1078" i="105"/>
  <c r="I1077" i="105"/>
  <c r="F1077" i="105"/>
  <c r="I1076" i="105"/>
  <c r="F1076" i="105"/>
  <c r="I1075" i="105"/>
  <c r="F1075" i="105"/>
  <c r="I1074" i="105"/>
  <c r="F1074" i="105"/>
  <c r="I1073" i="105"/>
  <c r="F1073" i="105"/>
  <c r="I1072" i="105"/>
  <c r="F1072" i="105"/>
  <c r="I1071" i="105"/>
  <c r="F1071" i="105"/>
  <c r="I1070" i="105"/>
  <c r="F1070" i="105"/>
  <c r="I1069" i="105"/>
  <c r="F1069" i="105"/>
  <c r="I1068" i="105"/>
  <c r="F1068" i="105"/>
  <c r="I1067" i="105"/>
  <c r="F1067" i="105"/>
  <c r="I1066" i="105"/>
  <c r="F1066" i="105"/>
  <c r="I1065" i="105"/>
  <c r="F1065" i="105"/>
  <c r="I1064" i="105"/>
  <c r="F1064" i="105"/>
  <c r="I1063" i="105"/>
  <c r="F1063" i="105"/>
  <c r="I1062" i="105"/>
  <c r="F1062" i="105"/>
  <c r="I1061" i="105"/>
  <c r="F1061" i="105"/>
  <c r="I1060" i="105"/>
  <c r="F1060" i="105"/>
  <c r="I1059" i="105"/>
  <c r="F1059" i="105"/>
  <c r="I1058" i="105"/>
  <c r="F1058" i="105"/>
  <c r="I1057" i="105"/>
  <c r="F1057" i="105"/>
  <c r="I1056" i="105"/>
  <c r="F1056" i="105"/>
  <c r="I1055" i="105"/>
  <c r="F1055" i="105"/>
  <c r="I1054" i="105"/>
  <c r="F1054" i="105"/>
  <c r="I1053" i="105"/>
  <c r="F1053" i="105"/>
  <c r="I1052" i="105"/>
  <c r="F1052" i="105"/>
  <c r="I1051" i="105"/>
  <c r="F1051" i="105"/>
  <c r="I1050" i="105"/>
  <c r="F1050" i="105"/>
  <c r="I1049" i="105"/>
  <c r="F1049" i="105"/>
  <c r="I1048" i="105"/>
  <c r="F1048" i="105"/>
  <c r="I1047" i="105"/>
  <c r="F1047" i="105"/>
  <c r="I1046" i="105"/>
  <c r="F1046" i="105"/>
  <c r="I1045" i="105"/>
  <c r="F1045" i="105"/>
  <c r="I1044" i="105"/>
  <c r="F1044" i="105"/>
  <c r="I1043" i="105"/>
  <c r="F1043" i="105"/>
  <c r="I1042" i="105"/>
  <c r="F1042" i="105"/>
  <c r="I1041" i="105"/>
  <c r="F1041" i="105"/>
  <c r="I1040" i="105"/>
  <c r="F1040" i="105"/>
  <c r="I1039" i="105"/>
  <c r="F1039" i="105"/>
  <c r="I1038" i="105"/>
  <c r="F1038" i="105"/>
  <c r="I1037" i="105"/>
  <c r="F1037" i="105"/>
  <c r="I1036" i="105"/>
  <c r="F1036" i="105"/>
  <c r="I1035" i="105"/>
  <c r="F1035" i="105"/>
  <c r="I1034" i="105"/>
  <c r="F1034" i="105"/>
  <c r="I1033" i="105"/>
  <c r="F1033" i="105"/>
  <c r="I1032" i="105"/>
  <c r="F1032" i="105"/>
  <c r="I1031" i="105"/>
  <c r="F1031" i="105"/>
  <c r="I1030" i="105"/>
  <c r="F1030" i="105"/>
  <c r="I1029" i="105"/>
  <c r="F1029" i="105"/>
  <c r="I1028" i="105"/>
  <c r="F1028" i="105"/>
  <c r="I1027" i="105"/>
  <c r="F1027" i="105"/>
  <c r="I1026" i="105"/>
  <c r="F1026" i="105"/>
  <c r="I1025" i="105"/>
  <c r="F1025" i="105"/>
  <c r="I1024" i="105"/>
  <c r="F1024" i="105"/>
  <c r="I1023" i="105"/>
  <c r="F1023" i="105"/>
  <c r="I1022" i="105"/>
  <c r="F1022" i="105"/>
  <c r="I1021" i="105"/>
  <c r="F1021" i="105"/>
  <c r="I1020" i="105"/>
  <c r="F1020" i="105"/>
  <c r="I1019" i="105"/>
  <c r="F1019" i="105"/>
  <c r="I1018" i="105"/>
  <c r="F1018" i="105"/>
  <c r="I1017" i="105"/>
  <c r="F1017" i="105"/>
  <c r="I1016" i="105"/>
  <c r="F1016" i="105"/>
  <c r="I1015" i="105"/>
  <c r="F1015" i="105"/>
  <c r="I1014" i="105"/>
  <c r="F1014" i="105"/>
  <c r="I1013" i="105"/>
  <c r="F1013" i="105"/>
  <c r="I1012" i="105"/>
  <c r="F1012" i="105"/>
  <c r="I1011" i="105"/>
  <c r="F1011" i="105"/>
  <c r="I1010" i="105"/>
  <c r="F1010" i="105"/>
  <c r="I1009" i="105"/>
  <c r="F1009" i="105"/>
  <c r="I1008" i="105"/>
  <c r="F1008" i="105"/>
  <c r="I1007" i="105"/>
  <c r="F1007" i="105"/>
  <c r="I1006" i="105"/>
  <c r="F1006" i="105"/>
  <c r="I1005" i="105"/>
  <c r="F1005" i="105"/>
  <c r="I1004" i="105"/>
  <c r="F1004" i="105"/>
  <c r="I1003" i="105"/>
  <c r="F1003" i="105"/>
  <c r="I1002" i="105"/>
  <c r="F1002" i="105"/>
  <c r="I1001" i="105"/>
  <c r="F1001" i="105"/>
  <c r="I1000" i="105"/>
  <c r="F1000" i="105"/>
  <c r="I999" i="105"/>
  <c r="F999" i="105"/>
  <c r="I998" i="105"/>
  <c r="F998" i="105"/>
  <c r="I997" i="105"/>
  <c r="F997" i="105"/>
  <c r="I996" i="105"/>
  <c r="F996" i="105"/>
  <c r="I995" i="105"/>
  <c r="F995" i="105"/>
  <c r="I994" i="105"/>
  <c r="F994" i="105"/>
  <c r="I993" i="105"/>
  <c r="F993" i="105"/>
  <c r="I992" i="105"/>
  <c r="F992" i="105"/>
  <c r="I991" i="105"/>
  <c r="F991" i="105"/>
  <c r="I990" i="105"/>
  <c r="F990" i="105"/>
  <c r="I989" i="105"/>
  <c r="F989" i="105"/>
  <c r="I988" i="105"/>
  <c r="F988" i="105"/>
  <c r="I987" i="105"/>
  <c r="F987" i="105"/>
  <c r="I986" i="105"/>
  <c r="F986" i="105"/>
  <c r="I985" i="105"/>
  <c r="F985" i="105"/>
  <c r="I984" i="105"/>
  <c r="F984" i="105"/>
  <c r="I983" i="105"/>
  <c r="F983" i="105"/>
  <c r="I982" i="105"/>
  <c r="F982" i="105"/>
  <c r="I981" i="105"/>
  <c r="F981" i="105"/>
  <c r="I980" i="105"/>
  <c r="F980" i="105"/>
  <c r="I979" i="105"/>
  <c r="F979" i="105"/>
  <c r="I978" i="105"/>
  <c r="F978" i="105"/>
  <c r="I977" i="105"/>
  <c r="F977" i="105"/>
  <c r="I976" i="105"/>
  <c r="F976" i="105"/>
  <c r="I975" i="105"/>
  <c r="F975" i="105"/>
  <c r="I974" i="105"/>
  <c r="F974" i="105"/>
  <c r="I973" i="105"/>
  <c r="F973" i="105"/>
  <c r="I972" i="105"/>
  <c r="F972" i="105"/>
  <c r="I971" i="105"/>
  <c r="F971" i="105"/>
  <c r="I970" i="105"/>
  <c r="F970" i="105"/>
  <c r="I969" i="105"/>
  <c r="F969" i="105"/>
  <c r="I968" i="105"/>
  <c r="F968" i="105"/>
  <c r="I967" i="105"/>
  <c r="F967" i="105"/>
  <c r="I966" i="105"/>
  <c r="F966" i="105"/>
  <c r="I965" i="105"/>
  <c r="F965" i="105"/>
  <c r="I964" i="105"/>
  <c r="F964" i="105"/>
  <c r="I963" i="105"/>
  <c r="F963" i="105"/>
  <c r="I962" i="105"/>
  <c r="F962" i="105"/>
  <c r="I961" i="105"/>
  <c r="F961" i="105"/>
  <c r="I960" i="105"/>
  <c r="F960" i="105"/>
  <c r="I959" i="105"/>
  <c r="F959" i="105"/>
  <c r="I958" i="105"/>
  <c r="F958" i="105"/>
  <c r="I957" i="105"/>
  <c r="F957" i="105"/>
  <c r="I956" i="105"/>
  <c r="F956" i="105"/>
  <c r="I955" i="105"/>
  <c r="F955" i="105"/>
  <c r="I954" i="105"/>
  <c r="F954" i="105"/>
  <c r="I953" i="105"/>
  <c r="F953" i="105"/>
  <c r="I952" i="105"/>
  <c r="F952" i="105"/>
  <c r="I951" i="105"/>
  <c r="F951" i="105"/>
  <c r="I950" i="105"/>
  <c r="F950" i="105"/>
  <c r="I949" i="105"/>
  <c r="F949" i="105"/>
  <c r="I948" i="105"/>
  <c r="F948" i="105"/>
  <c r="I947" i="105"/>
  <c r="F947" i="105"/>
  <c r="I946" i="105"/>
  <c r="F946" i="105"/>
  <c r="I945" i="105"/>
  <c r="F945" i="105"/>
  <c r="I944" i="105"/>
  <c r="F944" i="105"/>
  <c r="I943" i="105"/>
  <c r="F943" i="105"/>
  <c r="I942" i="105"/>
  <c r="F942" i="105"/>
  <c r="I941" i="105"/>
  <c r="F941" i="105"/>
  <c r="I940" i="105"/>
  <c r="F940" i="105"/>
  <c r="I939" i="105"/>
  <c r="F939" i="105"/>
  <c r="I938" i="105"/>
  <c r="F938" i="105"/>
  <c r="I937" i="105"/>
  <c r="F937" i="105"/>
  <c r="I936" i="105"/>
  <c r="F936" i="105"/>
  <c r="I935" i="105"/>
  <c r="F935" i="105"/>
  <c r="I934" i="105"/>
  <c r="F934" i="105"/>
  <c r="I933" i="105"/>
  <c r="F933" i="105"/>
  <c r="I932" i="105"/>
  <c r="F932" i="105"/>
  <c r="I931" i="105"/>
  <c r="F931" i="105"/>
  <c r="I930" i="105"/>
  <c r="F930" i="105"/>
  <c r="I929" i="105"/>
  <c r="F929" i="105"/>
  <c r="I928" i="105"/>
  <c r="F928" i="105"/>
  <c r="I927" i="105"/>
  <c r="F927" i="105"/>
  <c r="I926" i="105"/>
  <c r="F926" i="105"/>
  <c r="I925" i="105"/>
  <c r="F925" i="105"/>
  <c r="I924" i="105"/>
  <c r="F924" i="105"/>
  <c r="I923" i="105"/>
  <c r="F923" i="105"/>
  <c r="I922" i="105"/>
  <c r="F922" i="105"/>
  <c r="I921" i="105"/>
  <c r="F921" i="105"/>
  <c r="I920" i="105"/>
  <c r="F920" i="105"/>
  <c r="I919" i="105"/>
  <c r="F919" i="105"/>
  <c r="I918" i="105"/>
  <c r="F918" i="105"/>
  <c r="I917" i="105"/>
  <c r="F917" i="105"/>
  <c r="I916" i="105"/>
  <c r="F916" i="105"/>
  <c r="I915" i="105"/>
  <c r="F915" i="105"/>
  <c r="I914" i="105"/>
  <c r="F914" i="105"/>
  <c r="I913" i="105"/>
  <c r="F913" i="105"/>
  <c r="I912" i="105"/>
  <c r="F912" i="105"/>
  <c r="I911" i="105"/>
  <c r="F911" i="105"/>
  <c r="I910" i="105"/>
  <c r="F910" i="105"/>
  <c r="I909" i="105"/>
  <c r="F909" i="105"/>
  <c r="I908" i="105"/>
  <c r="F908" i="105"/>
  <c r="I907" i="105"/>
  <c r="F907" i="105"/>
  <c r="I906" i="105"/>
  <c r="F906" i="105"/>
  <c r="I905" i="105"/>
  <c r="F905" i="105"/>
  <c r="I904" i="105"/>
  <c r="F904" i="105"/>
  <c r="I903" i="105"/>
  <c r="F903" i="105"/>
  <c r="I902" i="105"/>
  <c r="F902" i="105"/>
  <c r="I901" i="105"/>
  <c r="F901" i="105"/>
  <c r="I900" i="105"/>
  <c r="F900" i="105"/>
  <c r="I899" i="105"/>
  <c r="F899" i="105"/>
  <c r="I898" i="105"/>
  <c r="F898" i="105"/>
  <c r="I897" i="105"/>
  <c r="F897" i="105"/>
  <c r="I896" i="105"/>
  <c r="F896" i="105"/>
  <c r="I895" i="105"/>
  <c r="F895" i="105"/>
  <c r="I894" i="105"/>
  <c r="F894" i="105"/>
  <c r="I893" i="105"/>
  <c r="F893" i="105"/>
  <c r="I892" i="105"/>
  <c r="F892" i="105"/>
  <c r="I891" i="105"/>
  <c r="F891" i="105"/>
  <c r="I890" i="105"/>
  <c r="F890" i="105"/>
  <c r="I889" i="105"/>
  <c r="F889" i="105"/>
  <c r="I888" i="105"/>
  <c r="F888" i="105"/>
  <c r="I887" i="105"/>
  <c r="F887" i="105"/>
  <c r="I886" i="105"/>
  <c r="F886" i="105"/>
  <c r="I885" i="105"/>
  <c r="F885" i="105"/>
  <c r="I884" i="105"/>
  <c r="F884" i="105"/>
  <c r="I883" i="105"/>
  <c r="F883" i="105"/>
  <c r="I882" i="105"/>
  <c r="F882" i="105"/>
  <c r="I881" i="105"/>
  <c r="F881" i="105"/>
  <c r="I880" i="105"/>
  <c r="F880" i="105"/>
  <c r="I879" i="105"/>
  <c r="F879" i="105"/>
  <c r="I878" i="105"/>
  <c r="F878" i="105"/>
  <c r="I877" i="105"/>
  <c r="F877" i="105"/>
  <c r="I876" i="105"/>
  <c r="F876" i="105"/>
  <c r="I875" i="105"/>
  <c r="F875" i="105"/>
  <c r="I874" i="105"/>
  <c r="F874" i="105"/>
  <c r="I873" i="105"/>
  <c r="F873" i="105"/>
  <c r="I872" i="105"/>
  <c r="F872" i="105"/>
  <c r="I871" i="105"/>
  <c r="F871" i="105"/>
  <c r="I870" i="105"/>
  <c r="F870" i="105"/>
  <c r="I869" i="105"/>
  <c r="F869" i="105"/>
  <c r="I868" i="105"/>
  <c r="F868" i="105"/>
  <c r="I867" i="105"/>
  <c r="F867" i="105"/>
  <c r="I866" i="105"/>
  <c r="F866" i="105"/>
  <c r="I865" i="105"/>
  <c r="F865" i="105"/>
  <c r="I864" i="105"/>
  <c r="F864" i="105"/>
  <c r="I863" i="105"/>
  <c r="F863" i="105"/>
  <c r="I862" i="105"/>
  <c r="F862" i="105"/>
  <c r="I861" i="105"/>
  <c r="F861" i="105"/>
  <c r="I860" i="105"/>
  <c r="F860" i="105"/>
  <c r="I859" i="105"/>
  <c r="F859" i="105"/>
  <c r="I858" i="105"/>
  <c r="F858" i="105"/>
  <c r="I857" i="105"/>
  <c r="F857" i="105"/>
  <c r="I856" i="105"/>
  <c r="F856" i="105"/>
  <c r="I855" i="105"/>
  <c r="F855" i="105"/>
  <c r="I854" i="105"/>
  <c r="F854" i="105"/>
  <c r="I853" i="105"/>
  <c r="F853" i="105"/>
  <c r="I852" i="105"/>
  <c r="F852" i="105"/>
  <c r="I851" i="105"/>
  <c r="F851" i="105"/>
  <c r="I850" i="105"/>
  <c r="F850" i="105"/>
  <c r="I849" i="105"/>
  <c r="F849" i="105"/>
  <c r="I848" i="105"/>
  <c r="F848" i="105"/>
  <c r="I847" i="105"/>
  <c r="F847" i="105"/>
  <c r="I846" i="105"/>
  <c r="F846" i="105"/>
  <c r="I845" i="105"/>
  <c r="F845" i="105"/>
  <c r="I844" i="105"/>
  <c r="F844" i="105"/>
  <c r="I843" i="105"/>
  <c r="F843" i="105"/>
  <c r="I842" i="105"/>
  <c r="F842" i="105"/>
  <c r="I841" i="105"/>
  <c r="F841" i="105"/>
  <c r="I840" i="105"/>
  <c r="F840" i="105"/>
  <c r="I839" i="105"/>
  <c r="F839" i="105"/>
  <c r="I838" i="105"/>
  <c r="F838" i="105"/>
  <c r="I837" i="105"/>
  <c r="F837" i="105"/>
  <c r="I836" i="105"/>
  <c r="F836" i="105"/>
  <c r="I835" i="105"/>
  <c r="F835" i="105"/>
  <c r="I834" i="105"/>
  <c r="F834" i="105"/>
  <c r="I833" i="105"/>
  <c r="F833" i="105"/>
  <c r="I832" i="105"/>
  <c r="F832" i="105"/>
  <c r="I831" i="105"/>
  <c r="F831" i="105"/>
  <c r="I830" i="105"/>
  <c r="F830" i="105"/>
  <c r="I829" i="105"/>
  <c r="F829" i="105"/>
  <c r="I828" i="105"/>
  <c r="F828" i="105"/>
  <c r="I827" i="105"/>
  <c r="F827" i="105"/>
  <c r="I826" i="105"/>
  <c r="F826" i="105"/>
  <c r="I825" i="105"/>
  <c r="F825" i="105"/>
  <c r="I824" i="105"/>
  <c r="F824" i="105"/>
  <c r="I823" i="105"/>
  <c r="F823" i="105"/>
  <c r="I822" i="105"/>
  <c r="F822" i="105"/>
  <c r="I821" i="105"/>
  <c r="F821" i="105"/>
  <c r="I820" i="105"/>
  <c r="F820" i="105"/>
  <c r="I819" i="105"/>
  <c r="F819" i="105"/>
  <c r="I818" i="105"/>
  <c r="F818" i="105"/>
  <c r="I817" i="105"/>
  <c r="F817" i="105"/>
  <c r="I816" i="105"/>
  <c r="F816" i="105"/>
  <c r="I815" i="105"/>
  <c r="F815" i="105"/>
  <c r="I814" i="105"/>
  <c r="F814" i="105"/>
  <c r="I813" i="105"/>
  <c r="F813" i="105"/>
  <c r="I812" i="105"/>
  <c r="F812" i="105"/>
  <c r="I811" i="105"/>
  <c r="F811" i="105"/>
  <c r="I810" i="105"/>
  <c r="F810" i="105"/>
  <c r="I809" i="105"/>
  <c r="F809" i="105"/>
  <c r="I808" i="105"/>
  <c r="F808" i="105"/>
  <c r="I807" i="105"/>
  <c r="F807" i="105"/>
  <c r="I806" i="105"/>
  <c r="F806" i="105"/>
  <c r="I805" i="105"/>
  <c r="F805" i="105"/>
  <c r="I804" i="105"/>
  <c r="F804" i="105"/>
  <c r="I803" i="105"/>
  <c r="F803" i="105"/>
  <c r="I802" i="105"/>
  <c r="F802" i="105"/>
  <c r="I801" i="105"/>
  <c r="F801" i="105"/>
  <c r="I800" i="105"/>
  <c r="F800" i="105"/>
  <c r="I799" i="105"/>
  <c r="F799" i="105"/>
  <c r="I798" i="105"/>
  <c r="F798" i="105"/>
  <c r="I797" i="105"/>
  <c r="F797" i="105"/>
  <c r="I796" i="105"/>
  <c r="F796" i="105"/>
  <c r="I795" i="105"/>
  <c r="F795" i="105"/>
  <c r="I794" i="105"/>
  <c r="F794" i="105"/>
  <c r="I793" i="105"/>
  <c r="F793" i="105"/>
  <c r="I792" i="105"/>
  <c r="F792" i="105"/>
  <c r="I791" i="105"/>
  <c r="F791" i="105"/>
  <c r="I790" i="105"/>
  <c r="F790" i="105"/>
  <c r="I789" i="105"/>
  <c r="F789" i="105"/>
  <c r="I788" i="105"/>
  <c r="F788" i="105"/>
  <c r="I787" i="105"/>
  <c r="F787" i="105"/>
  <c r="I786" i="105"/>
  <c r="F786" i="105"/>
  <c r="I785" i="105"/>
  <c r="F785" i="105"/>
  <c r="I784" i="105"/>
  <c r="F784" i="105"/>
  <c r="I783" i="105"/>
  <c r="F783" i="105"/>
  <c r="I782" i="105"/>
  <c r="F782" i="105"/>
  <c r="I781" i="105"/>
  <c r="F781" i="105"/>
  <c r="I780" i="105"/>
  <c r="F780" i="105"/>
  <c r="I779" i="105"/>
  <c r="F779" i="105"/>
  <c r="I778" i="105"/>
  <c r="F778" i="105"/>
  <c r="I777" i="105"/>
  <c r="F777" i="105"/>
  <c r="I776" i="105"/>
  <c r="F776" i="105"/>
  <c r="I775" i="105"/>
  <c r="F775" i="105"/>
  <c r="I774" i="105"/>
  <c r="F774" i="105"/>
  <c r="I773" i="105"/>
  <c r="F773" i="105"/>
  <c r="I772" i="105"/>
  <c r="F772" i="105"/>
  <c r="I771" i="105"/>
  <c r="F771" i="105"/>
  <c r="I770" i="105"/>
  <c r="F770" i="105"/>
  <c r="I769" i="105"/>
  <c r="F769" i="105"/>
  <c r="I768" i="105"/>
  <c r="F768" i="105"/>
  <c r="I767" i="105"/>
  <c r="F767" i="105"/>
  <c r="I766" i="105"/>
  <c r="F766" i="105"/>
  <c r="I765" i="105"/>
  <c r="F765" i="105"/>
  <c r="I764" i="105"/>
  <c r="F764" i="105"/>
  <c r="I763" i="105"/>
  <c r="F763" i="105"/>
  <c r="I762" i="105"/>
  <c r="F762" i="105"/>
  <c r="I761" i="105"/>
  <c r="F761" i="105"/>
  <c r="I760" i="105"/>
  <c r="F760" i="105"/>
  <c r="I759" i="105"/>
  <c r="F759" i="105"/>
  <c r="I758" i="105"/>
  <c r="F758" i="105"/>
  <c r="I757" i="105"/>
  <c r="F757" i="105"/>
  <c r="I756" i="105"/>
  <c r="F756" i="105"/>
  <c r="I755" i="105"/>
  <c r="F755" i="105"/>
  <c r="I754" i="105"/>
  <c r="F754" i="105"/>
  <c r="I753" i="105"/>
  <c r="F753" i="105"/>
  <c r="I752" i="105"/>
  <c r="F752" i="105"/>
  <c r="I751" i="105"/>
  <c r="F751" i="105"/>
  <c r="I750" i="105"/>
  <c r="F750" i="105"/>
  <c r="I749" i="105"/>
  <c r="F749" i="105"/>
  <c r="I748" i="105"/>
  <c r="F748" i="105"/>
  <c r="I747" i="105"/>
  <c r="F747" i="105"/>
  <c r="I746" i="105"/>
  <c r="F746" i="105"/>
  <c r="I745" i="105"/>
  <c r="F745" i="105"/>
  <c r="I744" i="105"/>
  <c r="F744" i="105"/>
  <c r="I743" i="105"/>
  <c r="F743" i="105"/>
  <c r="I742" i="105"/>
  <c r="F742" i="105"/>
  <c r="I741" i="105"/>
  <c r="F741" i="105"/>
  <c r="I740" i="105"/>
  <c r="F740" i="105"/>
  <c r="I739" i="105"/>
  <c r="F739" i="105"/>
  <c r="I738" i="105"/>
  <c r="F738" i="105"/>
  <c r="I737" i="105"/>
  <c r="F737" i="105"/>
  <c r="I736" i="105"/>
  <c r="F736" i="105"/>
  <c r="I735" i="105"/>
  <c r="F735" i="105"/>
  <c r="I734" i="105"/>
  <c r="F734" i="105"/>
  <c r="I733" i="105"/>
  <c r="F733" i="105"/>
  <c r="I732" i="105"/>
  <c r="F732" i="105"/>
  <c r="I731" i="105"/>
  <c r="F731" i="105"/>
  <c r="I730" i="105"/>
  <c r="F730" i="105"/>
  <c r="I729" i="105"/>
  <c r="F729" i="105"/>
  <c r="I728" i="105"/>
  <c r="F728" i="105"/>
  <c r="I727" i="105"/>
  <c r="F727" i="105"/>
  <c r="I726" i="105"/>
  <c r="F726" i="105"/>
  <c r="I725" i="105"/>
  <c r="F725" i="105"/>
  <c r="I724" i="105"/>
  <c r="F724" i="105"/>
  <c r="I723" i="105"/>
  <c r="F723" i="105"/>
  <c r="I722" i="105"/>
  <c r="F722" i="105"/>
  <c r="I721" i="105"/>
  <c r="F721" i="105"/>
  <c r="I720" i="105"/>
  <c r="F720" i="105"/>
  <c r="I719" i="105"/>
  <c r="F719" i="105"/>
  <c r="I718" i="105"/>
  <c r="F718" i="105"/>
  <c r="I717" i="105"/>
  <c r="F717" i="105"/>
  <c r="I716" i="105"/>
  <c r="F716" i="105"/>
  <c r="I715" i="105"/>
  <c r="F715" i="105"/>
  <c r="I714" i="105"/>
  <c r="F714" i="105"/>
  <c r="I713" i="105"/>
  <c r="F713" i="105"/>
  <c r="I712" i="105"/>
  <c r="F712" i="105"/>
  <c r="I711" i="105"/>
  <c r="F711" i="105"/>
  <c r="I710" i="105"/>
  <c r="F710" i="105"/>
  <c r="I709" i="105"/>
  <c r="F709" i="105"/>
  <c r="I708" i="105"/>
  <c r="F708" i="105"/>
  <c r="I707" i="105"/>
  <c r="F707" i="105"/>
  <c r="I706" i="105"/>
  <c r="F706" i="105"/>
  <c r="I705" i="105"/>
  <c r="F705" i="105"/>
  <c r="I704" i="105"/>
  <c r="F704" i="105"/>
  <c r="I703" i="105"/>
  <c r="F703" i="105"/>
  <c r="I702" i="105"/>
  <c r="F702" i="105"/>
  <c r="I701" i="105"/>
  <c r="F701" i="105"/>
  <c r="I700" i="105"/>
  <c r="F700" i="105"/>
  <c r="I699" i="105"/>
  <c r="F699" i="105"/>
  <c r="I698" i="105"/>
  <c r="F698" i="105"/>
  <c r="I697" i="105"/>
  <c r="F697" i="105"/>
  <c r="I696" i="105"/>
  <c r="F696" i="105"/>
  <c r="I695" i="105"/>
  <c r="F695" i="105"/>
  <c r="I694" i="105"/>
  <c r="F694" i="105"/>
  <c r="I693" i="105"/>
  <c r="F693" i="105"/>
  <c r="I692" i="105"/>
  <c r="F692" i="105"/>
  <c r="I691" i="105"/>
  <c r="F691" i="105"/>
  <c r="I690" i="105"/>
  <c r="F690" i="105"/>
  <c r="I689" i="105"/>
  <c r="F689" i="105"/>
  <c r="I688" i="105"/>
  <c r="F688" i="105"/>
  <c r="I687" i="105"/>
  <c r="F687" i="105"/>
  <c r="I686" i="105"/>
  <c r="F686" i="105"/>
  <c r="I685" i="105"/>
  <c r="F685" i="105"/>
  <c r="I684" i="105"/>
  <c r="F684" i="105"/>
  <c r="I683" i="105"/>
  <c r="F683" i="105"/>
  <c r="I682" i="105"/>
  <c r="F682" i="105"/>
  <c r="I681" i="105"/>
  <c r="F681" i="105"/>
  <c r="I680" i="105"/>
  <c r="F680" i="105"/>
  <c r="I679" i="105"/>
  <c r="F679" i="105"/>
  <c r="I678" i="105"/>
  <c r="F678" i="105"/>
  <c r="I677" i="105"/>
  <c r="F677" i="105"/>
  <c r="I676" i="105"/>
  <c r="F676" i="105"/>
  <c r="I675" i="105"/>
  <c r="F675" i="105"/>
  <c r="I674" i="105"/>
  <c r="F674" i="105"/>
  <c r="I673" i="105"/>
  <c r="F673" i="105"/>
  <c r="I672" i="105"/>
  <c r="F672" i="105"/>
  <c r="I671" i="105"/>
  <c r="F671" i="105"/>
  <c r="I670" i="105"/>
  <c r="F670" i="105"/>
  <c r="I669" i="105"/>
  <c r="F669" i="105"/>
  <c r="I668" i="105"/>
  <c r="F668" i="105"/>
  <c r="I667" i="105"/>
  <c r="F667" i="105"/>
  <c r="I666" i="105"/>
  <c r="F666" i="105"/>
  <c r="I665" i="105"/>
  <c r="F665" i="105"/>
  <c r="I664" i="105"/>
  <c r="F664" i="105"/>
  <c r="I663" i="105"/>
  <c r="F663" i="105"/>
  <c r="I662" i="105"/>
  <c r="F662" i="105"/>
  <c r="I661" i="105"/>
  <c r="F661" i="105"/>
  <c r="I660" i="105"/>
  <c r="F660" i="105"/>
  <c r="I659" i="105"/>
  <c r="F659" i="105"/>
  <c r="I658" i="105"/>
  <c r="F658" i="105"/>
  <c r="I657" i="105"/>
  <c r="F657" i="105"/>
  <c r="I656" i="105"/>
  <c r="F656" i="105"/>
  <c r="I655" i="105"/>
  <c r="F655" i="105"/>
  <c r="I654" i="105"/>
  <c r="F654" i="105"/>
  <c r="I653" i="105"/>
  <c r="F653" i="105"/>
  <c r="I652" i="105"/>
  <c r="F652" i="105"/>
  <c r="I651" i="105"/>
  <c r="F651" i="105"/>
  <c r="I650" i="105"/>
  <c r="F650" i="105"/>
  <c r="I649" i="105"/>
  <c r="F649" i="105"/>
  <c r="I648" i="105"/>
  <c r="F648" i="105"/>
  <c r="I647" i="105"/>
  <c r="F647" i="105"/>
  <c r="I646" i="105"/>
  <c r="F646" i="105"/>
  <c r="I645" i="105"/>
  <c r="F645" i="105"/>
  <c r="I644" i="105"/>
  <c r="F644" i="105"/>
  <c r="I643" i="105"/>
  <c r="F643" i="105"/>
  <c r="I642" i="105"/>
  <c r="F642" i="105"/>
  <c r="I641" i="105"/>
  <c r="F641" i="105"/>
  <c r="I640" i="105"/>
  <c r="F640" i="105"/>
  <c r="I639" i="105"/>
  <c r="F639" i="105"/>
  <c r="I638" i="105"/>
  <c r="F638" i="105"/>
  <c r="I637" i="105"/>
  <c r="F637" i="105"/>
  <c r="I636" i="105"/>
  <c r="F636" i="105"/>
  <c r="I635" i="105"/>
  <c r="F635" i="105"/>
  <c r="I634" i="105"/>
  <c r="F634" i="105"/>
  <c r="I633" i="105"/>
  <c r="F633" i="105"/>
  <c r="I632" i="105"/>
  <c r="F632" i="105"/>
  <c r="I631" i="105"/>
  <c r="F631" i="105"/>
  <c r="I630" i="105"/>
  <c r="F630" i="105"/>
  <c r="I629" i="105"/>
  <c r="F629" i="105"/>
  <c r="I628" i="105"/>
  <c r="F628" i="105"/>
  <c r="I627" i="105"/>
  <c r="F627" i="105"/>
  <c r="I626" i="105"/>
  <c r="F626" i="105"/>
  <c r="I625" i="105"/>
  <c r="F625" i="105"/>
  <c r="I624" i="105"/>
  <c r="F624" i="105"/>
  <c r="I623" i="105"/>
  <c r="F623" i="105"/>
  <c r="I622" i="105"/>
  <c r="F622" i="105"/>
  <c r="I621" i="105"/>
  <c r="F621" i="105"/>
  <c r="I620" i="105"/>
  <c r="F620" i="105"/>
  <c r="I619" i="105"/>
  <c r="F619" i="105"/>
  <c r="I618" i="105"/>
  <c r="F618" i="105"/>
  <c r="I617" i="105"/>
  <c r="F617" i="105"/>
  <c r="I616" i="105"/>
  <c r="F616" i="105"/>
  <c r="I615" i="105"/>
  <c r="F615" i="105"/>
  <c r="I614" i="105"/>
  <c r="F614" i="105"/>
  <c r="I613" i="105"/>
  <c r="F613" i="105"/>
  <c r="I612" i="105"/>
  <c r="F612" i="105"/>
  <c r="I611" i="105"/>
  <c r="F611" i="105"/>
  <c r="I610" i="105"/>
  <c r="F610" i="105"/>
  <c r="I609" i="105"/>
  <c r="F609" i="105"/>
  <c r="I608" i="105"/>
  <c r="F608" i="105"/>
  <c r="I607" i="105"/>
  <c r="F607" i="105"/>
  <c r="I606" i="105"/>
  <c r="F606" i="105"/>
  <c r="I605" i="105"/>
  <c r="F605" i="105"/>
  <c r="I604" i="105"/>
  <c r="F604" i="105"/>
  <c r="I603" i="105"/>
  <c r="F603" i="105"/>
  <c r="I602" i="105"/>
  <c r="F602" i="105"/>
  <c r="I601" i="105"/>
  <c r="F601" i="105"/>
  <c r="I600" i="105"/>
  <c r="F600" i="105"/>
  <c r="I599" i="105"/>
  <c r="F599" i="105"/>
  <c r="I598" i="105"/>
  <c r="F598" i="105"/>
  <c r="I597" i="105"/>
  <c r="F597" i="105"/>
  <c r="I596" i="105"/>
  <c r="F596" i="105"/>
  <c r="I595" i="105"/>
  <c r="F595" i="105"/>
  <c r="I594" i="105"/>
  <c r="F594" i="105"/>
  <c r="I593" i="105"/>
  <c r="F593" i="105"/>
  <c r="I592" i="105"/>
  <c r="F592" i="105"/>
  <c r="I591" i="105"/>
  <c r="F591" i="105"/>
  <c r="I590" i="105"/>
  <c r="F590" i="105"/>
  <c r="I589" i="105"/>
  <c r="F589" i="105"/>
  <c r="I588" i="105"/>
  <c r="F588" i="105"/>
  <c r="I587" i="105"/>
  <c r="F587" i="105"/>
  <c r="I586" i="105"/>
  <c r="F586" i="105"/>
  <c r="I585" i="105"/>
  <c r="F585" i="105"/>
  <c r="I584" i="105"/>
  <c r="F584" i="105"/>
  <c r="I583" i="105"/>
  <c r="F583" i="105"/>
  <c r="I582" i="105"/>
  <c r="F582" i="105"/>
  <c r="I581" i="105"/>
  <c r="F581" i="105"/>
  <c r="I580" i="105"/>
  <c r="F580" i="105"/>
  <c r="I579" i="105"/>
  <c r="F579" i="105"/>
  <c r="I578" i="105"/>
  <c r="F578" i="105"/>
  <c r="I577" i="105"/>
  <c r="F577" i="105"/>
  <c r="I576" i="105"/>
  <c r="F576" i="105"/>
  <c r="I575" i="105"/>
  <c r="F575" i="105"/>
  <c r="I574" i="105"/>
  <c r="F574" i="105"/>
  <c r="I573" i="105"/>
  <c r="F573" i="105"/>
  <c r="I572" i="105"/>
  <c r="F572" i="105"/>
  <c r="I571" i="105"/>
  <c r="F571" i="105"/>
  <c r="I570" i="105"/>
  <c r="F570" i="105"/>
  <c r="I569" i="105"/>
  <c r="F569" i="105"/>
  <c r="I568" i="105"/>
  <c r="F568" i="105"/>
  <c r="I567" i="105"/>
  <c r="F567" i="105"/>
  <c r="I566" i="105"/>
  <c r="F566" i="105"/>
  <c r="I565" i="105"/>
  <c r="F565" i="105"/>
  <c r="I564" i="105"/>
  <c r="F564" i="105"/>
  <c r="I563" i="105"/>
  <c r="F563" i="105"/>
  <c r="I562" i="105"/>
  <c r="F562" i="105"/>
  <c r="I561" i="105"/>
  <c r="F561" i="105"/>
  <c r="I560" i="105"/>
  <c r="F560" i="105"/>
  <c r="I559" i="105"/>
  <c r="F559" i="105"/>
  <c r="I558" i="105"/>
  <c r="F558" i="105"/>
  <c r="I557" i="105"/>
  <c r="F557" i="105"/>
  <c r="I556" i="105"/>
  <c r="F556" i="105"/>
  <c r="I555" i="105"/>
  <c r="F555" i="105"/>
  <c r="I554" i="105"/>
  <c r="F554" i="105"/>
  <c r="I553" i="105"/>
  <c r="F553" i="105"/>
  <c r="I552" i="105"/>
  <c r="F552" i="105"/>
  <c r="I551" i="105"/>
  <c r="F551" i="105"/>
  <c r="I550" i="105"/>
  <c r="F550" i="105"/>
  <c r="I549" i="105"/>
  <c r="F549" i="105"/>
  <c r="I548" i="105"/>
  <c r="F548" i="105"/>
  <c r="I547" i="105"/>
  <c r="F547" i="105"/>
  <c r="I546" i="105"/>
  <c r="F546" i="105"/>
  <c r="I545" i="105"/>
  <c r="F545" i="105"/>
  <c r="I544" i="105"/>
  <c r="F544" i="105"/>
  <c r="I543" i="105"/>
  <c r="F543" i="105"/>
  <c r="I542" i="105"/>
  <c r="F542" i="105"/>
  <c r="I541" i="105"/>
  <c r="F541" i="105"/>
  <c r="I540" i="105"/>
  <c r="F540" i="105"/>
  <c r="I539" i="105"/>
  <c r="F539" i="105"/>
  <c r="I538" i="105"/>
  <c r="F538" i="105"/>
  <c r="I537" i="105"/>
  <c r="F537" i="105"/>
  <c r="I536" i="105"/>
  <c r="F536" i="105"/>
  <c r="I535" i="105"/>
  <c r="F535" i="105"/>
  <c r="I534" i="105"/>
  <c r="F534" i="105"/>
  <c r="I533" i="105"/>
  <c r="F533" i="105"/>
  <c r="I532" i="105"/>
  <c r="F532" i="105"/>
  <c r="I531" i="105"/>
  <c r="F531" i="105"/>
  <c r="I530" i="105"/>
  <c r="F530" i="105"/>
  <c r="I529" i="105"/>
  <c r="F529" i="105"/>
  <c r="I528" i="105"/>
  <c r="F528" i="105"/>
  <c r="I527" i="105"/>
  <c r="F527" i="105"/>
  <c r="I526" i="105"/>
  <c r="F526" i="105"/>
  <c r="I525" i="105"/>
  <c r="F525" i="105"/>
  <c r="I524" i="105"/>
  <c r="F524" i="105"/>
  <c r="I523" i="105"/>
  <c r="F523" i="105"/>
  <c r="I522" i="105"/>
  <c r="F522" i="105"/>
  <c r="I521" i="105"/>
  <c r="F521" i="105"/>
  <c r="I520" i="105"/>
  <c r="F520" i="105"/>
  <c r="I519" i="105"/>
  <c r="F519" i="105"/>
  <c r="I518" i="105"/>
  <c r="F518" i="105"/>
  <c r="I517" i="105"/>
  <c r="F517" i="105"/>
  <c r="I516" i="105"/>
  <c r="F516" i="105"/>
  <c r="I515" i="105"/>
  <c r="F515" i="105"/>
  <c r="I514" i="105"/>
  <c r="F514" i="105"/>
  <c r="I513" i="105"/>
  <c r="F513" i="105"/>
  <c r="I512" i="105"/>
  <c r="F512" i="105"/>
  <c r="I511" i="105"/>
  <c r="F511" i="105"/>
  <c r="I510" i="105"/>
  <c r="F510" i="105"/>
  <c r="I509" i="105"/>
  <c r="F509" i="105"/>
  <c r="I508" i="105"/>
  <c r="F508" i="105"/>
  <c r="I507" i="105"/>
  <c r="F507" i="105"/>
  <c r="I506" i="105"/>
  <c r="F506" i="105"/>
  <c r="I505" i="105"/>
  <c r="F505" i="105"/>
  <c r="I504" i="105"/>
  <c r="F504" i="105"/>
  <c r="I503" i="105"/>
  <c r="F503" i="105"/>
  <c r="I502" i="105"/>
  <c r="F502" i="105"/>
  <c r="I501" i="105"/>
  <c r="F501" i="105"/>
  <c r="I500" i="105"/>
  <c r="F500" i="105"/>
  <c r="I499" i="105"/>
  <c r="F499" i="105"/>
  <c r="I498" i="105"/>
  <c r="F498" i="105"/>
  <c r="I497" i="105"/>
  <c r="F497" i="105"/>
  <c r="I496" i="105"/>
  <c r="F496" i="105"/>
  <c r="I495" i="105"/>
  <c r="F495" i="105"/>
  <c r="I494" i="105"/>
  <c r="F494" i="105"/>
  <c r="I493" i="105"/>
  <c r="F493" i="105"/>
  <c r="I492" i="105"/>
  <c r="F492" i="105"/>
  <c r="I491" i="105"/>
  <c r="F491" i="105"/>
  <c r="I490" i="105"/>
  <c r="F490" i="105"/>
  <c r="I489" i="105"/>
  <c r="F489" i="105"/>
  <c r="I488" i="105"/>
  <c r="F488" i="105"/>
  <c r="I487" i="105"/>
  <c r="F487" i="105"/>
  <c r="I486" i="105"/>
  <c r="F486" i="105"/>
  <c r="I485" i="105"/>
  <c r="F485" i="105"/>
  <c r="I484" i="105"/>
  <c r="F484" i="105"/>
  <c r="I483" i="105"/>
  <c r="F483" i="105"/>
  <c r="I482" i="105"/>
  <c r="F482" i="105"/>
  <c r="I481" i="105"/>
  <c r="F481" i="105"/>
  <c r="I480" i="105"/>
  <c r="F480" i="105"/>
  <c r="I479" i="105"/>
  <c r="F479" i="105"/>
  <c r="I478" i="105"/>
  <c r="F478" i="105"/>
  <c r="I477" i="105"/>
  <c r="F477" i="105"/>
  <c r="I476" i="105"/>
  <c r="F476" i="105"/>
  <c r="I475" i="105"/>
  <c r="F475" i="105"/>
  <c r="I474" i="105"/>
  <c r="F474" i="105"/>
  <c r="I473" i="105"/>
  <c r="F473" i="105"/>
  <c r="I472" i="105"/>
  <c r="F472" i="105"/>
  <c r="I471" i="105"/>
  <c r="F471" i="105"/>
  <c r="I470" i="105"/>
  <c r="F470" i="105"/>
  <c r="I469" i="105"/>
  <c r="F469" i="105"/>
  <c r="I468" i="105"/>
  <c r="F468" i="105"/>
  <c r="I467" i="105"/>
  <c r="F467" i="105"/>
  <c r="I466" i="105"/>
  <c r="F466" i="105"/>
  <c r="I465" i="105"/>
  <c r="F465" i="105"/>
  <c r="I464" i="105"/>
  <c r="F464" i="105"/>
  <c r="I463" i="105"/>
  <c r="F463" i="105"/>
  <c r="I462" i="105"/>
  <c r="F462" i="105"/>
  <c r="I461" i="105"/>
  <c r="F461" i="105"/>
  <c r="I460" i="105"/>
  <c r="F460" i="105"/>
  <c r="I459" i="105"/>
  <c r="F459" i="105"/>
  <c r="I458" i="105"/>
  <c r="F458" i="105"/>
  <c r="I457" i="105"/>
  <c r="F457" i="105"/>
  <c r="I456" i="105"/>
  <c r="F456" i="105"/>
  <c r="I455" i="105"/>
  <c r="F455" i="105"/>
  <c r="I454" i="105"/>
  <c r="F454" i="105"/>
  <c r="I453" i="105"/>
  <c r="F453" i="105"/>
  <c r="I452" i="105"/>
  <c r="F452" i="105"/>
  <c r="I451" i="105"/>
  <c r="F451" i="105"/>
  <c r="I450" i="105"/>
  <c r="F450" i="105"/>
  <c r="I449" i="105"/>
  <c r="F449" i="105"/>
  <c r="I448" i="105"/>
  <c r="F448" i="105"/>
  <c r="I447" i="105"/>
  <c r="F447" i="105"/>
  <c r="I446" i="105"/>
  <c r="F446" i="105"/>
  <c r="I445" i="105"/>
  <c r="F445" i="105"/>
  <c r="I444" i="105"/>
  <c r="F444" i="105"/>
  <c r="I443" i="105"/>
  <c r="F443" i="105"/>
  <c r="I442" i="105"/>
  <c r="F442" i="105"/>
  <c r="I441" i="105"/>
  <c r="F441" i="105"/>
  <c r="I440" i="105"/>
  <c r="F440" i="105"/>
  <c r="I439" i="105"/>
  <c r="F439" i="105"/>
  <c r="I438" i="105"/>
  <c r="F438" i="105"/>
  <c r="I437" i="105"/>
  <c r="F437" i="105"/>
  <c r="I436" i="105"/>
  <c r="F436" i="105"/>
  <c r="I435" i="105"/>
  <c r="F435" i="105"/>
  <c r="I434" i="105"/>
  <c r="F434" i="105"/>
  <c r="I433" i="105"/>
  <c r="F433" i="105"/>
  <c r="I432" i="105"/>
  <c r="F432" i="105"/>
  <c r="I431" i="105"/>
  <c r="F431" i="105"/>
  <c r="I430" i="105"/>
  <c r="F430" i="105"/>
  <c r="I429" i="105"/>
  <c r="F429" i="105"/>
  <c r="I428" i="105"/>
  <c r="F428" i="105"/>
  <c r="I427" i="105"/>
  <c r="F427" i="105"/>
  <c r="I426" i="105"/>
  <c r="F426" i="105"/>
  <c r="I425" i="105"/>
  <c r="F425" i="105"/>
  <c r="I424" i="105"/>
  <c r="F424" i="105"/>
  <c r="I423" i="105"/>
  <c r="F423" i="105"/>
  <c r="I422" i="105"/>
  <c r="F422" i="105"/>
  <c r="I421" i="105"/>
  <c r="F421" i="105"/>
  <c r="I420" i="105"/>
  <c r="F420" i="105"/>
  <c r="I419" i="105"/>
  <c r="F419" i="105"/>
  <c r="I418" i="105"/>
  <c r="F418" i="105"/>
  <c r="I417" i="105"/>
  <c r="F417" i="105"/>
  <c r="I416" i="105"/>
  <c r="F416" i="105"/>
  <c r="I415" i="105"/>
  <c r="F415" i="105"/>
  <c r="I414" i="105"/>
  <c r="F414" i="105"/>
  <c r="I413" i="105"/>
  <c r="F413" i="105"/>
  <c r="I412" i="105"/>
  <c r="F412" i="105"/>
  <c r="I411" i="105"/>
  <c r="F411" i="105"/>
  <c r="I410" i="105"/>
  <c r="F410" i="105"/>
  <c r="I409" i="105"/>
  <c r="F409" i="105"/>
  <c r="I408" i="105"/>
  <c r="F408" i="105"/>
  <c r="I407" i="105"/>
  <c r="F407" i="105"/>
  <c r="I406" i="105"/>
  <c r="F406" i="105"/>
  <c r="I405" i="105"/>
  <c r="F405" i="105"/>
  <c r="I404" i="105"/>
  <c r="F404" i="105"/>
  <c r="I403" i="105"/>
  <c r="F403" i="105"/>
  <c r="I402" i="105"/>
  <c r="F402" i="105"/>
  <c r="I401" i="105"/>
  <c r="F401" i="105"/>
  <c r="I400" i="105"/>
  <c r="F400" i="105"/>
  <c r="I399" i="105"/>
  <c r="F399" i="105"/>
  <c r="I398" i="105"/>
  <c r="F398" i="105"/>
  <c r="I397" i="105"/>
  <c r="F397" i="105"/>
  <c r="I396" i="105"/>
  <c r="F396" i="105"/>
  <c r="I395" i="105"/>
  <c r="F395" i="105"/>
  <c r="I394" i="105"/>
  <c r="F394" i="105"/>
  <c r="I393" i="105"/>
  <c r="F393" i="105"/>
  <c r="I392" i="105"/>
  <c r="F392" i="105"/>
  <c r="I391" i="105"/>
  <c r="F391" i="105"/>
  <c r="I390" i="105"/>
  <c r="F390" i="105"/>
  <c r="I389" i="105"/>
  <c r="F389" i="105"/>
  <c r="I388" i="105"/>
  <c r="F388" i="105"/>
  <c r="I387" i="105"/>
  <c r="F387" i="105"/>
  <c r="I386" i="105"/>
  <c r="F386" i="105"/>
  <c r="I385" i="105"/>
  <c r="F385" i="105"/>
  <c r="I384" i="105"/>
  <c r="F384" i="105"/>
  <c r="I383" i="105"/>
  <c r="F383" i="105"/>
  <c r="I382" i="105"/>
  <c r="F382" i="105"/>
  <c r="I381" i="105"/>
  <c r="F381" i="105"/>
  <c r="I380" i="105"/>
  <c r="F380" i="105"/>
  <c r="I379" i="105"/>
  <c r="F379" i="105"/>
  <c r="I378" i="105"/>
  <c r="F378" i="105"/>
  <c r="I377" i="105"/>
  <c r="F377" i="105"/>
  <c r="I376" i="105"/>
  <c r="F376" i="105"/>
  <c r="I375" i="105"/>
  <c r="F375" i="105"/>
  <c r="I374" i="105"/>
  <c r="F374" i="105"/>
  <c r="I373" i="105"/>
  <c r="F373" i="105"/>
  <c r="I372" i="105"/>
  <c r="F372" i="105"/>
  <c r="I371" i="105"/>
  <c r="F371" i="105"/>
  <c r="I370" i="105"/>
  <c r="F370" i="105"/>
  <c r="I369" i="105"/>
  <c r="F369" i="105"/>
  <c r="I368" i="105"/>
  <c r="F368" i="105"/>
  <c r="I367" i="105"/>
  <c r="F367" i="105"/>
  <c r="I366" i="105"/>
  <c r="F366" i="105"/>
  <c r="I365" i="105"/>
  <c r="F365" i="105"/>
  <c r="I364" i="105"/>
  <c r="F364" i="105"/>
  <c r="I363" i="105"/>
  <c r="F363" i="105"/>
  <c r="I362" i="105"/>
  <c r="F362" i="105"/>
  <c r="I361" i="105"/>
  <c r="F361" i="105"/>
  <c r="I360" i="105"/>
  <c r="F360" i="105"/>
  <c r="I359" i="105"/>
  <c r="F359" i="105"/>
  <c r="I358" i="105"/>
  <c r="F358" i="105"/>
  <c r="I357" i="105"/>
  <c r="F357" i="105"/>
  <c r="I356" i="105"/>
  <c r="F356" i="105"/>
  <c r="I355" i="105"/>
  <c r="F355" i="105"/>
  <c r="I354" i="105"/>
  <c r="F354" i="105"/>
  <c r="I353" i="105"/>
  <c r="F353" i="105"/>
  <c r="I352" i="105"/>
  <c r="F352" i="105"/>
  <c r="I351" i="105"/>
  <c r="F351" i="105"/>
  <c r="I350" i="105"/>
  <c r="F350" i="105"/>
  <c r="I349" i="105"/>
  <c r="F349" i="105"/>
  <c r="I348" i="105"/>
  <c r="F348" i="105"/>
  <c r="I347" i="105"/>
  <c r="F347" i="105"/>
  <c r="I346" i="105"/>
  <c r="F346" i="105"/>
  <c r="I345" i="105"/>
  <c r="F345" i="105"/>
  <c r="I344" i="105"/>
  <c r="F344" i="105"/>
  <c r="I343" i="105"/>
  <c r="F343" i="105"/>
  <c r="I342" i="105"/>
  <c r="F342" i="105"/>
  <c r="I341" i="105"/>
  <c r="F341" i="105"/>
  <c r="I340" i="105"/>
  <c r="F340" i="105"/>
  <c r="I339" i="105"/>
  <c r="F339" i="105"/>
  <c r="I338" i="105"/>
  <c r="F338" i="105"/>
  <c r="I337" i="105"/>
  <c r="F337" i="105"/>
  <c r="I336" i="105"/>
  <c r="F336" i="105"/>
  <c r="I335" i="105"/>
  <c r="F335" i="105"/>
  <c r="I334" i="105"/>
  <c r="F334" i="105"/>
  <c r="I333" i="105"/>
  <c r="F333" i="105"/>
  <c r="I332" i="105"/>
  <c r="F332" i="105"/>
  <c r="I331" i="105"/>
  <c r="F331" i="105"/>
  <c r="I330" i="105"/>
  <c r="F330" i="105"/>
  <c r="I329" i="105"/>
  <c r="F329" i="105"/>
  <c r="I328" i="105"/>
  <c r="F328" i="105"/>
  <c r="I327" i="105"/>
  <c r="F327" i="105"/>
  <c r="I326" i="105"/>
  <c r="F326" i="105"/>
  <c r="I325" i="105"/>
  <c r="F325" i="105"/>
  <c r="I324" i="105"/>
  <c r="F324" i="105"/>
  <c r="I323" i="105"/>
  <c r="F323" i="105"/>
  <c r="I322" i="105"/>
  <c r="F322" i="105"/>
  <c r="I321" i="105"/>
  <c r="F321" i="105"/>
  <c r="I320" i="105"/>
  <c r="F320" i="105"/>
  <c r="I319" i="105"/>
  <c r="F319" i="105"/>
  <c r="I318" i="105"/>
  <c r="F318" i="105"/>
  <c r="I317" i="105"/>
  <c r="F317" i="105"/>
  <c r="I316" i="105"/>
  <c r="F316" i="105"/>
  <c r="I315" i="105"/>
  <c r="F315" i="105"/>
  <c r="I314" i="105"/>
  <c r="F314" i="105"/>
  <c r="I313" i="105"/>
  <c r="F313" i="105"/>
  <c r="I312" i="105"/>
  <c r="F312" i="105"/>
  <c r="I311" i="105"/>
  <c r="F311" i="105"/>
  <c r="I310" i="105"/>
  <c r="F310" i="105"/>
  <c r="I309" i="105"/>
  <c r="F309" i="105"/>
  <c r="I308" i="105"/>
  <c r="F308" i="105"/>
  <c r="I307" i="105"/>
  <c r="F307" i="105"/>
  <c r="I306" i="105"/>
  <c r="F306" i="105"/>
  <c r="I305" i="105"/>
  <c r="F305" i="105"/>
  <c r="I304" i="105"/>
  <c r="F304" i="105"/>
  <c r="I303" i="105"/>
  <c r="F303" i="105"/>
  <c r="I302" i="105"/>
  <c r="F302" i="105"/>
  <c r="I301" i="105"/>
  <c r="F301" i="105"/>
  <c r="I300" i="105"/>
  <c r="F300" i="105"/>
  <c r="I299" i="105"/>
  <c r="F299" i="105"/>
  <c r="I298" i="105"/>
  <c r="F298" i="105"/>
  <c r="I297" i="105"/>
  <c r="F297" i="105"/>
  <c r="I296" i="105"/>
  <c r="F296" i="105"/>
  <c r="I295" i="105"/>
  <c r="F295" i="105"/>
  <c r="I294" i="105"/>
  <c r="F294" i="105"/>
  <c r="I293" i="105"/>
  <c r="F293" i="105"/>
  <c r="I292" i="105"/>
  <c r="F292" i="105"/>
  <c r="I291" i="105"/>
  <c r="F291" i="105"/>
  <c r="I290" i="105"/>
  <c r="F290" i="105"/>
  <c r="I289" i="105"/>
  <c r="F289" i="105"/>
  <c r="I288" i="105"/>
  <c r="F288" i="105"/>
  <c r="I287" i="105"/>
  <c r="F287" i="105"/>
  <c r="I286" i="105"/>
  <c r="F286" i="105"/>
  <c r="I285" i="105"/>
  <c r="F285" i="105"/>
  <c r="I284" i="105"/>
  <c r="F284" i="105"/>
  <c r="I283" i="105"/>
  <c r="F283" i="105"/>
  <c r="I282" i="105"/>
  <c r="F282" i="105"/>
  <c r="I281" i="105"/>
  <c r="F281" i="105"/>
  <c r="I280" i="105"/>
  <c r="F280" i="105"/>
  <c r="I279" i="105"/>
  <c r="F279" i="105"/>
  <c r="I278" i="105"/>
  <c r="F278" i="105"/>
  <c r="I277" i="105"/>
  <c r="F277" i="105"/>
  <c r="I276" i="105"/>
  <c r="F276" i="105"/>
  <c r="I275" i="105"/>
  <c r="F275" i="105"/>
  <c r="I274" i="105"/>
  <c r="F274" i="105"/>
  <c r="I273" i="105"/>
  <c r="F273" i="105"/>
  <c r="I272" i="105"/>
  <c r="F272" i="105"/>
  <c r="I271" i="105"/>
  <c r="F271" i="105"/>
  <c r="I270" i="105"/>
  <c r="F270" i="105"/>
  <c r="I269" i="105"/>
  <c r="F269" i="105"/>
  <c r="I268" i="105"/>
  <c r="F268" i="105"/>
  <c r="I267" i="105"/>
  <c r="F267" i="105"/>
  <c r="I266" i="105"/>
  <c r="F266" i="105"/>
  <c r="I265" i="105"/>
  <c r="F265" i="105"/>
  <c r="I264" i="105"/>
  <c r="F264" i="105"/>
  <c r="I263" i="105"/>
  <c r="F263" i="105"/>
  <c r="I262" i="105"/>
  <c r="F262" i="105"/>
  <c r="I261" i="105"/>
  <c r="F261" i="105"/>
  <c r="I260" i="105"/>
  <c r="F260" i="105"/>
  <c r="I259" i="105"/>
  <c r="F259" i="105"/>
  <c r="I258" i="105"/>
  <c r="F258" i="105"/>
  <c r="I257" i="105"/>
  <c r="F257" i="105"/>
  <c r="I256" i="105"/>
  <c r="F256" i="105"/>
  <c r="I255" i="105"/>
  <c r="F255" i="105"/>
  <c r="I254" i="105"/>
  <c r="F254" i="105"/>
  <c r="I253" i="105"/>
  <c r="F253" i="105"/>
  <c r="I252" i="105"/>
  <c r="F252" i="105"/>
  <c r="I251" i="105"/>
  <c r="F251" i="105"/>
  <c r="I250" i="105"/>
  <c r="F250" i="105"/>
  <c r="I249" i="105"/>
  <c r="F249" i="105"/>
  <c r="I248" i="105"/>
  <c r="F248" i="105"/>
  <c r="I247" i="105"/>
  <c r="F247" i="105"/>
  <c r="I246" i="105"/>
  <c r="F246" i="105"/>
  <c r="I245" i="105"/>
  <c r="F245" i="105"/>
  <c r="I244" i="105"/>
  <c r="F244" i="105"/>
  <c r="I243" i="105"/>
  <c r="F243" i="105"/>
  <c r="I242" i="105"/>
  <c r="F242" i="105"/>
  <c r="I241" i="105"/>
  <c r="F241" i="105"/>
  <c r="I240" i="105"/>
  <c r="F240" i="105"/>
  <c r="I239" i="105"/>
  <c r="F239" i="105"/>
  <c r="I238" i="105"/>
  <c r="F238" i="105"/>
  <c r="I237" i="105"/>
  <c r="F237" i="105"/>
  <c r="I236" i="105"/>
  <c r="F236" i="105"/>
  <c r="I235" i="105"/>
  <c r="F235" i="105"/>
  <c r="I234" i="105"/>
  <c r="F234" i="105"/>
  <c r="I233" i="105"/>
  <c r="F233" i="105"/>
  <c r="I232" i="105"/>
  <c r="F232" i="105"/>
  <c r="I231" i="105"/>
  <c r="F231" i="105"/>
  <c r="I230" i="105"/>
  <c r="F230" i="105"/>
  <c r="I229" i="105"/>
  <c r="F229" i="105"/>
  <c r="I228" i="105"/>
  <c r="F228" i="105"/>
  <c r="I227" i="105"/>
  <c r="F227" i="105"/>
  <c r="I226" i="105"/>
  <c r="F226" i="105"/>
  <c r="I225" i="105"/>
  <c r="F225" i="105"/>
  <c r="I224" i="105"/>
  <c r="F224" i="105"/>
  <c r="I223" i="105"/>
  <c r="F223" i="105"/>
  <c r="I222" i="105"/>
  <c r="F222" i="105"/>
  <c r="I221" i="105"/>
  <c r="F221" i="105"/>
  <c r="I220" i="105"/>
  <c r="F220" i="105"/>
  <c r="I219" i="105"/>
  <c r="F219" i="105"/>
  <c r="I218" i="105"/>
  <c r="F218" i="105"/>
  <c r="I217" i="105"/>
  <c r="F217" i="105"/>
  <c r="I216" i="105"/>
  <c r="F216" i="105"/>
  <c r="I215" i="105"/>
  <c r="F215" i="105"/>
  <c r="I214" i="105"/>
  <c r="F214" i="105"/>
  <c r="I213" i="105"/>
  <c r="F213" i="105"/>
  <c r="I212" i="105"/>
  <c r="F212" i="105"/>
  <c r="I211" i="105"/>
  <c r="F211" i="105"/>
  <c r="I210" i="105"/>
  <c r="F210" i="105"/>
  <c r="I209" i="105"/>
  <c r="F209" i="105"/>
  <c r="I208" i="105"/>
  <c r="F208" i="105"/>
  <c r="I207" i="105"/>
  <c r="F207" i="105"/>
  <c r="I206" i="105"/>
  <c r="F206" i="105"/>
  <c r="I205" i="105"/>
  <c r="F205" i="105"/>
  <c r="I204" i="105"/>
  <c r="F204" i="105"/>
  <c r="I203" i="105"/>
  <c r="F203" i="105"/>
  <c r="I202" i="105"/>
  <c r="F202" i="105"/>
  <c r="I201" i="105"/>
  <c r="F201" i="105"/>
  <c r="I200" i="105"/>
  <c r="F200" i="105"/>
  <c r="I199" i="105"/>
  <c r="F199" i="105"/>
  <c r="I198" i="105"/>
  <c r="F198" i="105"/>
  <c r="I197" i="105"/>
  <c r="F197" i="105"/>
  <c r="I196" i="105"/>
  <c r="F196" i="105"/>
  <c r="I195" i="105"/>
  <c r="F195" i="105"/>
  <c r="I194" i="105"/>
  <c r="F194" i="105"/>
  <c r="I193" i="105"/>
  <c r="F193" i="105"/>
  <c r="I192" i="105"/>
  <c r="F192" i="105"/>
  <c r="I191" i="105"/>
  <c r="F191" i="105"/>
  <c r="I190" i="105"/>
  <c r="F190" i="105"/>
  <c r="I189" i="105"/>
  <c r="F189" i="105"/>
  <c r="I188" i="105"/>
  <c r="F188" i="105"/>
  <c r="I187" i="105"/>
  <c r="F187" i="105"/>
  <c r="I186" i="105"/>
  <c r="F186" i="105"/>
  <c r="I185" i="105"/>
  <c r="F185" i="105"/>
  <c r="I184" i="105"/>
  <c r="F184" i="105"/>
  <c r="I183" i="105"/>
  <c r="F183" i="105"/>
  <c r="I182" i="105"/>
  <c r="F182" i="105"/>
  <c r="I181" i="105"/>
  <c r="F181" i="105"/>
  <c r="I180" i="105"/>
  <c r="F180" i="105"/>
  <c r="I179" i="105"/>
  <c r="F179" i="105"/>
  <c r="I178" i="105"/>
  <c r="F178" i="105"/>
  <c r="I177" i="105"/>
  <c r="F177" i="105"/>
  <c r="I176" i="105"/>
  <c r="F176" i="105"/>
  <c r="I175" i="105"/>
  <c r="F175" i="105"/>
  <c r="I174" i="105"/>
  <c r="F174" i="105"/>
  <c r="I173" i="105"/>
  <c r="F173" i="105"/>
  <c r="I172" i="105"/>
  <c r="F172" i="105"/>
  <c r="I171" i="105"/>
  <c r="F171" i="105"/>
  <c r="I170" i="105"/>
  <c r="F170" i="105"/>
  <c r="I169" i="105"/>
  <c r="F169" i="105"/>
  <c r="I168" i="105"/>
  <c r="F168" i="105"/>
  <c r="I167" i="105"/>
  <c r="F167" i="105"/>
  <c r="I166" i="105"/>
  <c r="F166" i="105"/>
  <c r="I165" i="105"/>
  <c r="F165" i="105"/>
  <c r="I164" i="105"/>
  <c r="F164" i="105"/>
  <c r="I163" i="105"/>
  <c r="F163" i="105"/>
  <c r="I162" i="105"/>
  <c r="F162" i="105"/>
  <c r="I161" i="105"/>
  <c r="F161" i="105"/>
  <c r="I160" i="105"/>
  <c r="F160" i="105"/>
  <c r="I159" i="105"/>
  <c r="F159" i="105"/>
  <c r="I158" i="105"/>
  <c r="F158" i="105"/>
  <c r="I157" i="105"/>
  <c r="F157" i="105"/>
  <c r="I156" i="105"/>
  <c r="F156" i="105"/>
  <c r="I155" i="105"/>
  <c r="F155" i="105"/>
  <c r="I154" i="105"/>
  <c r="F154" i="105"/>
  <c r="I153" i="105"/>
  <c r="F153" i="105"/>
  <c r="I152" i="105"/>
  <c r="F152" i="105"/>
  <c r="I151" i="105"/>
  <c r="F151" i="105"/>
  <c r="I150" i="105"/>
  <c r="F150" i="105"/>
  <c r="I149" i="105"/>
  <c r="F149" i="105"/>
  <c r="I148" i="105"/>
  <c r="F148" i="105"/>
  <c r="I147" i="105"/>
  <c r="F147" i="105"/>
  <c r="I146" i="105"/>
  <c r="F146" i="105"/>
  <c r="I145" i="105"/>
  <c r="F145" i="105"/>
  <c r="I144" i="105"/>
  <c r="F144" i="105"/>
  <c r="I143" i="105"/>
  <c r="F143" i="105"/>
  <c r="I142" i="105"/>
  <c r="F142" i="105"/>
  <c r="I141" i="105"/>
  <c r="F141" i="105"/>
  <c r="I140" i="105"/>
  <c r="F140" i="105"/>
  <c r="I139" i="105"/>
  <c r="F139" i="105"/>
  <c r="I138" i="105"/>
  <c r="F138" i="105"/>
  <c r="I137" i="105"/>
  <c r="F137" i="105"/>
  <c r="I136" i="105"/>
  <c r="F136" i="105"/>
  <c r="I135" i="105"/>
  <c r="F135" i="105"/>
  <c r="I134" i="105"/>
  <c r="F134" i="105"/>
  <c r="I133" i="105"/>
  <c r="F133" i="105"/>
  <c r="I132" i="105"/>
  <c r="F132" i="105"/>
  <c r="I131" i="105"/>
  <c r="F131" i="105"/>
  <c r="I130" i="105"/>
  <c r="F130" i="105"/>
  <c r="I129" i="105"/>
  <c r="F129" i="105"/>
  <c r="I128" i="105"/>
  <c r="F128" i="105"/>
  <c r="I127" i="105"/>
  <c r="F127" i="105"/>
  <c r="I126" i="105"/>
  <c r="F126" i="105"/>
  <c r="I125" i="105"/>
  <c r="F125" i="105"/>
  <c r="I124" i="105"/>
  <c r="F124" i="105"/>
  <c r="I123" i="105"/>
  <c r="F123" i="105"/>
  <c r="I122" i="105"/>
  <c r="F122" i="105"/>
  <c r="I121" i="105"/>
  <c r="F121" i="105"/>
  <c r="I120" i="105"/>
  <c r="F120" i="105"/>
  <c r="I119" i="105"/>
  <c r="F119" i="105"/>
  <c r="I118" i="105"/>
  <c r="F118" i="105"/>
  <c r="I117" i="105"/>
  <c r="F117" i="105"/>
  <c r="I116" i="105"/>
  <c r="F116" i="105"/>
  <c r="I115" i="105"/>
  <c r="F115" i="105"/>
  <c r="I114" i="105"/>
  <c r="F114" i="105"/>
  <c r="I113" i="105"/>
  <c r="F113" i="105"/>
  <c r="I112" i="105"/>
  <c r="F112" i="105"/>
  <c r="I111" i="105"/>
  <c r="F111" i="105"/>
  <c r="I110" i="105"/>
  <c r="F110" i="105"/>
  <c r="I109" i="105"/>
  <c r="F109" i="105"/>
  <c r="I108" i="105"/>
  <c r="F108" i="105"/>
  <c r="I107" i="105"/>
  <c r="F107" i="105"/>
  <c r="I106" i="105"/>
  <c r="F106" i="105"/>
  <c r="I105" i="105"/>
  <c r="F105" i="105"/>
  <c r="I104" i="105"/>
  <c r="F104" i="105"/>
  <c r="I103" i="105"/>
  <c r="F103" i="105"/>
  <c r="I102" i="105"/>
  <c r="F102" i="105"/>
  <c r="I101" i="105"/>
  <c r="F101" i="105"/>
  <c r="I100" i="105"/>
  <c r="F100" i="105"/>
  <c r="I99" i="105"/>
  <c r="F99" i="105"/>
  <c r="I98" i="105"/>
  <c r="F98" i="105"/>
  <c r="I97" i="105"/>
  <c r="F97" i="105"/>
  <c r="I96" i="105"/>
  <c r="F96" i="105"/>
  <c r="I95" i="105"/>
  <c r="F95" i="105"/>
  <c r="I94" i="105"/>
  <c r="F94" i="105"/>
  <c r="I93" i="105"/>
  <c r="F93" i="105"/>
  <c r="I92" i="105"/>
  <c r="F92" i="105"/>
  <c r="I91" i="105"/>
  <c r="F91" i="105"/>
  <c r="I90" i="105"/>
  <c r="F90" i="105"/>
  <c r="I89" i="105"/>
  <c r="F89" i="105"/>
  <c r="I88" i="105"/>
  <c r="F88" i="105"/>
  <c r="I87" i="105"/>
  <c r="F87" i="105"/>
  <c r="I86" i="105"/>
  <c r="F86" i="105"/>
  <c r="I85" i="105"/>
  <c r="F85" i="105"/>
  <c r="I84" i="105"/>
  <c r="F84" i="105"/>
  <c r="I83" i="105"/>
  <c r="F83" i="105"/>
  <c r="I82" i="105"/>
  <c r="F82" i="105"/>
  <c r="I81" i="105"/>
  <c r="F81" i="105"/>
  <c r="I80" i="105"/>
  <c r="F80" i="105"/>
  <c r="I79" i="105"/>
  <c r="F79" i="105"/>
  <c r="I78" i="105"/>
  <c r="F78" i="105"/>
  <c r="I77" i="105"/>
  <c r="F77" i="105"/>
  <c r="I76" i="105"/>
  <c r="F76" i="105"/>
  <c r="I75" i="105"/>
  <c r="F75" i="105"/>
  <c r="I74" i="105"/>
  <c r="F74" i="105"/>
  <c r="I73" i="105"/>
  <c r="F73" i="105"/>
  <c r="I72" i="105"/>
  <c r="F72" i="105"/>
  <c r="I71" i="105"/>
  <c r="F71" i="105"/>
  <c r="I70" i="105"/>
  <c r="F70" i="105"/>
  <c r="I69" i="105"/>
  <c r="F69" i="105"/>
  <c r="I68" i="105"/>
  <c r="F68" i="105"/>
  <c r="I67" i="105"/>
  <c r="F67" i="105"/>
  <c r="I66" i="105"/>
  <c r="F66" i="105"/>
  <c r="I65" i="105"/>
  <c r="F65" i="105"/>
  <c r="I64" i="105"/>
  <c r="F64" i="105"/>
  <c r="I63" i="105"/>
  <c r="F63" i="105"/>
  <c r="I62" i="105"/>
  <c r="F62" i="105"/>
  <c r="I61" i="105"/>
  <c r="F61" i="105"/>
  <c r="I60" i="105"/>
  <c r="F60" i="105"/>
  <c r="I59" i="105"/>
  <c r="F59" i="105"/>
  <c r="I58" i="105"/>
  <c r="F58" i="105"/>
  <c r="I57" i="105"/>
  <c r="F57" i="105"/>
  <c r="I56" i="105"/>
  <c r="F56" i="105"/>
  <c r="I55" i="105"/>
  <c r="F55" i="105"/>
  <c r="I54" i="105"/>
  <c r="F54" i="105"/>
  <c r="I53" i="105"/>
  <c r="F53" i="105"/>
  <c r="I52" i="105"/>
  <c r="F52" i="105"/>
  <c r="I51" i="105"/>
  <c r="F51" i="105"/>
  <c r="I50" i="105"/>
  <c r="F50" i="105"/>
  <c r="I49" i="105"/>
  <c r="F49" i="105"/>
  <c r="I48" i="105"/>
  <c r="F48" i="105"/>
  <c r="I47" i="105"/>
  <c r="F47" i="105"/>
  <c r="I46" i="105"/>
  <c r="F46" i="105"/>
  <c r="I45" i="105"/>
  <c r="F45" i="105"/>
  <c r="I44" i="105"/>
  <c r="F44" i="105"/>
  <c r="I43" i="105"/>
  <c r="F43" i="105"/>
  <c r="I42" i="105"/>
  <c r="F42" i="105"/>
  <c r="I41" i="105"/>
  <c r="F41" i="105"/>
  <c r="I40" i="105"/>
  <c r="F40" i="105"/>
  <c r="I39" i="105"/>
  <c r="F39" i="105"/>
  <c r="I38" i="105"/>
  <c r="F38" i="105"/>
  <c r="I37" i="105"/>
  <c r="F37" i="105"/>
  <c r="I36" i="105"/>
  <c r="F36" i="105"/>
  <c r="I35" i="105"/>
  <c r="F35" i="105"/>
  <c r="I34" i="105"/>
  <c r="F34" i="105"/>
  <c r="I33" i="105"/>
  <c r="F33" i="105"/>
  <c r="B182" i="104"/>
  <c r="D182" i="104" s="1"/>
  <c r="D29" i="50"/>
  <c r="C29" i="60"/>
  <c r="D19" i="50" s="1"/>
  <c r="D29" i="60"/>
  <c r="C24" i="15"/>
  <c r="D22" i="50" s="1"/>
  <c r="D24" i="15"/>
  <c r="C25" i="71"/>
  <c r="D23" i="50" s="1"/>
  <c r="D25" i="71"/>
  <c r="C25" i="17"/>
  <c r="D25" i="50" s="1"/>
  <c r="D25" i="17"/>
  <c r="C26" i="21"/>
  <c r="D30" i="50" s="1"/>
  <c r="D26" i="21"/>
  <c r="C28" i="22"/>
  <c r="D31" i="50" s="1"/>
  <c r="D28" i="22"/>
  <c r="C36" i="26"/>
  <c r="D34" i="50" s="1"/>
  <c r="D36" i="26"/>
  <c r="C46" i="32"/>
  <c r="D39" i="50" s="1"/>
  <c r="D46" i="32"/>
  <c r="D22" i="20"/>
  <c r="D23" i="20"/>
  <c r="E21" i="20"/>
  <c r="E22" i="20"/>
  <c r="D21" i="20"/>
  <c r="C21" i="20"/>
  <c r="C22" i="20"/>
  <c r="C23" i="20"/>
  <c r="E25" i="61"/>
  <c r="E30" i="12"/>
  <c r="C29" i="61"/>
  <c r="D21" i="50" s="1"/>
  <c r="D29" i="61"/>
  <c r="D42" i="50"/>
  <c r="C16" i="37"/>
  <c r="D41" i="50" s="1"/>
  <c r="D16" i="37"/>
  <c r="E25" i="60"/>
  <c r="B5" i="4"/>
  <c r="A4" i="5" s="1"/>
  <c r="E23" i="11"/>
  <c r="D23" i="11"/>
  <c r="C22" i="11"/>
  <c r="C23" i="11"/>
  <c r="D17" i="50" s="1"/>
  <c r="C27" i="65"/>
  <c r="E16" i="103"/>
  <c r="E14" i="103"/>
  <c r="B190" i="104"/>
  <c r="D190" i="104" s="1"/>
  <c r="B186" i="104"/>
  <c r="D186" i="104" s="1"/>
  <c r="A161" i="104"/>
  <c r="H14" i="88"/>
  <c r="H11" i="88"/>
  <c r="L61" i="4"/>
  <c r="I44" i="84"/>
  <c r="E34" i="12" s="1"/>
  <c r="E48" i="29"/>
  <c r="C33" i="29"/>
  <c r="C35" i="29"/>
  <c r="C37" i="29"/>
  <c r="C48" i="29"/>
  <c r="D36" i="50" s="1"/>
  <c r="G68" i="84"/>
  <c r="G70" i="84"/>
  <c r="G72" i="84"/>
  <c r="G74" i="84"/>
  <c r="G76" i="84"/>
  <c r="D33" i="29"/>
  <c r="D35" i="29"/>
  <c r="D37" i="29"/>
  <c r="D48" i="29"/>
  <c r="G64" i="84"/>
  <c r="C102" i="50" s="1"/>
  <c r="C66" i="84"/>
  <c r="G77" i="84"/>
  <c r="F16" i="7" s="1"/>
  <c r="F21" i="29"/>
  <c r="E33" i="29"/>
  <c r="E35" i="29"/>
  <c r="E36" i="30"/>
  <c r="C30" i="30"/>
  <c r="C36" i="30"/>
  <c r="D37" i="50" s="1"/>
  <c r="D36" i="30"/>
  <c r="C25" i="31"/>
  <c r="C31" i="31"/>
  <c r="D38" i="50" s="1"/>
  <c r="I159" i="84"/>
  <c r="I161" i="84"/>
  <c r="I163" i="84"/>
  <c r="I165" i="84"/>
  <c r="I167" i="84"/>
  <c r="D31" i="31"/>
  <c r="I155" i="84"/>
  <c r="C103" i="50" s="1"/>
  <c r="I168" i="84"/>
  <c r="F21" i="7" s="1"/>
  <c r="G13" i="85"/>
  <c r="G15" i="85" s="1"/>
  <c r="G17" i="85" s="1"/>
  <c r="G41" i="85"/>
  <c r="G45" i="85" s="1"/>
  <c r="G47" i="85" s="1"/>
  <c r="C25" i="70"/>
  <c r="C31" i="70"/>
  <c r="D33" i="50" s="1"/>
  <c r="M159" i="84"/>
  <c r="M161" i="84"/>
  <c r="M163" i="84"/>
  <c r="M165" i="84"/>
  <c r="M167" i="84"/>
  <c r="D31" i="70"/>
  <c r="M155" i="84"/>
  <c r="C101" i="50" s="1"/>
  <c r="M168" i="84"/>
  <c r="F27" i="7" s="1"/>
  <c r="C33" i="65"/>
  <c r="D26" i="50" s="1"/>
  <c r="D33" i="65"/>
  <c r="E35" i="42"/>
  <c r="C30" i="42"/>
  <c r="C35" i="42"/>
  <c r="D48" i="50" s="1"/>
  <c r="G117" i="84"/>
  <c r="G119" i="84"/>
  <c r="G121" i="84"/>
  <c r="G123" i="84"/>
  <c r="G125" i="84"/>
  <c r="D35" i="42"/>
  <c r="G113" i="84"/>
  <c r="C106" i="50" s="1"/>
  <c r="G126" i="84"/>
  <c r="F15" i="7" s="1"/>
  <c r="F19" i="42"/>
  <c r="M117" i="84"/>
  <c r="M119" i="84"/>
  <c r="M121" i="84"/>
  <c r="M123" i="84"/>
  <c r="M125" i="84"/>
  <c r="I117" i="84"/>
  <c r="I119" i="84"/>
  <c r="I121" i="84"/>
  <c r="I123" i="84"/>
  <c r="I125" i="84"/>
  <c r="I20" i="84"/>
  <c r="I22" i="84"/>
  <c r="I24" i="84"/>
  <c r="I26" i="84"/>
  <c r="I28" i="84"/>
  <c r="BX3" i="76"/>
  <c r="BW3" i="76"/>
  <c r="BV3" i="76"/>
  <c r="BU3" i="76"/>
  <c r="BT3" i="76"/>
  <c r="BO3" i="76"/>
  <c r="BN3" i="76"/>
  <c r="BG3" i="76"/>
  <c r="BF3" i="76"/>
  <c r="BD3" i="76"/>
  <c r="BC3" i="76"/>
  <c r="AO3" i="76"/>
  <c r="S3" i="76"/>
  <c r="R3" i="76"/>
  <c r="L3" i="76"/>
  <c r="K3" i="76"/>
  <c r="J3" i="76"/>
  <c r="H3" i="76"/>
  <c r="Q3" i="76"/>
  <c r="K20" i="84"/>
  <c r="K22" i="84"/>
  <c r="K24" i="84"/>
  <c r="K26" i="84"/>
  <c r="K28" i="84"/>
  <c r="D24" i="18"/>
  <c r="E46" i="13"/>
  <c r="E29" i="19"/>
  <c r="D28" i="19"/>
  <c r="D24" i="21"/>
  <c r="D25" i="22"/>
  <c r="D44" i="13"/>
  <c r="F26" i="13"/>
  <c r="D25" i="14"/>
  <c r="E21" i="14"/>
  <c r="E21" i="71"/>
  <c r="E22" i="17"/>
  <c r="D21" i="17"/>
  <c r="D22" i="18"/>
  <c r="D29" i="19"/>
  <c r="D26" i="22"/>
  <c r="E32" i="26"/>
  <c r="D35" i="46"/>
  <c r="F20" i="46"/>
  <c r="D35" i="47"/>
  <c r="F20" i="47"/>
  <c r="D35" i="48"/>
  <c r="F20" i="48"/>
  <c r="D24" i="44"/>
  <c r="D32" i="19"/>
  <c r="E36" i="41"/>
  <c r="E49" i="40"/>
  <c r="E51" i="13"/>
  <c r="D46" i="13"/>
  <c r="F24" i="13"/>
  <c r="D26" i="60"/>
  <c r="E22" i="14"/>
  <c r="D21" i="14"/>
  <c r="D27" i="61"/>
  <c r="D21" i="15"/>
  <c r="E22" i="71"/>
  <c r="D21" i="71"/>
  <c r="D22" i="17"/>
  <c r="E20" i="18"/>
  <c r="E33" i="26"/>
  <c r="D32" i="26"/>
  <c r="D14" i="37"/>
  <c r="D23" i="38"/>
  <c r="D49" i="39"/>
  <c r="F19" i="39"/>
  <c r="E35" i="45"/>
  <c r="D31" i="23"/>
  <c r="D51" i="13"/>
  <c r="D27" i="60"/>
  <c r="D22" i="15"/>
  <c r="D23" i="21"/>
  <c r="E28" i="23"/>
  <c r="D27" i="23"/>
  <c r="D49" i="40"/>
  <c r="F21" i="40"/>
  <c r="F19" i="41"/>
  <c r="BP3" i="76"/>
  <c r="E35" i="46"/>
  <c r="E35" i="47"/>
  <c r="E35" i="48"/>
  <c r="D35" i="49"/>
  <c r="I3" i="76"/>
  <c r="M3" i="76"/>
  <c r="AM3" i="76"/>
  <c r="BM3" i="76"/>
  <c r="K68" i="84"/>
  <c r="K70" i="84"/>
  <c r="K72" i="84"/>
  <c r="K74" i="84"/>
  <c r="K76" i="84"/>
  <c r="E117" i="84"/>
  <c r="E119" i="84"/>
  <c r="E121" i="84"/>
  <c r="E123" i="84"/>
  <c r="E125" i="84"/>
  <c r="E44" i="13"/>
  <c r="E35" i="49"/>
  <c r="D48" i="13"/>
  <c r="F41" i="13"/>
  <c r="F20" i="13"/>
  <c r="D22" i="14"/>
  <c r="E26" i="61"/>
  <c r="D25" i="61"/>
  <c r="E20" i="15"/>
  <c r="D22" i="71"/>
  <c r="D23" i="17"/>
  <c r="E21" i="18"/>
  <c r="D20" i="18"/>
  <c r="D30" i="19"/>
  <c r="E22" i="21"/>
  <c r="E24" i="22"/>
  <c r="D28" i="23"/>
  <c r="D33" i="26"/>
  <c r="D24" i="38"/>
  <c r="D22" i="38"/>
  <c r="F19" i="40"/>
  <c r="D36" i="41"/>
  <c r="D35" i="45"/>
  <c r="F20" i="45"/>
  <c r="F38" i="13"/>
  <c r="E26" i="60"/>
  <c r="D25" i="60"/>
  <c r="D23" i="14"/>
  <c r="D26" i="61"/>
  <c r="E21" i="15"/>
  <c r="D20" i="15"/>
  <c r="D23" i="71"/>
  <c r="E21" i="17"/>
  <c r="D21" i="18"/>
  <c r="E28" i="19"/>
  <c r="E23" i="21"/>
  <c r="D22" i="21"/>
  <c r="E25" i="22"/>
  <c r="D24" i="22"/>
  <c r="D29" i="23"/>
  <c r="D34" i="26"/>
  <c r="F21" i="39"/>
  <c r="F20" i="49"/>
  <c r="K159" i="84"/>
  <c r="K161" i="84"/>
  <c r="K163" i="84"/>
  <c r="K165" i="84"/>
  <c r="K167" i="84"/>
  <c r="E68" i="84"/>
  <c r="E70" i="84"/>
  <c r="E72" i="84"/>
  <c r="E74" i="84"/>
  <c r="E76" i="84"/>
  <c r="K117" i="84"/>
  <c r="K119" i="84"/>
  <c r="K121" i="84"/>
  <c r="K123" i="84"/>
  <c r="K125" i="84"/>
  <c r="G20" i="84"/>
  <c r="G22" i="84"/>
  <c r="G24" i="84"/>
  <c r="G26" i="84"/>
  <c r="G28" i="84"/>
  <c r="M20" i="84"/>
  <c r="M22" i="84"/>
  <c r="M24" i="84"/>
  <c r="M26" i="84"/>
  <c r="M28" i="84"/>
  <c r="G155" i="84"/>
  <c r="G159" i="84"/>
  <c r="G161" i="84"/>
  <c r="G163" i="84"/>
  <c r="G165" i="84"/>
  <c r="G167" i="84"/>
  <c r="K155" i="84"/>
  <c r="C110" i="50" s="1"/>
  <c r="C31" i="32"/>
  <c r="C36" i="32"/>
  <c r="C37" i="32"/>
  <c r="D31" i="32"/>
  <c r="M16" i="84"/>
  <c r="M18" i="84" s="1"/>
  <c r="D22" i="7" s="1"/>
  <c r="M29" i="84"/>
  <c r="F22" i="7" s="1"/>
  <c r="K16" i="84"/>
  <c r="C104" i="50" s="1"/>
  <c r="I16" i="84"/>
  <c r="C96" i="50" s="1"/>
  <c r="E64" i="84"/>
  <c r="C100" i="50" s="1"/>
  <c r="E113" i="84"/>
  <c r="C105" i="50" s="1"/>
  <c r="M113" i="84"/>
  <c r="C109" i="50" s="1"/>
  <c r="C31" i="46"/>
  <c r="C35" i="46"/>
  <c r="D65" i="50" s="1"/>
  <c r="C31" i="49"/>
  <c r="C35" i="49"/>
  <c r="D68" i="50" s="1"/>
  <c r="C30" i="41"/>
  <c r="C36" i="41"/>
  <c r="D47" i="50" s="1"/>
  <c r="C24" i="22"/>
  <c r="C25" i="22"/>
  <c r="C26" i="22"/>
  <c r="E77" i="84"/>
  <c r="F13" i="7" s="1"/>
  <c r="C21" i="71"/>
  <c r="C22" i="71"/>
  <c r="C23" i="71"/>
  <c r="K168" i="84"/>
  <c r="F25" i="7" s="1"/>
  <c r="K113" i="84"/>
  <c r="C108" i="50" s="1"/>
  <c r="K64" i="84"/>
  <c r="C97" i="50" s="1"/>
  <c r="C23" i="44"/>
  <c r="C24" i="44"/>
  <c r="K126" i="84"/>
  <c r="F26" i="7" s="1"/>
  <c r="C27" i="23"/>
  <c r="C28" i="23"/>
  <c r="C29" i="23"/>
  <c r="C31" i="23"/>
  <c r="D32" i="50" s="1"/>
  <c r="M126" i="84"/>
  <c r="F24" i="7" s="1"/>
  <c r="K29" i="84"/>
  <c r="F17" i="7" s="1"/>
  <c r="G168" i="84"/>
  <c r="F23" i="7" s="1"/>
  <c r="C22" i="21"/>
  <c r="C23" i="21"/>
  <c r="C24" i="21"/>
  <c r="C28" i="19"/>
  <c r="C29" i="19"/>
  <c r="C30" i="19"/>
  <c r="C32" i="19"/>
  <c r="D28" i="50" s="1"/>
  <c r="C42" i="40"/>
  <c r="C49" i="40"/>
  <c r="D46" i="50" s="1"/>
  <c r="I44" i="58"/>
  <c r="I29" i="84"/>
  <c r="F14" i="7" s="1"/>
  <c r="C44" i="13"/>
  <c r="C46" i="13"/>
  <c r="C48" i="13"/>
  <c r="C51" i="13"/>
  <c r="D18" i="50" s="1"/>
  <c r="C25" i="60"/>
  <c r="C26" i="60"/>
  <c r="C27" i="60"/>
  <c r="K77" i="84"/>
  <c r="F18" i="7" s="1"/>
  <c r="C20" i="18"/>
  <c r="C21" i="18"/>
  <c r="C22" i="18"/>
  <c r="C24" i="18"/>
  <c r="E126" i="84"/>
  <c r="F20" i="7" s="1"/>
  <c r="C22" i="38"/>
  <c r="C23" i="38"/>
  <c r="C24" i="38"/>
  <c r="C21" i="17"/>
  <c r="C22" i="17"/>
  <c r="C23" i="17"/>
  <c r="C30" i="12"/>
  <c r="D30" i="12"/>
  <c r="C21" i="14"/>
  <c r="C22" i="14"/>
  <c r="C23" i="14"/>
  <c r="C25" i="14"/>
  <c r="D20" i="50" s="1"/>
  <c r="C25" i="61"/>
  <c r="C26" i="61"/>
  <c r="C27" i="61"/>
  <c r="C42" i="39"/>
  <c r="C49" i="39"/>
  <c r="D45" i="50" s="1"/>
  <c r="C31" i="45"/>
  <c r="C35" i="45"/>
  <c r="C31" i="47"/>
  <c r="C35" i="47"/>
  <c r="D66" i="50" s="1"/>
  <c r="C31" i="48"/>
  <c r="C35" i="48"/>
  <c r="D67" i="50" s="1"/>
  <c r="C20" i="15"/>
  <c r="C21" i="15"/>
  <c r="C22" i="15"/>
  <c r="C14" i="37"/>
  <c r="C19" i="74"/>
  <c r="C20" i="74"/>
  <c r="D43" i="50" s="1"/>
  <c r="D20" i="74"/>
  <c r="C32" i="26"/>
  <c r="C33" i="26"/>
  <c r="C34" i="26"/>
  <c r="G16" i="84"/>
  <c r="C99" i="50" s="1"/>
  <c r="G29" i="84"/>
  <c r="F12" i="7" s="1"/>
  <c r="E37" i="43"/>
  <c r="D46" i="5" s="1"/>
  <c r="C31" i="43"/>
  <c r="C37" i="43"/>
  <c r="D49" i="50" s="1"/>
  <c r="D37" i="43"/>
  <c r="F49" i="50" s="1"/>
  <c r="I113" i="84"/>
  <c r="C107" i="50" s="1"/>
  <c r="I126" i="84"/>
  <c r="F19" i="7" s="1"/>
  <c r="F20" i="43"/>
  <c r="E40" i="39"/>
  <c r="E40" i="40"/>
  <c r="D36" i="32"/>
  <c r="D37" i="32"/>
  <c r="M62" i="50"/>
  <c r="M61" i="50" s="1"/>
  <c r="M60" i="50" s="1"/>
  <c r="M59" i="50" s="1"/>
  <c r="N62" i="50"/>
  <c r="AF91" i="104"/>
  <c r="AA91" i="104"/>
  <c r="AB91" i="104" s="1"/>
  <c r="AC91" i="104" s="1"/>
  <c r="AD91" i="104" s="1"/>
  <c r="AE91" i="104" s="1"/>
  <c r="D14" i="58"/>
  <c r="L62" i="50"/>
  <c r="L61" i="50" s="1"/>
  <c r="L60" i="50" s="1"/>
  <c r="L59" i="50" s="1"/>
  <c r="I41" i="8"/>
  <c r="F41" i="8"/>
  <c r="AQ46" i="101"/>
  <c r="AO46" i="101"/>
  <c r="AN46" i="101"/>
  <c r="AL46" i="101"/>
  <c r="AJ46" i="101"/>
  <c r="AH46" i="101"/>
  <c r="AF46" i="101"/>
  <c r="AD46" i="101"/>
  <c r="AB46" i="101"/>
  <c r="Z46" i="101"/>
  <c r="X46" i="101"/>
  <c r="V46" i="101"/>
  <c r="T46" i="101"/>
  <c r="R46" i="101"/>
  <c r="P46" i="101"/>
  <c r="N46" i="101"/>
  <c r="L46" i="101"/>
  <c r="J46" i="101"/>
  <c r="H46" i="101"/>
  <c r="F46" i="101"/>
  <c r="D46" i="101"/>
  <c r="AT45" i="101"/>
  <c r="AM45" i="101"/>
  <c r="AA45" i="101"/>
  <c r="E45" i="101"/>
  <c r="AT44" i="101"/>
  <c r="AP44" i="101"/>
  <c r="AM44" i="101"/>
  <c r="AK44" i="101"/>
  <c r="AI44" i="101"/>
  <c r="AG44" i="101"/>
  <c r="AE44" i="101"/>
  <c r="AC44" i="101"/>
  <c r="Y44" i="101"/>
  <c r="W44" i="101"/>
  <c r="S44" i="101"/>
  <c r="Q44" i="101"/>
  <c r="O44" i="101"/>
  <c r="K44" i="101"/>
  <c r="G44" i="101"/>
  <c r="E44" i="101"/>
  <c r="C44" i="101"/>
  <c r="AT43" i="101"/>
  <c r="AP43" i="101"/>
  <c r="AM43" i="101"/>
  <c r="AK43" i="101"/>
  <c r="AI43" i="101"/>
  <c r="Q43" i="101"/>
  <c r="O43" i="101"/>
  <c r="K43" i="101"/>
  <c r="G43" i="101"/>
  <c r="E43" i="101"/>
  <c r="C43" i="101"/>
  <c r="AT42" i="101"/>
  <c r="AP42" i="101"/>
  <c r="AM42" i="101"/>
  <c r="AK42" i="101"/>
  <c r="AI42" i="101"/>
  <c r="AG42" i="101"/>
  <c r="AA42" i="101"/>
  <c r="Y42" i="101"/>
  <c r="W42" i="101"/>
  <c r="S42" i="101"/>
  <c r="Q42" i="101"/>
  <c r="O42" i="101"/>
  <c r="M42" i="101"/>
  <c r="K42" i="101"/>
  <c r="I42" i="101"/>
  <c r="G42" i="101"/>
  <c r="E42" i="101"/>
  <c r="C42" i="101"/>
  <c r="AT41" i="101"/>
  <c r="AP41" i="101"/>
  <c r="AM41" i="101"/>
  <c r="AK41" i="101"/>
  <c r="AI41" i="101"/>
  <c r="AG41" i="101"/>
  <c r="AE41" i="101"/>
  <c r="AC41" i="101"/>
  <c r="Y41" i="101"/>
  <c r="W41" i="101"/>
  <c r="S41" i="101"/>
  <c r="Q41" i="101"/>
  <c r="O41" i="101"/>
  <c r="K41" i="101"/>
  <c r="G41" i="101"/>
  <c r="G36" i="101"/>
  <c r="G37" i="101"/>
  <c r="G38" i="101"/>
  <c r="G39" i="101"/>
  <c r="G40" i="101"/>
  <c r="E41" i="101"/>
  <c r="C41" i="101"/>
  <c r="AT40" i="101"/>
  <c r="AP40" i="101"/>
  <c r="AM40" i="101"/>
  <c r="AK40" i="101"/>
  <c r="AI40" i="101"/>
  <c r="AG40" i="101"/>
  <c r="Y40" i="101"/>
  <c r="W40" i="101"/>
  <c r="S40" i="101"/>
  <c r="Q40" i="101"/>
  <c r="O40" i="101"/>
  <c r="M40" i="101"/>
  <c r="K40" i="101"/>
  <c r="E40" i="101"/>
  <c r="C40" i="101"/>
  <c r="AT39" i="101"/>
  <c r="AP39" i="101"/>
  <c r="AM39" i="101"/>
  <c r="AI39" i="101"/>
  <c r="I39" i="101"/>
  <c r="E39" i="101"/>
  <c r="C39" i="101"/>
  <c r="AT38" i="101"/>
  <c r="AP38" i="101"/>
  <c r="AM38" i="101"/>
  <c r="AK38" i="101"/>
  <c r="AI38" i="101"/>
  <c r="AG38" i="101"/>
  <c r="AE38" i="101"/>
  <c r="AC38" i="101"/>
  <c r="Y38" i="101"/>
  <c r="W38" i="101"/>
  <c r="S38" i="101"/>
  <c r="Q38" i="101"/>
  <c r="O38" i="101"/>
  <c r="M38" i="101"/>
  <c r="K38" i="101"/>
  <c r="I38" i="101"/>
  <c r="E38" i="101"/>
  <c r="C38" i="101"/>
  <c r="AT37" i="101"/>
  <c r="AP37" i="101"/>
  <c r="AM37" i="101"/>
  <c r="AK37" i="101"/>
  <c r="AI37" i="101"/>
  <c r="AG37" i="101"/>
  <c r="AE37" i="101"/>
  <c r="Y37" i="101"/>
  <c r="W37" i="101"/>
  <c r="S37" i="101"/>
  <c r="Q37" i="101"/>
  <c r="Q36" i="101"/>
  <c r="O37" i="101"/>
  <c r="M37" i="101"/>
  <c r="K37" i="101"/>
  <c r="I37" i="101"/>
  <c r="I36" i="101"/>
  <c r="E37" i="101"/>
  <c r="C37" i="101"/>
  <c r="AT36" i="101"/>
  <c r="AP36" i="101"/>
  <c r="AM36" i="101"/>
  <c r="AK36" i="101"/>
  <c r="AI36" i="101"/>
  <c r="AG36" i="101"/>
  <c r="Y36" i="101"/>
  <c r="W36" i="101"/>
  <c r="S36" i="101"/>
  <c r="O36" i="101"/>
  <c r="M36" i="101"/>
  <c r="K36" i="101"/>
  <c r="E36" i="101"/>
  <c r="C36" i="101"/>
  <c r="AQ32" i="101"/>
  <c r="AO32" i="101"/>
  <c r="AN32" i="101"/>
  <c r="AL32" i="101"/>
  <c r="AJ32" i="101"/>
  <c r="AH32" i="101"/>
  <c r="AF32" i="101"/>
  <c r="AD32" i="101"/>
  <c r="AC24" i="101"/>
  <c r="AC27" i="101"/>
  <c r="AC30" i="101"/>
  <c r="AB32" i="101"/>
  <c r="Z32" i="101"/>
  <c r="X32" i="101"/>
  <c r="V32" i="101"/>
  <c r="T32" i="101"/>
  <c r="R32" i="101"/>
  <c r="P32" i="101"/>
  <c r="N32" i="101"/>
  <c r="L32" i="101"/>
  <c r="J32" i="101"/>
  <c r="H32" i="101"/>
  <c r="F32" i="101"/>
  <c r="D32" i="101"/>
  <c r="AT31" i="101"/>
  <c r="AM31" i="101"/>
  <c r="AA31" i="101"/>
  <c r="E31" i="101"/>
  <c r="AT30" i="101"/>
  <c r="AP30" i="101"/>
  <c r="AM30" i="101"/>
  <c r="AK30" i="101"/>
  <c r="AI30" i="101"/>
  <c r="AG30" i="101"/>
  <c r="AE30" i="101"/>
  <c r="Y30" i="101"/>
  <c r="W30" i="101"/>
  <c r="S30" i="101"/>
  <c r="Q30" i="101"/>
  <c r="O30" i="101"/>
  <c r="K30" i="101"/>
  <c r="G30" i="101"/>
  <c r="E30" i="101"/>
  <c r="C30" i="101"/>
  <c r="AT29" i="101"/>
  <c r="AP29" i="101"/>
  <c r="AM29" i="101"/>
  <c r="AK29" i="101"/>
  <c r="AI29" i="101"/>
  <c r="U29" i="101"/>
  <c r="U32" i="101" s="1"/>
  <c r="Q29" i="101"/>
  <c r="O29" i="101"/>
  <c r="K29" i="101"/>
  <c r="G29" i="101"/>
  <c r="E29" i="101"/>
  <c r="C29" i="101"/>
  <c r="AT28" i="101"/>
  <c r="AP28" i="101"/>
  <c r="AM28" i="101"/>
  <c r="AK28" i="101"/>
  <c r="AI28" i="101"/>
  <c r="AG28" i="101"/>
  <c r="AA28" i="101"/>
  <c r="Y28" i="101"/>
  <c r="W28" i="101"/>
  <c r="S28" i="101"/>
  <c r="Q28" i="101"/>
  <c r="O28" i="101"/>
  <c r="M28" i="101"/>
  <c r="K28" i="101"/>
  <c r="I28" i="101"/>
  <c r="G28" i="101"/>
  <c r="E28" i="101"/>
  <c r="C28" i="101"/>
  <c r="AT27" i="101"/>
  <c r="AP27" i="101"/>
  <c r="AM27" i="101"/>
  <c r="AK27" i="101"/>
  <c r="AI27" i="101"/>
  <c r="AG27" i="101"/>
  <c r="AE27" i="101"/>
  <c r="Y27" i="101"/>
  <c r="W27" i="101"/>
  <c r="S27" i="101"/>
  <c r="Q27" i="101"/>
  <c r="O27" i="101"/>
  <c r="K27" i="101"/>
  <c r="G27" i="101"/>
  <c r="E27" i="101"/>
  <c r="C27" i="101"/>
  <c r="AT26" i="101"/>
  <c r="AP26" i="101"/>
  <c r="AM26" i="101"/>
  <c r="AK26" i="101"/>
  <c r="AI26" i="101"/>
  <c r="AG26" i="101"/>
  <c r="Y26" i="101"/>
  <c r="W26" i="101"/>
  <c r="S26" i="101"/>
  <c r="Q26" i="101"/>
  <c r="O26" i="101"/>
  <c r="M26" i="101"/>
  <c r="K26" i="101"/>
  <c r="G26" i="101"/>
  <c r="E26" i="101"/>
  <c r="C26" i="101"/>
  <c r="AT25" i="101"/>
  <c r="AP25" i="101"/>
  <c r="AM25" i="101"/>
  <c r="AI25" i="101"/>
  <c r="I25" i="101"/>
  <c r="G25" i="101"/>
  <c r="E25" i="101"/>
  <c r="C25" i="101"/>
  <c r="AT24" i="101"/>
  <c r="AP24" i="101"/>
  <c r="AM24" i="101"/>
  <c r="AK24" i="101"/>
  <c r="AI24" i="101"/>
  <c r="AG24" i="101"/>
  <c r="AE24" i="101"/>
  <c r="Y24" i="101"/>
  <c r="W24" i="101"/>
  <c r="S24" i="101"/>
  <c r="Q24" i="101"/>
  <c r="O24" i="101"/>
  <c r="M24" i="101"/>
  <c r="K24" i="101"/>
  <c r="I24" i="101"/>
  <c r="G24" i="101"/>
  <c r="E24" i="101"/>
  <c r="E22" i="101"/>
  <c r="E23" i="101"/>
  <c r="C24" i="101"/>
  <c r="AT23" i="101"/>
  <c r="AP23" i="101"/>
  <c r="AM23" i="101"/>
  <c r="AK23" i="101"/>
  <c r="AI23" i="101"/>
  <c r="AG23" i="101"/>
  <c r="AE23" i="101"/>
  <c r="Y23" i="101"/>
  <c r="W23" i="101"/>
  <c r="S23" i="101"/>
  <c r="S22" i="101"/>
  <c r="Q23" i="101"/>
  <c r="O23" i="101"/>
  <c r="M23" i="101"/>
  <c r="K23" i="101"/>
  <c r="K22" i="101"/>
  <c r="I23" i="101"/>
  <c r="G23" i="101"/>
  <c r="C23" i="101"/>
  <c r="AT22" i="101"/>
  <c r="AP22" i="101"/>
  <c r="AM22" i="101"/>
  <c r="AK22" i="101"/>
  <c r="AI22" i="101"/>
  <c r="AG22" i="101"/>
  <c r="Y22" i="101"/>
  <c r="W22" i="101"/>
  <c r="Q22" i="101"/>
  <c r="O22" i="101"/>
  <c r="M22" i="101"/>
  <c r="I22" i="101"/>
  <c r="G22" i="101"/>
  <c r="C22" i="101"/>
  <c r="AQ18" i="101"/>
  <c r="AO18" i="101"/>
  <c r="AN18" i="101"/>
  <c r="AL18" i="101"/>
  <c r="AJ18" i="101"/>
  <c r="AH18" i="101"/>
  <c r="AF18" i="101"/>
  <c r="AD18" i="101"/>
  <c r="AB18" i="101"/>
  <c r="Z18" i="101"/>
  <c r="X18" i="101"/>
  <c r="V18" i="101"/>
  <c r="T18" i="101"/>
  <c r="R18" i="101"/>
  <c r="P18" i="101"/>
  <c r="N18" i="101"/>
  <c r="L18" i="101"/>
  <c r="J18" i="101"/>
  <c r="H18" i="101"/>
  <c r="F18" i="101"/>
  <c r="D18" i="101"/>
  <c r="AT17" i="101"/>
  <c r="AA17" i="101"/>
  <c r="E17" i="101"/>
  <c r="AT16" i="101"/>
  <c r="AP16" i="101"/>
  <c r="AM16" i="101"/>
  <c r="AK16" i="101"/>
  <c r="AI16" i="101"/>
  <c r="AG16" i="101"/>
  <c r="AE16" i="101"/>
  <c r="AC16" i="101"/>
  <c r="Y16" i="101"/>
  <c r="W16" i="101"/>
  <c r="S16" i="101"/>
  <c r="Q16" i="101"/>
  <c r="O16" i="101"/>
  <c r="K16" i="101"/>
  <c r="G16" i="101"/>
  <c r="E16" i="101"/>
  <c r="C16" i="101"/>
  <c r="AT15" i="101"/>
  <c r="AP15" i="101"/>
  <c r="AM15" i="101"/>
  <c r="AK15" i="101"/>
  <c r="AI15" i="101"/>
  <c r="U15" i="101"/>
  <c r="U18" i="101" s="1"/>
  <c r="Q15" i="101"/>
  <c r="O15" i="101"/>
  <c r="K15" i="101"/>
  <c r="G15" i="101"/>
  <c r="E15" i="101"/>
  <c r="C15" i="101"/>
  <c r="AT14" i="101"/>
  <c r="AP14" i="101"/>
  <c r="AM14" i="101"/>
  <c r="AK14" i="101"/>
  <c r="AI14" i="101"/>
  <c r="AG14" i="101"/>
  <c r="AA14" i="101"/>
  <c r="Y14" i="101"/>
  <c r="W14" i="101"/>
  <c r="S14" i="101"/>
  <c r="Q14" i="101"/>
  <c r="O14" i="101"/>
  <c r="M14" i="101"/>
  <c r="K14" i="101"/>
  <c r="I14" i="101"/>
  <c r="G14" i="101"/>
  <c r="E14" i="101"/>
  <c r="C14" i="101"/>
  <c r="AT13" i="101"/>
  <c r="AP13" i="101"/>
  <c r="AM13" i="101"/>
  <c r="AK13" i="101"/>
  <c r="AI13" i="101"/>
  <c r="AG13" i="101"/>
  <c r="AE13" i="101"/>
  <c r="AC13" i="101"/>
  <c r="Y13" i="101"/>
  <c r="W13" i="101"/>
  <c r="S13" i="101"/>
  <c r="Q13" i="101"/>
  <c r="O13" i="101"/>
  <c r="K13" i="101"/>
  <c r="G13" i="101"/>
  <c r="E13" i="101"/>
  <c r="C13" i="101"/>
  <c r="AT12" i="101"/>
  <c r="AP12" i="101"/>
  <c r="AM12" i="101"/>
  <c r="AK12" i="101"/>
  <c r="AI12" i="101"/>
  <c r="AG12" i="101"/>
  <c r="Y12" i="101"/>
  <c r="W12" i="101"/>
  <c r="S12" i="101"/>
  <c r="Q12" i="101"/>
  <c r="O12" i="101"/>
  <c r="M12" i="101"/>
  <c r="K12" i="101"/>
  <c r="G12" i="101"/>
  <c r="E12" i="101"/>
  <c r="C12" i="101"/>
  <c r="AT11" i="101"/>
  <c r="AP11" i="101"/>
  <c r="AM11" i="101"/>
  <c r="AI11" i="101"/>
  <c r="I11" i="101"/>
  <c r="G11" i="101"/>
  <c r="E11" i="101"/>
  <c r="C11" i="101"/>
  <c r="AT10" i="101"/>
  <c r="AP10" i="101"/>
  <c r="AM10" i="101"/>
  <c r="AK10" i="101"/>
  <c r="AI10" i="101"/>
  <c r="AG10" i="101"/>
  <c r="AE10" i="101"/>
  <c r="AC10" i="101"/>
  <c r="Y10" i="101"/>
  <c r="W10" i="101"/>
  <c r="S10" i="101"/>
  <c r="Q10" i="101"/>
  <c r="O10" i="101"/>
  <c r="M10" i="101"/>
  <c r="K10" i="101"/>
  <c r="I10" i="101"/>
  <c r="G10" i="101"/>
  <c r="E10" i="101"/>
  <c r="C10" i="101"/>
  <c r="AT9" i="101"/>
  <c r="AP9" i="101"/>
  <c r="AM9" i="101"/>
  <c r="AK9" i="101"/>
  <c r="AI9" i="101"/>
  <c r="AG9" i="101"/>
  <c r="AE9" i="101"/>
  <c r="Y9" i="101"/>
  <c r="W9" i="101"/>
  <c r="S9" i="101"/>
  <c r="Q9" i="101"/>
  <c r="O9" i="101"/>
  <c r="M9" i="101"/>
  <c r="K9" i="101"/>
  <c r="I9" i="101"/>
  <c r="G9" i="101"/>
  <c r="E9" i="101"/>
  <c r="C9" i="101"/>
  <c r="AT8" i="101"/>
  <c r="AP8" i="101"/>
  <c r="AM8" i="101"/>
  <c r="AK8" i="101"/>
  <c r="AI8" i="101"/>
  <c r="AG8" i="101"/>
  <c r="Y8" i="101"/>
  <c r="W8" i="101"/>
  <c r="S8" i="101"/>
  <c r="Q8" i="101"/>
  <c r="O8" i="101"/>
  <c r="M8" i="101"/>
  <c r="K8" i="101"/>
  <c r="I8" i="101"/>
  <c r="G8" i="101"/>
  <c r="E8" i="101"/>
  <c r="C8" i="101"/>
  <c r="I56" i="100"/>
  <c r="H56" i="100"/>
  <c r="F56" i="100"/>
  <c r="E56" i="100"/>
  <c r="B56" i="100"/>
  <c r="C56" i="100"/>
  <c r="J8" i="100"/>
  <c r="G8" i="100"/>
  <c r="D8" i="100"/>
  <c r="J7" i="100"/>
  <c r="G7" i="100"/>
  <c r="D7" i="100"/>
  <c r="J6" i="100"/>
  <c r="G6" i="100"/>
  <c r="D6" i="100"/>
  <c r="J5" i="100"/>
  <c r="G5" i="100"/>
  <c r="D5" i="100"/>
  <c r="E1" i="100"/>
  <c r="C50" i="97"/>
  <c r="C49" i="97"/>
  <c r="C48" i="97"/>
  <c r="C47" i="97"/>
  <c r="C46" i="97"/>
  <c r="C45" i="97"/>
  <c r="C40" i="97"/>
  <c r="C39" i="97"/>
  <c r="C38" i="97"/>
  <c r="C37" i="97"/>
  <c r="C36" i="97"/>
  <c r="C35" i="97"/>
  <c r="C34" i="97"/>
  <c r="C33" i="97"/>
  <c r="C31" i="97"/>
  <c r="C30" i="97"/>
  <c r="C29" i="97"/>
  <c r="C28" i="97"/>
  <c r="C27" i="97"/>
  <c r="C26" i="97"/>
  <c r="C25" i="97"/>
  <c r="C24" i="97"/>
  <c r="C23" i="97"/>
  <c r="C22" i="97"/>
  <c r="C21" i="97"/>
  <c r="C20" i="97"/>
  <c r="C19" i="97"/>
  <c r="C18" i="97"/>
  <c r="C17" i="97"/>
  <c r="C16" i="97"/>
  <c r="C15" i="97"/>
  <c r="C14" i="97"/>
  <c r="C13" i="97"/>
  <c r="C12" i="97"/>
  <c r="C11" i="97"/>
  <c r="C10" i="97"/>
  <c r="C9" i="97"/>
  <c r="C8" i="97"/>
  <c r="C7" i="97"/>
  <c r="F1" i="92"/>
  <c r="P73" i="90"/>
  <c r="W35" i="90"/>
  <c r="J35" i="90" s="1"/>
  <c r="W33" i="90"/>
  <c r="J33" i="90" s="1"/>
  <c r="W32" i="90"/>
  <c r="J32" i="90" s="1"/>
  <c r="W31" i="90"/>
  <c r="J31" i="90" s="1"/>
  <c r="W30" i="90"/>
  <c r="J30" i="90" s="1"/>
  <c r="W28" i="90"/>
  <c r="J28" i="90" s="1"/>
  <c r="W27" i="90"/>
  <c r="J27" i="90" s="1"/>
  <c r="W25" i="90"/>
  <c r="J25" i="90" s="1"/>
  <c r="W24" i="90"/>
  <c r="J24" i="90" s="1"/>
  <c r="W23" i="90"/>
  <c r="J23" i="90" s="1"/>
  <c r="W22" i="90"/>
  <c r="J22" i="90" s="1"/>
  <c r="W21" i="90"/>
  <c r="J21" i="90" s="1"/>
  <c r="W20" i="90"/>
  <c r="W19" i="90"/>
  <c r="J19" i="90" s="1"/>
  <c r="W18" i="90"/>
  <c r="B1042" i="84"/>
  <c r="M1039" i="84"/>
  <c r="K1039" i="84"/>
  <c r="I1039" i="84"/>
  <c r="G1039" i="84"/>
  <c r="B1039" i="84"/>
  <c r="C1019" i="84"/>
  <c r="M1019" i="84" s="1"/>
  <c r="M1004" i="84"/>
  <c r="B1001" i="84"/>
  <c r="M998" i="84"/>
  <c r="K998" i="84"/>
  <c r="I998" i="84"/>
  <c r="G998" i="84"/>
  <c r="E998" i="84"/>
  <c r="B998" i="84"/>
  <c r="C977" i="84"/>
  <c r="E977" i="84" s="1"/>
  <c r="E996" i="84" s="1"/>
  <c r="M963" i="84"/>
  <c r="B960" i="84"/>
  <c r="K957" i="84"/>
  <c r="G957" i="84"/>
  <c r="E957" i="84"/>
  <c r="B957" i="84"/>
  <c r="C936" i="84"/>
  <c r="M922" i="84"/>
  <c r="B918" i="84"/>
  <c r="M915" i="84"/>
  <c r="K915" i="84"/>
  <c r="I915" i="84"/>
  <c r="G915" i="84"/>
  <c r="B915" i="84"/>
  <c r="M895" i="84"/>
  <c r="M914" i="84" s="1"/>
  <c r="K895" i="84"/>
  <c r="K907" i="84" s="1"/>
  <c r="K910" i="84" s="1"/>
  <c r="I895" i="84"/>
  <c r="I914" i="84" s="1"/>
  <c r="G895" i="84"/>
  <c r="B876" i="84"/>
  <c r="M873" i="84"/>
  <c r="K873" i="84"/>
  <c r="I873" i="84"/>
  <c r="G873" i="84"/>
  <c r="B873" i="84"/>
  <c r="C853" i="84"/>
  <c r="K853" i="84" s="1"/>
  <c r="M838" i="84"/>
  <c r="B835" i="84"/>
  <c r="M832" i="84"/>
  <c r="K832" i="84"/>
  <c r="I832" i="84"/>
  <c r="G832" i="84"/>
  <c r="E832" i="84"/>
  <c r="B832" i="84"/>
  <c r="C812" i="84"/>
  <c r="M798" i="84"/>
  <c r="B794" i="84"/>
  <c r="K791" i="84"/>
  <c r="G791" i="84"/>
  <c r="E791" i="84"/>
  <c r="B791" i="84"/>
  <c r="C771" i="84"/>
  <c r="K771" i="84" s="1"/>
  <c r="M757" i="84"/>
  <c r="B753" i="84"/>
  <c r="M743" i="84"/>
  <c r="K743" i="84"/>
  <c r="I743" i="84"/>
  <c r="G743" i="84"/>
  <c r="B743" i="84"/>
  <c r="M723" i="84"/>
  <c r="M735" i="84" s="1"/>
  <c r="M738" i="84" s="1"/>
  <c r="K723" i="84"/>
  <c r="K742" i="84" s="1"/>
  <c r="I723" i="84"/>
  <c r="G723" i="84"/>
  <c r="B704" i="84"/>
  <c r="M701" i="84"/>
  <c r="K701" i="84"/>
  <c r="I701" i="84"/>
  <c r="G701" i="84"/>
  <c r="B701" i="84"/>
  <c r="C681" i="84"/>
  <c r="M666" i="84"/>
  <c r="B663" i="84"/>
  <c r="M660" i="84"/>
  <c r="K660" i="84"/>
  <c r="I660" i="84"/>
  <c r="G660" i="84"/>
  <c r="E660" i="84"/>
  <c r="B660" i="84"/>
  <c r="C639" i="84"/>
  <c r="I639" i="84" s="1"/>
  <c r="M625" i="84"/>
  <c r="B622" i="84"/>
  <c r="K619" i="84"/>
  <c r="G619" i="84"/>
  <c r="E619" i="84"/>
  <c r="B619" i="84"/>
  <c r="C599" i="84"/>
  <c r="K599" i="84" s="1"/>
  <c r="K618" i="84" s="1"/>
  <c r="M585" i="84"/>
  <c r="B581" i="84"/>
  <c r="M571" i="84"/>
  <c r="K571" i="84"/>
  <c r="I571" i="84"/>
  <c r="G571" i="84"/>
  <c r="B571" i="84"/>
  <c r="M551" i="84"/>
  <c r="M570" i="84" s="1"/>
  <c r="K551" i="84"/>
  <c r="I551" i="84"/>
  <c r="I563" i="84" s="1"/>
  <c r="I566" i="84" s="1"/>
  <c r="G551" i="84"/>
  <c r="G563" i="84" s="1"/>
  <c r="G566" i="84" s="1"/>
  <c r="B532" i="84"/>
  <c r="M529" i="84"/>
  <c r="K529" i="84"/>
  <c r="I529" i="84"/>
  <c r="G529" i="84"/>
  <c r="B529" i="84"/>
  <c r="C508" i="84"/>
  <c r="G508" i="84" s="1"/>
  <c r="G527" i="84" s="1"/>
  <c r="M493" i="84"/>
  <c r="B490" i="84"/>
  <c r="M487" i="84"/>
  <c r="K487" i="84"/>
  <c r="I487" i="84"/>
  <c r="G487" i="84"/>
  <c r="E487" i="84"/>
  <c r="B487" i="84"/>
  <c r="C466" i="84"/>
  <c r="M466" i="84" s="1"/>
  <c r="M478" i="84" s="1"/>
  <c r="M481" i="84" s="1"/>
  <c r="M452" i="84"/>
  <c r="B449" i="84"/>
  <c r="B442" i="84"/>
  <c r="C421" i="84"/>
  <c r="M407" i="84"/>
  <c r="B403" i="84"/>
  <c r="M393" i="84"/>
  <c r="K393" i="84"/>
  <c r="I393" i="84"/>
  <c r="G393" i="84"/>
  <c r="B393" i="84"/>
  <c r="M373" i="84"/>
  <c r="M392" i="84" s="1"/>
  <c r="K373" i="84"/>
  <c r="I373" i="84"/>
  <c r="G373" i="84"/>
  <c r="G392" i="84" s="1"/>
  <c r="B354" i="84"/>
  <c r="M351" i="84"/>
  <c r="K351" i="84"/>
  <c r="I351" i="84"/>
  <c r="G351" i="84"/>
  <c r="B351" i="84"/>
  <c r="C330" i="84"/>
  <c r="B312" i="84"/>
  <c r="M309" i="84"/>
  <c r="K309" i="84"/>
  <c r="I309" i="84"/>
  <c r="G309" i="84"/>
  <c r="E309" i="84"/>
  <c r="B309" i="84"/>
  <c r="C288" i="84"/>
  <c r="K288" i="84" s="1"/>
  <c r="K307" i="84" s="1"/>
  <c r="B271" i="84"/>
  <c r="K266" i="84"/>
  <c r="G266" i="84"/>
  <c r="E266" i="84"/>
  <c r="B266" i="84"/>
  <c r="C245" i="84"/>
  <c r="E245" i="84" s="1"/>
  <c r="E257" i="84" s="1"/>
  <c r="E260" i="84" s="1"/>
  <c r="B227" i="84"/>
  <c r="M219" i="84"/>
  <c r="K219" i="84"/>
  <c r="I219" i="84"/>
  <c r="G219" i="84"/>
  <c r="B219" i="84"/>
  <c r="M199" i="84"/>
  <c r="M218" i="84" s="1"/>
  <c r="K199" i="84"/>
  <c r="K218" i="84" s="1"/>
  <c r="I199" i="84"/>
  <c r="G199" i="84"/>
  <c r="M183" i="84"/>
  <c r="M273" i="84" s="1"/>
  <c r="B181" i="84"/>
  <c r="B178" i="84"/>
  <c r="C157" i="84"/>
  <c r="M153" i="84"/>
  <c r="K153" i="84"/>
  <c r="I153" i="84"/>
  <c r="G153" i="84"/>
  <c r="M142" i="84"/>
  <c r="B139" i="84"/>
  <c r="B136" i="84"/>
  <c r="C115" i="84"/>
  <c r="M111" i="84"/>
  <c r="K111" i="84"/>
  <c r="I111" i="84"/>
  <c r="G111" i="84"/>
  <c r="E111" i="84"/>
  <c r="M101" i="84"/>
  <c r="B86" i="84"/>
  <c r="K62" i="84"/>
  <c r="G62" i="84"/>
  <c r="E62" i="84"/>
  <c r="M53" i="84"/>
  <c r="M45" i="84"/>
  <c r="O45" i="84" s="1"/>
  <c r="M14" i="84"/>
  <c r="K14" i="84"/>
  <c r="I14" i="84"/>
  <c r="G14" i="84"/>
  <c r="M2" i="84"/>
  <c r="K12" i="84" s="1"/>
  <c r="K717" i="84" s="1"/>
  <c r="W86" i="90"/>
  <c r="V26" i="58"/>
  <c r="L35" i="8"/>
  <c r="K35" i="8"/>
  <c r="J35" i="8"/>
  <c r="I35" i="8"/>
  <c r="F35" i="8"/>
  <c r="L29" i="8"/>
  <c r="K29" i="8"/>
  <c r="J29" i="8"/>
  <c r="I29" i="8"/>
  <c r="F29" i="8"/>
  <c r="AF27" i="58"/>
  <c r="AF24" i="58"/>
  <c r="Z27" i="58"/>
  <c r="Z24" i="58"/>
  <c r="X24" i="58"/>
  <c r="AE27" i="58"/>
  <c r="AE24" i="58"/>
  <c r="AD27" i="58"/>
  <c r="AD24" i="58"/>
  <c r="AC27" i="58"/>
  <c r="AC24" i="58"/>
  <c r="AB27" i="58"/>
  <c r="AB24" i="58"/>
  <c r="AA24" i="58"/>
  <c r="AA27" i="58"/>
  <c r="X27" i="58"/>
  <c r="W27" i="58"/>
  <c r="W24" i="58"/>
  <c r="U27" i="58"/>
  <c r="U24" i="58"/>
  <c r="T27" i="58"/>
  <c r="T24" i="58"/>
  <c r="S27" i="58"/>
  <c r="S24" i="58"/>
  <c r="Q27" i="58"/>
  <c r="Q24" i="58"/>
  <c r="O27" i="58"/>
  <c r="O24" i="58"/>
  <c r="N27" i="58"/>
  <c r="M27" i="58"/>
  <c r="N24" i="58"/>
  <c r="M24" i="58"/>
  <c r="F8" i="4"/>
  <c r="B1" i="74"/>
  <c r="B24" i="74" s="1"/>
  <c r="H39" i="45"/>
  <c r="S61" i="50"/>
  <c r="B1" i="41"/>
  <c r="M19" i="58"/>
  <c r="N19" i="58"/>
  <c r="N20" i="58"/>
  <c r="N21" i="58"/>
  <c r="N22" i="58"/>
  <c r="N23" i="58"/>
  <c r="N25" i="58"/>
  <c r="N26" i="58"/>
  <c r="O19" i="58"/>
  <c r="P19" i="58"/>
  <c r="Q19" i="58"/>
  <c r="R19" i="58"/>
  <c r="S19" i="58"/>
  <c r="T19" i="58"/>
  <c r="U19" i="58"/>
  <c r="W19" i="58"/>
  <c r="X19" i="58"/>
  <c r="AB19" i="58"/>
  <c r="AC19" i="58"/>
  <c r="AD19" i="58"/>
  <c r="AE19" i="58"/>
  <c r="AF19" i="58"/>
  <c r="M20" i="58"/>
  <c r="O20" i="58"/>
  <c r="P20" i="58"/>
  <c r="Q20" i="58"/>
  <c r="R20" i="58"/>
  <c r="S20" i="58"/>
  <c r="T20" i="58"/>
  <c r="U20" i="58"/>
  <c r="W20" i="58"/>
  <c r="X20" i="58"/>
  <c r="AA20" i="58"/>
  <c r="AB20" i="58"/>
  <c r="AB21" i="58"/>
  <c r="AB23" i="58"/>
  <c r="AB25" i="58"/>
  <c r="AC20" i="58"/>
  <c r="AD20" i="58"/>
  <c r="AE20" i="58"/>
  <c r="AF20" i="58"/>
  <c r="M21" i="58"/>
  <c r="O21" i="58"/>
  <c r="P21" i="58"/>
  <c r="Q21" i="58"/>
  <c r="R21" i="58"/>
  <c r="S21" i="58"/>
  <c r="S23" i="58"/>
  <c r="S25" i="58"/>
  <c r="S26" i="58"/>
  <c r="T21" i="58"/>
  <c r="U21" i="58"/>
  <c r="W21" i="58"/>
  <c r="X21" i="58"/>
  <c r="Z21" i="58"/>
  <c r="AA21" i="58"/>
  <c r="AC21" i="58"/>
  <c r="AD21" i="58"/>
  <c r="AE21" i="58"/>
  <c r="AF21" i="58"/>
  <c r="M22" i="58"/>
  <c r="O22" i="58"/>
  <c r="P22" i="58"/>
  <c r="AC22" i="58"/>
  <c r="AE22" i="58"/>
  <c r="AF22" i="58"/>
  <c r="M23" i="58"/>
  <c r="O23" i="58"/>
  <c r="Q23" i="58"/>
  <c r="R23" i="58"/>
  <c r="T23" i="58"/>
  <c r="U23" i="58"/>
  <c r="W23" i="58"/>
  <c r="X23" i="58"/>
  <c r="AC23" i="58"/>
  <c r="AD23" i="58"/>
  <c r="AE23" i="58"/>
  <c r="AF23" i="58"/>
  <c r="M25" i="58"/>
  <c r="O25" i="58"/>
  <c r="P25" i="58"/>
  <c r="Q25" i="58"/>
  <c r="R25" i="58"/>
  <c r="T25" i="58"/>
  <c r="U25" i="58"/>
  <c r="W25" i="58"/>
  <c r="X25" i="58"/>
  <c r="Y25" i="58"/>
  <c r="Y28" i="58"/>
  <c r="AC25" i="58"/>
  <c r="AD25" i="58"/>
  <c r="AE25" i="58"/>
  <c r="AF25" i="58"/>
  <c r="M26" i="58"/>
  <c r="O26" i="58"/>
  <c r="Q26" i="58"/>
  <c r="T26" i="58"/>
  <c r="AC26" i="58"/>
  <c r="AE26" i="58"/>
  <c r="AF26" i="58"/>
  <c r="AE28" i="58"/>
  <c r="H22" i="31"/>
  <c r="B1" i="30"/>
  <c r="D18" i="21"/>
  <c r="B1" i="65"/>
  <c r="B34" i="71"/>
  <c r="B1" i="61"/>
  <c r="B1" i="14"/>
  <c r="B28" i="14" s="1"/>
  <c r="B1" i="13"/>
  <c r="B29" i="11"/>
  <c r="E29" i="9"/>
  <c r="F29" i="9"/>
  <c r="G29" i="9"/>
  <c r="H29" i="9"/>
  <c r="I29" i="9"/>
  <c r="J29" i="9"/>
  <c r="B7" i="6"/>
  <c r="D7" i="6"/>
  <c r="F7" i="6"/>
  <c r="B92" i="5"/>
  <c r="D92" i="5"/>
  <c r="E92" i="5"/>
  <c r="F92" i="5"/>
  <c r="E19" i="65"/>
  <c r="W91" i="90"/>
  <c r="C3" i="76"/>
  <c r="U46" i="101"/>
  <c r="D21" i="104"/>
  <c r="I33" i="12"/>
  <c r="B3" i="76"/>
  <c r="F19" i="30"/>
  <c r="D29" i="104"/>
  <c r="D25" i="104"/>
  <c r="E34" i="104"/>
  <c r="D20" i="104"/>
  <c r="D12" i="104"/>
  <c r="E26" i="30"/>
  <c r="E28" i="30"/>
  <c r="E24" i="30"/>
  <c r="E17" i="30"/>
  <c r="E22" i="30"/>
  <c r="D3" i="76"/>
  <c r="E27" i="23"/>
  <c r="J23" i="10"/>
  <c r="T9" i="78"/>
  <c r="L49" i="104"/>
  <c r="E31" i="70"/>
  <c r="AV3" i="76"/>
  <c r="F46" i="13" l="1"/>
  <c r="E107" i="50"/>
  <c r="E103" i="50"/>
  <c r="E101" i="50"/>
  <c r="E100" i="50"/>
  <c r="E102" i="50"/>
  <c r="I95" i="50"/>
  <c r="E105" i="50"/>
  <c r="E97" i="50"/>
  <c r="E95" i="50"/>
  <c r="E106" i="50"/>
  <c r="E110" i="50"/>
  <c r="E104" i="50"/>
  <c r="E109" i="50"/>
  <c r="E108" i="50"/>
  <c r="C111" i="50"/>
  <c r="D6" i="31"/>
  <c r="D41" i="10"/>
  <c r="D5" i="10"/>
  <c r="J17" i="112"/>
  <c r="E20" i="19"/>
  <c r="J48" i="104"/>
  <c r="D49" i="5"/>
  <c r="D42" i="97"/>
  <c r="J124" i="104"/>
  <c r="B67" i="50"/>
  <c r="B45" i="50"/>
  <c r="B104" i="50" s="1"/>
  <c r="B46" i="50"/>
  <c r="B97" i="50" s="1"/>
  <c r="E86" i="84"/>
  <c r="C15" i="7"/>
  <c r="C38" i="42"/>
  <c r="D9" i="42" s="1"/>
  <c r="D77" i="90"/>
  <c r="W90" i="90"/>
  <c r="J90" i="90" s="1"/>
  <c r="C16" i="7"/>
  <c r="E136" i="84"/>
  <c r="D92" i="90"/>
  <c r="F92" i="90" s="1"/>
  <c r="H92" i="90" s="1"/>
  <c r="P5" i="106"/>
  <c r="B68" i="4"/>
  <c r="D15" i="90"/>
  <c r="D76" i="50"/>
  <c r="F53" i="50"/>
  <c r="B127" i="4"/>
  <c r="A66" i="104"/>
  <c r="B10" i="4"/>
  <c r="D85" i="90"/>
  <c r="F85" i="90" s="1"/>
  <c r="P85" i="90" s="1"/>
  <c r="B94" i="84"/>
  <c r="B44" i="90"/>
  <c r="B9" i="4"/>
  <c r="S7" i="100"/>
  <c r="U9" i="100"/>
  <c r="T7" i="100"/>
  <c r="T7" i="78"/>
  <c r="D6" i="97"/>
  <c r="AU7" i="78"/>
  <c r="U7" i="100"/>
  <c r="A43" i="5"/>
  <c r="E6" i="97"/>
  <c r="S4" i="106"/>
  <c r="T9" i="100"/>
  <c r="AJ7" i="78"/>
  <c r="D6" i="11"/>
  <c r="D34" i="11" s="1"/>
  <c r="U6" i="100"/>
  <c r="S8" i="100"/>
  <c r="T8" i="100"/>
  <c r="AK7" i="78"/>
  <c r="S6" i="100"/>
  <c r="U8" i="100"/>
  <c r="AP7" i="78"/>
  <c r="AS7" i="78"/>
  <c r="T6" i="100"/>
  <c r="S9" i="100"/>
  <c r="A66" i="5"/>
  <c r="A8" i="4"/>
  <c r="I2" i="84"/>
  <c r="I141" i="84" s="1"/>
  <c r="C42" i="97"/>
  <c r="F33" i="50"/>
  <c r="F35" i="29"/>
  <c r="F25" i="50"/>
  <c r="F48" i="50"/>
  <c r="F47" i="50"/>
  <c r="F68" i="50"/>
  <c r="F35" i="48"/>
  <c r="H66" i="50"/>
  <c r="F39" i="50"/>
  <c r="H18" i="50"/>
  <c r="D34" i="5"/>
  <c r="H64" i="50"/>
  <c r="F67" i="50"/>
  <c r="F19" i="50"/>
  <c r="F43" i="50"/>
  <c r="J1274" i="105"/>
  <c r="K1274" i="105" s="1"/>
  <c r="U7" i="78"/>
  <c r="F21" i="4"/>
  <c r="J674" i="105"/>
  <c r="K674" i="105" s="1"/>
  <c r="J874" i="105"/>
  <c r="L874" i="105" s="1"/>
  <c r="J1130" i="105"/>
  <c r="K1130" i="105" s="1"/>
  <c r="J818" i="105"/>
  <c r="K818" i="105" s="1"/>
  <c r="J1054" i="105"/>
  <c r="K1054" i="105" s="1"/>
  <c r="J614" i="105"/>
  <c r="K614" i="105" s="1"/>
  <c r="AK10" i="78"/>
  <c r="J286" i="105"/>
  <c r="L286" i="105" s="1"/>
  <c r="J670" i="105"/>
  <c r="K670" i="105" s="1"/>
  <c r="J734" i="105"/>
  <c r="K734" i="105" s="1"/>
  <c r="J794" i="105"/>
  <c r="L794" i="105" s="1"/>
  <c r="J838" i="105"/>
  <c r="L838" i="105" s="1"/>
  <c r="J950" i="105"/>
  <c r="L950" i="105" s="1"/>
  <c r="J994" i="105"/>
  <c r="L994" i="105" s="1"/>
  <c r="J1150" i="105"/>
  <c r="L1150" i="105" s="1"/>
  <c r="J742" i="105"/>
  <c r="K742" i="105" s="1"/>
  <c r="J746" i="105"/>
  <c r="L746" i="105" s="1"/>
  <c r="J754" i="105"/>
  <c r="K754" i="105" s="1"/>
  <c r="J758" i="105"/>
  <c r="K758" i="105" s="1"/>
  <c r="J770" i="105"/>
  <c r="L770" i="105" s="1"/>
  <c r="J866" i="105"/>
  <c r="L866" i="105" s="1"/>
  <c r="J1010" i="105"/>
  <c r="K1010" i="105" s="1"/>
  <c r="J1138" i="105"/>
  <c r="K1138" i="105" s="1"/>
  <c r="J1154" i="105"/>
  <c r="K1154" i="105" s="1"/>
  <c r="J1162" i="105"/>
  <c r="K1162" i="105" s="1"/>
  <c r="J1186" i="105"/>
  <c r="L1186" i="105" s="1"/>
  <c r="J1190" i="105"/>
  <c r="L1190" i="105" s="1"/>
  <c r="J1198" i="105"/>
  <c r="K1198" i="105" s="1"/>
  <c r="J946" i="105"/>
  <c r="L946" i="105" s="1"/>
  <c r="J958" i="105"/>
  <c r="L958" i="105" s="1"/>
  <c r="J514" i="105"/>
  <c r="L514" i="105" s="1"/>
  <c r="J542" i="105"/>
  <c r="K542" i="105" s="1"/>
  <c r="J610" i="105"/>
  <c r="K610" i="105" s="1"/>
  <c r="J634" i="105"/>
  <c r="K634" i="105" s="1"/>
  <c r="J694" i="105"/>
  <c r="L694" i="105" s="1"/>
  <c r="J706" i="105"/>
  <c r="K706" i="105" s="1"/>
  <c r="J710" i="105"/>
  <c r="K710" i="105" s="1"/>
  <c r="J718" i="105"/>
  <c r="K718" i="105" s="1"/>
  <c r="J730" i="105"/>
  <c r="K730" i="105" s="1"/>
  <c r="J962" i="105"/>
  <c r="L962" i="105" s="1"/>
  <c r="J970" i="105"/>
  <c r="L970" i="105" s="1"/>
  <c r="J518" i="105"/>
  <c r="K518" i="105" s="1"/>
  <c r="J1018" i="105"/>
  <c r="K1018" i="105" s="1"/>
  <c r="J1078" i="105"/>
  <c r="L1078" i="105" s="1"/>
  <c r="J1210" i="105"/>
  <c r="L1210" i="105" s="1"/>
  <c r="J1214" i="105"/>
  <c r="L1214" i="105" s="1"/>
  <c r="J1226" i="105"/>
  <c r="L1226" i="105" s="1"/>
  <c r="J1234" i="105"/>
  <c r="L1234" i="105" s="1"/>
  <c r="J1238" i="105"/>
  <c r="L1238" i="105" s="1"/>
  <c r="J1246" i="105"/>
  <c r="K1246" i="105" s="1"/>
  <c r="J1250" i="105"/>
  <c r="L1250" i="105" s="1"/>
  <c r="J1258" i="105"/>
  <c r="L1258" i="105" s="1"/>
  <c r="J1166" i="105"/>
  <c r="K1166" i="105" s="1"/>
  <c r="J1262" i="105"/>
  <c r="K1262" i="105" s="1"/>
  <c r="J1082" i="105"/>
  <c r="L1082" i="105" s="1"/>
  <c r="J1202" i="105"/>
  <c r="K1202" i="105" s="1"/>
  <c r="J1270" i="105"/>
  <c r="K1270" i="105" s="1"/>
  <c r="J1282" i="105"/>
  <c r="L1282" i="105" s="1"/>
  <c r="J778" i="105"/>
  <c r="K778" i="105" s="1"/>
  <c r="J974" i="105"/>
  <c r="L974" i="105" s="1"/>
  <c r="J1286" i="105"/>
  <c r="L1286" i="105" s="1"/>
  <c r="J1294" i="105"/>
  <c r="L1294" i="105" s="1"/>
  <c r="J722" i="105"/>
  <c r="K722" i="105" s="1"/>
  <c r="J766" i="105"/>
  <c r="K766" i="105" s="1"/>
  <c r="J1030" i="105"/>
  <c r="K1030" i="105" s="1"/>
  <c r="J1298" i="105"/>
  <c r="K1298" i="105" s="1"/>
  <c r="J842" i="105"/>
  <c r="K842" i="105" s="1"/>
  <c r="J1034" i="105"/>
  <c r="K1034" i="105" s="1"/>
  <c r="J1090" i="105"/>
  <c r="L1090" i="105" s="1"/>
  <c r="J1306" i="105"/>
  <c r="K1306" i="105" s="1"/>
  <c r="J1310" i="105"/>
  <c r="L1310" i="105" s="1"/>
  <c r="J782" i="105"/>
  <c r="K782" i="105" s="1"/>
  <c r="J410" i="105"/>
  <c r="L410" i="105" s="1"/>
  <c r="J470" i="105"/>
  <c r="L470" i="105" s="1"/>
  <c r="J554" i="105"/>
  <c r="K554" i="105" s="1"/>
  <c r="J574" i="105"/>
  <c r="L574" i="105" s="1"/>
  <c r="J638" i="105"/>
  <c r="L638" i="105" s="1"/>
  <c r="J650" i="105"/>
  <c r="K650" i="105" s="1"/>
  <c r="J658" i="105"/>
  <c r="K658" i="105" s="1"/>
  <c r="J662" i="105"/>
  <c r="K662" i="105" s="1"/>
  <c r="J698" i="105"/>
  <c r="K698" i="105" s="1"/>
  <c r="J826" i="105"/>
  <c r="L826" i="105" s="1"/>
  <c r="J898" i="105"/>
  <c r="L898" i="105" s="1"/>
  <c r="J998" i="105"/>
  <c r="L998" i="105" s="1"/>
  <c r="J1006" i="105"/>
  <c r="L1006" i="105" s="1"/>
  <c r="J1022" i="105"/>
  <c r="K1022" i="105" s="1"/>
  <c r="J1058" i="105"/>
  <c r="K1058" i="105" s="1"/>
  <c r="J1066" i="105"/>
  <c r="K1066" i="105" s="1"/>
  <c r="J1094" i="105"/>
  <c r="K1094" i="105" s="1"/>
  <c r="J1102" i="105"/>
  <c r="K1102" i="105" s="1"/>
  <c r="J1106" i="105"/>
  <c r="K1106" i="105" s="1"/>
  <c r="J1114" i="105"/>
  <c r="K1114" i="105" s="1"/>
  <c r="J1118" i="105"/>
  <c r="K1118" i="105" s="1"/>
  <c r="J1126" i="105"/>
  <c r="K1126" i="105" s="1"/>
  <c r="J1142" i="105"/>
  <c r="K1142" i="105" s="1"/>
  <c r="J1174" i="105"/>
  <c r="K1174" i="105" s="1"/>
  <c r="J358" i="105"/>
  <c r="K358" i="105" s="1"/>
  <c r="J446" i="105"/>
  <c r="L446" i="105" s="1"/>
  <c r="J682" i="105"/>
  <c r="K682" i="105" s="1"/>
  <c r="J686" i="105"/>
  <c r="K686" i="105" s="1"/>
  <c r="J790" i="105"/>
  <c r="K790" i="105" s="1"/>
  <c r="J802" i="105"/>
  <c r="K802" i="105" s="1"/>
  <c r="J806" i="105"/>
  <c r="L806" i="105" s="1"/>
  <c r="J814" i="105"/>
  <c r="K814" i="105" s="1"/>
  <c r="J830" i="105"/>
  <c r="K830" i="105" s="1"/>
  <c r="J850" i="105"/>
  <c r="L850" i="105" s="1"/>
  <c r="J854" i="105"/>
  <c r="K854" i="105" s="1"/>
  <c r="J862" i="105"/>
  <c r="L862" i="105" s="1"/>
  <c r="J878" i="105"/>
  <c r="K878" i="105" s="1"/>
  <c r="J886" i="105"/>
  <c r="K886" i="105" s="1"/>
  <c r="J890" i="105"/>
  <c r="K890" i="105" s="1"/>
  <c r="J902" i="105"/>
  <c r="L902" i="105" s="1"/>
  <c r="J910" i="105"/>
  <c r="L910" i="105" s="1"/>
  <c r="J914" i="105"/>
  <c r="L914" i="105" s="1"/>
  <c r="J922" i="105"/>
  <c r="L922" i="105" s="1"/>
  <c r="J926" i="105"/>
  <c r="K926" i="105" s="1"/>
  <c r="J934" i="105"/>
  <c r="L934" i="105" s="1"/>
  <c r="J938" i="105"/>
  <c r="L938" i="105" s="1"/>
  <c r="J982" i="105"/>
  <c r="L982" i="105" s="1"/>
  <c r="J986" i="105"/>
  <c r="L986" i="105" s="1"/>
  <c r="J1042" i="105"/>
  <c r="K1042" i="105" s="1"/>
  <c r="J1046" i="105"/>
  <c r="K1046" i="105" s="1"/>
  <c r="J1070" i="105"/>
  <c r="K1070" i="105" s="1"/>
  <c r="J1178" i="105"/>
  <c r="L1178" i="105" s="1"/>
  <c r="J386" i="105"/>
  <c r="K386" i="105" s="1"/>
  <c r="J1318" i="105"/>
  <c r="L1318" i="105" s="1"/>
  <c r="J1322" i="105"/>
  <c r="K1322" i="105" s="1"/>
  <c r="J1330" i="105"/>
  <c r="K1330" i="105" s="1"/>
  <c r="J1334" i="105"/>
  <c r="K1334" i="105" s="1"/>
  <c r="J1222" i="105"/>
  <c r="L1222" i="105" s="1"/>
  <c r="J1342" i="105"/>
  <c r="K1342" i="105" s="1"/>
  <c r="J1346" i="105"/>
  <c r="L1346" i="105" s="1"/>
  <c r="L36" i="90"/>
  <c r="L30" i="90" s="1"/>
  <c r="B186" i="84"/>
  <c r="B495" i="84"/>
  <c r="B840" i="84"/>
  <c r="W85" i="90"/>
  <c r="J85" i="90" s="1"/>
  <c r="B317" i="84"/>
  <c r="G86" i="84"/>
  <c r="C21" i="74"/>
  <c r="D9" i="74" s="1"/>
  <c r="M39" i="84"/>
  <c r="R93" i="90"/>
  <c r="J236" i="105"/>
  <c r="K236" i="105" s="1"/>
  <c r="J244" i="105"/>
  <c r="K244" i="105" s="1"/>
  <c r="J404" i="105"/>
  <c r="K404" i="105" s="1"/>
  <c r="J584" i="105"/>
  <c r="K584" i="105" s="1"/>
  <c r="J736" i="105"/>
  <c r="K736" i="105" s="1"/>
  <c r="J820" i="105"/>
  <c r="K820" i="105" s="1"/>
  <c r="J824" i="105"/>
  <c r="L824" i="105" s="1"/>
  <c r="J860" i="105"/>
  <c r="K860" i="105" s="1"/>
  <c r="J908" i="105"/>
  <c r="K908" i="105" s="1"/>
  <c r="J1052" i="105"/>
  <c r="K1052" i="105" s="1"/>
  <c r="J1136" i="105"/>
  <c r="K1136" i="105" s="1"/>
  <c r="J1168" i="105"/>
  <c r="K1168" i="105" s="1"/>
  <c r="J1180" i="105"/>
  <c r="K1180" i="105" s="1"/>
  <c r="J1196" i="105"/>
  <c r="K1196" i="105" s="1"/>
  <c r="J1204" i="105"/>
  <c r="K1204" i="105" s="1"/>
  <c r="J1208" i="105"/>
  <c r="K1208" i="105" s="1"/>
  <c r="J1216" i="105"/>
  <c r="K1216" i="105" s="1"/>
  <c r="J1228" i="105"/>
  <c r="L1228" i="105" s="1"/>
  <c r="J1232" i="105"/>
  <c r="L1232" i="105" s="1"/>
  <c r="J1244" i="105"/>
  <c r="K1244" i="105" s="1"/>
  <c r="J1252" i="105"/>
  <c r="L1252" i="105" s="1"/>
  <c r="J1256" i="105"/>
  <c r="L1256" i="105" s="1"/>
  <c r="J1268" i="105"/>
  <c r="K1268" i="105" s="1"/>
  <c r="J1280" i="105"/>
  <c r="L1280" i="105" s="1"/>
  <c r="J1288" i="105"/>
  <c r="L1288" i="105" s="1"/>
  <c r="J1292" i="105"/>
  <c r="K1292" i="105" s="1"/>
  <c r="J1304" i="105"/>
  <c r="K1304" i="105" s="1"/>
  <c r="J1316" i="105"/>
  <c r="L1316" i="105" s="1"/>
  <c r="J1324" i="105"/>
  <c r="K1324" i="105" s="1"/>
  <c r="J1328" i="105"/>
  <c r="K1328" i="105" s="1"/>
  <c r="J1336" i="105"/>
  <c r="K1336" i="105" s="1"/>
  <c r="P36" i="90"/>
  <c r="P24" i="90" s="1"/>
  <c r="H37" i="50"/>
  <c r="J115" i="105"/>
  <c r="K115" i="105" s="1"/>
  <c r="J131" i="105"/>
  <c r="K131" i="105" s="1"/>
  <c r="J163" i="105"/>
  <c r="L163" i="105" s="1"/>
  <c r="J167" i="105"/>
  <c r="K167" i="105" s="1"/>
  <c r="J179" i="105"/>
  <c r="L179" i="105" s="1"/>
  <c r="J183" i="105"/>
  <c r="K183" i="105" s="1"/>
  <c r="J195" i="105"/>
  <c r="L195" i="105" s="1"/>
  <c r="J203" i="105"/>
  <c r="K203" i="105" s="1"/>
  <c r="J211" i="105"/>
  <c r="L211" i="105" s="1"/>
  <c r="J231" i="105"/>
  <c r="K231" i="105" s="1"/>
  <c r="J235" i="105"/>
  <c r="K235" i="105" s="1"/>
  <c r="J239" i="105"/>
  <c r="K239" i="105" s="1"/>
  <c r="J243" i="105"/>
  <c r="L243" i="105" s="1"/>
  <c r="J247" i="105"/>
  <c r="L247" i="105" s="1"/>
  <c r="J255" i="105"/>
  <c r="K255" i="105" s="1"/>
  <c r="J271" i="105"/>
  <c r="K271" i="105" s="1"/>
  <c r="J291" i="105"/>
  <c r="L291" i="105" s="1"/>
  <c r="J295" i="105"/>
  <c r="K295" i="105" s="1"/>
  <c r="J299" i="105"/>
  <c r="K299" i="105" s="1"/>
  <c r="J307" i="105"/>
  <c r="K307" i="105" s="1"/>
  <c r="J311" i="105"/>
  <c r="K311" i="105" s="1"/>
  <c r="J315" i="105"/>
  <c r="K315" i="105" s="1"/>
  <c r="J323" i="105"/>
  <c r="K323" i="105" s="1"/>
  <c r="J327" i="105"/>
  <c r="K327" i="105" s="1"/>
  <c r="J331" i="105"/>
  <c r="K331" i="105" s="1"/>
  <c r="J339" i="105"/>
  <c r="K339" i="105" s="1"/>
  <c r="J343" i="105"/>
  <c r="K343" i="105" s="1"/>
  <c r="J355" i="105"/>
  <c r="L355" i="105" s="1"/>
  <c r="J359" i="105"/>
  <c r="K359" i="105" s="1"/>
  <c r="J363" i="105"/>
  <c r="K363" i="105" s="1"/>
  <c r="J367" i="105"/>
  <c r="K367" i="105" s="1"/>
  <c r="J375" i="105"/>
  <c r="K375" i="105" s="1"/>
  <c r="J379" i="105"/>
  <c r="K379" i="105" s="1"/>
  <c r="J383" i="105"/>
  <c r="K383" i="105" s="1"/>
  <c r="J387" i="105"/>
  <c r="K387" i="105" s="1"/>
  <c r="J391" i="105"/>
  <c r="K391" i="105" s="1"/>
  <c r="J395" i="105"/>
  <c r="K395" i="105" s="1"/>
  <c r="J399" i="105"/>
  <c r="K399" i="105" s="1"/>
  <c r="J403" i="105"/>
  <c r="K403" i="105" s="1"/>
  <c r="J407" i="105"/>
  <c r="K407" i="105" s="1"/>
  <c r="J411" i="105"/>
  <c r="K411" i="105" s="1"/>
  <c r="J415" i="105"/>
  <c r="K415" i="105" s="1"/>
  <c r="J435" i="105"/>
  <c r="K435" i="105" s="1"/>
  <c r="J447" i="105"/>
  <c r="K447" i="105" s="1"/>
  <c r="J451" i="105"/>
  <c r="K451" i="105" s="1"/>
  <c r="J455" i="105"/>
  <c r="K455" i="105" s="1"/>
  <c r="J459" i="105"/>
  <c r="K459" i="105" s="1"/>
  <c r="J471" i="105"/>
  <c r="L471" i="105" s="1"/>
  <c r="J475" i="105"/>
  <c r="L475" i="105" s="1"/>
  <c r="J499" i="105"/>
  <c r="K499" i="105" s="1"/>
  <c r="J503" i="105"/>
  <c r="L503" i="105" s="1"/>
  <c r="J507" i="105"/>
  <c r="K507" i="105" s="1"/>
  <c r="J519" i="105"/>
  <c r="K519" i="105" s="1"/>
  <c r="J523" i="105"/>
  <c r="K523" i="105" s="1"/>
  <c r="J527" i="105"/>
  <c r="K527" i="105" s="1"/>
  <c r="J531" i="105"/>
  <c r="K531" i="105" s="1"/>
  <c r="J535" i="105"/>
  <c r="K535" i="105" s="1"/>
  <c r="J539" i="105"/>
  <c r="K539" i="105" s="1"/>
  <c r="J547" i="105"/>
  <c r="L547" i="105" s="1"/>
  <c r="J551" i="105"/>
  <c r="K551" i="105" s="1"/>
  <c r="J563" i="105"/>
  <c r="K563" i="105" s="1"/>
  <c r="J579" i="105"/>
  <c r="L579" i="105" s="1"/>
  <c r="J583" i="105"/>
  <c r="K583" i="105" s="1"/>
  <c r="J603" i="105"/>
  <c r="L603" i="105" s="1"/>
  <c r="J607" i="105"/>
  <c r="L607" i="105" s="1"/>
  <c r="J615" i="105"/>
  <c r="L615" i="105" s="1"/>
  <c r="J627" i="105"/>
  <c r="K627" i="105" s="1"/>
  <c r="J631" i="105"/>
  <c r="K631" i="105" s="1"/>
  <c r="J643" i="105"/>
  <c r="K643" i="105" s="1"/>
  <c r="J651" i="105"/>
  <c r="K651" i="105" s="1"/>
  <c r="J659" i="105"/>
  <c r="K659" i="105" s="1"/>
  <c r="J663" i="105"/>
  <c r="K663" i="105" s="1"/>
  <c r="J667" i="105"/>
  <c r="L667" i="105" s="1"/>
  <c r="J671" i="105"/>
  <c r="K671" i="105" s="1"/>
  <c r="J675" i="105"/>
  <c r="K675" i="105" s="1"/>
  <c r="J707" i="105"/>
  <c r="L707" i="105" s="1"/>
  <c r="J711" i="105"/>
  <c r="L711" i="105" s="1"/>
  <c r="J715" i="105"/>
  <c r="L715" i="105" s="1"/>
  <c r="W92" i="90"/>
  <c r="J92" i="90" s="1"/>
  <c r="F36" i="30"/>
  <c r="M178" i="84"/>
  <c r="C27" i="7"/>
  <c r="J719" i="105"/>
  <c r="L719" i="105" s="1"/>
  <c r="J723" i="105"/>
  <c r="L723" i="105" s="1"/>
  <c r="J727" i="105"/>
  <c r="L727" i="105" s="1"/>
  <c r="J731" i="105"/>
  <c r="K731" i="105" s="1"/>
  <c r="J735" i="105"/>
  <c r="K735" i="105" s="1"/>
  <c r="J739" i="105"/>
  <c r="K739" i="105" s="1"/>
  <c r="J747" i="105"/>
  <c r="K747" i="105" s="1"/>
  <c r="J751" i="105"/>
  <c r="K751" i="105" s="1"/>
  <c r="J759" i="105"/>
  <c r="L759" i="105" s="1"/>
  <c r="J763" i="105"/>
  <c r="K763" i="105" s="1"/>
  <c r="J771" i="105"/>
  <c r="K771" i="105" s="1"/>
  <c r="J775" i="105"/>
  <c r="K775" i="105" s="1"/>
  <c r="J783" i="105"/>
  <c r="K783" i="105" s="1"/>
  <c r="J807" i="105"/>
  <c r="K807" i="105" s="1"/>
  <c r="J811" i="105"/>
  <c r="K811" i="105" s="1"/>
  <c r="J819" i="105"/>
  <c r="L819" i="105" s="1"/>
  <c r="J823" i="105"/>
  <c r="L823" i="105" s="1"/>
  <c r="J867" i="105"/>
  <c r="L867" i="105" s="1"/>
  <c r="J871" i="105"/>
  <c r="L871" i="105" s="1"/>
  <c r="J883" i="105"/>
  <c r="L883" i="105" s="1"/>
  <c r="J891" i="105"/>
  <c r="L891" i="105" s="1"/>
  <c r="J895" i="105"/>
  <c r="K895" i="105" s="1"/>
  <c r="J903" i="105"/>
  <c r="K903" i="105" s="1"/>
  <c r="J907" i="105"/>
  <c r="K907" i="105" s="1"/>
  <c r="J915" i="105"/>
  <c r="K915" i="105" s="1"/>
  <c r="J919" i="105"/>
  <c r="K919" i="105" s="1"/>
  <c r="J927" i="105"/>
  <c r="K927" i="105" s="1"/>
  <c r="J931" i="105"/>
  <c r="L931" i="105" s="1"/>
  <c r="J939" i="105"/>
  <c r="L939" i="105" s="1"/>
  <c r="J943" i="105"/>
  <c r="L943" i="105" s="1"/>
  <c r="J951" i="105"/>
  <c r="K951" i="105" s="1"/>
  <c r="J955" i="105"/>
  <c r="K955" i="105" s="1"/>
  <c r="J963" i="105"/>
  <c r="K963" i="105" s="1"/>
  <c r="J967" i="105"/>
  <c r="K967" i="105" s="1"/>
  <c r="J975" i="105"/>
  <c r="L975" i="105" s="1"/>
  <c r="J979" i="105"/>
  <c r="K979" i="105" s="1"/>
  <c r="J987" i="105"/>
  <c r="L987" i="105" s="1"/>
  <c r="J991" i="105"/>
  <c r="K991" i="105" s="1"/>
  <c r="J999" i="105"/>
  <c r="K999" i="105" s="1"/>
  <c r="J1003" i="105"/>
  <c r="L1003" i="105" s="1"/>
  <c r="J1011" i="105"/>
  <c r="K1011" i="105" s="1"/>
  <c r="J1015" i="105"/>
  <c r="K1015" i="105" s="1"/>
  <c r="J1023" i="105"/>
  <c r="K1023" i="105" s="1"/>
  <c r="J1035" i="105"/>
  <c r="K1035" i="105" s="1"/>
  <c r="J1039" i="105"/>
  <c r="K1039" i="105" s="1"/>
  <c r="J1059" i="105"/>
  <c r="K1059" i="105" s="1"/>
  <c r="J1075" i="105"/>
  <c r="K1075" i="105" s="1"/>
  <c r="J1083" i="105"/>
  <c r="K1083" i="105" s="1"/>
  <c r="J1087" i="105"/>
  <c r="K1087" i="105" s="1"/>
  <c r="J1123" i="105"/>
  <c r="K1123" i="105" s="1"/>
  <c r="J1155" i="105"/>
  <c r="K1155" i="105" s="1"/>
  <c r="J1159" i="105"/>
  <c r="K1159" i="105" s="1"/>
  <c r="J1163" i="105"/>
  <c r="K1163" i="105" s="1"/>
  <c r="J1167" i="105"/>
  <c r="K1167" i="105" s="1"/>
  <c r="J1171" i="105"/>
  <c r="K1171" i="105" s="1"/>
  <c r="J1179" i="105"/>
  <c r="K1179" i="105" s="1"/>
  <c r="J1191" i="105"/>
  <c r="K1191" i="105" s="1"/>
  <c r="J1195" i="105"/>
  <c r="K1195" i="105" s="1"/>
  <c r="J1203" i="105"/>
  <c r="K1203" i="105" s="1"/>
  <c r="J1207" i="105"/>
  <c r="K1207" i="105" s="1"/>
  <c r="J1215" i="105"/>
  <c r="K1215" i="105" s="1"/>
  <c r="J1219" i="105"/>
  <c r="K1219" i="105" s="1"/>
  <c r="J1227" i="105"/>
  <c r="K1227" i="105" s="1"/>
  <c r="J1231" i="105"/>
  <c r="K1231" i="105" s="1"/>
  <c r="J1239" i="105"/>
  <c r="K1239" i="105" s="1"/>
  <c r="J1243" i="105"/>
  <c r="K1243" i="105" s="1"/>
  <c r="J1251" i="105"/>
  <c r="K1251" i="105" s="1"/>
  <c r="J1255" i="105"/>
  <c r="K1255" i="105" s="1"/>
  <c r="J1263" i="105"/>
  <c r="K1263" i="105" s="1"/>
  <c r="J1267" i="105"/>
  <c r="K1267" i="105" s="1"/>
  <c r="J1275" i="105"/>
  <c r="K1275" i="105" s="1"/>
  <c r="J1279" i="105"/>
  <c r="L1279" i="105" s="1"/>
  <c r="J1287" i="105"/>
  <c r="L1287" i="105" s="1"/>
  <c r="J1291" i="105"/>
  <c r="L1291" i="105" s="1"/>
  <c r="J1299" i="105"/>
  <c r="L1299" i="105" s="1"/>
  <c r="J1303" i="105"/>
  <c r="K1303" i="105" s="1"/>
  <c r="J1311" i="105"/>
  <c r="K1311" i="105" s="1"/>
  <c r="J1315" i="105"/>
  <c r="K1315" i="105" s="1"/>
  <c r="J1323" i="105"/>
  <c r="K1323" i="105" s="1"/>
  <c r="J1327" i="105"/>
  <c r="K1327" i="105" s="1"/>
  <c r="J1335" i="105"/>
  <c r="K1335" i="105" s="1"/>
  <c r="J1339" i="105"/>
  <c r="L1339" i="105" s="1"/>
  <c r="J32" i="105"/>
  <c r="K32" i="105" s="1"/>
  <c r="J156" i="104"/>
  <c r="E162" i="104" s="1"/>
  <c r="M7" i="78"/>
  <c r="B11" i="4"/>
  <c r="Z7" i="78"/>
  <c r="J38" i="104"/>
  <c r="J484" i="105"/>
  <c r="K484" i="105" s="1"/>
  <c r="J488" i="105"/>
  <c r="K488" i="105" s="1"/>
  <c r="J496" i="105"/>
  <c r="K496" i="105" s="1"/>
  <c r="I17" i="93"/>
  <c r="I21" i="93" s="1"/>
  <c r="E33" i="39" s="1"/>
  <c r="I60" i="93"/>
  <c r="I64" i="93" s="1"/>
  <c r="E37" i="39" s="1"/>
  <c r="M211" i="84"/>
  <c r="M214" i="84" s="1"/>
  <c r="J25" i="104"/>
  <c r="H34" i="26" s="1"/>
  <c r="I38" i="93"/>
  <c r="I42" i="93" s="1"/>
  <c r="E35" i="39" s="1"/>
  <c r="J29" i="104"/>
  <c r="G24" i="50"/>
  <c r="K977" i="84"/>
  <c r="K989" i="84" s="1"/>
  <c r="K992" i="84" s="1"/>
  <c r="J548" i="105"/>
  <c r="L548" i="105" s="1"/>
  <c r="J604" i="105"/>
  <c r="K604" i="105" s="1"/>
  <c r="J632" i="105"/>
  <c r="K632" i="105" s="1"/>
  <c r="J640" i="105"/>
  <c r="K640" i="105" s="1"/>
  <c r="J664" i="105"/>
  <c r="K664" i="105" s="1"/>
  <c r="J668" i="105"/>
  <c r="L668" i="105" s="1"/>
  <c r="J692" i="105"/>
  <c r="K692" i="105" s="1"/>
  <c r="J704" i="105"/>
  <c r="K704" i="105" s="1"/>
  <c r="J712" i="105"/>
  <c r="K712" i="105" s="1"/>
  <c r="J716" i="105"/>
  <c r="K716" i="105" s="1"/>
  <c r="J752" i="105"/>
  <c r="K752" i="105" s="1"/>
  <c r="J760" i="105"/>
  <c r="K760" i="105" s="1"/>
  <c r="J772" i="105"/>
  <c r="K772" i="105" s="1"/>
  <c r="J776" i="105"/>
  <c r="K776" i="105" s="1"/>
  <c r="J788" i="105"/>
  <c r="K788" i="105" s="1"/>
  <c r="J800" i="105"/>
  <c r="K800" i="105" s="1"/>
  <c r="J808" i="105"/>
  <c r="K808" i="105" s="1"/>
  <c r="J832" i="105"/>
  <c r="L832" i="105" s="1"/>
  <c r="J836" i="105"/>
  <c r="K836" i="105" s="1"/>
  <c r="J844" i="105"/>
  <c r="K844" i="105" s="1"/>
  <c r="J848" i="105"/>
  <c r="K848" i="105" s="1"/>
  <c r="J95" i="105"/>
  <c r="K95" i="105" s="1"/>
  <c r="J103" i="105"/>
  <c r="K103" i="105" s="1"/>
  <c r="J143" i="105"/>
  <c r="K143" i="105" s="1"/>
  <c r="J207" i="105"/>
  <c r="K207" i="105" s="1"/>
  <c r="J279" i="105"/>
  <c r="K279" i="105" s="1"/>
  <c r="J283" i="105"/>
  <c r="K283" i="105" s="1"/>
  <c r="J303" i="105"/>
  <c r="K303" i="105" s="1"/>
  <c r="J335" i="105"/>
  <c r="K335" i="105" s="1"/>
  <c r="J419" i="105"/>
  <c r="K419" i="105" s="1"/>
  <c r="J423" i="105"/>
  <c r="L423" i="105" s="1"/>
  <c r="J427" i="105"/>
  <c r="L427" i="105" s="1"/>
  <c r="J463" i="105"/>
  <c r="K463" i="105" s="1"/>
  <c r="J483" i="105"/>
  <c r="K483" i="105" s="1"/>
  <c r="J487" i="105"/>
  <c r="K487" i="105" s="1"/>
  <c r="J491" i="105"/>
  <c r="K491" i="105" s="1"/>
  <c r="J495" i="105"/>
  <c r="K495" i="105" s="1"/>
  <c r="J511" i="105"/>
  <c r="K511" i="105" s="1"/>
  <c r="J555" i="105"/>
  <c r="K555" i="105" s="1"/>
  <c r="J567" i="105"/>
  <c r="K567" i="105" s="1"/>
  <c r="J571" i="105"/>
  <c r="L571" i="105" s="1"/>
  <c r="J575" i="105"/>
  <c r="K575" i="105" s="1"/>
  <c r="J591" i="105"/>
  <c r="L591" i="105" s="1"/>
  <c r="J611" i="105"/>
  <c r="L611" i="105" s="1"/>
  <c r="J619" i="105"/>
  <c r="K619" i="105" s="1"/>
  <c r="J655" i="105"/>
  <c r="K655" i="105" s="1"/>
  <c r="J679" i="105"/>
  <c r="L679" i="105" s="1"/>
  <c r="J687" i="105"/>
  <c r="K687" i="105" s="1"/>
  <c r="J699" i="105"/>
  <c r="L699" i="105" s="1"/>
  <c r="J703" i="105"/>
  <c r="K703" i="105" s="1"/>
  <c r="J787" i="105"/>
  <c r="K787" i="105" s="1"/>
  <c r="J795" i="105"/>
  <c r="L795" i="105" s="1"/>
  <c r="J799" i="105"/>
  <c r="K799" i="105" s="1"/>
  <c r="J831" i="105"/>
  <c r="L831" i="105" s="1"/>
  <c r="J835" i="105"/>
  <c r="L835" i="105" s="1"/>
  <c r="J843" i="105"/>
  <c r="L843" i="105" s="1"/>
  <c r="J847" i="105"/>
  <c r="L847" i="105" s="1"/>
  <c r="J851" i="105"/>
  <c r="L851" i="105" s="1"/>
  <c r="J855" i="105"/>
  <c r="L855" i="105" s="1"/>
  <c r="J859" i="105"/>
  <c r="K859" i="105" s="1"/>
  <c r="J879" i="105"/>
  <c r="K879" i="105" s="1"/>
  <c r="J1047" i="105"/>
  <c r="K1047" i="105" s="1"/>
  <c r="J1051" i="105"/>
  <c r="L1051" i="105" s="1"/>
  <c r="J1063" i="105"/>
  <c r="K1063" i="105" s="1"/>
  <c r="J1071" i="105"/>
  <c r="K1071" i="105" s="1"/>
  <c r="J1099" i="105"/>
  <c r="L1099" i="105" s="1"/>
  <c r="J1107" i="105"/>
  <c r="K1107" i="105" s="1"/>
  <c r="J1111" i="105"/>
  <c r="K1111" i="105" s="1"/>
  <c r="J1119" i="105"/>
  <c r="L1119" i="105" s="1"/>
  <c r="J1131" i="105"/>
  <c r="L1131" i="105" s="1"/>
  <c r="J1135" i="105"/>
  <c r="K1135" i="105" s="1"/>
  <c r="J1143" i="105"/>
  <c r="K1143" i="105" s="1"/>
  <c r="J1147" i="105"/>
  <c r="L1147" i="105" s="1"/>
  <c r="J1183" i="105"/>
  <c r="L1183" i="105" s="1"/>
  <c r="J56" i="105"/>
  <c r="L56" i="105" s="1"/>
  <c r="J100" i="105"/>
  <c r="K100" i="105" s="1"/>
  <c r="J116" i="105"/>
  <c r="K116" i="105" s="1"/>
  <c r="J188" i="105"/>
  <c r="L188" i="105" s="1"/>
  <c r="J212" i="105"/>
  <c r="L212" i="105" s="1"/>
  <c r="J220" i="105"/>
  <c r="K220" i="105" s="1"/>
  <c r="J256" i="105"/>
  <c r="L256" i="105" s="1"/>
  <c r="J352" i="105"/>
  <c r="L352" i="105" s="1"/>
  <c r="J380" i="105"/>
  <c r="L380" i="105" s="1"/>
  <c r="J392" i="105"/>
  <c r="K392" i="105" s="1"/>
  <c r="J424" i="105"/>
  <c r="K424" i="105" s="1"/>
  <c r="J440" i="105"/>
  <c r="K440" i="105" s="1"/>
  <c r="J460" i="105"/>
  <c r="K460" i="105" s="1"/>
  <c r="J500" i="105"/>
  <c r="K500" i="105" s="1"/>
  <c r="J556" i="105"/>
  <c r="K556" i="105" s="1"/>
  <c r="J652" i="105"/>
  <c r="K652" i="105" s="1"/>
  <c r="J680" i="105"/>
  <c r="K680" i="105" s="1"/>
  <c r="J856" i="105"/>
  <c r="K856" i="105" s="1"/>
  <c r="J868" i="105"/>
  <c r="L868" i="105" s="1"/>
  <c r="J872" i="105"/>
  <c r="K872" i="105" s="1"/>
  <c r="J884" i="105"/>
  <c r="K884" i="105" s="1"/>
  <c r="J268" i="105"/>
  <c r="K268" i="105" s="1"/>
  <c r="J292" i="105"/>
  <c r="K292" i="105" s="1"/>
  <c r="J400" i="105"/>
  <c r="K400" i="105" s="1"/>
  <c r="J560" i="105"/>
  <c r="K560" i="105" s="1"/>
  <c r="J148" i="105"/>
  <c r="K148" i="105" s="1"/>
  <c r="J171" i="105"/>
  <c r="K171" i="105" s="1"/>
  <c r="J259" i="105"/>
  <c r="L259" i="105" s="1"/>
  <c r="J347" i="105"/>
  <c r="K347" i="105" s="1"/>
  <c r="J371" i="105"/>
  <c r="K371" i="105" s="1"/>
  <c r="J464" i="105"/>
  <c r="L464" i="105" s="1"/>
  <c r="J160" i="105"/>
  <c r="K160" i="105" s="1"/>
  <c r="M37" i="84"/>
  <c r="F19" i="48" s="1"/>
  <c r="J333" i="105"/>
  <c r="K333" i="105" s="1"/>
  <c r="J693" i="105"/>
  <c r="L693" i="105" s="1"/>
  <c r="J1045" i="105"/>
  <c r="L1045" i="105" s="1"/>
  <c r="J1189" i="105"/>
  <c r="K1189" i="105" s="1"/>
  <c r="J1233" i="105"/>
  <c r="K1233" i="105" s="1"/>
  <c r="J1253" i="105"/>
  <c r="K1253" i="105" s="1"/>
  <c r="J1269" i="105"/>
  <c r="K1269" i="105" s="1"/>
  <c r="J1317" i="105"/>
  <c r="K1317" i="105" s="1"/>
  <c r="J1345" i="105"/>
  <c r="L1345" i="105" s="1"/>
  <c r="J892" i="105"/>
  <c r="K892" i="105" s="1"/>
  <c r="J896" i="105"/>
  <c r="K896" i="105" s="1"/>
  <c r="J904" i="105"/>
  <c r="K904" i="105" s="1"/>
  <c r="J916" i="105"/>
  <c r="K916" i="105" s="1"/>
  <c r="J920" i="105"/>
  <c r="K920" i="105" s="1"/>
  <c r="J932" i="105"/>
  <c r="L932" i="105" s="1"/>
  <c r="J940" i="105"/>
  <c r="L940" i="105" s="1"/>
  <c r="J952" i="105"/>
  <c r="L952" i="105" s="1"/>
  <c r="J956" i="105"/>
  <c r="L956" i="105" s="1"/>
  <c r="J964" i="105"/>
  <c r="L964" i="105" s="1"/>
  <c r="J968" i="105"/>
  <c r="K968" i="105" s="1"/>
  <c r="J976" i="105"/>
  <c r="L976" i="105" s="1"/>
  <c r="J980" i="105"/>
  <c r="L980" i="105" s="1"/>
  <c r="J988" i="105"/>
  <c r="L988" i="105" s="1"/>
  <c r="J992" i="105"/>
  <c r="L992" i="105" s="1"/>
  <c r="J1000" i="105"/>
  <c r="L1000" i="105" s="1"/>
  <c r="J1012" i="105"/>
  <c r="L1012" i="105" s="1"/>
  <c r="J1016" i="105"/>
  <c r="L1016" i="105" s="1"/>
  <c r="J1024" i="105"/>
  <c r="L1024" i="105" s="1"/>
  <c r="J1028" i="105"/>
  <c r="L1028" i="105" s="1"/>
  <c r="J1036" i="105"/>
  <c r="K1036" i="105" s="1"/>
  <c r="J1048" i="105"/>
  <c r="K1048" i="105" s="1"/>
  <c r="J1064" i="105"/>
  <c r="L1064" i="105" s="1"/>
  <c r="J1072" i="105"/>
  <c r="K1072" i="105" s="1"/>
  <c r="J1076" i="105"/>
  <c r="K1076" i="105" s="1"/>
  <c r="J1084" i="105"/>
  <c r="K1084" i="105" s="1"/>
  <c r="J1088" i="105"/>
  <c r="K1088" i="105" s="1"/>
  <c r="J1096" i="105"/>
  <c r="K1096" i="105" s="1"/>
  <c r="J1100" i="105"/>
  <c r="K1100" i="105" s="1"/>
  <c r="J1108" i="105"/>
  <c r="K1108" i="105" s="1"/>
  <c r="J1112" i="105"/>
  <c r="K1112" i="105" s="1"/>
  <c r="J1120" i="105"/>
  <c r="K1120" i="105" s="1"/>
  <c r="J1124" i="105"/>
  <c r="L1124" i="105" s="1"/>
  <c r="J1132" i="105"/>
  <c r="K1132" i="105" s="1"/>
  <c r="J1144" i="105"/>
  <c r="K1144" i="105" s="1"/>
  <c r="J1160" i="105"/>
  <c r="L1160" i="105" s="1"/>
  <c r="J1172" i="105"/>
  <c r="L1172" i="105" s="1"/>
  <c r="J1184" i="105"/>
  <c r="L1184" i="105" s="1"/>
  <c r="J172" i="105"/>
  <c r="L172" i="105" s="1"/>
  <c r="J44" i="105"/>
  <c r="L44" i="105" s="1"/>
  <c r="J1220" i="105"/>
  <c r="K1220" i="105" s="1"/>
  <c r="J1276" i="105"/>
  <c r="L1276" i="105" s="1"/>
  <c r="J1300" i="105"/>
  <c r="K1300" i="105" s="1"/>
  <c r="J1312" i="105"/>
  <c r="K1312" i="105" s="1"/>
  <c r="J1340" i="105"/>
  <c r="L1340" i="105" s="1"/>
  <c r="G21" i="104"/>
  <c r="J48" i="112"/>
  <c r="H67" i="50"/>
  <c r="F35" i="45"/>
  <c r="J580" i="105"/>
  <c r="K580" i="105" s="1"/>
  <c r="J596" i="105"/>
  <c r="L596" i="105" s="1"/>
  <c r="J616" i="105"/>
  <c r="K616" i="105" s="1"/>
  <c r="J676" i="105"/>
  <c r="K676" i="105" s="1"/>
  <c r="J700" i="105"/>
  <c r="L700" i="105" s="1"/>
  <c r="J740" i="105"/>
  <c r="L740" i="105" s="1"/>
  <c r="J748" i="105"/>
  <c r="L748" i="105" s="1"/>
  <c r="J1004" i="105"/>
  <c r="K1004" i="105" s="1"/>
  <c r="J1060" i="105"/>
  <c r="L1060" i="105" s="1"/>
  <c r="J1148" i="105"/>
  <c r="K1148" i="105" s="1"/>
  <c r="J1156" i="105"/>
  <c r="K1156" i="105" s="1"/>
  <c r="J1192" i="105"/>
  <c r="K1192" i="105" s="1"/>
  <c r="F51" i="13"/>
  <c r="D66" i="5"/>
  <c r="J356" i="105"/>
  <c r="K356" i="105" s="1"/>
  <c r="J508" i="105"/>
  <c r="L508" i="105" s="1"/>
  <c r="J524" i="105"/>
  <c r="K524" i="105" s="1"/>
  <c r="J812" i="105"/>
  <c r="K812" i="105" s="1"/>
  <c r="L42" i="8"/>
  <c r="F52" i="39" s="1"/>
  <c r="H49" i="50"/>
  <c r="J284" i="105"/>
  <c r="K284" i="105" s="1"/>
  <c r="K611" i="84"/>
  <c r="K614" i="84" s="1"/>
  <c r="G520" i="84"/>
  <c r="G523" i="84" s="1"/>
  <c r="W76" i="90"/>
  <c r="J76" i="90" s="1"/>
  <c r="D76" i="90"/>
  <c r="F76" i="90" s="1"/>
  <c r="P76" i="90" s="1"/>
  <c r="E466" i="84"/>
  <c r="E478" i="84" s="1"/>
  <c r="E481" i="84" s="1"/>
  <c r="G385" i="84"/>
  <c r="G388" i="84" s="1"/>
  <c r="C13" i="7"/>
  <c r="M485" i="84"/>
  <c r="I570" i="84"/>
  <c r="C55" i="39"/>
  <c r="D9" i="39" s="1"/>
  <c r="E66" i="84"/>
  <c r="E78" i="84" s="1"/>
  <c r="E81" i="84" s="1"/>
  <c r="E16" i="7"/>
  <c r="J41" i="105"/>
  <c r="K41" i="105" s="1"/>
  <c r="J53" i="105"/>
  <c r="K53" i="105" s="1"/>
  <c r="J101" i="105"/>
  <c r="L101" i="105" s="1"/>
  <c r="J113" i="105"/>
  <c r="K113" i="105" s="1"/>
  <c r="J125" i="105"/>
  <c r="L125" i="105" s="1"/>
  <c r="J233" i="105"/>
  <c r="K233" i="105" s="1"/>
  <c r="J245" i="105"/>
  <c r="L245" i="105" s="1"/>
  <c r="J257" i="105"/>
  <c r="K257" i="105" s="1"/>
  <c r="J269" i="105"/>
  <c r="K269" i="105" s="1"/>
  <c r="J305" i="105"/>
  <c r="K305" i="105" s="1"/>
  <c r="J317" i="105"/>
  <c r="K317" i="105" s="1"/>
  <c r="J353" i="105"/>
  <c r="K353" i="105" s="1"/>
  <c r="J365" i="105"/>
  <c r="L365" i="105" s="1"/>
  <c r="J377" i="105"/>
  <c r="K377" i="105" s="1"/>
  <c r="J389" i="105"/>
  <c r="L389" i="105" s="1"/>
  <c r="J401" i="105"/>
  <c r="K401" i="105" s="1"/>
  <c r="J413" i="105"/>
  <c r="K413" i="105" s="1"/>
  <c r="J437" i="105"/>
  <c r="K437" i="105" s="1"/>
  <c r="J473" i="105"/>
  <c r="K473" i="105" s="1"/>
  <c r="J485" i="105"/>
  <c r="K485" i="105" s="1"/>
  <c r="J497" i="105"/>
  <c r="K497" i="105" s="1"/>
  <c r="J509" i="105"/>
  <c r="K509" i="105" s="1"/>
  <c r="J521" i="105"/>
  <c r="L521" i="105" s="1"/>
  <c r="J533" i="105"/>
  <c r="L533" i="105" s="1"/>
  <c r="J545" i="105"/>
  <c r="L545" i="105" s="1"/>
  <c r="J557" i="105"/>
  <c r="L557" i="105" s="1"/>
  <c r="J581" i="105"/>
  <c r="K581" i="105" s="1"/>
  <c r="J593" i="105"/>
  <c r="K593" i="105" s="1"/>
  <c r="J605" i="105"/>
  <c r="L605" i="105" s="1"/>
  <c r="J617" i="105"/>
  <c r="K617" i="105" s="1"/>
  <c r="J629" i="105"/>
  <c r="K629" i="105" s="1"/>
  <c r="J641" i="105"/>
  <c r="K641" i="105" s="1"/>
  <c r="J653" i="105"/>
  <c r="L653" i="105" s="1"/>
  <c r="J677" i="105"/>
  <c r="L677" i="105" s="1"/>
  <c r="J689" i="105"/>
  <c r="L689" i="105" s="1"/>
  <c r="J701" i="105"/>
  <c r="K701" i="105" s="1"/>
  <c r="J713" i="105"/>
  <c r="K713" i="105" s="1"/>
  <c r="J725" i="105"/>
  <c r="K725" i="105" s="1"/>
  <c r="J737" i="105"/>
  <c r="K737" i="105" s="1"/>
  <c r="J749" i="105"/>
  <c r="K749" i="105" s="1"/>
  <c r="J761" i="105"/>
  <c r="L761" i="105" s="1"/>
  <c r="J773" i="105"/>
  <c r="K773" i="105" s="1"/>
  <c r="J785" i="105"/>
  <c r="L785" i="105" s="1"/>
  <c r="AA46" i="101"/>
  <c r="E264" i="84"/>
  <c r="M157" i="84"/>
  <c r="M169" i="84" s="1"/>
  <c r="M172" i="84" s="1"/>
  <c r="E17" i="70" s="1"/>
  <c r="C22" i="7"/>
  <c r="K211" i="84"/>
  <c r="K214" i="84" s="1"/>
  <c r="K245" i="84"/>
  <c r="K257" i="84" s="1"/>
  <c r="K260" i="84" s="1"/>
  <c r="H24" i="31"/>
  <c r="F35" i="47"/>
  <c r="G245" i="84"/>
  <c r="G264" i="84" s="1"/>
  <c r="I157" i="84"/>
  <c r="I169" i="84" s="1"/>
  <c r="I172" i="84" s="1"/>
  <c r="K42" i="8"/>
  <c r="F50" i="39" s="1"/>
  <c r="G66" i="84"/>
  <c r="D82" i="90"/>
  <c r="F82" i="90" s="1"/>
  <c r="H82" i="90" s="1"/>
  <c r="W82" i="90"/>
  <c r="J82" i="90" s="1"/>
  <c r="J42" i="8"/>
  <c r="E48" i="39" s="1"/>
  <c r="J65" i="105"/>
  <c r="L65" i="105" s="1"/>
  <c r="J77" i="105"/>
  <c r="L77" i="105" s="1"/>
  <c r="J89" i="105"/>
  <c r="K89" i="105" s="1"/>
  <c r="J137" i="105"/>
  <c r="L137" i="105" s="1"/>
  <c r="J149" i="105"/>
  <c r="K149" i="105" s="1"/>
  <c r="J161" i="105"/>
  <c r="K161" i="105" s="1"/>
  <c r="J173" i="105"/>
  <c r="K173" i="105" s="1"/>
  <c r="J185" i="105"/>
  <c r="K185" i="105" s="1"/>
  <c r="J197" i="105"/>
  <c r="K197" i="105" s="1"/>
  <c r="J209" i="105"/>
  <c r="K209" i="105" s="1"/>
  <c r="J221" i="105"/>
  <c r="K221" i="105" s="1"/>
  <c r="J281" i="105"/>
  <c r="K281" i="105" s="1"/>
  <c r="J293" i="105"/>
  <c r="K293" i="105" s="1"/>
  <c r="J329" i="105"/>
  <c r="K329" i="105" s="1"/>
  <c r="J341" i="105"/>
  <c r="K341" i="105" s="1"/>
  <c r="J425" i="105"/>
  <c r="K425" i="105" s="1"/>
  <c r="J449" i="105"/>
  <c r="K449" i="105" s="1"/>
  <c r="J461" i="105"/>
  <c r="K461" i="105" s="1"/>
  <c r="J569" i="105"/>
  <c r="K569" i="105" s="1"/>
  <c r="J665" i="105"/>
  <c r="K665" i="105" s="1"/>
  <c r="C41" i="45"/>
  <c r="J71" i="105"/>
  <c r="K71" i="105" s="1"/>
  <c r="J107" i="105"/>
  <c r="K107" i="105" s="1"/>
  <c r="J215" i="105"/>
  <c r="K215" i="105" s="1"/>
  <c r="J227" i="105"/>
  <c r="L227" i="105" s="1"/>
  <c r="J251" i="105"/>
  <c r="K251" i="105" s="1"/>
  <c r="J263" i="105"/>
  <c r="K263" i="105" s="1"/>
  <c r="J275" i="105"/>
  <c r="K275" i="105" s="1"/>
  <c r="J431" i="105"/>
  <c r="K431" i="105" s="1"/>
  <c r="J443" i="105"/>
  <c r="K443" i="105" s="1"/>
  <c r="J467" i="105"/>
  <c r="L467" i="105" s="1"/>
  <c r="J479" i="105"/>
  <c r="L479" i="105" s="1"/>
  <c r="J587" i="105"/>
  <c r="K587" i="105" s="1"/>
  <c r="J599" i="105"/>
  <c r="L599" i="105" s="1"/>
  <c r="J623" i="105"/>
  <c r="K623" i="105" s="1"/>
  <c r="J635" i="105"/>
  <c r="K635" i="105" s="1"/>
  <c r="J647" i="105"/>
  <c r="K647" i="105" s="1"/>
  <c r="J683" i="105"/>
  <c r="K683" i="105" s="1"/>
  <c r="J743" i="105"/>
  <c r="L743" i="105" s="1"/>
  <c r="J767" i="105"/>
  <c r="K767" i="105" s="1"/>
  <c r="J779" i="105"/>
  <c r="K779" i="105" s="1"/>
  <c r="J791" i="105"/>
  <c r="K791" i="105" s="1"/>
  <c r="K735" i="84"/>
  <c r="K738" i="84" s="1"/>
  <c r="A6" i="49"/>
  <c r="E52" i="50"/>
  <c r="C50" i="13"/>
  <c r="C54" i="13" s="1"/>
  <c r="D9" i="13" s="1"/>
  <c r="F20" i="50"/>
  <c r="C24" i="11"/>
  <c r="D9" i="11" s="1"/>
  <c r="B56" i="13"/>
  <c r="E58" i="13"/>
  <c r="B32" i="60"/>
  <c r="B32" i="61"/>
  <c r="Q7" i="78"/>
  <c r="B49" i="16"/>
  <c r="F29" i="50"/>
  <c r="F31" i="50"/>
  <c r="Y7" i="78"/>
  <c r="C32" i="70"/>
  <c r="D9" i="70" s="1"/>
  <c r="AB7" i="78"/>
  <c r="E6" i="38"/>
  <c r="E30" i="44"/>
  <c r="F45" i="50"/>
  <c r="D30" i="5"/>
  <c r="J21" i="70"/>
  <c r="M25" i="70" s="1"/>
  <c r="D15" i="5"/>
  <c r="F18" i="50"/>
  <c r="C32" i="12"/>
  <c r="C28" i="12"/>
  <c r="B41" i="12"/>
  <c r="D32" i="12"/>
  <c r="C30" i="23"/>
  <c r="C32" i="23" s="1"/>
  <c r="D9" i="23" s="1"/>
  <c r="AI7" i="78"/>
  <c r="B40" i="52"/>
  <c r="C25" i="26"/>
  <c r="B39" i="26"/>
  <c r="E37" i="23"/>
  <c r="E33" i="22"/>
  <c r="E31" i="21"/>
  <c r="E29" i="18"/>
  <c r="E30" i="17"/>
  <c r="E30" i="71"/>
  <c r="B27" i="15"/>
  <c r="E34" i="61"/>
  <c r="F64" i="50"/>
  <c r="AR7" i="78"/>
  <c r="D65" i="5"/>
  <c r="D63" i="5"/>
  <c r="AT7" i="78"/>
  <c r="F66" i="50"/>
  <c r="F65" i="50"/>
  <c r="C38" i="48"/>
  <c r="D9" i="48" s="1"/>
  <c r="D67" i="5"/>
  <c r="AO7" i="78"/>
  <c r="F40" i="40"/>
  <c r="F40" i="39"/>
  <c r="F46" i="50"/>
  <c r="AM7" i="78"/>
  <c r="AD7" i="78"/>
  <c r="F36" i="50"/>
  <c r="D33" i="5"/>
  <c r="C32" i="18"/>
  <c r="V7" i="78"/>
  <c r="C34" i="65"/>
  <c r="D9" i="65" s="1"/>
  <c r="F30" i="50"/>
  <c r="F28" i="50"/>
  <c r="F27" i="50"/>
  <c r="F32" i="50"/>
  <c r="W7" i="78"/>
  <c r="X7" i="78"/>
  <c r="F23" i="50"/>
  <c r="AA7" i="78"/>
  <c r="O7" i="78"/>
  <c r="F21" i="50"/>
  <c r="C44" i="26"/>
  <c r="E19" i="30"/>
  <c r="F22" i="30"/>
  <c r="AN7" i="78"/>
  <c r="F17" i="30"/>
  <c r="D21" i="5"/>
  <c r="F24" i="30"/>
  <c r="F28" i="30"/>
  <c r="D24" i="50"/>
  <c r="F24" i="50"/>
  <c r="F26" i="30"/>
  <c r="AE7" i="78"/>
  <c r="F22" i="50"/>
  <c r="F26" i="50"/>
  <c r="F37" i="50"/>
  <c r="F51" i="50"/>
  <c r="F38" i="50"/>
  <c r="F41" i="50"/>
  <c r="AG7" i="78"/>
  <c r="F42" i="50"/>
  <c r="AH7" i="78"/>
  <c r="F34" i="50"/>
  <c r="F35" i="50"/>
  <c r="D34" i="60"/>
  <c r="C37" i="60"/>
  <c r="J7" i="78"/>
  <c r="F17" i="50"/>
  <c r="D13" i="5"/>
  <c r="C28" i="61"/>
  <c r="C30" i="61" s="1"/>
  <c r="D9" i="61" s="1"/>
  <c r="E18" i="103"/>
  <c r="F33" i="29"/>
  <c r="C15" i="37"/>
  <c r="C17" i="37" s="1"/>
  <c r="D9" i="37" s="1"/>
  <c r="D31" i="10"/>
  <c r="J15" i="10"/>
  <c r="F44" i="13"/>
  <c r="F42" i="16"/>
  <c r="F42" i="8"/>
  <c r="O20" i="8" s="1"/>
  <c r="O22" i="8" s="1"/>
  <c r="C2" i="8" s="1"/>
  <c r="I42" i="8"/>
  <c r="E46" i="39" s="1"/>
  <c r="I977" i="84"/>
  <c r="G32" i="101"/>
  <c r="M46" i="101"/>
  <c r="J37" i="105"/>
  <c r="L37" i="105" s="1"/>
  <c r="J49" i="105"/>
  <c r="K49" i="105" s="1"/>
  <c r="J61" i="105"/>
  <c r="K61" i="105" s="1"/>
  <c r="J73" i="105"/>
  <c r="L73" i="105" s="1"/>
  <c r="J85" i="105"/>
  <c r="K85" i="105" s="1"/>
  <c r="J97" i="105"/>
  <c r="K97" i="105" s="1"/>
  <c r="J109" i="105"/>
  <c r="K109" i="105" s="1"/>
  <c r="J121" i="105"/>
  <c r="K121" i="105" s="1"/>
  <c r="J133" i="105"/>
  <c r="K133" i="105" s="1"/>
  <c r="J145" i="105"/>
  <c r="K145" i="105" s="1"/>
  <c r="J157" i="105"/>
  <c r="K157" i="105" s="1"/>
  <c r="J169" i="105"/>
  <c r="L169" i="105" s="1"/>
  <c r="J175" i="105"/>
  <c r="L175" i="105" s="1"/>
  <c r="J181" i="105"/>
  <c r="J187" i="105"/>
  <c r="J193" i="105"/>
  <c r="L193" i="105" s="1"/>
  <c r="J199" i="105"/>
  <c r="J205" i="105"/>
  <c r="K205" i="105" s="1"/>
  <c r="J217" i="105"/>
  <c r="K217" i="105" s="1"/>
  <c r="J223" i="105"/>
  <c r="K223" i="105" s="1"/>
  <c r="J229" i="105"/>
  <c r="K229" i="105" s="1"/>
  <c r="J241" i="105"/>
  <c r="K241" i="105" s="1"/>
  <c r="J253" i="105"/>
  <c r="K253" i="105" s="1"/>
  <c r="J265" i="105"/>
  <c r="K265" i="105" s="1"/>
  <c r="J277" i="105"/>
  <c r="J289" i="105"/>
  <c r="K289" i="105" s="1"/>
  <c r="J301" i="105"/>
  <c r="K301" i="105" s="1"/>
  <c r="J313" i="105"/>
  <c r="J325" i="105"/>
  <c r="K325" i="105" s="1"/>
  <c r="J337" i="105"/>
  <c r="L337" i="105" s="1"/>
  <c r="J349" i="105"/>
  <c r="J361" i="105"/>
  <c r="K361" i="105" s="1"/>
  <c r="J373" i="105"/>
  <c r="K373" i="105" s="1"/>
  <c r="J385" i="105"/>
  <c r="K385" i="105" s="1"/>
  <c r="J397" i="105"/>
  <c r="K397" i="105" s="1"/>
  <c r="J409" i="105"/>
  <c r="K409" i="105" s="1"/>
  <c r="J421" i="105"/>
  <c r="K421" i="105" s="1"/>
  <c r="J433" i="105"/>
  <c r="K433" i="105" s="1"/>
  <c r="J445" i="105"/>
  <c r="L445" i="105" s="1"/>
  <c r="J457" i="105"/>
  <c r="L457" i="105" s="1"/>
  <c r="J469" i="105"/>
  <c r="K469" i="105" s="1"/>
  <c r="J481" i="105"/>
  <c r="K481" i="105" s="1"/>
  <c r="J493" i="105"/>
  <c r="K493" i="105" s="1"/>
  <c r="J505" i="105"/>
  <c r="J517" i="105"/>
  <c r="K517" i="105" s="1"/>
  <c r="J529" i="105"/>
  <c r="L529" i="105" s="1"/>
  <c r="J541" i="105"/>
  <c r="L541" i="105" s="1"/>
  <c r="J553" i="105"/>
  <c r="L553" i="105" s="1"/>
  <c r="J565" i="105"/>
  <c r="K565" i="105" s="1"/>
  <c r="J577" i="105"/>
  <c r="K577" i="105" s="1"/>
  <c r="J589" i="105"/>
  <c r="K589" i="105" s="1"/>
  <c r="J601" i="105"/>
  <c r="K601" i="105" s="1"/>
  <c r="J613" i="105"/>
  <c r="K613" i="105" s="1"/>
  <c r="J625" i="105"/>
  <c r="K625" i="105" s="1"/>
  <c r="J637" i="105"/>
  <c r="K637" i="105" s="1"/>
  <c r="J649" i="105"/>
  <c r="K649" i="105" s="1"/>
  <c r="J661" i="105"/>
  <c r="K661" i="105" s="1"/>
  <c r="J673" i="105"/>
  <c r="J685" i="105"/>
  <c r="J697" i="105"/>
  <c r="K697" i="105" s="1"/>
  <c r="J709" i="105"/>
  <c r="L709" i="105" s="1"/>
  <c r="J721" i="105"/>
  <c r="J733" i="105"/>
  <c r="K733" i="105" s="1"/>
  <c r="E989" i="84"/>
  <c r="E992" i="84" s="1"/>
  <c r="G977" i="84"/>
  <c r="M52" i="84"/>
  <c r="F35" i="49"/>
  <c r="M977" i="84"/>
  <c r="J757" i="105"/>
  <c r="L757" i="105" s="1"/>
  <c r="J769" i="105"/>
  <c r="L769" i="105" s="1"/>
  <c r="J781" i="105"/>
  <c r="K781" i="105" s="1"/>
  <c r="J793" i="105"/>
  <c r="K793" i="105" s="1"/>
  <c r="J805" i="105"/>
  <c r="J817" i="105"/>
  <c r="L817" i="105" s="1"/>
  <c r="J829" i="105"/>
  <c r="K829" i="105" s="1"/>
  <c r="J841" i="105"/>
  <c r="K841" i="105" s="1"/>
  <c r="J853" i="105"/>
  <c r="K853" i="105" s="1"/>
  <c r="J865" i="105"/>
  <c r="K865" i="105" s="1"/>
  <c r="J877" i="105"/>
  <c r="L877" i="105" s="1"/>
  <c r="J889" i="105"/>
  <c r="L889" i="105" s="1"/>
  <c r="J901" i="105"/>
  <c r="K901" i="105" s="1"/>
  <c r="J913" i="105"/>
  <c r="K913" i="105" s="1"/>
  <c r="J925" i="105"/>
  <c r="K925" i="105" s="1"/>
  <c r="J937" i="105"/>
  <c r="K937" i="105" s="1"/>
  <c r="J949" i="105"/>
  <c r="K949" i="105" s="1"/>
  <c r="J961" i="105"/>
  <c r="L961" i="105" s="1"/>
  <c r="J973" i="105"/>
  <c r="K973" i="105" s="1"/>
  <c r="J985" i="105"/>
  <c r="K985" i="105" s="1"/>
  <c r="J997" i="105"/>
  <c r="L997" i="105" s="1"/>
  <c r="J1009" i="105"/>
  <c r="K1009" i="105" s="1"/>
  <c r="J1021" i="105"/>
  <c r="K1021" i="105" s="1"/>
  <c r="J1033" i="105"/>
  <c r="J1057" i="105"/>
  <c r="K1057" i="105" s="1"/>
  <c r="J1069" i="105"/>
  <c r="K1069" i="105" s="1"/>
  <c r="J1093" i="105"/>
  <c r="K1093" i="105" s="1"/>
  <c r="J1105" i="105"/>
  <c r="L1105" i="105" s="1"/>
  <c r="J1117" i="105"/>
  <c r="K1117" i="105" s="1"/>
  <c r="J1129" i="105"/>
  <c r="L1129" i="105" s="1"/>
  <c r="J1141" i="105"/>
  <c r="K1141" i="105" s="1"/>
  <c r="J1153" i="105"/>
  <c r="J1165" i="105"/>
  <c r="K1165" i="105" s="1"/>
  <c r="J1177" i="105"/>
  <c r="K1177" i="105" s="1"/>
  <c r="J1201" i="105"/>
  <c r="K1201" i="105" s="1"/>
  <c r="J1213" i="105"/>
  <c r="K1213" i="105" s="1"/>
  <c r="J1225" i="105"/>
  <c r="K1225" i="105" s="1"/>
  <c r="J1237" i="105"/>
  <c r="K1237" i="105" s="1"/>
  <c r="B25" i="90"/>
  <c r="B82" i="90" s="1"/>
  <c r="J797" i="105"/>
  <c r="K797" i="105" s="1"/>
  <c r="J803" i="105"/>
  <c r="L803" i="105" s="1"/>
  <c r="J809" i="105"/>
  <c r="K809" i="105" s="1"/>
  <c r="J815" i="105"/>
  <c r="L815" i="105" s="1"/>
  <c r="J821" i="105"/>
  <c r="L821" i="105" s="1"/>
  <c r="J833" i="105"/>
  <c r="L833" i="105" s="1"/>
  <c r="J839" i="105"/>
  <c r="L839" i="105" s="1"/>
  <c r="J845" i="105"/>
  <c r="L845" i="105" s="1"/>
  <c r="J857" i="105"/>
  <c r="K857" i="105" s="1"/>
  <c r="J863" i="105"/>
  <c r="K863" i="105" s="1"/>
  <c r="J869" i="105"/>
  <c r="L869" i="105" s="1"/>
  <c r="J875" i="105"/>
  <c r="K875" i="105" s="1"/>
  <c r="J881" i="105"/>
  <c r="K881" i="105" s="1"/>
  <c r="J887" i="105"/>
  <c r="L887" i="105" s="1"/>
  <c r="J893" i="105"/>
  <c r="K893" i="105" s="1"/>
  <c r="J905" i="105"/>
  <c r="K905" i="105" s="1"/>
  <c r="J911" i="105"/>
  <c r="K911" i="105" s="1"/>
  <c r="J917" i="105"/>
  <c r="K917" i="105" s="1"/>
  <c r="J923" i="105"/>
  <c r="K923" i="105" s="1"/>
  <c r="J929" i="105"/>
  <c r="K929" i="105" s="1"/>
  <c r="J935" i="105"/>
  <c r="K935" i="105" s="1"/>
  <c r="J941" i="105"/>
  <c r="L941" i="105" s="1"/>
  <c r="J947" i="105"/>
  <c r="L947" i="105" s="1"/>
  <c r="J953" i="105"/>
  <c r="L953" i="105" s="1"/>
  <c r="J959" i="105"/>
  <c r="L959" i="105" s="1"/>
  <c r="J965" i="105"/>
  <c r="K965" i="105" s="1"/>
  <c r="J971" i="105"/>
  <c r="L971" i="105" s="1"/>
  <c r="J977" i="105"/>
  <c r="K977" i="105" s="1"/>
  <c r="J983" i="105"/>
  <c r="K983" i="105" s="1"/>
  <c r="J989" i="105"/>
  <c r="K989" i="105" s="1"/>
  <c r="J995" i="105"/>
  <c r="L995" i="105" s="1"/>
  <c r="J1001" i="105"/>
  <c r="L1001" i="105" s="1"/>
  <c r="J1007" i="105"/>
  <c r="L1007" i="105" s="1"/>
  <c r="J1013" i="105"/>
  <c r="K1013" i="105" s="1"/>
  <c r="J1019" i="105"/>
  <c r="K1019" i="105" s="1"/>
  <c r="J1025" i="105"/>
  <c r="K1025" i="105" s="1"/>
  <c r="J1031" i="105"/>
  <c r="K1031" i="105" s="1"/>
  <c r="J1037" i="105"/>
  <c r="K1037" i="105" s="1"/>
  <c r="J1043" i="105"/>
  <c r="K1043" i="105" s="1"/>
  <c r="J1049" i="105"/>
  <c r="K1049" i="105" s="1"/>
  <c r="J1055" i="105"/>
  <c r="K1055" i="105" s="1"/>
  <c r="J1061" i="105"/>
  <c r="K1061" i="105" s="1"/>
  <c r="J1067" i="105"/>
  <c r="K1067" i="105" s="1"/>
  <c r="J1073" i="105"/>
  <c r="K1073" i="105" s="1"/>
  <c r="J1079" i="105"/>
  <c r="K1079" i="105" s="1"/>
  <c r="J1085" i="105"/>
  <c r="K1085" i="105" s="1"/>
  <c r="J1097" i="105"/>
  <c r="L1097" i="105" s="1"/>
  <c r="J1103" i="105"/>
  <c r="K1103" i="105" s="1"/>
  <c r="J1109" i="105"/>
  <c r="K1109" i="105" s="1"/>
  <c r="J1115" i="105"/>
  <c r="K1115" i="105" s="1"/>
  <c r="J1121" i="105"/>
  <c r="K1121" i="105" s="1"/>
  <c r="J1127" i="105"/>
  <c r="L1127" i="105" s="1"/>
  <c r="J1133" i="105"/>
  <c r="L1133" i="105" s="1"/>
  <c r="J1139" i="105"/>
  <c r="K1139" i="105" s="1"/>
  <c r="J1145" i="105"/>
  <c r="K1145" i="105" s="1"/>
  <c r="J1151" i="105"/>
  <c r="L1151" i="105" s="1"/>
  <c r="J1157" i="105"/>
  <c r="K1157" i="105" s="1"/>
  <c r="J1169" i="105"/>
  <c r="K1169" i="105" s="1"/>
  <c r="J1175" i="105"/>
  <c r="K1175" i="105" s="1"/>
  <c r="J1181" i="105"/>
  <c r="K1181" i="105" s="1"/>
  <c r="J1187" i="105"/>
  <c r="L1187" i="105" s="1"/>
  <c r="J1193" i="105"/>
  <c r="K1193" i="105" s="1"/>
  <c r="J1199" i="105"/>
  <c r="K1199" i="105" s="1"/>
  <c r="J1205" i="105"/>
  <c r="K1205" i="105" s="1"/>
  <c r="J1211" i="105"/>
  <c r="K1211" i="105" s="1"/>
  <c r="J1217" i="105"/>
  <c r="K1217" i="105" s="1"/>
  <c r="J1223" i="105"/>
  <c r="K1223" i="105" s="1"/>
  <c r="J1229" i="105"/>
  <c r="K1229" i="105" s="1"/>
  <c r="J1235" i="105"/>
  <c r="L1235" i="105" s="1"/>
  <c r="J1241" i="105"/>
  <c r="L1241" i="105" s="1"/>
  <c r="J1247" i="105"/>
  <c r="L1247" i="105" s="1"/>
  <c r="J1259" i="105"/>
  <c r="K1259" i="105" s="1"/>
  <c r="J1265" i="105"/>
  <c r="K1265" i="105" s="1"/>
  <c r="J1271" i="105"/>
  <c r="K1271" i="105" s="1"/>
  <c r="J1277" i="105"/>
  <c r="K1277" i="105" s="1"/>
  <c r="J1283" i="105"/>
  <c r="L1283" i="105" s="1"/>
  <c r="J1289" i="105"/>
  <c r="L1289" i="105" s="1"/>
  <c r="J1295" i="105"/>
  <c r="K1295" i="105" s="1"/>
  <c r="J1301" i="105"/>
  <c r="L1301" i="105" s="1"/>
  <c r="J1307" i="105"/>
  <c r="K1307" i="105" s="1"/>
  <c r="J1313" i="105"/>
  <c r="L1313" i="105" s="1"/>
  <c r="J1319" i="105"/>
  <c r="K1319" i="105" s="1"/>
  <c r="J1325" i="105"/>
  <c r="K1325" i="105" s="1"/>
  <c r="J1337" i="105"/>
  <c r="L1337" i="105" s="1"/>
  <c r="J1343" i="105"/>
  <c r="K1343" i="105" s="1"/>
  <c r="Y29" i="58"/>
  <c r="AK32" i="101"/>
  <c r="F37" i="43"/>
  <c r="F40" i="43" s="1"/>
  <c r="J68" i="105"/>
  <c r="L68" i="105" s="1"/>
  <c r="J92" i="105"/>
  <c r="L92" i="105" s="1"/>
  <c r="J140" i="105"/>
  <c r="L140" i="105" s="1"/>
  <c r="J152" i="105"/>
  <c r="J164" i="105"/>
  <c r="K164" i="105" s="1"/>
  <c r="J224" i="105"/>
  <c r="L224" i="105" s="1"/>
  <c r="J248" i="105"/>
  <c r="K248" i="105" s="1"/>
  <c r="J260" i="105"/>
  <c r="C38" i="49"/>
  <c r="D9" i="49" s="1"/>
  <c r="J33" i="105"/>
  <c r="K33" i="105" s="1"/>
  <c r="J45" i="105"/>
  <c r="K45" i="105" s="1"/>
  <c r="J57" i="105"/>
  <c r="K57" i="105" s="1"/>
  <c r="J69" i="105"/>
  <c r="L69" i="105" s="1"/>
  <c r="J81" i="105"/>
  <c r="L81" i="105" s="1"/>
  <c r="J93" i="105"/>
  <c r="K93" i="105" s="1"/>
  <c r="J99" i="105"/>
  <c r="J105" i="105"/>
  <c r="K105" i="105" s="1"/>
  <c r="J111" i="105"/>
  <c r="J117" i="105"/>
  <c r="K117" i="105" s="1"/>
  <c r="J129" i="105"/>
  <c r="L129" i="105" s="1"/>
  <c r="J141" i="105"/>
  <c r="K141" i="105" s="1"/>
  <c r="J153" i="105"/>
  <c r="K153" i="105" s="1"/>
  <c r="J165" i="105"/>
  <c r="K165" i="105" s="1"/>
  <c r="J177" i="105"/>
  <c r="K177" i="105" s="1"/>
  <c r="J189" i="105"/>
  <c r="L189" i="105" s="1"/>
  <c r="J201" i="105"/>
  <c r="K201" i="105" s="1"/>
  <c r="J213" i="105"/>
  <c r="L213" i="105" s="1"/>
  <c r="J219" i="105"/>
  <c r="K219" i="105" s="1"/>
  <c r="J225" i="105"/>
  <c r="L225" i="105" s="1"/>
  <c r="J237" i="105"/>
  <c r="K237" i="105" s="1"/>
  <c r="J249" i="105"/>
  <c r="K249" i="105" s="1"/>
  <c r="J261" i="105"/>
  <c r="K261" i="105" s="1"/>
  <c r="J267" i="105"/>
  <c r="J273" i="105"/>
  <c r="K273" i="105" s="1"/>
  <c r="J40" i="105"/>
  <c r="L40" i="105" s="1"/>
  <c r="J88" i="105"/>
  <c r="K88" i="105" s="1"/>
  <c r="J124" i="105"/>
  <c r="J136" i="105"/>
  <c r="L136" i="105" s="1"/>
  <c r="J184" i="105"/>
  <c r="K184" i="105" s="1"/>
  <c r="J196" i="105"/>
  <c r="J280" i="105"/>
  <c r="K280" i="105" s="1"/>
  <c r="J285" i="105"/>
  <c r="K285" i="105" s="1"/>
  <c r="J297" i="105"/>
  <c r="J309" i="105"/>
  <c r="K309" i="105" s="1"/>
  <c r="J321" i="105"/>
  <c r="K321" i="105" s="1"/>
  <c r="J345" i="105"/>
  <c r="K345" i="105" s="1"/>
  <c r="J357" i="105"/>
  <c r="K357" i="105" s="1"/>
  <c r="J369" i="105"/>
  <c r="K369" i="105" s="1"/>
  <c r="J381" i="105"/>
  <c r="L381" i="105" s="1"/>
  <c r="J393" i="105"/>
  <c r="K393" i="105" s="1"/>
  <c r="J405" i="105"/>
  <c r="K405" i="105" s="1"/>
  <c r="J417" i="105"/>
  <c r="L417" i="105" s="1"/>
  <c r="J429" i="105"/>
  <c r="K429" i="105" s="1"/>
  <c r="J441" i="105"/>
  <c r="K441" i="105" s="1"/>
  <c r="J453" i="105"/>
  <c r="J465" i="105"/>
  <c r="K465" i="105" s="1"/>
  <c r="J477" i="105"/>
  <c r="K477" i="105" s="1"/>
  <c r="J489" i="105"/>
  <c r="L489" i="105" s="1"/>
  <c r="J501" i="105"/>
  <c r="L501" i="105" s="1"/>
  <c r="J513" i="105"/>
  <c r="K513" i="105" s="1"/>
  <c r="J525" i="105"/>
  <c r="L525" i="105" s="1"/>
  <c r="J537" i="105"/>
  <c r="K537" i="105" s="1"/>
  <c r="J549" i="105"/>
  <c r="L549" i="105" s="1"/>
  <c r="J561" i="105"/>
  <c r="L561" i="105" s="1"/>
  <c r="J573" i="105"/>
  <c r="K573" i="105" s="1"/>
  <c r="J585" i="105"/>
  <c r="L585" i="105" s="1"/>
  <c r="J597" i="105"/>
  <c r="K597" i="105" s="1"/>
  <c r="J609" i="105"/>
  <c r="L609" i="105" s="1"/>
  <c r="J621" i="105"/>
  <c r="K621" i="105" s="1"/>
  <c r="J633" i="105"/>
  <c r="L633" i="105" s="1"/>
  <c r="J645" i="105"/>
  <c r="K645" i="105" s="1"/>
  <c r="J657" i="105"/>
  <c r="L657" i="105" s="1"/>
  <c r="J669" i="105"/>
  <c r="L669" i="105" s="1"/>
  <c r="J681" i="105"/>
  <c r="L681" i="105" s="1"/>
  <c r="J705" i="105"/>
  <c r="K705" i="105" s="1"/>
  <c r="J717" i="105"/>
  <c r="L717" i="105" s="1"/>
  <c r="J729" i="105"/>
  <c r="K729" i="105" s="1"/>
  <c r="J741" i="105"/>
  <c r="K741" i="105" s="1"/>
  <c r="J753" i="105"/>
  <c r="K753" i="105" s="1"/>
  <c r="J765" i="105"/>
  <c r="J777" i="105"/>
  <c r="J789" i="105"/>
  <c r="K789" i="105" s="1"/>
  <c r="J801" i="105"/>
  <c r="K801" i="105" s="1"/>
  <c r="J813" i="105"/>
  <c r="K813" i="105" s="1"/>
  <c r="J837" i="105"/>
  <c r="L837" i="105" s="1"/>
  <c r="J849" i="105"/>
  <c r="K849" i="105" s="1"/>
  <c r="J861" i="105"/>
  <c r="K861" i="105" s="1"/>
  <c r="J873" i="105"/>
  <c r="J885" i="105"/>
  <c r="K885" i="105" s="1"/>
  <c r="J897" i="105"/>
  <c r="K897" i="105" s="1"/>
  <c r="J909" i="105"/>
  <c r="L909" i="105" s="1"/>
  <c r="J921" i="105"/>
  <c r="K921" i="105" s="1"/>
  <c r="J933" i="105"/>
  <c r="L933" i="105" s="1"/>
  <c r="J945" i="105"/>
  <c r="K945" i="105" s="1"/>
  <c r="J957" i="105"/>
  <c r="K957" i="105" s="1"/>
  <c r="J969" i="105"/>
  <c r="L969" i="105" s="1"/>
  <c r="J981" i="105"/>
  <c r="J993" i="105"/>
  <c r="K993" i="105" s="1"/>
  <c r="J1005" i="105"/>
  <c r="J1017" i="105"/>
  <c r="L1017" i="105" s="1"/>
  <c r="J1029" i="105"/>
  <c r="L1029" i="105" s="1"/>
  <c r="J1041" i="105"/>
  <c r="K1041" i="105" s="1"/>
  <c r="J1053" i="105"/>
  <c r="K1053" i="105" s="1"/>
  <c r="J1065" i="105"/>
  <c r="J1077" i="105"/>
  <c r="K1077" i="105" s="1"/>
  <c r="J1089" i="105"/>
  <c r="K1089" i="105" s="1"/>
  <c r="J1101" i="105"/>
  <c r="K1101" i="105" s="1"/>
  <c r="J1113" i="105"/>
  <c r="K1113" i="105" s="1"/>
  <c r="J1125" i="105"/>
  <c r="K1125" i="105" s="1"/>
  <c r="J1137" i="105"/>
  <c r="J1149" i="105"/>
  <c r="L1149" i="105" s="1"/>
  <c r="J1161" i="105"/>
  <c r="J1173" i="105"/>
  <c r="K1173" i="105" s="1"/>
  <c r="J1185" i="105"/>
  <c r="K1185" i="105" s="1"/>
  <c r="J1197" i="105"/>
  <c r="K1197" i="105" s="1"/>
  <c r="J1209" i="105"/>
  <c r="K1209" i="105" s="1"/>
  <c r="J1221" i="105"/>
  <c r="K1221" i="105" s="1"/>
  <c r="J1245" i="105"/>
  <c r="K1245" i="105" s="1"/>
  <c r="J1257" i="105"/>
  <c r="J1281" i="105"/>
  <c r="J1293" i="105"/>
  <c r="K1293" i="105" s="1"/>
  <c r="J1305" i="105"/>
  <c r="J1329" i="105"/>
  <c r="J1341" i="105"/>
  <c r="K1341" i="105" s="1"/>
  <c r="J23" i="112"/>
  <c r="J316" i="105"/>
  <c r="J340" i="105"/>
  <c r="J388" i="105"/>
  <c r="K388" i="105" s="1"/>
  <c r="J412" i="105"/>
  <c r="L412" i="105" s="1"/>
  <c r="J436" i="105"/>
  <c r="J520" i="105"/>
  <c r="K520" i="105" s="1"/>
  <c r="J532" i="105"/>
  <c r="K532" i="105" s="1"/>
  <c r="J544" i="105"/>
  <c r="J568" i="105"/>
  <c r="K568" i="105" s="1"/>
  <c r="J628" i="105"/>
  <c r="J688" i="105"/>
  <c r="K688" i="105" s="1"/>
  <c r="J724" i="105"/>
  <c r="K724" i="105" s="1"/>
  <c r="J784" i="105"/>
  <c r="K784" i="105" s="1"/>
  <c r="J796" i="105"/>
  <c r="AC7" i="78"/>
  <c r="AQ7" i="78"/>
  <c r="J34" i="112"/>
  <c r="F82" i="50"/>
  <c r="J255" i="104"/>
  <c r="B119" i="4"/>
  <c r="J90" i="112"/>
  <c r="J91" i="112" s="1"/>
  <c r="J745" i="105"/>
  <c r="J1081" i="105"/>
  <c r="K1081" i="105" s="1"/>
  <c r="J21" i="112"/>
  <c r="J308" i="105"/>
  <c r="K308" i="105" s="1"/>
  <c r="J416" i="105"/>
  <c r="K416" i="105" s="1"/>
  <c r="J476" i="105"/>
  <c r="J512" i="105"/>
  <c r="K512" i="105" s="1"/>
  <c r="J572" i="105"/>
  <c r="J608" i="105"/>
  <c r="K608" i="105" s="1"/>
  <c r="J620" i="105"/>
  <c r="L620" i="105" s="1"/>
  <c r="J644" i="105"/>
  <c r="J656" i="105"/>
  <c r="L656" i="105" s="1"/>
  <c r="J728" i="105"/>
  <c r="K728" i="105" s="1"/>
  <c r="J764" i="105"/>
  <c r="D82" i="50"/>
  <c r="J22" i="112"/>
  <c r="L33" i="7"/>
  <c r="K14" i="7" s="1"/>
  <c r="B409" i="84"/>
  <c r="W84" i="90"/>
  <c r="J84" i="90" s="1"/>
  <c r="F48" i="29"/>
  <c r="H45" i="43"/>
  <c r="C45" i="52"/>
  <c r="I13" i="78"/>
  <c r="H36" i="50"/>
  <c r="B454" i="84"/>
  <c r="G57" i="85"/>
  <c r="E40" i="104" s="1"/>
  <c r="E56" i="104" s="1"/>
  <c r="J691" i="105"/>
  <c r="J1027" i="105"/>
  <c r="H42" i="47"/>
  <c r="B144" i="84"/>
  <c r="B276" i="84"/>
  <c r="B233" i="84"/>
  <c r="J1249" i="105"/>
  <c r="K1249" i="105" s="1"/>
  <c r="J1273" i="105"/>
  <c r="L1273" i="105" s="1"/>
  <c r="J1285" i="105"/>
  <c r="K1285" i="105" s="1"/>
  <c r="J1297" i="105"/>
  <c r="L1297" i="105" s="1"/>
  <c r="J1309" i="105"/>
  <c r="K1309" i="105" s="1"/>
  <c r="J1321" i="105"/>
  <c r="J1333" i="105"/>
  <c r="H55" i="29"/>
  <c r="I59" i="94"/>
  <c r="I63" i="94" s="1"/>
  <c r="E37" i="40" s="1"/>
  <c r="B710" i="84"/>
  <c r="D53" i="50"/>
  <c r="J14" i="88"/>
  <c r="D50" i="5"/>
  <c r="B759" i="84"/>
  <c r="B1006" i="84"/>
  <c r="I38" i="94"/>
  <c r="I42" i="94" s="1"/>
  <c r="E35" i="40" s="1"/>
  <c r="C55" i="40"/>
  <c r="D9" i="40" s="1"/>
  <c r="B587" i="84"/>
  <c r="W29" i="58"/>
  <c r="B538" i="84"/>
  <c r="H44" i="41"/>
  <c r="J105" i="112"/>
  <c r="B627" i="84"/>
  <c r="D84" i="90"/>
  <c r="F84" i="90" s="1"/>
  <c r="B360" i="84"/>
  <c r="N7" i="78"/>
  <c r="J639" i="105"/>
  <c r="A81" i="104"/>
  <c r="A97" i="5"/>
  <c r="B103" i="84"/>
  <c r="C20" i="7"/>
  <c r="C34" i="21"/>
  <c r="M184" i="84"/>
  <c r="M274" i="84" s="1"/>
  <c r="H42" i="45"/>
  <c r="A17" i="7"/>
  <c r="A42" i="5"/>
  <c r="C23" i="18"/>
  <c r="C25" i="18" s="1"/>
  <c r="D9" i="18" s="1"/>
  <c r="G20" i="104"/>
  <c r="B924" i="84"/>
  <c r="E115" i="84"/>
  <c r="E127" i="84" s="1"/>
  <c r="E130" i="84" s="1"/>
  <c r="G20" i="7" s="1"/>
  <c r="AE46" i="101"/>
  <c r="H33" i="70"/>
  <c r="S7" i="78"/>
  <c r="H36" i="90"/>
  <c r="H26" i="90" s="1"/>
  <c r="B882" i="84"/>
  <c r="B54" i="84"/>
  <c r="H68" i="50"/>
  <c r="E599" i="84"/>
  <c r="E611" i="84" s="1"/>
  <c r="E614" i="84" s="1"/>
  <c r="E771" i="84"/>
  <c r="E783" i="84" s="1"/>
  <c r="E786" i="84" s="1"/>
  <c r="H82" i="50"/>
  <c r="H19" i="13"/>
  <c r="H42" i="42"/>
  <c r="H42" i="49"/>
  <c r="C38" i="47"/>
  <c r="D9" i="47" s="1"/>
  <c r="B965" i="84"/>
  <c r="B800" i="84"/>
  <c r="G771" i="84"/>
  <c r="G790" i="84" s="1"/>
  <c r="C24" i="14"/>
  <c r="C26" i="14" s="1"/>
  <c r="D9" i="14" s="1"/>
  <c r="E17" i="7"/>
  <c r="J515" i="105"/>
  <c r="J695" i="105"/>
  <c r="J755" i="105"/>
  <c r="K755" i="105" s="1"/>
  <c r="J1091" i="105"/>
  <c r="K1091" i="105" s="1"/>
  <c r="F29" i="92"/>
  <c r="F31" i="92" s="1"/>
  <c r="H37" i="31"/>
  <c r="M230" i="84"/>
  <c r="M314" i="84"/>
  <c r="D75" i="90"/>
  <c r="C12" i="7"/>
  <c r="G39" i="84"/>
  <c r="K43" i="84" s="1"/>
  <c r="K115" i="84"/>
  <c r="K127" i="84" s="1"/>
  <c r="K130" i="84" s="1"/>
  <c r="G26" i="7" s="1"/>
  <c r="D87" i="90"/>
  <c r="F87" i="90" s="1"/>
  <c r="L87" i="90" s="1"/>
  <c r="C26" i="7"/>
  <c r="K136" i="84"/>
  <c r="W87" i="90"/>
  <c r="J87" i="90" s="1"/>
  <c r="B20" i="91"/>
  <c r="F8" i="50"/>
  <c r="F58" i="50" s="1"/>
  <c r="D6" i="45"/>
  <c r="D6" i="22"/>
  <c r="D6" i="40"/>
  <c r="K865" i="84"/>
  <c r="K868" i="84" s="1"/>
  <c r="K872" i="84"/>
  <c r="K936" i="84"/>
  <c r="G936" i="84"/>
  <c r="M1038" i="84"/>
  <c r="M1031" i="84"/>
  <c r="M1034" i="84" s="1"/>
  <c r="D89" i="90"/>
  <c r="F89" i="90" s="1"/>
  <c r="P89" i="90" s="1"/>
  <c r="M136" i="84"/>
  <c r="C24" i="7"/>
  <c r="W89" i="90"/>
  <c r="J89" i="90" s="1"/>
  <c r="C40" i="23"/>
  <c r="M907" i="84"/>
  <c r="M910" i="84" s="1"/>
  <c r="D6" i="32"/>
  <c r="K300" i="84"/>
  <c r="K303" i="84" s="1"/>
  <c r="G288" i="84"/>
  <c r="G307" i="84" s="1"/>
  <c r="E288" i="84"/>
  <c r="I288" i="84"/>
  <c r="I307" i="84" s="1"/>
  <c r="M288" i="84"/>
  <c r="M330" i="84"/>
  <c r="K330" i="84"/>
  <c r="I330" i="84"/>
  <c r="G330" i="84"/>
  <c r="G349" i="84" s="1"/>
  <c r="G639" i="84"/>
  <c r="K639" i="84"/>
  <c r="M639" i="84"/>
  <c r="E639" i="84"/>
  <c r="G742" i="84"/>
  <c r="G735" i="84"/>
  <c r="G738" i="84" s="1"/>
  <c r="G15" i="50"/>
  <c r="C36" i="16"/>
  <c r="I211" i="84"/>
  <c r="I214" i="84" s="1"/>
  <c r="I218" i="84"/>
  <c r="M141" i="84"/>
  <c r="G150" i="84"/>
  <c r="G846" i="84" s="1"/>
  <c r="G151" i="84"/>
  <c r="G324" i="84" s="1"/>
  <c r="K60" i="84"/>
  <c r="K593" i="84" s="1"/>
  <c r="M492" i="84"/>
  <c r="M706" i="84"/>
  <c r="M756" i="84" s="1"/>
  <c r="M534" i="84"/>
  <c r="G149" i="84"/>
  <c r="G500" i="84" s="1"/>
  <c r="M12" i="84"/>
  <c r="M367" i="84" s="1"/>
  <c r="M100" i="84"/>
  <c r="M356" i="84"/>
  <c r="M451" i="84" s="1"/>
  <c r="G136" i="84"/>
  <c r="W78" i="90"/>
  <c r="J78" i="90" s="1"/>
  <c r="G115" i="84"/>
  <c r="D78" i="90"/>
  <c r="F78" i="90" s="1"/>
  <c r="P78" i="90" s="1"/>
  <c r="E6" i="37"/>
  <c r="C33" i="44"/>
  <c r="C31" i="52"/>
  <c r="D9" i="52" s="1"/>
  <c r="J12" i="104"/>
  <c r="H27" i="60" s="1"/>
  <c r="C41" i="97"/>
  <c r="C43" i="97" s="1"/>
  <c r="C51" i="97"/>
  <c r="C32" i="101"/>
  <c r="I32" i="101"/>
  <c r="AI32" i="101"/>
  <c r="AM32" i="101"/>
  <c r="AG46" i="101"/>
  <c r="G46" i="101"/>
  <c r="C25" i="38"/>
  <c r="C42" i="38" s="1"/>
  <c r="D9" i="38" s="1"/>
  <c r="AE18" i="101"/>
  <c r="G18" i="101"/>
  <c r="O32" i="101"/>
  <c r="S46" i="101"/>
  <c r="E22" i="7"/>
  <c r="E12" i="7"/>
  <c r="E13" i="7"/>
  <c r="E25" i="7"/>
  <c r="E20" i="7"/>
  <c r="L7" i="78"/>
  <c r="J1331" i="105"/>
  <c r="J34" i="104"/>
  <c r="M742" i="84"/>
  <c r="C24" i="71"/>
  <c r="C26" i="71" s="1"/>
  <c r="D9" i="71" s="1"/>
  <c r="E18" i="7"/>
  <c r="J139" i="104"/>
  <c r="Z29" i="58"/>
  <c r="V29" i="58"/>
  <c r="C27" i="22"/>
  <c r="C29" i="22" s="1"/>
  <c r="D9" i="22" s="1"/>
  <c r="I79" i="112"/>
  <c r="J46" i="112"/>
  <c r="K46" i="101"/>
  <c r="I18" i="84"/>
  <c r="I39" i="84"/>
  <c r="W77" i="90"/>
  <c r="D83" i="90"/>
  <c r="F83" i="90" s="1"/>
  <c r="H83" i="90" s="1"/>
  <c r="C23" i="7"/>
  <c r="G157" i="84"/>
  <c r="G169" i="84" s="1"/>
  <c r="G172" i="84" s="1"/>
  <c r="G23" i="7" s="1"/>
  <c r="I178" i="84"/>
  <c r="H25" i="31" s="1"/>
  <c r="W88" i="90"/>
  <c r="J88" i="90" s="1"/>
  <c r="D88" i="90"/>
  <c r="F88" i="90" s="1"/>
  <c r="L88" i="90" s="1"/>
  <c r="C21" i="7"/>
  <c r="C32" i="31"/>
  <c r="D9" i="31" s="1"/>
  <c r="H33" i="50"/>
  <c r="G178" i="84"/>
  <c r="I853" i="84"/>
  <c r="I865" i="84" s="1"/>
  <c r="I868" i="84" s="1"/>
  <c r="M853" i="84"/>
  <c r="D90" i="90"/>
  <c r="F90" i="90" s="1"/>
  <c r="C25" i="7"/>
  <c r="K178" i="84"/>
  <c r="K7" i="78"/>
  <c r="E15" i="7"/>
  <c r="AG28" i="58"/>
  <c r="G37" i="58" s="1"/>
  <c r="C61" i="13"/>
  <c r="J36" i="105"/>
  <c r="L36" i="105" s="1"/>
  <c r="J48" i="105"/>
  <c r="L48" i="105" s="1"/>
  <c r="J52" i="105"/>
  <c r="J60" i="105"/>
  <c r="L60" i="105" s="1"/>
  <c r="J64" i="105"/>
  <c r="L64" i="105" s="1"/>
  <c r="J72" i="105"/>
  <c r="K72" i="105" s="1"/>
  <c r="J76" i="105"/>
  <c r="J80" i="105"/>
  <c r="L80" i="105" s="1"/>
  <c r="J84" i="105"/>
  <c r="L84" i="105" s="1"/>
  <c r="J96" i="105"/>
  <c r="L96" i="105" s="1"/>
  <c r="J104" i="105"/>
  <c r="L104" i="105" s="1"/>
  <c r="J108" i="105"/>
  <c r="K108" i="105" s="1"/>
  <c r="J112" i="105"/>
  <c r="L112" i="105" s="1"/>
  <c r="J120" i="105"/>
  <c r="L120" i="105" s="1"/>
  <c r="J128" i="105"/>
  <c r="L128" i="105" s="1"/>
  <c r="J132" i="105"/>
  <c r="K132" i="105" s="1"/>
  <c r="J144" i="105"/>
  <c r="L144" i="105" s="1"/>
  <c r="J156" i="105"/>
  <c r="L156" i="105" s="1"/>
  <c r="J168" i="105"/>
  <c r="L168" i="105" s="1"/>
  <c r="J176" i="105"/>
  <c r="J180" i="105"/>
  <c r="K180" i="105" s="1"/>
  <c r="J192" i="105"/>
  <c r="K192" i="105" s="1"/>
  <c r="J200" i="105"/>
  <c r="J204" i="105"/>
  <c r="L204" i="105" s="1"/>
  <c r="J208" i="105"/>
  <c r="J216" i="105"/>
  <c r="K216" i="105" s="1"/>
  <c r="J228" i="105"/>
  <c r="K228" i="105" s="1"/>
  <c r="J232" i="105"/>
  <c r="J240" i="105"/>
  <c r="L240" i="105" s="1"/>
  <c r="J252" i="105"/>
  <c r="K252" i="105" s="1"/>
  <c r="J264" i="105"/>
  <c r="L264" i="105" s="1"/>
  <c r="J272" i="105"/>
  <c r="J276" i="105"/>
  <c r="L276" i="105" s="1"/>
  <c r="J288" i="105"/>
  <c r="K288" i="105" s="1"/>
  <c r="I7" i="78"/>
  <c r="AG24" i="58"/>
  <c r="G29" i="58" s="1"/>
  <c r="AG27" i="58"/>
  <c r="G35" i="58" s="1"/>
  <c r="K812" i="84"/>
  <c r="K831" i="84" s="1"/>
  <c r="E812" i="84"/>
  <c r="I812" i="84"/>
  <c r="M812" i="84"/>
  <c r="G812" i="84"/>
  <c r="C14" i="7"/>
  <c r="M18" i="101"/>
  <c r="AK18" i="101"/>
  <c r="C41" i="43"/>
  <c r="D9" i="43" s="1"/>
  <c r="E19" i="7"/>
  <c r="A15" i="39"/>
  <c r="A16" i="49"/>
  <c r="A16" i="48"/>
  <c r="A15" i="41"/>
  <c r="U29" i="58"/>
  <c r="AG18" i="101"/>
  <c r="Q32" i="101"/>
  <c r="I115" i="84"/>
  <c r="I127" i="84" s="1"/>
  <c r="I130" i="84" s="1"/>
  <c r="I101" i="112"/>
  <c r="J100" i="112"/>
  <c r="A16" i="65"/>
  <c r="AG32" i="101"/>
  <c r="S32" i="101"/>
  <c r="Y32" i="101"/>
  <c r="O46" i="101"/>
  <c r="A16" i="16"/>
  <c r="G466" i="84"/>
  <c r="I508" i="84"/>
  <c r="AA18" i="101"/>
  <c r="E27" i="7"/>
  <c r="C39" i="30"/>
  <c r="D9" i="30" s="1"/>
  <c r="J34" i="105"/>
  <c r="L34" i="105" s="1"/>
  <c r="J38" i="105"/>
  <c r="K38" i="105" s="1"/>
  <c r="J46" i="105"/>
  <c r="L46" i="105" s="1"/>
  <c r="J50" i="105"/>
  <c r="J58" i="105"/>
  <c r="K58" i="105" s="1"/>
  <c r="J62" i="105"/>
  <c r="L62" i="105" s="1"/>
  <c r="J70" i="105"/>
  <c r="L70" i="105" s="1"/>
  <c r="J74" i="105"/>
  <c r="J82" i="105"/>
  <c r="J86" i="105"/>
  <c r="L86" i="105" s="1"/>
  <c r="J94" i="105"/>
  <c r="J98" i="105"/>
  <c r="J106" i="105"/>
  <c r="L106" i="105" s="1"/>
  <c r="J110" i="105"/>
  <c r="J118" i="105"/>
  <c r="L118" i="105" s="1"/>
  <c r="J122" i="105"/>
  <c r="J130" i="105"/>
  <c r="J134" i="105"/>
  <c r="J142" i="105"/>
  <c r="J146" i="105"/>
  <c r="J154" i="105"/>
  <c r="K154" i="105" s="1"/>
  <c r="J158" i="105"/>
  <c r="J166" i="105"/>
  <c r="L166" i="105" s="1"/>
  <c r="J170" i="105"/>
  <c r="J178" i="105"/>
  <c r="J182" i="105"/>
  <c r="K182" i="105" s="1"/>
  <c r="J190" i="105"/>
  <c r="J194" i="105"/>
  <c r="K194" i="105" s="1"/>
  <c r="J202" i="105"/>
  <c r="K202" i="105" s="1"/>
  <c r="J206" i="105"/>
  <c r="K206" i="105" s="1"/>
  <c r="J214" i="105"/>
  <c r="J218" i="105"/>
  <c r="J226" i="105"/>
  <c r="J230" i="105"/>
  <c r="J238" i="105"/>
  <c r="J242" i="105"/>
  <c r="K242" i="105" s="1"/>
  <c r="J250" i="105"/>
  <c r="J254" i="105"/>
  <c r="L254" i="105" s="1"/>
  <c r="J262" i="105"/>
  <c r="J266" i="105"/>
  <c r="J274" i="105"/>
  <c r="L274" i="105" s="1"/>
  <c r="J278" i="105"/>
  <c r="J290" i="105"/>
  <c r="L290" i="105" s="1"/>
  <c r="J298" i="105"/>
  <c r="L298" i="105" s="1"/>
  <c r="E23" i="7"/>
  <c r="E26" i="7"/>
  <c r="J35" i="105"/>
  <c r="J39" i="105"/>
  <c r="J43" i="105"/>
  <c r="K43" i="105" s="1"/>
  <c r="J47" i="105"/>
  <c r="J51" i="105"/>
  <c r="K51" i="105" s="1"/>
  <c r="J55" i="105"/>
  <c r="J59" i="105"/>
  <c r="K59" i="105" s="1"/>
  <c r="J63" i="105"/>
  <c r="K63" i="105" s="1"/>
  <c r="J67" i="105"/>
  <c r="K67" i="105" s="1"/>
  <c r="J75" i="105"/>
  <c r="J79" i="105"/>
  <c r="J83" i="105"/>
  <c r="K83" i="105" s="1"/>
  <c r="J87" i="105"/>
  <c r="J91" i="105"/>
  <c r="J119" i="105"/>
  <c r="J123" i="105"/>
  <c r="L123" i="105" s="1"/>
  <c r="J127" i="105"/>
  <c r="J135" i="105"/>
  <c r="J139" i="105"/>
  <c r="J147" i="105"/>
  <c r="J151" i="105"/>
  <c r="J155" i="105"/>
  <c r="L155" i="105" s="1"/>
  <c r="J159" i="105"/>
  <c r="L159" i="105" s="1"/>
  <c r="J191" i="105"/>
  <c r="J287" i="105"/>
  <c r="J302" i="105"/>
  <c r="J310" i="105"/>
  <c r="J314" i="105"/>
  <c r="J322" i="105"/>
  <c r="J326" i="105"/>
  <c r="J334" i="105"/>
  <c r="J338" i="105"/>
  <c r="J346" i="105"/>
  <c r="K346" i="105" s="1"/>
  <c r="J350" i="105"/>
  <c r="J362" i="105"/>
  <c r="J370" i="105"/>
  <c r="J374" i="105"/>
  <c r="T5" i="100"/>
  <c r="J319" i="105"/>
  <c r="J351" i="105"/>
  <c r="J439" i="105"/>
  <c r="J543" i="105"/>
  <c r="J559" i="105"/>
  <c r="K559" i="105" s="1"/>
  <c r="J595" i="105"/>
  <c r="J827" i="105"/>
  <c r="K827" i="105" s="1"/>
  <c r="J899" i="105"/>
  <c r="J1095" i="105"/>
  <c r="D6" i="58"/>
  <c r="H42" i="58" s="1"/>
  <c r="J140" i="104"/>
  <c r="J31" i="112"/>
  <c r="J47" i="112"/>
  <c r="D6" i="38"/>
  <c r="C41" i="42"/>
  <c r="J296" i="105"/>
  <c r="K296" i="105" s="1"/>
  <c r="J300" i="105"/>
  <c r="K300" i="105" s="1"/>
  <c r="J304" i="105"/>
  <c r="L304" i="105" s="1"/>
  <c r="J312" i="105"/>
  <c r="K312" i="105" s="1"/>
  <c r="J320" i="105"/>
  <c r="J324" i="105"/>
  <c r="L324" i="105" s="1"/>
  <c r="J328" i="105"/>
  <c r="J332" i="105"/>
  <c r="J336" i="105"/>
  <c r="K336" i="105" s="1"/>
  <c r="J344" i="105"/>
  <c r="K344" i="105" s="1"/>
  <c r="J348" i="105"/>
  <c r="K348" i="105" s="1"/>
  <c r="J360" i="105"/>
  <c r="K360" i="105" s="1"/>
  <c r="J364" i="105"/>
  <c r="J368" i="105"/>
  <c r="K368" i="105" s="1"/>
  <c r="J372" i="105"/>
  <c r="L372" i="105" s="1"/>
  <c r="J376" i="105"/>
  <c r="K376" i="105" s="1"/>
  <c r="J384" i="105"/>
  <c r="L384" i="105" s="1"/>
  <c r="J396" i="105"/>
  <c r="K396" i="105" s="1"/>
  <c r="J408" i="105"/>
  <c r="L408" i="105" s="1"/>
  <c r="J420" i="105"/>
  <c r="K420" i="105" s="1"/>
  <c r="J428" i="105"/>
  <c r="K428" i="105" s="1"/>
  <c r="J432" i="105"/>
  <c r="K432" i="105" s="1"/>
  <c r="J444" i="105"/>
  <c r="K444" i="105" s="1"/>
  <c r="J448" i="105"/>
  <c r="J452" i="105"/>
  <c r="J456" i="105"/>
  <c r="K456" i="105" s="1"/>
  <c r="J468" i="105"/>
  <c r="K468" i="105" s="1"/>
  <c r="J472" i="105"/>
  <c r="K472" i="105" s="1"/>
  <c r="J480" i="105"/>
  <c r="K480" i="105" s="1"/>
  <c r="J492" i="105"/>
  <c r="K492" i="105" s="1"/>
  <c r="J504" i="105"/>
  <c r="K504" i="105" s="1"/>
  <c r="J516" i="105"/>
  <c r="K516" i="105" s="1"/>
  <c r="J528" i="105"/>
  <c r="L528" i="105" s="1"/>
  <c r="J536" i="105"/>
  <c r="K536" i="105" s="1"/>
  <c r="J540" i="105"/>
  <c r="K540" i="105" s="1"/>
  <c r="J552" i="105"/>
  <c r="K552" i="105" s="1"/>
  <c r="J564" i="105"/>
  <c r="L564" i="105" s="1"/>
  <c r="J576" i="105"/>
  <c r="K576" i="105" s="1"/>
  <c r="J588" i="105"/>
  <c r="K588" i="105" s="1"/>
  <c r="J592" i="105"/>
  <c r="L592" i="105" s="1"/>
  <c r="J600" i="105"/>
  <c r="L600" i="105" s="1"/>
  <c r="J612" i="105"/>
  <c r="K612" i="105" s="1"/>
  <c r="J624" i="105"/>
  <c r="L624" i="105" s="1"/>
  <c r="J636" i="105"/>
  <c r="K636" i="105" s="1"/>
  <c r="J648" i="105"/>
  <c r="L648" i="105" s="1"/>
  <c r="J660" i="105"/>
  <c r="K660" i="105" s="1"/>
  <c r="J672" i="105"/>
  <c r="K672" i="105" s="1"/>
  <c r="J684" i="105"/>
  <c r="K684" i="105" s="1"/>
  <c r="J696" i="105"/>
  <c r="L696" i="105" s="1"/>
  <c r="J708" i="105"/>
  <c r="K708" i="105" s="1"/>
  <c r="J720" i="105"/>
  <c r="K720" i="105" s="1"/>
  <c r="J732" i="105"/>
  <c r="K732" i="105" s="1"/>
  <c r="J744" i="105"/>
  <c r="K744" i="105" s="1"/>
  <c r="J756" i="105"/>
  <c r="K756" i="105" s="1"/>
  <c r="J768" i="105"/>
  <c r="K768" i="105" s="1"/>
  <c r="J780" i="105"/>
  <c r="K780" i="105" s="1"/>
  <c r="J792" i="105"/>
  <c r="K792" i="105" s="1"/>
  <c r="J804" i="105"/>
  <c r="K804" i="105" s="1"/>
  <c r="J816" i="105"/>
  <c r="L816" i="105" s="1"/>
  <c r="J828" i="105"/>
  <c r="L828" i="105" s="1"/>
  <c r="J840" i="105"/>
  <c r="L840" i="105" s="1"/>
  <c r="J852" i="105"/>
  <c r="L852" i="105" s="1"/>
  <c r="J864" i="105"/>
  <c r="K864" i="105" s="1"/>
  <c r="J876" i="105"/>
  <c r="K876" i="105" s="1"/>
  <c r="J880" i="105"/>
  <c r="J888" i="105"/>
  <c r="K888" i="105" s="1"/>
  <c r="J900" i="105"/>
  <c r="L900" i="105" s="1"/>
  <c r="J912" i="105"/>
  <c r="K912" i="105" s="1"/>
  <c r="J924" i="105"/>
  <c r="K924" i="105" s="1"/>
  <c r="J928" i="105"/>
  <c r="L928" i="105" s="1"/>
  <c r="J936" i="105"/>
  <c r="K936" i="105" s="1"/>
  <c r="J944" i="105"/>
  <c r="L944" i="105" s="1"/>
  <c r="J948" i="105"/>
  <c r="L948" i="105" s="1"/>
  <c r="J960" i="105"/>
  <c r="K960" i="105" s="1"/>
  <c r="J972" i="105"/>
  <c r="L972" i="105" s="1"/>
  <c r="J984" i="105"/>
  <c r="L984" i="105" s="1"/>
  <c r="J1040" i="105"/>
  <c r="L1040" i="105" s="1"/>
  <c r="J1240" i="105"/>
  <c r="L1240" i="105" s="1"/>
  <c r="J1264" i="105"/>
  <c r="P4" i="106"/>
  <c r="D6" i="29"/>
  <c r="C41" i="48"/>
  <c r="G18" i="112"/>
  <c r="G112" i="112" s="1"/>
  <c r="E23" i="19" s="1"/>
  <c r="D6" i="12"/>
  <c r="D6" i="39"/>
  <c r="C17" i="7"/>
  <c r="D79" i="90"/>
  <c r="F79" i="90" s="1"/>
  <c r="H79" i="90" s="1"/>
  <c r="K39" i="84"/>
  <c r="W79" i="90"/>
  <c r="J79" i="90" s="1"/>
  <c r="K18" i="84"/>
  <c r="K30" i="84" s="1"/>
  <c r="K33" i="84" s="1"/>
  <c r="E14" i="7"/>
  <c r="D80" i="90"/>
  <c r="F80" i="90" s="1"/>
  <c r="K66" i="84"/>
  <c r="F28" i="7"/>
  <c r="D64" i="5"/>
  <c r="F35" i="46"/>
  <c r="F21" i="90"/>
  <c r="D36" i="90"/>
  <c r="F18" i="90" s="1"/>
  <c r="R18" i="90" s="1"/>
  <c r="D44" i="5"/>
  <c r="F36" i="41"/>
  <c r="D45" i="5"/>
  <c r="H48" i="50"/>
  <c r="G907" i="84"/>
  <c r="G910" i="84" s="1"/>
  <c r="G914" i="84"/>
  <c r="C24" i="17"/>
  <c r="C26" i="17" s="1"/>
  <c r="D9" i="17" s="1"/>
  <c r="C38" i="32"/>
  <c r="C47" i="32" s="1"/>
  <c r="D9" i="32" s="1"/>
  <c r="P14" i="106"/>
  <c r="D21" i="4"/>
  <c r="C38" i="46"/>
  <c r="D9" i="46" s="1"/>
  <c r="E96" i="112"/>
  <c r="J94" i="112"/>
  <c r="J96" i="112" s="1"/>
  <c r="H47" i="50"/>
  <c r="AA29" i="58"/>
  <c r="E32" i="101"/>
  <c r="F35" i="42"/>
  <c r="AT18" i="101"/>
  <c r="AP32" i="101"/>
  <c r="H65" i="50"/>
  <c r="K914" i="84"/>
  <c r="G681" i="84"/>
  <c r="M681" i="84"/>
  <c r="K681" i="84"/>
  <c r="I681" i="84"/>
  <c r="I735" i="84"/>
  <c r="I738" i="84" s="1"/>
  <c r="I742" i="84"/>
  <c r="N36" i="90"/>
  <c r="N27" i="90" s="1"/>
  <c r="N93" i="90"/>
  <c r="A160" i="4"/>
  <c r="E42" i="97"/>
  <c r="J57" i="112"/>
  <c r="J65" i="112"/>
  <c r="J73" i="112"/>
  <c r="P12" i="106"/>
  <c r="W16" i="83" s="1"/>
  <c r="C58" i="39"/>
  <c r="C41" i="49"/>
  <c r="J14" i="112"/>
  <c r="AR31" i="101"/>
  <c r="C23" i="15"/>
  <c r="C25" i="15" s="1"/>
  <c r="D9" i="15" s="1"/>
  <c r="M30" i="84"/>
  <c r="M33" i="84" s="1"/>
  <c r="C42" i="30"/>
  <c r="C41" i="47"/>
  <c r="J15" i="112"/>
  <c r="M115" i="84"/>
  <c r="M127" i="84" s="1"/>
  <c r="M130" i="84" s="1"/>
  <c r="G599" i="84"/>
  <c r="E936" i="84"/>
  <c r="K18" i="101"/>
  <c r="AP18" i="101"/>
  <c r="S18" i="101"/>
  <c r="AE32" i="101"/>
  <c r="AC32" i="101"/>
  <c r="AC46" i="101"/>
  <c r="AR45" i="101"/>
  <c r="C40" i="41"/>
  <c r="D9" i="41" s="1"/>
  <c r="J30" i="112"/>
  <c r="J66" i="112"/>
  <c r="C43" i="41"/>
  <c r="C44" i="43"/>
  <c r="B149" i="4"/>
  <c r="K1019" i="84"/>
  <c r="K157" i="84"/>
  <c r="W83" i="90"/>
  <c r="J83" i="90" s="1"/>
  <c r="M563" i="84"/>
  <c r="M566" i="84" s="1"/>
  <c r="G853" i="84"/>
  <c r="T29" i="58"/>
  <c r="O29" i="58"/>
  <c r="J825" i="105"/>
  <c r="J1261" i="105"/>
  <c r="K1261" i="105" s="1"/>
  <c r="G39" i="12"/>
  <c r="D6" i="65"/>
  <c r="D6" i="47"/>
  <c r="D6" i="49"/>
  <c r="C41" i="46"/>
  <c r="C54" i="29"/>
  <c r="X29" i="58"/>
  <c r="AD29" i="58"/>
  <c r="P29" i="58"/>
  <c r="O18" i="101"/>
  <c r="AM18" i="101"/>
  <c r="AC18" i="101"/>
  <c r="C18" i="101"/>
  <c r="Y18" i="101"/>
  <c r="Q18" i="101"/>
  <c r="E18" i="101"/>
  <c r="W32" i="101"/>
  <c r="M32" i="101"/>
  <c r="K32" i="101"/>
  <c r="AA32" i="101"/>
  <c r="E46" i="101"/>
  <c r="AI46" i="101"/>
  <c r="I46" i="101"/>
  <c r="C46" i="101"/>
  <c r="W46" i="101"/>
  <c r="AM46" i="101"/>
  <c r="Q46" i="101"/>
  <c r="AK46" i="101"/>
  <c r="I36" i="112"/>
  <c r="I96" i="112"/>
  <c r="D6" i="60"/>
  <c r="D37" i="60" s="1"/>
  <c r="D6" i="26"/>
  <c r="D6" i="30"/>
  <c r="C37" i="65"/>
  <c r="C58" i="40"/>
  <c r="B20" i="101"/>
  <c r="C28" i="60"/>
  <c r="C30" i="60" s="1"/>
  <c r="D9" i="60" s="1"/>
  <c r="C31" i="19"/>
  <c r="C33" i="19" s="1"/>
  <c r="D9" i="19" s="1"/>
  <c r="C38" i="29"/>
  <c r="C51" i="29" s="1"/>
  <c r="D9" i="29" s="1"/>
  <c r="J382" i="105"/>
  <c r="J394" i="105"/>
  <c r="K394" i="105" s="1"/>
  <c r="J398" i="105"/>
  <c r="K398" i="105" s="1"/>
  <c r="J406" i="105"/>
  <c r="L406" i="105" s="1"/>
  <c r="J418" i="105"/>
  <c r="J422" i="105"/>
  <c r="J430" i="105"/>
  <c r="J434" i="105"/>
  <c r="K434" i="105" s="1"/>
  <c r="J442" i="105"/>
  <c r="L442" i="105" s="1"/>
  <c r="J454" i="105"/>
  <c r="K454" i="105" s="1"/>
  <c r="J458" i="105"/>
  <c r="J466" i="105"/>
  <c r="L466" i="105" s="1"/>
  <c r="J478" i="105"/>
  <c r="K478" i="105" s="1"/>
  <c r="J482" i="105"/>
  <c r="J490" i="105"/>
  <c r="K490" i="105" s="1"/>
  <c r="J494" i="105"/>
  <c r="L494" i="105" s="1"/>
  <c r="J502" i="105"/>
  <c r="J506" i="105"/>
  <c r="J526" i="105"/>
  <c r="J530" i="105"/>
  <c r="K530" i="105" s="1"/>
  <c r="J538" i="105"/>
  <c r="K538" i="105" s="1"/>
  <c r="J550" i="105"/>
  <c r="J562" i="105"/>
  <c r="J566" i="105"/>
  <c r="J578" i="105"/>
  <c r="K578" i="105" s="1"/>
  <c r="J586" i="105"/>
  <c r="J590" i="105"/>
  <c r="K590" i="105" s="1"/>
  <c r="J598" i="105"/>
  <c r="L598" i="105" s="1"/>
  <c r="J602" i="105"/>
  <c r="K602" i="105" s="1"/>
  <c r="J622" i="105"/>
  <c r="J626" i="105"/>
  <c r="J646" i="105"/>
  <c r="K646" i="105" s="1"/>
  <c r="H43" i="30"/>
  <c r="H40" i="46"/>
  <c r="J32" i="112"/>
  <c r="D6" i="14"/>
  <c r="D6" i="20"/>
  <c r="D31" i="20" s="1"/>
  <c r="D6" i="41"/>
  <c r="C35" i="70"/>
  <c r="D43" i="5"/>
  <c r="F49" i="40"/>
  <c r="AG25" i="58"/>
  <c r="G31" i="58" s="1"/>
  <c r="AF29" i="58"/>
  <c r="AG22" i="58"/>
  <c r="G25" i="58" s="1"/>
  <c r="S29" i="58"/>
  <c r="AG26" i="58"/>
  <c r="G33" i="58" s="1"/>
  <c r="M29" i="58"/>
  <c r="AG21" i="58"/>
  <c r="G23" i="58" s="1"/>
  <c r="AB29" i="58"/>
  <c r="N29" i="58"/>
  <c r="AG19" i="58"/>
  <c r="G19" i="58" s="1"/>
  <c r="D64" i="50"/>
  <c r="D69" i="50" s="1"/>
  <c r="C38" i="45"/>
  <c r="D9" i="45" s="1"/>
  <c r="I651" i="84"/>
  <c r="I654" i="84" s="1"/>
  <c r="I658" i="84"/>
  <c r="H46" i="50"/>
  <c r="K783" i="84"/>
  <c r="K786" i="84" s="1"/>
  <c r="K790" i="84"/>
  <c r="H17" i="50"/>
  <c r="K563" i="84"/>
  <c r="K566" i="84" s="1"/>
  <c r="K570" i="84"/>
  <c r="F7" i="4"/>
  <c r="AI18" i="101"/>
  <c r="I18" i="101"/>
  <c r="W18" i="101"/>
  <c r="Y46" i="101"/>
  <c r="W81" i="90"/>
  <c r="J81" i="90" s="1"/>
  <c r="D81" i="90"/>
  <c r="I136" i="84"/>
  <c r="C19" i="7"/>
  <c r="M385" i="84"/>
  <c r="M388" i="84" s="1"/>
  <c r="G211" i="84"/>
  <c r="G214" i="84" s="1"/>
  <c r="G218" i="84"/>
  <c r="E421" i="84"/>
  <c r="G421" i="84"/>
  <c r="K421" i="84"/>
  <c r="AT32" i="101"/>
  <c r="AR38" i="101"/>
  <c r="AP46" i="101"/>
  <c r="AT46" i="101"/>
  <c r="D51" i="50"/>
  <c r="C25" i="44"/>
  <c r="D9" i="44" s="1"/>
  <c r="D27" i="50"/>
  <c r="AG23" i="58"/>
  <c r="G27" i="58" s="1"/>
  <c r="AE29" i="58"/>
  <c r="R29" i="58"/>
  <c r="AC29" i="58"/>
  <c r="Q29" i="58"/>
  <c r="AG20" i="58"/>
  <c r="G21" i="58" s="1"/>
  <c r="E24" i="7"/>
  <c r="E21" i="7"/>
  <c r="AR8" i="101"/>
  <c r="AR14" i="101"/>
  <c r="AR17" i="101"/>
  <c r="AR29" i="101"/>
  <c r="AR30" i="101"/>
  <c r="AR43" i="101"/>
  <c r="K466" i="84"/>
  <c r="G1019" i="84"/>
  <c r="G570" i="84"/>
  <c r="C18" i="7"/>
  <c r="K86" i="84"/>
  <c r="W80" i="90"/>
  <c r="J80" i="90" s="1"/>
  <c r="I466" i="84"/>
  <c r="I1019" i="84"/>
  <c r="W75" i="90"/>
  <c r="G18" i="84"/>
  <c r="I907" i="84"/>
  <c r="I910" i="84" s="1"/>
  <c r="I385" i="84"/>
  <c r="I388" i="84" s="1"/>
  <c r="I392" i="84"/>
  <c r="AR15" i="101"/>
  <c r="AR28" i="101"/>
  <c r="I47" i="84"/>
  <c r="K392" i="84"/>
  <c r="K385" i="84"/>
  <c r="K388" i="84" s="1"/>
  <c r="K508" i="84"/>
  <c r="M508" i="84"/>
  <c r="AR10" i="101"/>
  <c r="AR11" i="101"/>
  <c r="AR12" i="101"/>
  <c r="AR16" i="101"/>
  <c r="AR37" i="101"/>
  <c r="AR40" i="101"/>
  <c r="AR42" i="101"/>
  <c r="AR13" i="101"/>
  <c r="AR23" i="101"/>
  <c r="AR39" i="101"/>
  <c r="J42" i="105"/>
  <c r="K42" i="105" s="1"/>
  <c r="J54" i="105"/>
  <c r="K54" i="105" s="1"/>
  <c r="J66" i="105"/>
  <c r="K66" i="105" s="1"/>
  <c r="J78" i="105"/>
  <c r="K78" i="105" s="1"/>
  <c r="J90" i="105"/>
  <c r="K90" i="105" s="1"/>
  <c r="J102" i="105"/>
  <c r="L102" i="105" s="1"/>
  <c r="J114" i="105"/>
  <c r="L114" i="105" s="1"/>
  <c r="J126" i="105"/>
  <c r="L126" i="105" s="1"/>
  <c r="J138" i="105"/>
  <c r="K138" i="105" s="1"/>
  <c r="J150" i="105"/>
  <c r="K150" i="105" s="1"/>
  <c r="J162" i="105"/>
  <c r="K162" i="105" s="1"/>
  <c r="J174" i="105"/>
  <c r="L174" i="105" s="1"/>
  <c r="J186" i="105"/>
  <c r="L186" i="105" s="1"/>
  <c r="J198" i="105"/>
  <c r="L198" i="105" s="1"/>
  <c r="J210" i="105"/>
  <c r="L210" i="105" s="1"/>
  <c r="J222" i="105"/>
  <c r="L222" i="105" s="1"/>
  <c r="J234" i="105"/>
  <c r="K234" i="105" s="1"/>
  <c r="J246" i="105"/>
  <c r="K246" i="105" s="1"/>
  <c r="J258" i="105"/>
  <c r="K258" i="105" s="1"/>
  <c r="J270" i="105"/>
  <c r="K270" i="105" s="1"/>
  <c r="J282" i="105"/>
  <c r="L282" i="105" s="1"/>
  <c r="J294" i="105"/>
  <c r="K294" i="105" s="1"/>
  <c r="J306" i="105"/>
  <c r="K306" i="105" s="1"/>
  <c r="J318" i="105"/>
  <c r="K318" i="105" s="1"/>
  <c r="J330" i="105"/>
  <c r="L330" i="105" s="1"/>
  <c r="J342" i="105"/>
  <c r="K342" i="105" s="1"/>
  <c r="J354" i="105"/>
  <c r="K354" i="105" s="1"/>
  <c r="J366" i="105"/>
  <c r="K366" i="105" s="1"/>
  <c r="J378" i="105"/>
  <c r="K378" i="105" s="1"/>
  <c r="J390" i="105"/>
  <c r="L390" i="105" s="1"/>
  <c r="J402" i="105"/>
  <c r="K402" i="105" s="1"/>
  <c r="J414" i="105"/>
  <c r="K414" i="105" s="1"/>
  <c r="J426" i="105"/>
  <c r="K426" i="105" s="1"/>
  <c r="J438" i="105"/>
  <c r="K438" i="105" s="1"/>
  <c r="J450" i="105"/>
  <c r="K450" i="105" s="1"/>
  <c r="J462" i="105"/>
  <c r="L462" i="105" s="1"/>
  <c r="J474" i="105"/>
  <c r="K474" i="105" s="1"/>
  <c r="J486" i="105"/>
  <c r="K486" i="105" s="1"/>
  <c r="J498" i="105"/>
  <c r="K498" i="105" s="1"/>
  <c r="J510" i="105"/>
  <c r="L510" i="105" s="1"/>
  <c r="J522" i="105"/>
  <c r="L522" i="105" s="1"/>
  <c r="J534" i="105"/>
  <c r="K534" i="105" s="1"/>
  <c r="J546" i="105"/>
  <c r="K546" i="105" s="1"/>
  <c r="J558" i="105"/>
  <c r="K558" i="105" s="1"/>
  <c r="J570" i="105"/>
  <c r="L570" i="105" s="1"/>
  <c r="E18" i="19"/>
  <c r="I42" i="112"/>
  <c r="I70" i="112"/>
  <c r="AR44" i="101"/>
  <c r="J26" i="112"/>
  <c r="AR9" i="101"/>
  <c r="AR24" i="101"/>
  <c r="AR25" i="101"/>
  <c r="AR26" i="101"/>
  <c r="AR27" i="101"/>
  <c r="AR36" i="101"/>
  <c r="AR22" i="101"/>
  <c r="AR41" i="101"/>
  <c r="I18" i="112"/>
  <c r="E16" i="19"/>
  <c r="J996" i="105"/>
  <c r="K996" i="105" s="1"/>
  <c r="J1008" i="105"/>
  <c r="K1008" i="105" s="1"/>
  <c r="J1020" i="105"/>
  <c r="L1020" i="105" s="1"/>
  <c r="J1032" i="105"/>
  <c r="L1032" i="105" s="1"/>
  <c r="J1044" i="105"/>
  <c r="K1044" i="105" s="1"/>
  <c r="J1056" i="105"/>
  <c r="L1056" i="105" s="1"/>
  <c r="J1068" i="105"/>
  <c r="L1068" i="105" s="1"/>
  <c r="J1080" i="105"/>
  <c r="L1080" i="105" s="1"/>
  <c r="J1092" i="105"/>
  <c r="K1092" i="105" s="1"/>
  <c r="J1104" i="105"/>
  <c r="K1104" i="105" s="1"/>
  <c r="J1116" i="105"/>
  <c r="L1116" i="105" s="1"/>
  <c r="J1128" i="105"/>
  <c r="K1128" i="105" s="1"/>
  <c r="J1140" i="105"/>
  <c r="K1140" i="105" s="1"/>
  <c r="J1152" i="105"/>
  <c r="L1152" i="105" s="1"/>
  <c r="J1164" i="105"/>
  <c r="K1164" i="105" s="1"/>
  <c r="J1176" i="105"/>
  <c r="L1176" i="105" s="1"/>
  <c r="J1188" i="105"/>
  <c r="K1188" i="105" s="1"/>
  <c r="J1200" i="105"/>
  <c r="K1200" i="105" s="1"/>
  <c r="J1212" i="105"/>
  <c r="L1212" i="105" s="1"/>
  <c r="J1224" i="105"/>
  <c r="K1224" i="105" s="1"/>
  <c r="J1236" i="105"/>
  <c r="K1236" i="105" s="1"/>
  <c r="J1248" i="105"/>
  <c r="L1248" i="105" s="1"/>
  <c r="J1260" i="105"/>
  <c r="L1260" i="105" s="1"/>
  <c r="J1272" i="105"/>
  <c r="L1272" i="105" s="1"/>
  <c r="J1284" i="105"/>
  <c r="K1284" i="105" s="1"/>
  <c r="J1296" i="105"/>
  <c r="K1296" i="105" s="1"/>
  <c r="J1308" i="105"/>
  <c r="L1308" i="105" s="1"/>
  <c r="J1320" i="105"/>
  <c r="K1320" i="105" s="1"/>
  <c r="J1332" i="105"/>
  <c r="L1332" i="105" s="1"/>
  <c r="J1344" i="105"/>
  <c r="K1344" i="105" s="1"/>
  <c r="E17" i="19"/>
  <c r="I27" i="112"/>
  <c r="A16" i="29"/>
  <c r="A28" i="4"/>
  <c r="B22" i="90"/>
  <c r="B79" i="90" s="1"/>
  <c r="I52" i="112"/>
  <c r="J74" i="112"/>
  <c r="N10" i="106"/>
  <c r="O11" i="106" s="1"/>
  <c r="A16" i="30"/>
  <c r="A16" i="13"/>
  <c r="A16" i="45"/>
  <c r="A16" i="47"/>
  <c r="A16" i="12"/>
  <c r="A15" i="40"/>
  <c r="A15" i="42"/>
  <c r="A16" i="31"/>
  <c r="A16" i="70"/>
  <c r="A15" i="43"/>
  <c r="A16" i="46"/>
  <c r="D23" i="5"/>
  <c r="H26" i="50"/>
  <c r="E19" i="19"/>
  <c r="I61" i="112"/>
  <c r="J12" i="112"/>
  <c r="J582" i="105"/>
  <c r="K582" i="105" s="1"/>
  <c r="J594" i="105"/>
  <c r="K594" i="105" s="1"/>
  <c r="J606" i="105"/>
  <c r="L606" i="105" s="1"/>
  <c r="J618" i="105"/>
  <c r="K618" i="105" s="1"/>
  <c r="J630" i="105"/>
  <c r="K630" i="105" s="1"/>
  <c r="J642" i="105"/>
  <c r="K642" i="105" s="1"/>
  <c r="J654" i="105"/>
  <c r="K654" i="105" s="1"/>
  <c r="J666" i="105"/>
  <c r="K666" i="105" s="1"/>
  <c r="J678" i="105"/>
  <c r="K678" i="105" s="1"/>
  <c r="J690" i="105"/>
  <c r="L690" i="105" s="1"/>
  <c r="J702" i="105"/>
  <c r="K702" i="105" s="1"/>
  <c r="J714" i="105"/>
  <c r="L714" i="105" s="1"/>
  <c r="J726" i="105"/>
  <c r="K726" i="105" s="1"/>
  <c r="J738" i="105"/>
  <c r="L738" i="105" s="1"/>
  <c r="J750" i="105"/>
  <c r="K750" i="105" s="1"/>
  <c r="J762" i="105"/>
  <c r="L762" i="105" s="1"/>
  <c r="J774" i="105"/>
  <c r="L774" i="105" s="1"/>
  <c r="J786" i="105"/>
  <c r="K786" i="105" s="1"/>
  <c r="J798" i="105"/>
  <c r="L798" i="105" s="1"/>
  <c r="J810" i="105"/>
  <c r="K810" i="105" s="1"/>
  <c r="J822" i="105"/>
  <c r="L822" i="105" s="1"/>
  <c r="J834" i="105"/>
  <c r="K834" i="105" s="1"/>
  <c r="J846" i="105"/>
  <c r="K846" i="105" s="1"/>
  <c r="J858" i="105"/>
  <c r="K858" i="105" s="1"/>
  <c r="J870" i="105"/>
  <c r="K870" i="105" s="1"/>
  <c r="J882" i="105"/>
  <c r="L882" i="105" s="1"/>
  <c r="J894" i="105"/>
  <c r="L894" i="105" s="1"/>
  <c r="J906" i="105"/>
  <c r="L906" i="105" s="1"/>
  <c r="J918" i="105"/>
  <c r="L918" i="105" s="1"/>
  <c r="J930" i="105"/>
  <c r="K930" i="105" s="1"/>
  <c r="J942" i="105"/>
  <c r="K942" i="105" s="1"/>
  <c r="J954" i="105"/>
  <c r="L954" i="105" s="1"/>
  <c r="J966" i="105"/>
  <c r="K966" i="105" s="1"/>
  <c r="J978" i="105"/>
  <c r="K978" i="105" s="1"/>
  <c r="J990" i="105"/>
  <c r="K990" i="105" s="1"/>
  <c r="J1002" i="105"/>
  <c r="L1002" i="105" s="1"/>
  <c r="J1014" i="105"/>
  <c r="K1014" i="105" s="1"/>
  <c r="J1026" i="105"/>
  <c r="K1026" i="105" s="1"/>
  <c r="J1038" i="105"/>
  <c r="L1038" i="105" s="1"/>
  <c r="J1050" i="105"/>
  <c r="K1050" i="105" s="1"/>
  <c r="J1062" i="105"/>
  <c r="K1062" i="105" s="1"/>
  <c r="J1074" i="105"/>
  <c r="L1074" i="105" s="1"/>
  <c r="J1086" i="105"/>
  <c r="K1086" i="105" s="1"/>
  <c r="J1098" i="105"/>
  <c r="K1098" i="105" s="1"/>
  <c r="J1110" i="105"/>
  <c r="L1110" i="105" s="1"/>
  <c r="J1122" i="105"/>
  <c r="K1122" i="105" s="1"/>
  <c r="J1134" i="105"/>
  <c r="L1134" i="105" s="1"/>
  <c r="J1146" i="105"/>
  <c r="K1146" i="105" s="1"/>
  <c r="J1158" i="105"/>
  <c r="K1158" i="105" s="1"/>
  <c r="J1170" i="105"/>
  <c r="L1170" i="105" s="1"/>
  <c r="J1182" i="105"/>
  <c r="K1182" i="105" s="1"/>
  <c r="J1194" i="105"/>
  <c r="K1194" i="105" s="1"/>
  <c r="J1206" i="105"/>
  <c r="K1206" i="105" s="1"/>
  <c r="J1218" i="105"/>
  <c r="L1218" i="105" s="1"/>
  <c r="J1230" i="105"/>
  <c r="L1230" i="105" s="1"/>
  <c r="J1242" i="105"/>
  <c r="L1242" i="105" s="1"/>
  <c r="J1254" i="105"/>
  <c r="L1254" i="105" s="1"/>
  <c r="J40" i="112"/>
  <c r="J42" i="112" s="1"/>
  <c r="J64" i="112"/>
  <c r="D6" i="61"/>
  <c r="D6" i="15"/>
  <c r="D6" i="70"/>
  <c r="D6" i="43"/>
  <c r="D6" i="18"/>
  <c r="J16" i="112"/>
  <c r="J138" i="104"/>
  <c r="E79" i="112"/>
  <c r="D6" i="71"/>
  <c r="D6" i="37"/>
  <c r="D6" i="52"/>
  <c r="D6" i="19"/>
  <c r="D41" i="19" s="1"/>
  <c r="A70" i="104"/>
  <c r="J1266" i="105"/>
  <c r="L1266" i="105" s="1"/>
  <c r="J1278" i="105"/>
  <c r="K1278" i="105" s="1"/>
  <c r="J1290" i="105"/>
  <c r="K1290" i="105" s="1"/>
  <c r="J1302" i="105"/>
  <c r="K1302" i="105" s="1"/>
  <c r="J1314" i="105"/>
  <c r="K1314" i="105" s="1"/>
  <c r="J1326" i="105"/>
  <c r="L1326" i="105" s="1"/>
  <c r="J1338" i="105"/>
  <c r="K1338" i="105" s="1"/>
  <c r="D6" i="17"/>
  <c r="D6" i="16"/>
  <c r="D6" i="42"/>
  <c r="D6" i="48"/>
  <c r="D6" i="21"/>
  <c r="J25" i="112"/>
  <c r="J55" i="112"/>
  <c r="A251" i="104"/>
  <c r="A250" i="104"/>
  <c r="B44" i="4"/>
  <c r="W3" i="76"/>
  <c r="J75" i="112"/>
  <c r="D6" i="13"/>
  <c r="D6" i="46"/>
  <c r="D6" i="74"/>
  <c r="D29" i="74" s="1"/>
  <c r="D6" i="44"/>
  <c r="D6" i="23"/>
  <c r="B19" i="101"/>
  <c r="A36" i="4"/>
  <c r="A22" i="7"/>
  <c r="A171" i="106"/>
  <c r="B23" i="90"/>
  <c r="B80" i="90" s="1"/>
  <c r="D73" i="50"/>
  <c r="A23" i="7"/>
  <c r="D15" i="58"/>
  <c r="AC3" i="76"/>
  <c r="D36" i="16"/>
  <c r="C24" i="20"/>
  <c r="C83" i="20" s="1"/>
  <c r="D9" i="20" s="1"/>
  <c r="D28" i="12"/>
  <c r="D17" i="20"/>
  <c r="J73" i="104"/>
  <c r="L74" i="104" s="1"/>
  <c r="K193" i="84"/>
  <c r="B6" i="99"/>
  <c r="K545" i="84"/>
  <c r="K889" i="84"/>
  <c r="C30" i="10"/>
  <c r="C14" i="58"/>
  <c r="A29" i="4"/>
  <c r="F73" i="50"/>
  <c r="J79" i="104"/>
  <c r="G119" i="104" s="1"/>
  <c r="J119" i="104" s="1"/>
  <c r="D121" i="104" s="1"/>
  <c r="J121" i="104" s="1"/>
  <c r="N116" i="104" s="1"/>
  <c r="J123" i="104" s="1"/>
  <c r="J125" i="104" s="1"/>
  <c r="J126" i="104" s="1"/>
  <c r="K367" i="84"/>
  <c r="F70" i="50"/>
  <c r="F55" i="50"/>
  <c r="E69" i="50"/>
  <c r="C18" i="21"/>
  <c r="A18" i="7"/>
  <c r="F23" i="4"/>
  <c r="D70" i="50" s="1"/>
  <c r="W74" i="90"/>
  <c r="G69" i="50"/>
  <c r="J67" i="104"/>
  <c r="J81" i="104" s="1"/>
  <c r="B87" i="104" s="1"/>
  <c r="H24" i="50"/>
  <c r="R28" i="90"/>
  <c r="R25" i="90"/>
  <c r="R26" i="90"/>
  <c r="R24" i="90"/>
  <c r="R30" i="90"/>
  <c r="R27" i="90"/>
  <c r="H22" i="91"/>
  <c r="H25" i="91" s="1"/>
  <c r="D74" i="50"/>
  <c r="B26" i="90"/>
  <c r="B83" i="90" s="1"/>
  <c r="R23" i="90"/>
  <c r="R31" i="90"/>
  <c r="R35" i="90"/>
  <c r="F74" i="50"/>
  <c r="R32" i="90"/>
  <c r="R19" i="90"/>
  <c r="R22" i="90"/>
  <c r="BE3" i="76"/>
  <c r="E31" i="31"/>
  <c r="N61" i="50"/>
  <c r="H53" i="50" s="1"/>
  <c r="J27" i="70"/>
  <c r="R33" i="90"/>
  <c r="J104" i="112"/>
  <c r="J99" i="112"/>
  <c r="E91" i="112"/>
  <c r="E70" i="112"/>
  <c r="J67" i="112"/>
  <c r="E61" i="112"/>
  <c r="J56" i="112"/>
  <c r="E52" i="112"/>
  <c r="E42" i="112"/>
  <c r="E36" i="112"/>
  <c r="E27" i="112"/>
  <c r="E18" i="112"/>
  <c r="J13" i="112"/>
  <c r="F44" i="16"/>
  <c r="F20" i="90" l="1"/>
  <c r="R20" i="90" s="1"/>
  <c r="E96" i="50"/>
  <c r="E99" i="50"/>
  <c r="E111" i="50" s="1"/>
  <c r="A55" i="104"/>
  <c r="B121" i="4"/>
  <c r="E2" i="96"/>
  <c r="A23" i="88"/>
  <c r="E5" i="10"/>
  <c r="E41" i="10"/>
  <c r="E49" i="39"/>
  <c r="BL3" i="76"/>
  <c r="AL7" i="78" s="1"/>
  <c r="I17" i="94"/>
  <c r="I21" i="94" s="1"/>
  <c r="E33" i="40" s="1"/>
  <c r="A171" i="104"/>
  <c r="A46" i="104"/>
  <c r="A10" i="102"/>
  <c r="A128" i="104"/>
  <c r="B18" i="103"/>
  <c r="E171" i="104"/>
  <c r="C9" i="7"/>
  <c r="A6" i="85"/>
  <c r="A83" i="104"/>
  <c r="B14" i="4"/>
  <c r="A72" i="104"/>
  <c r="A76" i="104"/>
  <c r="D127" i="4"/>
  <c r="E9" i="7"/>
  <c r="B150" i="4"/>
  <c r="B45" i="4"/>
  <c r="C36" i="7"/>
  <c r="B32" i="84"/>
  <c r="B737" i="84" s="1"/>
  <c r="F76" i="50"/>
  <c r="Q5" i="106"/>
  <c r="B100" i="90"/>
  <c r="B12" i="4"/>
  <c r="B13" i="4"/>
  <c r="B16" i="84"/>
  <c r="B286" i="84" s="1"/>
  <c r="L92" i="90"/>
  <c r="D72" i="90"/>
  <c r="P92" i="90"/>
  <c r="R92" i="90"/>
  <c r="J27" i="7" s="1"/>
  <c r="A8" i="88"/>
  <c r="G9" i="7"/>
  <c r="B69" i="4"/>
  <c r="I52" i="84"/>
  <c r="H85" i="90"/>
  <c r="N85" i="90"/>
  <c r="L85" i="90"/>
  <c r="I534" i="84"/>
  <c r="I584" i="84" s="1"/>
  <c r="I183" i="84"/>
  <c r="I230" i="84" s="1"/>
  <c r="I356" i="84"/>
  <c r="I406" i="84" s="1"/>
  <c r="I706" i="84"/>
  <c r="I756" i="84" s="1"/>
  <c r="K746" i="105"/>
  <c r="M746" i="105" s="1"/>
  <c r="I100" i="84"/>
  <c r="C35" i="26"/>
  <c r="C37" i="26" s="1"/>
  <c r="D9" i="26" s="1"/>
  <c r="D17" i="47"/>
  <c r="B15" i="103"/>
  <c r="A22" i="103"/>
  <c r="B16" i="103"/>
  <c r="B14" i="103"/>
  <c r="F37" i="48"/>
  <c r="B4" i="50"/>
  <c r="A6" i="88"/>
  <c r="A6" i="103"/>
  <c r="C31" i="12"/>
  <c r="C38" i="12" s="1"/>
  <c r="D9" i="12" s="1"/>
  <c r="D16" i="41"/>
  <c r="D16" i="43"/>
  <c r="D17" i="13"/>
  <c r="D17" i="31"/>
  <c r="D16" i="42"/>
  <c r="D17" i="12"/>
  <c r="D17" i="46"/>
  <c r="D17" i="48"/>
  <c r="D17" i="70"/>
  <c r="D16" i="40"/>
  <c r="D17" i="16"/>
  <c r="D17" i="45"/>
  <c r="D17" i="49"/>
  <c r="D17" i="29"/>
  <c r="D16" i="39"/>
  <c r="J16" i="88"/>
  <c r="L21" i="88" s="1"/>
  <c r="L14" i="7"/>
  <c r="L411" i="105"/>
  <c r="M411" i="105" s="1"/>
  <c r="L674" i="105"/>
  <c r="M674" i="105" s="1"/>
  <c r="L1246" i="105"/>
  <c r="M1246" i="105" s="1"/>
  <c r="K874" i="105"/>
  <c r="M874" i="105" s="1"/>
  <c r="L610" i="105"/>
  <c r="M610" i="105" s="1"/>
  <c r="K667" i="105"/>
  <c r="M667" i="105" s="1"/>
  <c r="L1274" i="105"/>
  <c r="M1274" i="105" s="1"/>
  <c r="L634" i="105"/>
  <c r="M634" i="105" s="1"/>
  <c r="L670" i="105"/>
  <c r="M670" i="105" s="1"/>
  <c r="F37" i="47"/>
  <c r="D8" i="97"/>
  <c r="F37" i="45"/>
  <c r="D27" i="65"/>
  <c r="D25" i="97"/>
  <c r="F35" i="39"/>
  <c r="D35" i="97"/>
  <c r="D36" i="97"/>
  <c r="D50" i="97"/>
  <c r="F33" i="39"/>
  <c r="F38" i="30"/>
  <c r="D48" i="97"/>
  <c r="E19" i="48"/>
  <c r="L1042" i="105"/>
  <c r="M1042" i="105" s="1"/>
  <c r="L1270" i="105"/>
  <c r="M1270" i="105" s="1"/>
  <c r="K910" i="105"/>
  <c r="M910" i="105" s="1"/>
  <c r="L271" i="105"/>
  <c r="M271" i="105" s="1"/>
  <c r="L1162" i="105"/>
  <c r="M1162" i="105" s="1"/>
  <c r="K970" i="105"/>
  <c r="M970" i="105" s="1"/>
  <c r="L244" i="105"/>
  <c r="M244" i="105" s="1"/>
  <c r="L1130" i="105"/>
  <c r="M1130" i="105" s="1"/>
  <c r="K1090" i="105"/>
  <c r="M1090" i="105" s="1"/>
  <c r="L818" i="105"/>
  <c r="M818" i="105" s="1"/>
  <c r="L1054" i="105"/>
  <c r="M1054" i="105" s="1"/>
  <c r="L614" i="105"/>
  <c r="M614" i="105" s="1"/>
  <c r="K286" i="105"/>
  <c r="M286" i="105" s="1"/>
  <c r="K1232" i="105"/>
  <c r="M1232" i="105" s="1"/>
  <c r="L734" i="105"/>
  <c r="M734" i="105" s="1"/>
  <c r="L1298" i="105"/>
  <c r="M1298" i="105" s="1"/>
  <c r="L518" i="105"/>
  <c r="M518" i="105" s="1"/>
  <c r="K1186" i="105"/>
  <c r="M1186" i="105" s="1"/>
  <c r="L404" i="105"/>
  <c r="M404" i="105" s="1"/>
  <c r="L754" i="105"/>
  <c r="M754" i="105" s="1"/>
  <c r="K1282" i="105"/>
  <c r="M1282" i="105" s="1"/>
  <c r="K694" i="105"/>
  <c r="M694" i="105" s="1"/>
  <c r="K794" i="105"/>
  <c r="M794" i="105" s="1"/>
  <c r="K1190" i="105"/>
  <c r="M1190" i="105" s="1"/>
  <c r="L1018" i="105"/>
  <c r="M1018" i="105" s="1"/>
  <c r="L758" i="105"/>
  <c r="M758" i="105" s="1"/>
  <c r="L1203" i="105"/>
  <c r="M1203" i="105" s="1"/>
  <c r="L113" i="105"/>
  <c r="M113" i="105" s="1"/>
  <c r="L495" i="105"/>
  <c r="M495" i="105" s="1"/>
  <c r="K727" i="105"/>
  <c r="M727" i="105" s="1"/>
  <c r="K974" i="105"/>
  <c r="M974" i="105" s="1"/>
  <c r="K1258" i="105"/>
  <c r="M1258" i="105" s="1"/>
  <c r="K1078" i="105"/>
  <c r="M1078" i="105" s="1"/>
  <c r="L1198" i="105"/>
  <c r="M1198" i="105" s="1"/>
  <c r="K862" i="105"/>
  <c r="M862" i="105" s="1"/>
  <c r="L1034" i="105"/>
  <c r="M1034" i="105" s="1"/>
  <c r="K946" i="105"/>
  <c r="M946" i="105" s="1"/>
  <c r="L20" i="90"/>
  <c r="L33" i="90"/>
  <c r="K770" i="105"/>
  <c r="M770" i="105" s="1"/>
  <c r="L878" i="105"/>
  <c r="M878" i="105" s="1"/>
  <c r="L25" i="90"/>
  <c r="L706" i="105"/>
  <c r="M706" i="105" s="1"/>
  <c r="L35" i="90"/>
  <c r="K950" i="105"/>
  <c r="M950" i="105" s="1"/>
  <c r="L686" i="105"/>
  <c r="M686" i="105" s="1"/>
  <c r="K998" i="105"/>
  <c r="M998" i="105" s="1"/>
  <c r="L386" i="105"/>
  <c r="M386" i="105" s="1"/>
  <c r="L22" i="90"/>
  <c r="L19" i="90"/>
  <c r="L1114" i="105"/>
  <c r="M1114" i="105" s="1"/>
  <c r="K574" i="105"/>
  <c r="M574" i="105" s="1"/>
  <c r="K866" i="105"/>
  <c r="M866" i="105" s="1"/>
  <c r="L926" i="105"/>
  <c r="M926" i="105" s="1"/>
  <c r="L28" i="90"/>
  <c r="K1006" i="105"/>
  <c r="M1006" i="105" s="1"/>
  <c r="L1166" i="105"/>
  <c r="M1166" i="105" s="1"/>
  <c r="L18" i="90"/>
  <c r="L1118" i="105"/>
  <c r="M1118" i="105" s="1"/>
  <c r="L1057" i="105"/>
  <c r="M1057" i="105" s="1"/>
  <c r="K1286" i="105"/>
  <c r="M1286" i="105" s="1"/>
  <c r="D19" i="74"/>
  <c r="L1061" i="105"/>
  <c r="M1061" i="105" s="1"/>
  <c r="K902" i="105"/>
  <c r="M902" i="105" s="1"/>
  <c r="L1072" i="105"/>
  <c r="M1072" i="105" s="1"/>
  <c r="K795" i="105"/>
  <c r="M795" i="105" s="1"/>
  <c r="L1211" i="105"/>
  <c r="M1211" i="105" s="1"/>
  <c r="L344" i="105"/>
  <c r="M344" i="105" s="1"/>
  <c r="L911" i="105"/>
  <c r="M911" i="105" s="1"/>
  <c r="L26" i="90"/>
  <c r="L1267" i="105"/>
  <c r="M1267" i="105" s="1"/>
  <c r="L223" i="105"/>
  <c r="M223" i="105" s="1"/>
  <c r="K470" i="105"/>
  <c r="M470" i="105" s="1"/>
  <c r="K1178" i="105"/>
  <c r="M1178" i="105" s="1"/>
  <c r="K211" i="105"/>
  <c r="M211" i="105" s="1"/>
  <c r="K1150" i="105"/>
  <c r="M1150" i="105" s="1"/>
  <c r="K994" i="105"/>
  <c r="M994" i="105" s="1"/>
  <c r="L1174" i="105"/>
  <c r="M1174" i="105" s="1"/>
  <c r="K514" i="105"/>
  <c r="M514" i="105" s="1"/>
  <c r="L1066" i="105"/>
  <c r="M1066" i="105" s="1"/>
  <c r="L1342" i="105"/>
  <c r="M1342" i="105" s="1"/>
  <c r="L593" i="105"/>
  <c r="M593" i="105" s="1"/>
  <c r="K175" i="105"/>
  <c r="M175" i="105" s="1"/>
  <c r="L1154" i="105"/>
  <c r="M1154" i="105" s="1"/>
  <c r="L542" i="105"/>
  <c r="M542" i="105" s="1"/>
  <c r="L662" i="105"/>
  <c r="M662" i="105" s="1"/>
  <c r="L742" i="105"/>
  <c r="M742" i="105" s="1"/>
  <c r="K962" i="105"/>
  <c r="M962" i="105" s="1"/>
  <c r="L908" i="105"/>
  <c r="M908" i="105" s="1"/>
  <c r="L1202" i="105"/>
  <c r="M1202" i="105" s="1"/>
  <c r="L1216" i="105"/>
  <c r="M1216" i="105" s="1"/>
  <c r="K1234" i="105"/>
  <c r="M1234" i="105" s="1"/>
  <c r="L403" i="105"/>
  <c r="M403" i="105" s="1"/>
  <c r="L215" i="105"/>
  <c r="M215" i="105" s="1"/>
  <c r="L766" i="105"/>
  <c r="M766" i="105" s="1"/>
  <c r="L782" i="105"/>
  <c r="M782" i="105" s="1"/>
  <c r="K276" i="105"/>
  <c r="M276" i="105" s="1"/>
  <c r="K838" i="105"/>
  <c r="M838" i="105" s="1"/>
  <c r="L32" i="90"/>
  <c r="L31" i="90"/>
  <c r="E22" i="31" s="1"/>
  <c r="K638" i="105"/>
  <c r="M638" i="105" s="1"/>
  <c r="K934" i="105"/>
  <c r="M934" i="105" s="1"/>
  <c r="L730" i="105"/>
  <c r="M730" i="105" s="1"/>
  <c r="K958" i="105"/>
  <c r="M958" i="105" s="1"/>
  <c r="L710" i="105"/>
  <c r="M710" i="105" s="1"/>
  <c r="L27" i="90"/>
  <c r="L790" i="105"/>
  <c r="M790" i="105" s="1"/>
  <c r="L24" i="90"/>
  <c r="L23" i="90"/>
  <c r="K144" i="105"/>
  <c r="M144" i="105" s="1"/>
  <c r="K1210" i="105"/>
  <c r="M1210" i="105" s="1"/>
  <c r="L1010" i="105"/>
  <c r="M1010" i="105" s="1"/>
  <c r="L890" i="105"/>
  <c r="M890" i="105" s="1"/>
  <c r="L1138" i="105"/>
  <c r="M1138" i="105" s="1"/>
  <c r="K851" i="105"/>
  <c r="M851" i="105" s="1"/>
  <c r="L401" i="105"/>
  <c r="M401" i="105" s="1"/>
  <c r="L257" i="105"/>
  <c r="M257" i="105" s="1"/>
  <c r="L641" i="105"/>
  <c r="M641" i="105" s="1"/>
  <c r="L1135" i="105"/>
  <c r="M1135" i="105" s="1"/>
  <c r="L749" i="105"/>
  <c r="M749" i="105" s="1"/>
  <c r="K1214" i="105"/>
  <c r="M1214" i="105" s="1"/>
  <c r="L580" i="105"/>
  <c r="M580" i="105" s="1"/>
  <c r="K1294" i="105"/>
  <c r="M1294" i="105" s="1"/>
  <c r="L718" i="105"/>
  <c r="M718" i="105" s="1"/>
  <c r="L1262" i="105"/>
  <c r="M1262" i="105" s="1"/>
  <c r="L1208" i="105"/>
  <c r="M1208" i="105" s="1"/>
  <c r="P27" i="90"/>
  <c r="L1148" i="105"/>
  <c r="M1148" i="105" s="1"/>
  <c r="P25" i="90"/>
  <c r="L523" i="105"/>
  <c r="M523" i="105" s="1"/>
  <c r="P31" i="90"/>
  <c r="P32" i="90"/>
  <c r="P35" i="90"/>
  <c r="K1310" i="105"/>
  <c r="M1310" i="105" s="1"/>
  <c r="L1335" i="105"/>
  <c r="M1335" i="105" s="1"/>
  <c r="L183" i="105"/>
  <c r="M183" i="105" s="1"/>
  <c r="P33" i="90"/>
  <c r="P20" i="90"/>
  <c r="L722" i="105"/>
  <c r="M722" i="105" s="1"/>
  <c r="K1287" i="105"/>
  <c r="M1287" i="105" s="1"/>
  <c r="K1082" i="105"/>
  <c r="M1082" i="105" s="1"/>
  <c r="K1226" i="105"/>
  <c r="M1226" i="105" s="1"/>
  <c r="L399" i="105"/>
  <c r="M399" i="105" s="1"/>
  <c r="K806" i="105"/>
  <c r="M806" i="105" s="1"/>
  <c r="P22" i="90"/>
  <c r="P19" i="90"/>
  <c r="K1099" i="105"/>
  <c r="M1099" i="105" s="1"/>
  <c r="L485" i="105"/>
  <c r="M485" i="105" s="1"/>
  <c r="R90" i="90"/>
  <c r="J25" i="7" s="1"/>
  <c r="L1058" i="105"/>
  <c r="M1058" i="105" s="1"/>
  <c r="L860" i="105"/>
  <c r="M860" i="105" s="1"/>
  <c r="R84" i="90"/>
  <c r="J20" i="7" s="1"/>
  <c r="K982" i="105"/>
  <c r="M982" i="105" s="1"/>
  <c r="L701" i="105"/>
  <c r="M701" i="105" s="1"/>
  <c r="K247" i="105"/>
  <c r="M247" i="105" s="1"/>
  <c r="P30" i="90"/>
  <c r="P23" i="90"/>
  <c r="P28" i="90"/>
  <c r="K1060" i="105"/>
  <c r="M1060" i="105" s="1"/>
  <c r="L353" i="105"/>
  <c r="M353" i="105" s="1"/>
  <c r="P18" i="90"/>
  <c r="R85" i="90"/>
  <c r="J16" i="7" s="1"/>
  <c r="L1322" i="105"/>
  <c r="M1322" i="105" s="1"/>
  <c r="K1280" i="105"/>
  <c r="M1280" i="105" s="1"/>
  <c r="P26" i="90"/>
  <c r="P21" i="90"/>
  <c r="L658" i="105"/>
  <c r="M658" i="105" s="1"/>
  <c r="L1142" i="105"/>
  <c r="M1142" i="105" s="1"/>
  <c r="L1052" i="105"/>
  <c r="M1052" i="105" s="1"/>
  <c r="K1000" i="105"/>
  <c r="M1000" i="105" s="1"/>
  <c r="L358" i="105"/>
  <c r="M358" i="105" s="1"/>
  <c r="K952" i="105"/>
  <c r="M952" i="105" s="1"/>
  <c r="L830" i="105"/>
  <c r="M830" i="105" s="1"/>
  <c r="L856" i="105"/>
  <c r="M856" i="105" s="1"/>
  <c r="L392" i="105"/>
  <c r="M392" i="105" s="1"/>
  <c r="K1238" i="105"/>
  <c r="M1238" i="105" s="1"/>
  <c r="L1030" i="105"/>
  <c r="M1030" i="105" s="1"/>
  <c r="L303" i="105"/>
  <c r="M303" i="105" s="1"/>
  <c r="L1120" i="105"/>
  <c r="M1120" i="105" s="1"/>
  <c r="L407" i="105"/>
  <c r="M407" i="105" s="1"/>
  <c r="L484" i="105"/>
  <c r="M484" i="105" s="1"/>
  <c r="L1155" i="105"/>
  <c r="M1155" i="105" s="1"/>
  <c r="K471" i="105"/>
  <c r="M471" i="105" s="1"/>
  <c r="L333" i="105"/>
  <c r="M333" i="105" s="1"/>
  <c r="L32" i="105"/>
  <c r="M32" i="105" s="1"/>
  <c r="L640" i="105"/>
  <c r="M640" i="105" s="1"/>
  <c r="L927" i="105"/>
  <c r="M927" i="105" s="1"/>
  <c r="L203" i="105"/>
  <c r="M203" i="105" s="1"/>
  <c r="L663" i="105"/>
  <c r="M663" i="105" s="1"/>
  <c r="L491" i="105"/>
  <c r="M491" i="105" s="1"/>
  <c r="L771" i="105"/>
  <c r="M771" i="105" s="1"/>
  <c r="K410" i="105"/>
  <c r="M410" i="105" s="1"/>
  <c r="L1111" i="105"/>
  <c r="M1111" i="105" s="1"/>
  <c r="L148" i="105"/>
  <c r="M148" i="105" s="1"/>
  <c r="L698" i="105"/>
  <c r="M698" i="105" s="1"/>
  <c r="K611" i="105"/>
  <c r="M611" i="105" s="1"/>
  <c r="L672" i="105"/>
  <c r="M672" i="105" s="1"/>
  <c r="L859" i="105"/>
  <c r="M859" i="105" s="1"/>
  <c r="L327" i="105"/>
  <c r="M327" i="105" s="1"/>
  <c r="K1345" i="105"/>
  <c r="M1345" i="105" s="1"/>
  <c r="L844" i="105"/>
  <c r="M844" i="105" s="1"/>
  <c r="K1299" i="105"/>
  <c r="M1299" i="105" s="1"/>
  <c r="L760" i="105"/>
  <c r="M760" i="105" s="1"/>
  <c r="L531" i="105"/>
  <c r="M531" i="105" s="1"/>
  <c r="K137" i="105"/>
  <c r="M137" i="105" s="1"/>
  <c r="L524" i="105"/>
  <c r="M524" i="105" s="1"/>
  <c r="L415" i="105"/>
  <c r="M415" i="105" s="1"/>
  <c r="L425" i="105"/>
  <c r="M425" i="105" s="1"/>
  <c r="L778" i="105"/>
  <c r="M778" i="105" s="1"/>
  <c r="L284" i="105"/>
  <c r="M284" i="105" s="1"/>
  <c r="L185" i="105"/>
  <c r="M185" i="105" s="1"/>
  <c r="L767" i="105"/>
  <c r="M767" i="105" s="1"/>
  <c r="K479" i="105"/>
  <c r="M479" i="105" s="1"/>
  <c r="K1250" i="105"/>
  <c r="M1250" i="105" s="1"/>
  <c r="L1306" i="105"/>
  <c r="M1306" i="105" s="1"/>
  <c r="K508" i="105"/>
  <c r="M508" i="105" s="1"/>
  <c r="D18" i="97"/>
  <c r="L280" i="105"/>
  <c r="M280" i="105" s="1"/>
  <c r="L682" i="105"/>
  <c r="M682" i="105" s="1"/>
  <c r="K922" i="105"/>
  <c r="M922" i="105" s="1"/>
  <c r="L1106" i="105"/>
  <c r="M1106" i="105" s="1"/>
  <c r="L1070" i="105"/>
  <c r="M1070" i="105" s="1"/>
  <c r="L854" i="105"/>
  <c r="M854" i="105" s="1"/>
  <c r="L1244" i="105"/>
  <c r="M1244" i="105" s="1"/>
  <c r="K1316" i="105"/>
  <c r="M1316" i="105" s="1"/>
  <c r="K898" i="105"/>
  <c r="M898" i="105" s="1"/>
  <c r="K615" i="105"/>
  <c r="M615" i="105" s="1"/>
  <c r="L842" i="105"/>
  <c r="M842" i="105" s="1"/>
  <c r="L676" i="105"/>
  <c r="M676" i="105" s="1"/>
  <c r="L584" i="105"/>
  <c r="M584" i="105" s="1"/>
  <c r="K987" i="105"/>
  <c r="M987" i="105" s="1"/>
  <c r="L554" i="105"/>
  <c r="M554" i="105" s="1"/>
  <c r="L1023" i="105"/>
  <c r="M1023" i="105" s="1"/>
  <c r="L1251" i="105"/>
  <c r="M1251" i="105" s="1"/>
  <c r="L375" i="105"/>
  <c r="M375" i="105" s="1"/>
  <c r="K603" i="105"/>
  <c r="M603" i="105" s="1"/>
  <c r="K975" i="105"/>
  <c r="M975" i="105" s="1"/>
  <c r="L1334" i="105"/>
  <c r="M1334" i="105" s="1"/>
  <c r="L1094" i="105"/>
  <c r="M1094" i="105" s="1"/>
  <c r="K871" i="105"/>
  <c r="M871" i="105" s="1"/>
  <c r="K1222" i="105"/>
  <c r="M1222" i="105" s="1"/>
  <c r="L848" i="105"/>
  <c r="M848" i="105" s="1"/>
  <c r="L1303" i="105"/>
  <c r="M1303" i="105" s="1"/>
  <c r="K475" i="105"/>
  <c r="M475" i="105" s="1"/>
  <c r="L1304" i="105"/>
  <c r="M1304" i="105" s="1"/>
  <c r="L879" i="105"/>
  <c r="M879" i="105" s="1"/>
  <c r="K914" i="105"/>
  <c r="M914" i="105" s="1"/>
  <c r="L535" i="105"/>
  <c r="M535" i="105" s="1"/>
  <c r="L335" i="105"/>
  <c r="M335" i="105" s="1"/>
  <c r="K931" i="105"/>
  <c r="M931" i="105" s="1"/>
  <c r="H33" i="90"/>
  <c r="L772" i="105"/>
  <c r="M772" i="105" s="1"/>
  <c r="L1046" i="105"/>
  <c r="M1046" i="105" s="1"/>
  <c r="L775" i="105"/>
  <c r="M775" i="105" s="1"/>
  <c r="L1159" i="105"/>
  <c r="M1159" i="105" s="1"/>
  <c r="K446" i="105"/>
  <c r="M446" i="105" s="1"/>
  <c r="L424" i="105"/>
  <c r="M424" i="105" s="1"/>
  <c r="K1119" i="105"/>
  <c r="M1119" i="105" s="1"/>
  <c r="K995" i="105"/>
  <c r="M995" i="105" s="1"/>
  <c r="L1102" i="105"/>
  <c r="M1102" i="105" s="1"/>
  <c r="K607" i="105"/>
  <c r="M607" i="105" s="1"/>
  <c r="L1076" i="105"/>
  <c r="M1076" i="105" s="1"/>
  <c r="L1220" i="105"/>
  <c r="M1220" i="105" s="1"/>
  <c r="K883" i="105"/>
  <c r="M883" i="105" s="1"/>
  <c r="K826" i="105"/>
  <c r="M826" i="105" s="1"/>
  <c r="K693" i="105"/>
  <c r="M693" i="105" s="1"/>
  <c r="K850" i="105"/>
  <c r="M850" i="105" s="1"/>
  <c r="L115" i="105"/>
  <c r="M115" i="105" s="1"/>
  <c r="L488" i="105"/>
  <c r="M488" i="105" s="1"/>
  <c r="K1012" i="105"/>
  <c r="M1012" i="105" s="1"/>
  <c r="L799" i="105"/>
  <c r="M799" i="105" s="1"/>
  <c r="L979" i="105"/>
  <c r="M979" i="105" s="1"/>
  <c r="K291" i="105"/>
  <c r="M291" i="105" s="1"/>
  <c r="L1136" i="105"/>
  <c r="M1136" i="105" s="1"/>
  <c r="L697" i="105"/>
  <c r="M697" i="105" s="1"/>
  <c r="L359" i="105"/>
  <c r="M359" i="105" s="1"/>
  <c r="L751" i="105"/>
  <c r="M751" i="105" s="1"/>
  <c r="L556" i="105"/>
  <c r="M556" i="105" s="1"/>
  <c r="K711" i="105"/>
  <c r="M711" i="105" s="1"/>
  <c r="K1279" i="105"/>
  <c r="M1279" i="105" s="1"/>
  <c r="L409" i="105"/>
  <c r="M409" i="105" s="1"/>
  <c r="L428" i="105"/>
  <c r="M428" i="105" s="1"/>
  <c r="K169" i="105"/>
  <c r="M169" i="105" s="1"/>
  <c r="K1318" i="105"/>
  <c r="M1318" i="105" s="1"/>
  <c r="L712" i="105"/>
  <c r="M712" i="105" s="1"/>
  <c r="K464" i="105"/>
  <c r="M464" i="105" s="1"/>
  <c r="L650" i="105"/>
  <c r="M650" i="105" s="1"/>
  <c r="L643" i="105"/>
  <c r="M643" i="105" s="1"/>
  <c r="L1100" i="105"/>
  <c r="M1100" i="105" s="1"/>
  <c r="L311" i="105"/>
  <c r="M311" i="105" s="1"/>
  <c r="K243" i="105"/>
  <c r="M243" i="105" s="1"/>
  <c r="L907" i="105"/>
  <c r="M907" i="105" s="1"/>
  <c r="K819" i="105"/>
  <c r="M819" i="105" s="1"/>
  <c r="K938" i="105"/>
  <c r="M938" i="105" s="1"/>
  <c r="K548" i="105"/>
  <c r="M548" i="105" s="1"/>
  <c r="L451" i="105"/>
  <c r="M451" i="105" s="1"/>
  <c r="K980" i="105"/>
  <c r="M980" i="105" s="1"/>
  <c r="L1083" i="105"/>
  <c r="M1083" i="105" s="1"/>
  <c r="L563" i="105"/>
  <c r="M563" i="105" s="1"/>
  <c r="L207" i="105"/>
  <c r="M207" i="105" s="1"/>
  <c r="K1172" i="105"/>
  <c r="M1172" i="105" s="1"/>
  <c r="L1036" i="105"/>
  <c r="M1036" i="105" s="1"/>
  <c r="K1003" i="105"/>
  <c r="M1003" i="105" s="1"/>
  <c r="L768" i="105"/>
  <c r="M768" i="105" s="1"/>
  <c r="K571" i="105"/>
  <c r="M571" i="105" s="1"/>
  <c r="L886" i="105"/>
  <c r="M886" i="105" s="1"/>
  <c r="L463" i="105"/>
  <c r="M463" i="105" s="1"/>
  <c r="K847" i="105"/>
  <c r="M847" i="105" s="1"/>
  <c r="K748" i="105"/>
  <c r="M748" i="105" s="1"/>
  <c r="L1126" i="105"/>
  <c r="M1126" i="105" s="1"/>
  <c r="L519" i="105"/>
  <c r="M519" i="105" s="1"/>
  <c r="K179" i="105"/>
  <c r="M179" i="105" s="1"/>
  <c r="L808" i="105"/>
  <c r="M808" i="105" s="1"/>
  <c r="L1253" i="105"/>
  <c r="M1253" i="105" s="1"/>
  <c r="L920" i="105"/>
  <c r="M920" i="105" s="1"/>
  <c r="L1071" i="105"/>
  <c r="M1071" i="105" s="1"/>
  <c r="L395" i="105"/>
  <c r="M395" i="105" s="1"/>
  <c r="K1147" i="105"/>
  <c r="M1147" i="105" s="1"/>
  <c r="L955" i="105"/>
  <c r="M955" i="105" s="1"/>
  <c r="L802" i="105"/>
  <c r="M802" i="105" s="1"/>
  <c r="L1179" i="105"/>
  <c r="M1179" i="105" s="1"/>
  <c r="L292" i="105"/>
  <c r="M292" i="105" s="1"/>
  <c r="L1231" i="105"/>
  <c r="M1231" i="105" s="1"/>
  <c r="L1022" i="105"/>
  <c r="M1022" i="105" s="1"/>
  <c r="L1327" i="105"/>
  <c r="M1327" i="105" s="1"/>
  <c r="K699" i="105"/>
  <c r="M699" i="105" s="1"/>
  <c r="L237" i="105"/>
  <c r="M237" i="105" s="1"/>
  <c r="K971" i="105"/>
  <c r="M971" i="105" s="1"/>
  <c r="L255" i="105"/>
  <c r="M255" i="105" s="1"/>
  <c r="L236" i="105"/>
  <c r="M236" i="105" s="1"/>
  <c r="K525" i="105"/>
  <c r="M525" i="105" s="1"/>
  <c r="K986" i="105"/>
  <c r="M986" i="105" s="1"/>
  <c r="L1330" i="105"/>
  <c r="M1330" i="105" s="1"/>
  <c r="K837" i="105"/>
  <c r="M837" i="105" s="1"/>
  <c r="L76" i="90"/>
  <c r="L1008" i="105"/>
  <c r="M1008" i="105" s="1"/>
  <c r="L814" i="105"/>
  <c r="M814" i="105" s="1"/>
  <c r="L1221" i="105"/>
  <c r="M1221" i="105" s="1"/>
  <c r="L621" i="105"/>
  <c r="M621" i="105" s="1"/>
  <c r="K1288" i="105"/>
  <c r="M1288" i="105" s="1"/>
  <c r="L512" i="105"/>
  <c r="M512" i="105" s="1"/>
  <c r="K256" i="105"/>
  <c r="M256" i="105" s="1"/>
  <c r="L153" i="105"/>
  <c r="M153" i="105" s="1"/>
  <c r="K933" i="105"/>
  <c r="M933" i="105" s="1"/>
  <c r="H76" i="90"/>
  <c r="K715" i="105"/>
  <c r="M715" i="105" s="1"/>
  <c r="K60" i="105"/>
  <c r="M60" i="105" s="1"/>
  <c r="L496" i="105"/>
  <c r="M496" i="105" s="1"/>
  <c r="L339" i="105"/>
  <c r="M339" i="105" s="1"/>
  <c r="L509" i="105"/>
  <c r="M509" i="105" s="1"/>
  <c r="L736" i="105"/>
  <c r="M736" i="105" s="1"/>
  <c r="L725" i="105"/>
  <c r="M725" i="105" s="1"/>
  <c r="L108" i="105"/>
  <c r="M108" i="105" s="1"/>
  <c r="L231" i="105"/>
  <c r="M231" i="105" s="1"/>
  <c r="L233" i="105"/>
  <c r="M233" i="105" s="1"/>
  <c r="K891" i="105"/>
  <c r="M891" i="105" s="1"/>
  <c r="L671" i="105"/>
  <c r="M671" i="105" s="1"/>
  <c r="K648" i="105"/>
  <c r="M648" i="105" s="1"/>
  <c r="K633" i="105"/>
  <c r="M633" i="105" s="1"/>
  <c r="L1215" i="105"/>
  <c r="M1215" i="105" s="1"/>
  <c r="K1276" i="105"/>
  <c r="M1276" i="105" s="1"/>
  <c r="L537" i="105"/>
  <c r="M537" i="105" s="1"/>
  <c r="K769" i="105"/>
  <c r="M769" i="105" s="1"/>
  <c r="K1346" i="105"/>
  <c r="M1346" i="105" s="1"/>
  <c r="K494" i="105"/>
  <c r="M494" i="105" s="1"/>
  <c r="K845" i="105"/>
  <c r="M845" i="105" s="1"/>
  <c r="K290" i="105"/>
  <c r="M290" i="105" s="1"/>
  <c r="L752" i="105"/>
  <c r="M752" i="105" s="1"/>
  <c r="L85" i="105"/>
  <c r="M85" i="105" s="1"/>
  <c r="K193" i="105"/>
  <c r="M193" i="105" s="1"/>
  <c r="L487" i="105"/>
  <c r="M487" i="105" s="1"/>
  <c r="L827" i="105"/>
  <c r="M827" i="105" s="1"/>
  <c r="L919" i="105"/>
  <c r="M919" i="105" s="1"/>
  <c r="K553" i="105"/>
  <c r="M553" i="105" s="1"/>
  <c r="L527" i="105"/>
  <c r="M527" i="105" s="1"/>
  <c r="K867" i="105"/>
  <c r="M867" i="105" s="1"/>
  <c r="L967" i="105"/>
  <c r="M967" i="105" s="1"/>
  <c r="L876" i="105"/>
  <c r="M876" i="105" s="1"/>
  <c r="L367" i="105"/>
  <c r="M367" i="105" s="1"/>
  <c r="L361" i="105"/>
  <c r="M361" i="105" s="1"/>
  <c r="K723" i="105"/>
  <c r="M723" i="105" s="1"/>
  <c r="L323" i="105"/>
  <c r="M323" i="105" s="1"/>
  <c r="K457" i="105"/>
  <c r="M457" i="105" s="1"/>
  <c r="L376" i="105"/>
  <c r="M376" i="105" s="1"/>
  <c r="L649" i="105"/>
  <c r="M649" i="105" s="1"/>
  <c r="K1339" i="105"/>
  <c r="M1339" i="105" s="1"/>
  <c r="L583" i="105"/>
  <c r="M583" i="105" s="1"/>
  <c r="L459" i="105"/>
  <c r="M459" i="105" s="1"/>
  <c r="L659" i="105"/>
  <c r="M659" i="105" s="1"/>
  <c r="L341" i="105"/>
  <c r="M341" i="105" s="1"/>
  <c r="L79" i="90"/>
  <c r="L1292" i="105"/>
  <c r="M1292" i="105" s="1"/>
  <c r="L763" i="105"/>
  <c r="M763" i="105" s="1"/>
  <c r="L265" i="105"/>
  <c r="M265" i="105" s="1"/>
  <c r="L121" i="105"/>
  <c r="M121" i="105" s="1"/>
  <c r="K195" i="105"/>
  <c r="M195" i="105" s="1"/>
  <c r="K1228" i="105"/>
  <c r="M1228" i="105" s="1"/>
  <c r="K65" i="105"/>
  <c r="M65" i="105" s="1"/>
  <c r="K1045" i="105"/>
  <c r="M1045" i="105" s="1"/>
  <c r="L616" i="105"/>
  <c r="M616" i="105" s="1"/>
  <c r="K1297" i="105"/>
  <c r="M1297" i="105" s="1"/>
  <c r="L95" i="105"/>
  <c r="M95" i="105" s="1"/>
  <c r="L1132" i="105"/>
  <c r="M1132" i="105" s="1"/>
  <c r="K605" i="105"/>
  <c r="M605" i="105" s="1"/>
  <c r="L713" i="105"/>
  <c r="M713" i="105" s="1"/>
  <c r="L440" i="105"/>
  <c r="M440" i="105" s="1"/>
  <c r="K831" i="105"/>
  <c r="M831" i="105" s="1"/>
  <c r="L197" i="105"/>
  <c r="M197" i="105" s="1"/>
  <c r="L655" i="105"/>
  <c r="M655" i="105" s="1"/>
  <c r="L539" i="105"/>
  <c r="M539" i="105" s="1"/>
  <c r="L1311" i="105"/>
  <c r="M1311" i="105" s="1"/>
  <c r="E485" i="84"/>
  <c r="L853" i="105"/>
  <c r="M853" i="105" s="1"/>
  <c r="L497" i="105"/>
  <c r="M497" i="105" s="1"/>
  <c r="K365" i="105"/>
  <c r="M365" i="105" s="1"/>
  <c r="K259" i="105"/>
  <c r="M259" i="105" s="1"/>
  <c r="K125" i="105"/>
  <c r="M125" i="105" s="1"/>
  <c r="L1039" i="105"/>
  <c r="M1039" i="105" s="1"/>
  <c r="L511" i="105"/>
  <c r="M511" i="105" s="1"/>
  <c r="K189" i="105"/>
  <c r="M189" i="105" s="1"/>
  <c r="L504" i="105"/>
  <c r="M504" i="105" s="1"/>
  <c r="L1115" i="105"/>
  <c r="M1115" i="105" s="1"/>
  <c r="L1180" i="105"/>
  <c r="M1180" i="105" s="1"/>
  <c r="L131" i="105"/>
  <c r="M131" i="105" s="1"/>
  <c r="L965" i="105"/>
  <c r="M965" i="105" s="1"/>
  <c r="K36" i="105"/>
  <c r="M36" i="105" s="1"/>
  <c r="L301" i="105"/>
  <c r="M301" i="105" s="1"/>
  <c r="L1047" i="105"/>
  <c r="M1047" i="105" s="1"/>
  <c r="L295" i="105"/>
  <c r="M295" i="105" s="1"/>
  <c r="L735" i="105"/>
  <c r="M735" i="105" s="1"/>
  <c r="K668" i="105"/>
  <c r="M668" i="105" s="1"/>
  <c r="L896" i="105"/>
  <c r="M896" i="105" s="1"/>
  <c r="L1324" i="105"/>
  <c r="M1324" i="105" s="1"/>
  <c r="K1252" i="105"/>
  <c r="M1252" i="105" s="1"/>
  <c r="L499" i="105"/>
  <c r="M499" i="105" s="1"/>
  <c r="L83" i="105"/>
  <c r="M83" i="105" s="1"/>
  <c r="L1084" i="105"/>
  <c r="M1084" i="105" s="1"/>
  <c r="L383" i="105"/>
  <c r="M383" i="105" s="1"/>
  <c r="L419" i="105"/>
  <c r="M419" i="105" s="1"/>
  <c r="L783" i="105"/>
  <c r="M783" i="105" s="1"/>
  <c r="K1131" i="105"/>
  <c r="M1131" i="105" s="1"/>
  <c r="L864" i="105"/>
  <c r="M864" i="105" s="1"/>
  <c r="K964" i="105"/>
  <c r="M964" i="105" s="1"/>
  <c r="K939" i="105"/>
  <c r="M939" i="105" s="1"/>
  <c r="L936" i="105"/>
  <c r="M936" i="105" s="1"/>
  <c r="L38" i="105"/>
  <c r="M38" i="105" s="1"/>
  <c r="L1319" i="105"/>
  <c r="M1319" i="105" s="1"/>
  <c r="L1013" i="105"/>
  <c r="M1013" i="105" s="1"/>
  <c r="L1217" i="105"/>
  <c r="M1217" i="105" s="1"/>
  <c r="L1163" i="105"/>
  <c r="M1163" i="105" s="1"/>
  <c r="K188" i="105"/>
  <c r="M188" i="105" s="1"/>
  <c r="L949" i="105"/>
  <c r="M949" i="105" s="1"/>
  <c r="L1156" i="105"/>
  <c r="M1156" i="105" s="1"/>
  <c r="L435" i="105"/>
  <c r="M435" i="105" s="1"/>
  <c r="L1207" i="105"/>
  <c r="M1207" i="105" s="1"/>
  <c r="L555" i="105"/>
  <c r="M555" i="105" s="1"/>
  <c r="K596" i="105"/>
  <c r="M596" i="105" s="1"/>
  <c r="K757" i="105"/>
  <c r="M757" i="105" s="1"/>
  <c r="L627" i="105"/>
  <c r="M627" i="105" s="1"/>
  <c r="L1059" i="105"/>
  <c r="M1059" i="105" s="1"/>
  <c r="L78" i="90"/>
  <c r="K84" i="105"/>
  <c r="M84" i="105" s="1"/>
  <c r="L708" i="105"/>
  <c r="M708" i="105" s="1"/>
  <c r="K212" i="105"/>
  <c r="M212" i="105" s="1"/>
  <c r="K163" i="105"/>
  <c r="M163" i="105" s="1"/>
  <c r="L1315" i="105"/>
  <c r="M1315" i="105" s="1"/>
  <c r="L59" i="105"/>
  <c r="M59" i="105" s="1"/>
  <c r="K547" i="105"/>
  <c r="M547" i="105" s="1"/>
  <c r="K423" i="105"/>
  <c r="M423" i="105" s="1"/>
  <c r="L807" i="105"/>
  <c r="M807" i="105" s="1"/>
  <c r="L460" i="105"/>
  <c r="M460" i="105" s="1"/>
  <c r="H87" i="90"/>
  <c r="K372" i="105"/>
  <c r="M372" i="105" s="1"/>
  <c r="L617" i="105"/>
  <c r="M617" i="105" s="1"/>
  <c r="L1192" i="105"/>
  <c r="M1192" i="105" s="1"/>
  <c r="L991" i="105"/>
  <c r="M991" i="105" s="1"/>
  <c r="L1168" i="105"/>
  <c r="M1168" i="105" s="1"/>
  <c r="L171" i="105"/>
  <c r="M171" i="105" s="1"/>
  <c r="L917" i="105"/>
  <c r="M917" i="105" s="1"/>
  <c r="L619" i="105"/>
  <c r="M619" i="105" s="1"/>
  <c r="L1169" i="105"/>
  <c r="M1169" i="105" s="1"/>
  <c r="L184" i="105"/>
  <c r="M184" i="105" s="1"/>
  <c r="M315" i="84"/>
  <c r="L235" i="105"/>
  <c r="M235" i="105" s="1"/>
  <c r="L788" i="105"/>
  <c r="M788" i="105" s="1"/>
  <c r="K1256" i="105"/>
  <c r="M1256" i="105" s="1"/>
  <c r="K73" i="105"/>
  <c r="M73" i="105" s="1"/>
  <c r="L892" i="105"/>
  <c r="M892" i="105" s="1"/>
  <c r="L675" i="105"/>
  <c r="M675" i="105" s="1"/>
  <c r="L97" i="105"/>
  <c r="M97" i="105" s="1"/>
  <c r="L1088" i="105"/>
  <c r="M1088" i="105" s="1"/>
  <c r="M231" i="84"/>
  <c r="K840" i="105"/>
  <c r="M840" i="105" s="1"/>
  <c r="G674" i="84"/>
  <c r="L387" i="105"/>
  <c r="M387" i="105" s="1"/>
  <c r="K835" i="105"/>
  <c r="M835" i="105" s="1"/>
  <c r="R76" i="90"/>
  <c r="E33" i="13" s="1"/>
  <c r="L1165" i="105"/>
  <c r="M1165" i="105" s="1"/>
  <c r="B164" i="104"/>
  <c r="L1255" i="105"/>
  <c r="M1255" i="105" s="1"/>
  <c r="L331" i="105"/>
  <c r="M331" i="105" s="1"/>
  <c r="L536" i="105"/>
  <c r="M536" i="105" s="1"/>
  <c r="L904" i="105"/>
  <c r="M904" i="105" s="1"/>
  <c r="L884" i="105"/>
  <c r="M884" i="105" s="1"/>
  <c r="L1167" i="105"/>
  <c r="M1167" i="105" s="1"/>
  <c r="L945" i="105"/>
  <c r="M945" i="105" s="1"/>
  <c r="K677" i="105"/>
  <c r="M677" i="105" s="1"/>
  <c r="L601" i="105"/>
  <c r="M601" i="105" s="1"/>
  <c r="L275" i="105"/>
  <c r="M275" i="105" s="1"/>
  <c r="L863" i="105"/>
  <c r="M863" i="105" s="1"/>
  <c r="L588" i="105"/>
  <c r="M588" i="105" s="1"/>
  <c r="L444" i="105"/>
  <c r="M444" i="105" s="1"/>
  <c r="L960" i="105"/>
  <c r="M960" i="105" s="1"/>
  <c r="K1097" i="105"/>
  <c r="M1097" i="105" s="1"/>
  <c r="L1196" i="105"/>
  <c r="M1196" i="105" s="1"/>
  <c r="L731" i="105"/>
  <c r="M731" i="105" s="1"/>
  <c r="L299" i="105"/>
  <c r="M299" i="105" s="1"/>
  <c r="L1035" i="105"/>
  <c r="M1035" i="105" s="1"/>
  <c r="K592" i="105"/>
  <c r="M592" i="105" s="1"/>
  <c r="L1219" i="105"/>
  <c r="M1219" i="105" s="1"/>
  <c r="L895" i="105"/>
  <c r="M895" i="105" s="1"/>
  <c r="L664" i="105"/>
  <c r="M664" i="105" s="1"/>
  <c r="L343" i="105"/>
  <c r="M343" i="105" s="1"/>
  <c r="D19" i="7"/>
  <c r="K503" i="105"/>
  <c r="M503" i="105" s="1"/>
  <c r="L820" i="105"/>
  <c r="M820" i="105" s="1"/>
  <c r="K227" i="105"/>
  <c r="M227" i="105" s="1"/>
  <c r="L587" i="105"/>
  <c r="M587" i="105" s="1"/>
  <c r="L739" i="105"/>
  <c r="M739" i="105" s="1"/>
  <c r="L1263" i="105"/>
  <c r="M1263" i="105" s="1"/>
  <c r="K943" i="105"/>
  <c r="M943" i="105" s="1"/>
  <c r="L692" i="105"/>
  <c r="M692" i="105" s="1"/>
  <c r="L379" i="105"/>
  <c r="M379" i="105" s="1"/>
  <c r="L872" i="105"/>
  <c r="M872" i="105" s="1"/>
  <c r="L103" i="105"/>
  <c r="M103" i="105" s="1"/>
  <c r="K533" i="105"/>
  <c r="M533" i="105" s="1"/>
  <c r="L1328" i="105"/>
  <c r="M1328" i="105" s="1"/>
  <c r="E163" i="104"/>
  <c r="G161" i="104" s="1"/>
  <c r="L776" i="105"/>
  <c r="M776" i="105" s="1"/>
  <c r="L167" i="105"/>
  <c r="M167" i="105" s="1"/>
  <c r="K824" i="105"/>
  <c r="M824" i="105" s="1"/>
  <c r="L391" i="105"/>
  <c r="M391" i="105" s="1"/>
  <c r="L1336" i="105"/>
  <c r="M1336" i="105" s="1"/>
  <c r="L660" i="105"/>
  <c r="M660" i="105" s="1"/>
  <c r="K427" i="105"/>
  <c r="M427" i="105" s="1"/>
  <c r="L248" i="105"/>
  <c r="M248" i="105" s="1"/>
  <c r="L1204" i="105"/>
  <c r="M1204" i="105" s="1"/>
  <c r="K976" i="105"/>
  <c r="M976" i="105" s="1"/>
  <c r="K104" i="105"/>
  <c r="M104" i="105" s="1"/>
  <c r="L228" i="105"/>
  <c r="M228" i="105" s="1"/>
  <c r="L219" i="105"/>
  <c r="M219" i="105" s="1"/>
  <c r="K529" i="105"/>
  <c r="M529" i="105" s="1"/>
  <c r="L773" i="105"/>
  <c r="M773" i="105" s="1"/>
  <c r="L789" i="105"/>
  <c r="M789" i="105" s="1"/>
  <c r="L1268" i="105"/>
  <c r="M1268" i="105" s="1"/>
  <c r="L57" i="105"/>
  <c r="M57" i="105" s="1"/>
  <c r="L507" i="105"/>
  <c r="M507" i="105" s="1"/>
  <c r="L368" i="105"/>
  <c r="M368" i="105" s="1"/>
  <c r="L143" i="105"/>
  <c r="M143" i="105" s="1"/>
  <c r="K707" i="105"/>
  <c r="M707" i="105" s="1"/>
  <c r="K168" i="105"/>
  <c r="M168" i="105" s="1"/>
  <c r="L432" i="105"/>
  <c r="M432" i="105" s="1"/>
  <c r="L490" i="105"/>
  <c r="M490" i="105" s="1"/>
  <c r="K832" i="105"/>
  <c r="M832" i="105" s="1"/>
  <c r="K679" i="105"/>
  <c r="M679" i="105" s="1"/>
  <c r="L1015" i="105"/>
  <c r="M1015" i="105" s="1"/>
  <c r="J61" i="112"/>
  <c r="L1199" i="105"/>
  <c r="M1199" i="105" s="1"/>
  <c r="K855" i="105"/>
  <c r="M855" i="105" s="1"/>
  <c r="L893" i="105"/>
  <c r="M893" i="105" s="1"/>
  <c r="K1064" i="105"/>
  <c r="M1064" i="105" s="1"/>
  <c r="K1291" i="105"/>
  <c r="M1291" i="105" s="1"/>
  <c r="L1107" i="105"/>
  <c r="M1107" i="105" s="1"/>
  <c r="L1112" i="105"/>
  <c r="M1112" i="105" s="1"/>
  <c r="L356" i="105"/>
  <c r="M356" i="105" s="1"/>
  <c r="L1243" i="105"/>
  <c r="M1243" i="105" s="1"/>
  <c r="L1195" i="105"/>
  <c r="M1195" i="105" s="1"/>
  <c r="L1123" i="105"/>
  <c r="M1123" i="105" s="1"/>
  <c r="K940" i="105"/>
  <c r="M940" i="105" s="1"/>
  <c r="K298" i="105"/>
  <c r="M298" i="105" s="1"/>
  <c r="L836" i="105"/>
  <c r="M836" i="105" s="1"/>
  <c r="K1301" i="105"/>
  <c r="M1301" i="105" s="1"/>
  <c r="G847" i="84"/>
  <c r="L1317" i="105"/>
  <c r="M1317" i="105" s="1"/>
  <c r="L632" i="105"/>
  <c r="M632" i="105" s="1"/>
  <c r="K992" i="105"/>
  <c r="M992" i="105" s="1"/>
  <c r="L1026" i="105"/>
  <c r="M1026" i="105" s="1"/>
  <c r="L283" i="105"/>
  <c r="M283" i="105" s="1"/>
  <c r="L1145" i="105"/>
  <c r="M1145" i="105" s="1"/>
  <c r="L560" i="105"/>
  <c r="M560" i="105" s="1"/>
  <c r="G675" i="84"/>
  <c r="K839" i="105"/>
  <c r="M839" i="105" s="1"/>
  <c r="K1129" i="105"/>
  <c r="M1129" i="105" s="1"/>
  <c r="K417" i="105"/>
  <c r="M417" i="105" s="1"/>
  <c r="L1237" i="105"/>
  <c r="M1237" i="105" s="1"/>
  <c r="L251" i="105"/>
  <c r="M251" i="105" s="1"/>
  <c r="L680" i="105"/>
  <c r="M680" i="105" s="1"/>
  <c r="K591" i="105"/>
  <c r="M591" i="105" s="1"/>
  <c r="K1247" i="105"/>
  <c r="M1247" i="105" s="1"/>
  <c r="L787" i="105"/>
  <c r="M787" i="105" s="1"/>
  <c r="G502" i="84"/>
  <c r="G1013" i="84"/>
  <c r="K380" i="105"/>
  <c r="M380" i="105" s="1"/>
  <c r="K1051" i="105"/>
  <c r="M1051" i="105" s="1"/>
  <c r="L999" i="105"/>
  <c r="M999" i="105" s="1"/>
  <c r="K1160" i="105"/>
  <c r="M1160" i="105" s="1"/>
  <c r="L371" i="105"/>
  <c r="M371" i="105" s="1"/>
  <c r="L1185" i="105"/>
  <c r="M1185" i="105" s="1"/>
  <c r="K204" i="105"/>
  <c r="M204" i="105" s="1"/>
  <c r="L1089" i="105"/>
  <c r="M1089" i="105" s="1"/>
  <c r="L1213" i="105"/>
  <c r="M1213" i="105" s="1"/>
  <c r="L220" i="105"/>
  <c r="M220" i="105" s="1"/>
  <c r="K996" i="84"/>
  <c r="L800" i="105"/>
  <c r="M800" i="105" s="1"/>
  <c r="L631" i="105"/>
  <c r="M631" i="105" s="1"/>
  <c r="N33" i="90"/>
  <c r="N24" i="90"/>
  <c r="L704" i="105"/>
  <c r="M704" i="105" s="1"/>
  <c r="L307" i="105"/>
  <c r="M307" i="105" s="1"/>
  <c r="L1079" i="105"/>
  <c r="M1079" i="105" s="1"/>
  <c r="L393" i="105"/>
  <c r="M393" i="105" s="1"/>
  <c r="L881" i="105"/>
  <c r="M881" i="105" s="1"/>
  <c r="L551" i="105"/>
  <c r="M551" i="105" s="1"/>
  <c r="L951" i="105"/>
  <c r="M951" i="105" s="1"/>
  <c r="L903" i="105"/>
  <c r="M903" i="105" s="1"/>
  <c r="L268" i="105"/>
  <c r="M268" i="105" s="1"/>
  <c r="L1233" i="105"/>
  <c r="M1233" i="105" s="1"/>
  <c r="L1275" i="105"/>
  <c r="M1275" i="105" s="1"/>
  <c r="K1133" i="105"/>
  <c r="M1133" i="105" s="1"/>
  <c r="L811" i="105"/>
  <c r="M811" i="105" s="1"/>
  <c r="H88" i="90"/>
  <c r="K1105" i="105"/>
  <c r="M1105" i="105" s="1"/>
  <c r="L1323" i="105"/>
  <c r="M1323" i="105" s="1"/>
  <c r="L132" i="105"/>
  <c r="M132" i="105" s="1"/>
  <c r="L935" i="105"/>
  <c r="M935" i="105" s="1"/>
  <c r="K355" i="105"/>
  <c r="M355" i="105" s="1"/>
  <c r="L1063" i="105"/>
  <c r="M1063" i="105" s="1"/>
  <c r="L242" i="105"/>
  <c r="M242" i="105" s="1"/>
  <c r="L569" i="105"/>
  <c r="M569" i="105" s="1"/>
  <c r="L194" i="105"/>
  <c r="M194" i="105" s="1"/>
  <c r="L1031" i="105"/>
  <c r="M1031" i="105" s="1"/>
  <c r="L447" i="105"/>
  <c r="M447" i="105" s="1"/>
  <c r="K824" i="84"/>
  <c r="K827" i="84" s="1"/>
  <c r="L1096" i="105"/>
  <c r="M1096" i="105" s="1"/>
  <c r="L500" i="105"/>
  <c r="M500" i="105" s="1"/>
  <c r="L1227" i="105"/>
  <c r="M1227" i="105" s="1"/>
  <c r="L308" i="105"/>
  <c r="M308" i="105" s="1"/>
  <c r="L747" i="105"/>
  <c r="M747" i="105" s="1"/>
  <c r="L239" i="105"/>
  <c r="M239" i="105" s="1"/>
  <c r="L1312" i="105"/>
  <c r="M1312" i="105" s="1"/>
  <c r="K843" i="105"/>
  <c r="M843" i="105" s="1"/>
  <c r="L567" i="105"/>
  <c r="M567" i="105" s="1"/>
  <c r="L1171" i="105"/>
  <c r="M1171" i="105" s="1"/>
  <c r="K172" i="105"/>
  <c r="M172" i="105" s="1"/>
  <c r="L1075" i="105"/>
  <c r="M1075" i="105" s="1"/>
  <c r="L687" i="105"/>
  <c r="M687" i="105" s="1"/>
  <c r="K889" i="105"/>
  <c r="M889" i="105" s="1"/>
  <c r="K696" i="105"/>
  <c r="M696" i="105" s="1"/>
  <c r="L784" i="105"/>
  <c r="M784" i="105" s="1"/>
  <c r="K700" i="105"/>
  <c r="M700" i="105" s="1"/>
  <c r="L985" i="105"/>
  <c r="M985" i="105" s="1"/>
  <c r="L88" i="105"/>
  <c r="M88" i="105" s="1"/>
  <c r="K1187" i="105"/>
  <c r="M1187" i="105" s="1"/>
  <c r="K624" i="105"/>
  <c r="M624" i="105" s="1"/>
  <c r="L1229" i="105"/>
  <c r="M1229" i="105" s="1"/>
  <c r="L575" i="105"/>
  <c r="M575" i="105" s="1"/>
  <c r="L581" i="105"/>
  <c r="M581" i="105" s="1"/>
  <c r="K1337" i="105"/>
  <c r="M1337" i="105" s="1"/>
  <c r="L279" i="105"/>
  <c r="M279" i="105" s="1"/>
  <c r="L315" i="105"/>
  <c r="M315" i="105" s="1"/>
  <c r="L1239" i="105"/>
  <c r="M1239" i="105" s="1"/>
  <c r="J106" i="112"/>
  <c r="L317" i="105"/>
  <c r="M317" i="105" s="1"/>
  <c r="L160" i="105"/>
  <c r="M160" i="105" s="1"/>
  <c r="L716" i="105"/>
  <c r="M716" i="105" s="1"/>
  <c r="L1087" i="105"/>
  <c r="M1087" i="105" s="1"/>
  <c r="L875" i="105"/>
  <c r="M875" i="105" s="1"/>
  <c r="K759" i="105"/>
  <c r="M759" i="105" s="1"/>
  <c r="L652" i="105"/>
  <c r="M652" i="105" s="1"/>
  <c r="L565" i="105"/>
  <c r="M565" i="105" s="1"/>
  <c r="L1191" i="105"/>
  <c r="M1191" i="105" s="1"/>
  <c r="K1283" i="105"/>
  <c r="M1283" i="105" s="1"/>
  <c r="K969" i="105"/>
  <c r="M969" i="105" s="1"/>
  <c r="K101" i="105"/>
  <c r="M101" i="105" s="1"/>
  <c r="L604" i="105"/>
  <c r="M604" i="105" s="1"/>
  <c r="K1183" i="105"/>
  <c r="M1183" i="105" s="1"/>
  <c r="L221" i="105"/>
  <c r="M221" i="105" s="1"/>
  <c r="L1081" i="105"/>
  <c r="M1081" i="105" s="1"/>
  <c r="L263" i="105"/>
  <c r="M263" i="105" s="1"/>
  <c r="L963" i="105"/>
  <c r="M963" i="105" s="1"/>
  <c r="K579" i="105"/>
  <c r="M579" i="105" s="1"/>
  <c r="L688" i="105"/>
  <c r="M688" i="105" s="1"/>
  <c r="L1093" i="105"/>
  <c r="M1093" i="105" s="1"/>
  <c r="L651" i="105"/>
  <c r="M651" i="105" s="1"/>
  <c r="K37" i="105"/>
  <c r="M37" i="105" s="1"/>
  <c r="L455" i="105"/>
  <c r="M455" i="105" s="1"/>
  <c r="L703" i="105"/>
  <c r="M703" i="105" s="1"/>
  <c r="K561" i="105"/>
  <c r="M561" i="105" s="1"/>
  <c r="K352" i="105"/>
  <c r="M352" i="105" s="1"/>
  <c r="L363" i="105"/>
  <c r="M363" i="105" s="1"/>
  <c r="L977" i="105"/>
  <c r="M977" i="105" s="1"/>
  <c r="L473" i="105"/>
  <c r="M473" i="105" s="1"/>
  <c r="L117" i="105"/>
  <c r="M117" i="105" s="1"/>
  <c r="L465" i="105"/>
  <c r="M465" i="105" s="1"/>
  <c r="L483" i="105"/>
  <c r="M483" i="105" s="1"/>
  <c r="K719" i="105"/>
  <c r="M719" i="105" s="1"/>
  <c r="L1011" i="105"/>
  <c r="M1011" i="105" s="1"/>
  <c r="L400" i="105"/>
  <c r="M400" i="105" s="1"/>
  <c r="K988" i="105"/>
  <c r="M988" i="105" s="1"/>
  <c r="K408" i="105"/>
  <c r="M408" i="105" s="1"/>
  <c r="L388" i="105"/>
  <c r="M388" i="105" s="1"/>
  <c r="K823" i="105"/>
  <c r="M823" i="105" s="1"/>
  <c r="K620" i="105"/>
  <c r="M620" i="105" s="1"/>
  <c r="L915" i="105"/>
  <c r="M915" i="105" s="1"/>
  <c r="L1188" i="105"/>
  <c r="M1188" i="105" s="1"/>
  <c r="L1271" i="105"/>
  <c r="M1271" i="105" s="1"/>
  <c r="L916" i="105"/>
  <c r="M916" i="105" s="1"/>
  <c r="K803" i="105"/>
  <c r="M803" i="105" s="1"/>
  <c r="L1143" i="105"/>
  <c r="M1143" i="105" s="1"/>
  <c r="N28" i="90"/>
  <c r="K956" i="105"/>
  <c r="M956" i="105" s="1"/>
  <c r="L793" i="105"/>
  <c r="M793" i="105" s="1"/>
  <c r="G257" i="84"/>
  <c r="G260" i="84" s="1"/>
  <c r="K947" i="105"/>
  <c r="M947" i="105" s="1"/>
  <c r="K868" i="105"/>
  <c r="M868" i="105" s="1"/>
  <c r="L1122" i="105"/>
  <c r="M1122" i="105" s="1"/>
  <c r="K129" i="105"/>
  <c r="M129" i="105" s="1"/>
  <c r="L1077" i="105"/>
  <c r="M1077" i="105" s="1"/>
  <c r="L116" i="105"/>
  <c r="M116" i="105" s="1"/>
  <c r="L834" i="105"/>
  <c r="M834" i="105" s="1"/>
  <c r="E618" i="84"/>
  <c r="K821" i="105"/>
  <c r="M821" i="105" s="1"/>
  <c r="K1124" i="105"/>
  <c r="M1124" i="105" s="1"/>
  <c r="K304" i="105"/>
  <c r="M304" i="105" s="1"/>
  <c r="L1125" i="105"/>
  <c r="M1125" i="105" s="1"/>
  <c r="L100" i="105"/>
  <c r="M100" i="105" s="1"/>
  <c r="K44" i="105"/>
  <c r="M44" i="105" s="1"/>
  <c r="K1029" i="105"/>
  <c r="M1029" i="105" s="1"/>
  <c r="L321" i="105"/>
  <c r="M321" i="105" s="1"/>
  <c r="K56" i="105"/>
  <c r="M56" i="105" s="1"/>
  <c r="L1189" i="105"/>
  <c r="M1189" i="105" s="1"/>
  <c r="L1144" i="105"/>
  <c r="M1144" i="105" s="1"/>
  <c r="L93" i="105"/>
  <c r="M93" i="105" s="1"/>
  <c r="L1285" i="105"/>
  <c r="M1285" i="105" s="1"/>
  <c r="L520" i="105"/>
  <c r="M520" i="105" s="1"/>
  <c r="L347" i="105"/>
  <c r="M347" i="105" s="1"/>
  <c r="L269" i="105"/>
  <c r="M269" i="105" s="1"/>
  <c r="K467" i="105"/>
  <c r="M467" i="105" s="1"/>
  <c r="L1307" i="105"/>
  <c r="M1307" i="105" s="1"/>
  <c r="L1141" i="105"/>
  <c r="M1141" i="105" s="1"/>
  <c r="L413" i="105"/>
  <c r="M413" i="105" s="1"/>
  <c r="K1024" i="105"/>
  <c r="M1024" i="105" s="1"/>
  <c r="L249" i="105"/>
  <c r="M249" i="105" s="1"/>
  <c r="K653" i="105"/>
  <c r="M653" i="105" s="1"/>
  <c r="L107" i="105"/>
  <c r="M107" i="105" s="1"/>
  <c r="L968" i="105"/>
  <c r="M968" i="105" s="1"/>
  <c r="K761" i="105"/>
  <c r="M761" i="105" s="1"/>
  <c r="L1101" i="105"/>
  <c r="M1101" i="105" s="1"/>
  <c r="K743" i="105"/>
  <c r="M743" i="105" s="1"/>
  <c r="L1259" i="105"/>
  <c r="M1259" i="105" s="1"/>
  <c r="L41" i="105"/>
  <c r="M41" i="105" s="1"/>
  <c r="L613" i="105"/>
  <c r="M613" i="105" s="1"/>
  <c r="M889" i="84"/>
  <c r="L1300" i="105"/>
  <c r="M1300" i="105" s="1"/>
  <c r="L1205" i="105"/>
  <c r="M1205" i="105" s="1"/>
  <c r="L1290" i="105"/>
  <c r="M1290" i="105" s="1"/>
  <c r="K545" i="105"/>
  <c r="M545" i="105" s="1"/>
  <c r="M545" i="84"/>
  <c r="L325" i="105"/>
  <c r="M325" i="105" s="1"/>
  <c r="L812" i="105"/>
  <c r="M812" i="105" s="1"/>
  <c r="L229" i="105"/>
  <c r="M229" i="105" s="1"/>
  <c r="L925" i="105"/>
  <c r="M925" i="105" s="1"/>
  <c r="K709" i="105"/>
  <c r="M709" i="105" s="1"/>
  <c r="L173" i="105"/>
  <c r="M173" i="105" s="1"/>
  <c r="L421" i="105"/>
  <c r="M421" i="105" s="1"/>
  <c r="L755" i="105"/>
  <c r="M755" i="105" s="1"/>
  <c r="M717" i="84"/>
  <c r="K1016" i="105"/>
  <c r="M1016" i="105" s="1"/>
  <c r="K1340" i="105"/>
  <c r="M1340" i="105" s="1"/>
  <c r="J52" i="112"/>
  <c r="K1028" i="105"/>
  <c r="M1028" i="105" s="1"/>
  <c r="L1194" i="105"/>
  <c r="M1194" i="105" s="1"/>
  <c r="L589" i="105"/>
  <c r="M589" i="105" s="1"/>
  <c r="K40" i="105"/>
  <c r="M40" i="105" s="1"/>
  <c r="L493" i="105"/>
  <c r="M493" i="105" s="1"/>
  <c r="I134" i="84"/>
  <c r="F18" i="43" s="1"/>
  <c r="E18" i="43" s="1"/>
  <c r="L67" i="105"/>
  <c r="M67" i="105" s="1"/>
  <c r="K1241" i="105"/>
  <c r="M1241" i="105" s="1"/>
  <c r="L989" i="105"/>
  <c r="M989" i="105" s="1"/>
  <c r="L729" i="105"/>
  <c r="M729" i="105" s="1"/>
  <c r="L1108" i="105"/>
  <c r="M1108" i="105" s="1"/>
  <c r="H78" i="90"/>
  <c r="L1225" i="105"/>
  <c r="M1225" i="105" s="1"/>
  <c r="L149" i="105"/>
  <c r="M149" i="105" s="1"/>
  <c r="K1184" i="105"/>
  <c r="M1184" i="105" s="1"/>
  <c r="K669" i="105"/>
  <c r="M669" i="105" s="1"/>
  <c r="L1037" i="105"/>
  <c r="M1037" i="105" s="1"/>
  <c r="L477" i="105"/>
  <c r="M477" i="105" s="1"/>
  <c r="K381" i="105"/>
  <c r="M381" i="105" s="1"/>
  <c r="L573" i="105"/>
  <c r="M573" i="105" s="1"/>
  <c r="K833" i="105"/>
  <c r="M833" i="105" s="1"/>
  <c r="L1173" i="105"/>
  <c r="M1173" i="105" s="1"/>
  <c r="L1269" i="105"/>
  <c r="M1269" i="105" s="1"/>
  <c r="L141" i="105"/>
  <c r="M141" i="105" s="1"/>
  <c r="L885" i="105"/>
  <c r="M885" i="105" s="1"/>
  <c r="J19" i="104"/>
  <c r="L157" i="105"/>
  <c r="M157" i="105" s="1"/>
  <c r="L1085" i="105"/>
  <c r="M1085" i="105" s="1"/>
  <c r="K740" i="105"/>
  <c r="M740" i="105" s="1"/>
  <c r="K932" i="105"/>
  <c r="M932" i="105" s="1"/>
  <c r="L1139" i="105"/>
  <c r="M1139" i="105" s="1"/>
  <c r="L1193" i="105"/>
  <c r="M1193" i="105" s="1"/>
  <c r="L1117" i="105"/>
  <c r="M1117" i="105" s="1"/>
  <c r="K941" i="105"/>
  <c r="M941" i="105" s="1"/>
  <c r="L397" i="105"/>
  <c r="M397" i="105" s="1"/>
  <c r="K69" i="105"/>
  <c r="M69" i="105" s="1"/>
  <c r="K887" i="105"/>
  <c r="M887" i="105" s="1"/>
  <c r="L217" i="105"/>
  <c r="M217" i="105" s="1"/>
  <c r="L647" i="105"/>
  <c r="M647" i="105" s="1"/>
  <c r="K412" i="105"/>
  <c r="M412" i="105" s="1"/>
  <c r="K997" i="105"/>
  <c r="M997" i="105" s="1"/>
  <c r="L1295" i="105"/>
  <c r="M1295" i="105" s="1"/>
  <c r="L1293" i="105"/>
  <c r="M1293" i="105" s="1"/>
  <c r="K225" i="105"/>
  <c r="M225" i="105" s="1"/>
  <c r="L429" i="105"/>
  <c r="M429" i="105" s="1"/>
  <c r="L431" i="105"/>
  <c r="M431" i="105" s="1"/>
  <c r="K1272" i="105"/>
  <c r="M1272" i="105" s="1"/>
  <c r="L901" i="105"/>
  <c r="M901" i="105" s="1"/>
  <c r="L293" i="105"/>
  <c r="M293" i="105" s="1"/>
  <c r="L1048" i="105"/>
  <c r="M1048" i="105" s="1"/>
  <c r="K118" i="105"/>
  <c r="M118" i="105" s="1"/>
  <c r="L724" i="105"/>
  <c r="M724" i="105" s="1"/>
  <c r="K785" i="105"/>
  <c r="M785" i="105" s="1"/>
  <c r="K442" i="105"/>
  <c r="M442" i="105" s="1"/>
  <c r="G323" i="84"/>
  <c r="K264" i="84"/>
  <c r="H3" i="100"/>
  <c r="K140" i="105"/>
  <c r="M140" i="105" s="1"/>
  <c r="L1113" i="105"/>
  <c r="M1113" i="105" s="1"/>
  <c r="L449" i="105"/>
  <c r="M449" i="105" s="1"/>
  <c r="L637" i="105"/>
  <c r="M637" i="105" s="1"/>
  <c r="K689" i="105"/>
  <c r="M689" i="105" s="1"/>
  <c r="K213" i="105"/>
  <c r="M213" i="105" s="1"/>
  <c r="K609" i="105"/>
  <c r="M609" i="105" s="1"/>
  <c r="K1007" i="105"/>
  <c r="M1007" i="105" s="1"/>
  <c r="L608" i="105"/>
  <c r="M608" i="105" s="1"/>
  <c r="L779" i="105"/>
  <c r="M779" i="105" s="1"/>
  <c r="E17" i="13"/>
  <c r="G13" i="7"/>
  <c r="L629" i="105"/>
  <c r="M629" i="105" s="1"/>
  <c r="L513" i="105"/>
  <c r="M513" i="105" s="1"/>
  <c r="K541" i="105"/>
  <c r="M541" i="105" s="1"/>
  <c r="L737" i="105"/>
  <c r="M737" i="105" s="1"/>
  <c r="L1209" i="105"/>
  <c r="M1209" i="105" s="1"/>
  <c r="L177" i="105"/>
  <c r="M177" i="105" s="1"/>
  <c r="K389" i="105"/>
  <c r="M389" i="105" s="1"/>
  <c r="L1265" i="105"/>
  <c r="M1265" i="105" s="1"/>
  <c r="K959" i="105"/>
  <c r="M959" i="105" s="1"/>
  <c r="L1109" i="105"/>
  <c r="M1109" i="105" s="1"/>
  <c r="L1341" i="105"/>
  <c r="M1341" i="105" s="1"/>
  <c r="L1249" i="105"/>
  <c r="M1249" i="105" s="1"/>
  <c r="K1313" i="105"/>
  <c r="M1313" i="105" s="1"/>
  <c r="K245" i="105"/>
  <c r="M245" i="105" s="1"/>
  <c r="L63" i="105"/>
  <c r="M63" i="105" s="1"/>
  <c r="K521" i="105"/>
  <c r="M521" i="105" s="1"/>
  <c r="L921" i="105"/>
  <c r="M921" i="105" s="1"/>
  <c r="K466" i="105"/>
  <c r="M466" i="105" s="1"/>
  <c r="L1278" i="105"/>
  <c r="M1278" i="105" s="1"/>
  <c r="L801" i="105"/>
  <c r="M801" i="105" s="1"/>
  <c r="I300" i="84"/>
  <c r="I303" i="84" s="1"/>
  <c r="L797" i="105"/>
  <c r="M797" i="105" s="1"/>
  <c r="K1176" i="105"/>
  <c r="M1176" i="105" s="1"/>
  <c r="L841" i="105"/>
  <c r="M841" i="105" s="1"/>
  <c r="K714" i="105"/>
  <c r="M714" i="105" s="1"/>
  <c r="L813" i="105"/>
  <c r="M813" i="105" s="1"/>
  <c r="L804" i="105"/>
  <c r="M804" i="105" s="1"/>
  <c r="L540" i="105"/>
  <c r="M540" i="105" s="1"/>
  <c r="K406" i="105"/>
  <c r="M406" i="105" s="1"/>
  <c r="L294" i="105"/>
  <c r="M294" i="105" s="1"/>
  <c r="L720" i="105"/>
  <c r="M720" i="105" s="1"/>
  <c r="K102" i="105"/>
  <c r="M102" i="105" s="1"/>
  <c r="K972" i="105"/>
  <c r="M972" i="105" s="1"/>
  <c r="L398" i="105"/>
  <c r="M398" i="105" s="1"/>
  <c r="L206" i="105"/>
  <c r="M206" i="105" s="1"/>
  <c r="L89" i="105"/>
  <c r="M89" i="105" s="1"/>
  <c r="L241" i="105"/>
  <c r="M241" i="105" s="1"/>
  <c r="L733" i="105"/>
  <c r="M733" i="105" s="1"/>
  <c r="L309" i="105"/>
  <c r="M309" i="105" s="1"/>
  <c r="L532" i="105"/>
  <c r="M532" i="105" s="1"/>
  <c r="L1157" i="105"/>
  <c r="M1157" i="105" s="1"/>
  <c r="K77" i="105"/>
  <c r="M77" i="105" s="1"/>
  <c r="K337" i="105"/>
  <c r="M337" i="105" s="1"/>
  <c r="L625" i="105"/>
  <c r="M625" i="105" s="1"/>
  <c r="L1043" i="105"/>
  <c r="M1043" i="105" s="1"/>
  <c r="L623" i="105"/>
  <c r="M623" i="105" s="1"/>
  <c r="L58" i="105"/>
  <c r="M58" i="105" s="1"/>
  <c r="L82" i="90"/>
  <c r="L468" i="105"/>
  <c r="M468" i="105" s="1"/>
  <c r="L905" i="105"/>
  <c r="M905" i="105" s="1"/>
  <c r="L1004" i="105"/>
  <c r="M1004" i="105" s="1"/>
  <c r="H26" i="31"/>
  <c r="L829" i="105"/>
  <c r="M829" i="105" s="1"/>
  <c r="K501" i="105"/>
  <c r="M501" i="105" s="1"/>
  <c r="D13" i="7"/>
  <c r="K1002" i="105"/>
  <c r="M1002" i="105" s="1"/>
  <c r="L857" i="105"/>
  <c r="M857" i="105" s="1"/>
  <c r="L348" i="105"/>
  <c r="M348" i="105" s="1"/>
  <c r="L109" i="105"/>
  <c r="M109" i="105" s="1"/>
  <c r="K816" i="105"/>
  <c r="M816" i="105" s="1"/>
  <c r="L1103" i="105"/>
  <c r="M1103" i="105" s="1"/>
  <c r="L261" i="105"/>
  <c r="M261" i="105" s="1"/>
  <c r="K134" i="84"/>
  <c r="F19" i="45" s="1"/>
  <c r="L416" i="105"/>
  <c r="M416" i="105" s="1"/>
  <c r="L377" i="105"/>
  <c r="M377" i="105" s="1"/>
  <c r="L461" i="105"/>
  <c r="M461" i="105" s="1"/>
  <c r="K599" i="105"/>
  <c r="M599" i="105" s="1"/>
  <c r="E85" i="84"/>
  <c r="F19" i="13" s="1"/>
  <c r="K906" i="105"/>
  <c r="M906" i="105" s="1"/>
  <c r="L1164" i="105"/>
  <c r="M1164" i="105" s="1"/>
  <c r="K1017" i="105"/>
  <c r="M1017" i="105" s="1"/>
  <c r="L702" i="105"/>
  <c r="M702" i="105" s="1"/>
  <c r="K254" i="105"/>
  <c r="M254" i="105" s="1"/>
  <c r="K900" i="105"/>
  <c r="M900" i="105" s="1"/>
  <c r="K390" i="105"/>
  <c r="M390" i="105" s="1"/>
  <c r="L300" i="105"/>
  <c r="M300" i="105" s="1"/>
  <c r="L578" i="105"/>
  <c r="M578" i="105" s="1"/>
  <c r="K953" i="105"/>
  <c r="M953" i="105" s="1"/>
  <c r="L728" i="105"/>
  <c r="M728" i="105" s="1"/>
  <c r="K462" i="105"/>
  <c r="M462" i="105" s="1"/>
  <c r="L366" i="105"/>
  <c r="M366" i="105" s="1"/>
  <c r="L78" i="105"/>
  <c r="M78" i="105" s="1"/>
  <c r="L456" i="105"/>
  <c r="M456" i="105" s="1"/>
  <c r="K598" i="105"/>
  <c r="M598" i="105" s="1"/>
  <c r="L1055" i="105"/>
  <c r="M1055" i="105" s="1"/>
  <c r="K136" i="105"/>
  <c r="M136" i="105" s="1"/>
  <c r="K62" i="105"/>
  <c r="M62" i="105" s="1"/>
  <c r="K717" i="105"/>
  <c r="M717" i="105" s="1"/>
  <c r="L791" i="105"/>
  <c r="M791" i="105" s="1"/>
  <c r="L253" i="105"/>
  <c r="M253" i="105" s="1"/>
  <c r="L937" i="105"/>
  <c r="M937" i="105" s="1"/>
  <c r="D26" i="7"/>
  <c r="G30" i="23"/>
  <c r="L209" i="105"/>
  <c r="M209" i="105" s="1"/>
  <c r="L1049" i="105"/>
  <c r="M1049" i="105" s="1"/>
  <c r="L433" i="105"/>
  <c r="M433" i="105" s="1"/>
  <c r="K1266" i="105"/>
  <c r="M1266" i="105" s="1"/>
  <c r="L1009" i="105"/>
  <c r="M1009" i="105" s="1"/>
  <c r="K681" i="105"/>
  <c r="M681" i="105" s="1"/>
  <c r="L913" i="105"/>
  <c r="M913" i="105" s="1"/>
  <c r="K489" i="105"/>
  <c r="M489" i="105" s="1"/>
  <c r="K81" i="105"/>
  <c r="M81" i="105" s="1"/>
  <c r="K817" i="105"/>
  <c r="M817" i="105" s="1"/>
  <c r="K798" i="105"/>
  <c r="M798" i="105" s="1"/>
  <c r="L474" i="105"/>
  <c r="M474" i="105" s="1"/>
  <c r="L993" i="105"/>
  <c r="M993" i="105" s="1"/>
  <c r="L517" i="105"/>
  <c r="M517" i="105" s="1"/>
  <c r="L426" i="105"/>
  <c r="M426" i="105" s="1"/>
  <c r="K1212" i="105"/>
  <c r="M1212" i="105" s="1"/>
  <c r="L1314" i="105"/>
  <c r="M1314" i="105" s="1"/>
  <c r="L216" i="105"/>
  <c r="M216" i="105" s="1"/>
  <c r="K570" i="105"/>
  <c r="M570" i="105" s="1"/>
  <c r="L996" i="105"/>
  <c r="M996" i="105" s="1"/>
  <c r="L1069" i="105"/>
  <c r="M1069" i="105" s="1"/>
  <c r="L305" i="105"/>
  <c r="M305" i="105" s="1"/>
  <c r="L661" i="105"/>
  <c r="M661" i="105" s="1"/>
  <c r="I176" i="84"/>
  <c r="E19" i="31" s="1"/>
  <c r="L809" i="105"/>
  <c r="M809" i="105" s="1"/>
  <c r="L683" i="105"/>
  <c r="M683" i="105" s="1"/>
  <c r="L443" i="105"/>
  <c r="M443" i="105" s="1"/>
  <c r="L923" i="105"/>
  <c r="M923" i="105" s="1"/>
  <c r="D21" i="7"/>
  <c r="L133" i="105"/>
  <c r="M133" i="105" s="1"/>
  <c r="H20" i="90"/>
  <c r="H35" i="90"/>
  <c r="L420" i="105"/>
  <c r="M420" i="105" s="1"/>
  <c r="K1068" i="105"/>
  <c r="M1068" i="105" s="1"/>
  <c r="L346" i="105"/>
  <c r="M346" i="105" s="1"/>
  <c r="L469" i="105"/>
  <c r="M469" i="105" s="1"/>
  <c r="L1067" i="105"/>
  <c r="M1067" i="105" s="1"/>
  <c r="L164" i="105"/>
  <c r="M164" i="105" s="1"/>
  <c r="P84" i="90"/>
  <c r="L865" i="105"/>
  <c r="M865" i="105" s="1"/>
  <c r="L71" i="105"/>
  <c r="M71" i="105" s="1"/>
  <c r="H84" i="90"/>
  <c r="H28" i="90"/>
  <c r="H22" i="90"/>
  <c r="L912" i="105"/>
  <c r="M912" i="105" s="1"/>
  <c r="L1177" i="105"/>
  <c r="M1177" i="105" s="1"/>
  <c r="L161" i="105"/>
  <c r="M161" i="105" s="1"/>
  <c r="K557" i="105"/>
  <c r="M557" i="105" s="1"/>
  <c r="L273" i="105"/>
  <c r="M273" i="105" s="1"/>
  <c r="L1325" i="105"/>
  <c r="M1325" i="105" s="1"/>
  <c r="L373" i="105"/>
  <c r="M373" i="105" s="1"/>
  <c r="L1277" i="105"/>
  <c r="M1277" i="105" s="1"/>
  <c r="L1121" i="105"/>
  <c r="M1121" i="105" s="1"/>
  <c r="L345" i="105"/>
  <c r="M345" i="105" s="1"/>
  <c r="L90" i="105"/>
  <c r="M90" i="105" s="1"/>
  <c r="L732" i="105"/>
  <c r="M732" i="105" s="1"/>
  <c r="L568" i="105"/>
  <c r="M568" i="105" s="1"/>
  <c r="K70" i="105"/>
  <c r="M70" i="105" s="1"/>
  <c r="L329" i="105"/>
  <c r="M329" i="105" s="1"/>
  <c r="L1175" i="105"/>
  <c r="M1175" i="105" s="1"/>
  <c r="L1019" i="105"/>
  <c r="M1019" i="105" s="1"/>
  <c r="H19" i="90"/>
  <c r="H31" i="90"/>
  <c r="H25" i="90"/>
  <c r="K48" i="105"/>
  <c r="M48" i="105" s="1"/>
  <c r="L312" i="105"/>
  <c r="M312" i="105" s="1"/>
  <c r="L1245" i="105"/>
  <c r="M1245" i="105" s="1"/>
  <c r="L201" i="105"/>
  <c r="M201" i="105" s="1"/>
  <c r="L472" i="105"/>
  <c r="M472" i="105" s="1"/>
  <c r="K166" i="105"/>
  <c r="M166" i="105" s="1"/>
  <c r="G342" i="84"/>
  <c r="G345" i="84" s="1"/>
  <c r="K961" i="105"/>
  <c r="M961" i="105" s="1"/>
  <c r="K869" i="105"/>
  <c r="M869" i="105" s="1"/>
  <c r="L849" i="105"/>
  <c r="M849" i="105" s="1"/>
  <c r="L437" i="105"/>
  <c r="M437" i="105" s="1"/>
  <c r="L84" i="90"/>
  <c r="H32" i="90"/>
  <c r="H23" i="90"/>
  <c r="L1092" i="105"/>
  <c r="M1092" i="105" s="1"/>
  <c r="K984" i="105"/>
  <c r="M984" i="105" s="1"/>
  <c r="L1223" i="105"/>
  <c r="M1223" i="105" s="1"/>
  <c r="L53" i="105"/>
  <c r="M53" i="105" s="1"/>
  <c r="P82" i="90"/>
  <c r="R82" i="90"/>
  <c r="J22" i="7" s="1"/>
  <c r="G85" i="84"/>
  <c r="F19" i="29" s="1"/>
  <c r="D16" i="7"/>
  <c r="G78" i="84"/>
  <c r="G81" i="84" s="1"/>
  <c r="M176" i="84"/>
  <c r="E19" i="70" s="1"/>
  <c r="D27" i="7"/>
  <c r="K1326" i="105"/>
  <c r="M1326" i="105" s="1"/>
  <c r="L354" i="105"/>
  <c r="M354" i="105" s="1"/>
  <c r="L858" i="105"/>
  <c r="M858" i="105" s="1"/>
  <c r="K1032" i="105"/>
  <c r="M1032" i="105" s="1"/>
  <c r="K1038" i="105"/>
  <c r="M1038" i="105" s="1"/>
  <c r="K264" i="105"/>
  <c r="M264" i="105" s="1"/>
  <c r="L281" i="105"/>
  <c r="M281" i="105" s="1"/>
  <c r="L454" i="105"/>
  <c r="M454" i="105" s="1"/>
  <c r="L559" i="105"/>
  <c r="M559" i="105" s="1"/>
  <c r="K815" i="105"/>
  <c r="M815" i="105" s="1"/>
  <c r="K128" i="105"/>
  <c r="M128" i="105" s="1"/>
  <c r="L289" i="105"/>
  <c r="M289" i="105" s="1"/>
  <c r="K877" i="105"/>
  <c r="M877" i="105" s="1"/>
  <c r="L577" i="105"/>
  <c r="M577" i="105" s="1"/>
  <c r="L145" i="105"/>
  <c r="M145" i="105" s="1"/>
  <c r="L665" i="105"/>
  <c r="M665" i="105" s="1"/>
  <c r="L357" i="105"/>
  <c r="M357" i="105" s="1"/>
  <c r="L645" i="105"/>
  <c r="M645" i="105" s="1"/>
  <c r="L929" i="105"/>
  <c r="M929" i="105" s="1"/>
  <c r="L43" i="105"/>
  <c r="M43" i="105" s="1"/>
  <c r="L49" i="105"/>
  <c r="M49" i="105" s="1"/>
  <c r="L481" i="105"/>
  <c r="M481" i="105" s="1"/>
  <c r="L635" i="105"/>
  <c r="M635" i="105" s="1"/>
  <c r="K852" i="105"/>
  <c r="M852" i="105" s="1"/>
  <c r="L576" i="105"/>
  <c r="M576" i="105" s="1"/>
  <c r="L1181" i="105"/>
  <c r="M1181" i="105" s="1"/>
  <c r="L1201" i="105"/>
  <c r="M1201" i="105" s="1"/>
  <c r="K1235" i="105"/>
  <c r="M1235" i="105" s="1"/>
  <c r="L983" i="105"/>
  <c r="M983" i="105" s="1"/>
  <c r="L1320" i="105"/>
  <c r="M1320" i="105" s="1"/>
  <c r="L480" i="105"/>
  <c r="M480" i="105" s="1"/>
  <c r="K1040" i="105"/>
  <c r="M1040" i="105" s="1"/>
  <c r="K1134" i="105"/>
  <c r="M1134" i="105" s="1"/>
  <c r="L252" i="105"/>
  <c r="M252" i="105" s="1"/>
  <c r="K564" i="105"/>
  <c r="M564" i="105" s="1"/>
  <c r="L1104" i="105"/>
  <c r="M1104" i="105" s="1"/>
  <c r="L924" i="105"/>
  <c r="M924" i="105" s="1"/>
  <c r="L1146" i="105"/>
  <c r="M1146" i="105" s="1"/>
  <c r="L1206" i="105"/>
  <c r="M1206" i="105" s="1"/>
  <c r="L654" i="105"/>
  <c r="M654" i="105" s="1"/>
  <c r="L744" i="105"/>
  <c r="M744" i="105" s="1"/>
  <c r="K1230" i="105"/>
  <c r="M1230" i="105" s="1"/>
  <c r="L150" i="105"/>
  <c r="M150" i="105" s="1"/>
  <c r="L630" i="105"/>
  <c r="M630" i="105" s="1"/>
  <c r="L258" i="105"/>
  <c r="M258" i="105" s="1"/>
  <c r="L534" i="105"/>
  <c r="M534" i="105" s="1"/>
  <c r="L394" i="105"/>
  <c r="M394" i="105" s="1"/>
  <c r="L957" i="105"/>
  <c r="M957" i="105" s="1"/>
  <c r="K34" i="105"/>
  <c r="M34" i="105" s="1"/>
  <c r="K1289" i="105"/>
  <c r="M1289" i="105" s="1"/>
  <c r="L1309" i="105"/>
  <c r="M1309" i="105" s="1"/>
  <c r="L54" i="105"/>
  <c r="M54" i="105" s="1"/>
  <c r="L385" i="105"/>
  <c r="M385" i="105" s="1"/>
  <c r="L438" i="105"/>
  <c r="M438" i="105" s="1"/>
  <c r="L546" i="105"/>
  <c r="M546" i="105" s="1"/>
  <c r="K274" i="105"/>
  <c r="M274" i="105" s="1"/>
  <c r="L973" i="105"/>
  <c r="M973" i="105" s="1"/>
  <c r="L861" i="105"/>
  <c r="M861" i="105" s="1"/>
  <c r="E6" i="18"/>
  <c r="E32" i="18" s="1"/>
  <c r="H8" i="50"/>
  <c r="H58" i="50" s="1"/>
  <c r="E6" i="11"/>
  <c r="E34" i="11" s="1"/>
  <c r="I6" i="8"/>
  <c r="L369" i="105"/>
  <c r="M369" i="105" s="1"/>
  <c r="L205" i="105"/>
  <c r="M205" i="105" s="1"/>
  <c r="L1025" i="105"/>
  <c r="M1025" i="105" s="1"/>
  <c r="L1343" i="105"/>
  <c r="M1343" i="105" s="1"/>
  <c r="K224" i="105"/>
  <c r="M224" i="105" s="1"/>
  <c r="L246" i="105"/>
  <c r="M246" i="105" s="1"/>
  <c r="L1128" i="105"/>
  <c r="M1128" i="105" s="1"/>
  <c r="K120" i="105"/>
  <c r="M120" i="105" s="1"/>
  <c r="K1127" i="105"/>
  <c r="M1127" i="105" s="1"/>
  <c r="K282" i="105"/>
  <c r="M282" i="105" s="1"/>
  <c r="K928" i="105"/>
  <c r="M928" i="105" s="1"/>
  <c r="L781" i="105"/>
  <c r="M781" i="105" s="1"/>
  <c r="K657" i="105"/>
  <c r="M657" i="105" s="1"/>
  <c r="C32" i="10"/>
  <c r="D8" i="10" s="1"/>
  <c r="G52" i="50"/>
  <c r="F69" i="50"/>
  <c r="D22" i="11"/>
  <c r="F35" i="40"/>
  <c r="D68" i="5"/>
  <c r="F15" i="50"/>
  <c r="D15" i="50"/>
  <c r="D47" i="97"/>
  <c r="D49" i="97"/>
  <c r="F37" i="46"/>
  <c r="F37" i="49"/>
  <c r="F37" i="40"/>
  <c r="D45" i="97"/>
  <c r="F37" i="42"/>
  <c r="F37" i="39"/>
  <c r="F54" i="40"/>
  <c r="D37" i="97"/>
  <c r="E24" i="37"/>
  <c r="F50" i="29"/>
  <c r="G19" i="19"/>
  <c r="G17" i="19"/>
  <c r="G18" i="19"/>
  <c r="G16" i="19"/>
  <c r="F25" i="30"/>
  <c r="C43" i="16"/>
  <c r="C47" i="16" s="1"/>
  <c r="D9" i="16" s="1"/>
  <c r="D30" i="30"/>
  <c r="F39" i="41"/>
  <c r="D38" i="97"/>
  <c r="F27" i="30"/>
  <c r="F29" i="30"/>
  <c r="F23" i="30"/>
  <c r="D38" i="58"/>
  <c r="D30" i="97"/>
  <c r="D28" i="61"/>
  <c r="D13" i="97"/>
  <c r="D30" i="23"/>
  <c r="D24" i="97"/>
  <c r="D15" i="37"/>
  <c r="D27" i="22"/>
  <c r="D23" i="97"/>
  <c r="F14" i="50"/>
  <c r="D21" i="97"/>
  <c r="D20" i="97"/>
  <c r="D11" i="97"/>
  <c r="D34" i="97"/>
  <c r="D33" i="97"/>
  <c r="D10" i="97"/>
  <c r="D14" i="50"/>
  <c r="D38" i="32"/>
  <c r="D24" i="71"/>
  <c r="P22" i="8"/>
  <c r="D12" i="97"/>
  <c r="D24" i="14"/>
  <c r="M996" i="84"/>
  <c r="M989" i="84"/>
  <c r="M992" i="84" s="1"/>
  <c r="K187" i="105"/>
  <c r="L187" i="105"/>
  <c r="L721" i="105"/>
  <c r="K721" i="105"/>
  <c r="K181" i="105"/>
  <c r="L181" i="105"/>
  <c r="H27" i="90"/>
  <c r="L277" i="105"/>
  <c r="K277" i="105"/>
  <c r="J27" i="112"/>
  <c r="D25" i="38"/>
  <c r="L1153" i="105"/>
  <c r="K1153" i="105"/>
  <c r="L61" i="105"/>
  <c r="M61" i="105" s="1"/>
  <c r="L1073" i="105"/>
  <c r="M1073" i="105" s="1"/>
  <c r="L685" i="105"/>
  <c r="K685" i="105"/>
  <c r="L558" i="105"/>
  <c r="M558" i="105" s="1"/>
  <c r="M193" i="84"/>
  <c r="L1021" i="105"/>
  <c r="M1021" i="105" s="1"/>
  <c r="K1149" i="105"/>
  <c r="M1149" i="105" s="1"/>
  <c r="K1001" i="105"/>
  <c r="M1001" i="105" s="1"/>
  <c r="G989" i="84"/>
  <c r="G992" i="84" s="1"/>
  <c r="G996" i="84"/>
  <c r="K673" i="105"/>
  <c r="L673" i="105"/>
  <c r="L805" i="105"/>
  <c r="K805" i="105"/>
  <c r="K918" i="105"/>
  <c r="M918" i="105" s="1"/>
  <c r="L234" i="105"/>
  <c r="M234" i="105" s="1"/>
  <c r="K1308" i="105"/>
  <c r="M1308" i="105" s="1"/>
  <c r="L270" i="105"/>
  <c r="M270" i="105" s="1"/>
  <c r="K1020" i="105"/>
  <c r="M1020" i="105" s="1"/>
  <c r="H24" i="90"/>
  <c r="K505" i="105"/>
  <c r="L505" i="105"/>
  <c r="H30" i="90"/>
  <c r="L405" i="105"/>
  <c r="M405" i="105" s="1"/>
  <c r="L349" i="105"/>
  <c r="K349" i="105"/>
  <c r="K549" i="105"/>
  <c r="M549" i="105" s="1"/>
  <c r="L705" i="105"/>
  <c r="M705" i="105" s="1"/>
  <c r="K1151" i="105"/>
  <c r="M1151" i="105" s="1"/>
  <c r="I989" i="84"/>
  <c r="I992" i="84" s="1"/>
  <c r="I996" i="84"/>
  <c r="K522" i="105"/>
  <c r="M522" i="105" s="1"/>
  <c r="L378" i="105"/>
  <c r="M378" i="105" s="1"/>
  <c r="K199" i="105"/>
  <c r="L199" i="105"/>
  <c r="L1296" i="105"/>
  <c r="M1296" i="105" s="1"/>
  <c r="H18" i="90"/>
  <c r="L105" i="105"/>
  <c r="M105" i="105" s="1"/>
  <c r="K445" i="105"/>
  <c r="M445" i="105" s="1"/>
  <c r="K1033" i="105"/>
  <c r="L1033" i="105"/>
  <c r="L313" i="105"/>
  <c r="K313" i="105"/>
  <c r="L552" i="105"/>
  <c r="M552" i="105" s="1"/>
  <c r="K1260" i="105"/>
  <c r="M1260" i="105" s="1"/>
  <c r="K909" i="105"/>
  <c r="M909" i="105" s="1"/>
  <c r="K745" i="105"/>
  <c r="L745" i="105"/>
  <c r="K1065" i="105"/>
  <c r="L1065" i="105"/>
  <c r="K765" i="105"/>
  <c r="L765" i="105"/>
  <c r="L340" i="105"/>
  <c r="K340" i="105"/>
  <c r="K644" i="105"/>
  <c r="L644" i="105"/>
  <c r="K316" i="105"/>
  <c r="L316" i="105"/>
  <c r="K297" i="105"/>
  <c r="L297" i="105"/>
  <c r="N21" i="90"/>
  <c r="L138" i="105"/>
  <c r="M138" i="105" s="1"/>
  <c r="L360" i="105"/>
  <c r="M360" i="105" s="1"/>
  <c r="K123" i="105"/>
  <c r="M123" i="105" s="1"/>
  <c r="N84" i="90"/>
  <c r="E28" i="41" s="1"/>
  <c r="L285" i="105"/>
  <c r="M285" i="105" s="1"/>
  <c r="R89" i="90"/>
  <c r="E27" i="46" s="1"/>
  <c r="L1041" i="105"/>
  <c r="M1041" i="105" s="1"/>
  <c r="K267" i="105"/>
  <c r="L267" i="105"/>
  <c r="K96" i="105"/>
  <c r="M96" i="105" s="1"/>
  <c r="J141" i="104"/>
  <c r="J44" i="104" s="1"/>
  <c r="H51" i="104" s="1"/>
  <c r="K1161" i="105"/>
  <c r="L1161" i="105"/>
  <c r="K873" i="105"/>
  <c r="L873" i="105"/>
  <c r="K796" i="105"/>
  <c r="L796" i="105"/>
  <c r="L453" i="105"/>
  <c r="K453" i="105"/>
  <c r="K1116" i="105"/>
  <c r="M1116" i="105" s="1"/>
  <c r="K92" i="105"/>
  <c r="M92" i="105" s="1"/>
  <c r="K572" i="105"/>
  <c r="L572" i="105"/>
  <c r="K628" i="105"/>
  <c r="L628" i="105"/>
  <c r="K1329" i="105"/>
  <c r="L1329" i="105"/>
  <c r="K1005" i="105"/>
  <c r="L1005" i="105"/>
  <c r="L51" i="105"/>
  <c r="M51" i="105" s="1"/>
  <c r="K585" i="105"/>
  <c r="M585" i="105" s="1"/>
  <c r="L441" i="105"/>
  <c r="M441" i="105" s="1"/>
  <c r="L1305" i="105"/>
  <c r="K1305" i="105"/>
  <c r="K1137" i="105"/>
  <c r="L1137" i="105"/>
  <c r="K196" i="105"/>
  <c r="L196" i="105"/>
  <c r="L111" i="105"/>
  <c r="K111" i="105"/>
  <c r="L597" i="105"/>
  <c r="M597" i="105" s="1"/>
  <c r="K174" i="105"/>
  <c r="M174" i="105" s="1"/>
  <c r="L1284" i="105"/>
  <c r="M1284" i="105" s="1"/>
  <c r="L684" i="105"/>
  <c r="M684" i="105" s="1"/>
  <c r="K762" i="105"/>
  <c r="M762" i="105" s="1"/>
  <c r="D15" i="97"/>
  <c r="L45" i="105"/>
  <c r="M45" i="105" s="1"/>
  <c r="K476" i="105"/>
  <c r="L476" i="105"/>
  <c r="K544" i="105"/>
  <c r="L544" i="105"/>
  <c r="K981" i="105"/>
  <c r="L981" i="105"/>
  <c r="K260" i="105"/>
  <c r="L260" i="105"/>
  <c r="K656" i="105"/>
  <c r="M656" i="105" s="1"/>
  <c r="H89" i="90"/>
  <c r="L288" i="105"/>
  <c r="M288" i="105" s="1"/>
  <c r="L1014" i="105"/>
  <c r="M1014" i="105" s="1"/>
  <c r="K690" i="105"/>
  <c r="M690" i="105" s="1"/>
  <c r="L741" i="105"/>
  <c r="M741" i="105" s="1"/>
  <c r="L33" i="105"/>
  <c r="M33" i="105" s="1"/>
  <c r="L1281" i="105"/>
  <c r="K1281" i="105"/>
  <c r="K99" i="105"/>
  <c r="L99" i="105"/>
  <c r="K738" i="105"/>
  <c r="M738" i="105" s="1"/>
  <c r="F36" i="90"/>
  <c r="L726" i="105"/>
  <c r="M726" i="105" s="1"/>
  <c r="L192" i="105"/>
  <c r="M192" i="105" s="1"/>
  <c r="L66" i="105"/>
  <c r="M66" i="105" s="1"/>
  <c r="L618" i="105"/>
  <c r="M618" i="105" s="1"/>
  <c r="L1197" i="105"/>
  <c r="M1197" i="105" s="1"/>
  <c r="K68" i="105"/>
  <c r="M68" i="105" s="1"/>
  <c r="K1257" i="105"/>
  <c r="L1257" i="105"/>
  <c r="K124" i="105"/>
  <c r="L124" i="105"/>
  <c r="L89" i="90"/>
  <c r="K828" i="105"/>
  <c r="M828" i="105" s="1"/>
  <c r="L1053" i="105"/>
  <c r="M1053" i="105" s="1"/>
  <c r="L165" i="105"/>
  <c r="M165" i="105" s="1"/>
  <c r="K46" i="105"/>
  <c r="M46" i="105" s="1"/>
  <c r="D28" i="60"/>
  <c r="L897" i="105"/>
  <c r="M897" i="105" s="1"/>
  <c r="L436" i="105"/>
  <c r="K436" i="105"/>
  <c r="L594" i="105"/>
  <c r="M594" i="105" s="1"/>
  <c r="L753" i="105"/>
  <c r="M753" i="105" s="1"/>
  <c r="K944" i="105"/>
  <c r="M944" i="105" s="1"/>
  <c r="L764" i="105"/>
  <c r="K764" i="105"/>
  <c r="L777" i="105"/>
  <c r="K777" i="105"/>
  <c r="K152" i="105"/>
  <c r="L152" i="105"/>
  <c r="L1091" i="105"/>
  <c r="M1091" i="105" s="1"/>
  <c r="E6" i="43"/>
  <c r="E6" i="31"/>
  <c r="E6" i="71"/>
  <c r="E33" i="71" s="1"/>
  <c r="K1273" i="105"/>
  <c r="M1273" i="105" s="1"/>
  <c r="E27" i="10"/>
  <c r="J40" i="104"/>
  <c r="N32" i="90"/>
  <c r="N18" i="90"/>
  <c r="K80" i="105"/>
  <c r="M80" i="105" s="1"/>
  <c r="D29" i="97"/>
  <c r="W93" i="90"/>
  <c r="J74" i="90" s="1"/>
  <c r="A160" i="104"/>
  <c r="E6" i="13"/>
  <c r="E6" i="48"/>
  <c r="M837" i="84"/>
  <c r="M878" i="84" s="1"/>
  <c r="K13" i="7"/>
  <c r="F18" i="13"/>
  <c r="E6" i="26"/>
  <c r="L90" i="90"/>
  <c r="N30" i="90"/>
  <c r="R21" i="90"/>
  <c r="L780" i="105"/>
  <c r="M780" i="105" s="1"/>
  <c r="K1110" i="105"/>
  <c r="M1110" i="105" s="1"/>
  <c r="L42" i="105"/>
  <c r="M42" i="105" s="1"/>
  <c r="L810" i="105"/>
  <c r="M810" i="105" s="1"/>
  <c r="L888" i="105"/>
  <c r="M888" i="105" s="1"/>
  <c r="L1098" i="105"/>
  <c r="M1098" i="105" s="1"/>
  <c r="L396" i="105"/>
  <c r="M396" i="105" s="1"/>
  <c r="L434" i="105"/>
  <c r="M434" i="105" s="1"/>
  <c r="K1240" i="105"/>
  <c r="M1240" i="105" s="1"/>
  <c r="J79" i="112"/>
  <c r="M17" i="58"/>
  <c r="A14" i="104"/>
  <c r="E6" i="23"/>
  <c r="E6" i="52"/>
  <c r="E6" i="40"/>
  <c r="K44" i="84"/>
  <c r="E17" i="45"/>
  <c r="B31" i="91"/>
  <c r="L612" i="105"/>
  <c r="M612" i="105" s="1"/>
  <c r="A21" i="88"/>
  <c r="E6" i="58"/>
  <c r="I42" i="58" s="1"/>
  <c r="E6" i="32"/>
  <c r="E6" i="47"/>
  <c r="B33" i="101"/>
  <c r="K159" i="105"/>
  <c r="M159" i="105" s="1"/>
  <c r="L695" i="105"/>
  <c r="K695" i="105"/>
  <c r="A20" i="88"/>
  <c r="K639" i="105"/>
  <c r="L639" i="105"/>
  <c r="N19" i="90"/>
  <c r="N31" i="90"/>
  <c r="N26" i="90"/>
  <c r="L636" i="105"/>
  <c r="M636" i="105" s="1"/>
  <c r="L492" i="105"/>
  <c r="M492" i="105" s="1"/>
  <c r="L756" i="105"/>
  <c r="M756" i="105" s="1"/>
  <c r="J127" i="104"/>
  <c r="C128" i="104" s="1"/>
  <c r="A10" i="103"/>
  <c r="B125" i="4"/>
  <c r="E3" i="74"/>
  <c r="A156" i="104"/>
  <c r="K515" i="105"/>
  <c r="L515" i="105"/>
  <c r="D20" i="7"/>
  <c r="E134" i="84"/>
  <c r="F18" i="41" s="1"/>
  <c r="K1056" i="105"/>
  <c r="M1056" i="105" s="1"/>
  <c r="A93" i="104"/>
  <c r="E6" i="42"/>
  <c r="E6" i="41"/>
  <c r="K1080" i="105"/>
  <c r="M1080" i="105" s="1"/>
  <c r="L930" i="105"/>
  <c r="M930" i="105" s="1"/>
  <c r="E6" i="30"/>
  <c r="A34" i="93"/>
  <c r="A13" i="94" s="1"/>
  <c r="P90" i="90"/>
  <c r="G300" i="84"/>
  <c r="G303" i="84" s="1"/>
  <c r="G783" i="84"/>
  <c r="G786" i="84" s="1"/>
  <c r="L1333" i="105"/>
  <c r="K1333" i="105"/>
  <c r="A19" i="104"/>
  <c r="A16" i="104"/>
  <c r="J18" i="112"/>
  <c r="N20" i="90"/>
  <c r="K186" i="105"/>
  <c r="M186" i="105" s="1"/>
  <c r="L1236" i="105"/>
  <c r="M1236" i="105" s="1"/>
  <c r="L72" i="105"/>
  <c r="M72" i="105" s="1"/>
  <c r="L530" i="105"/>
  <c r="M530" i="105" s="1"/>
  <c r="K822" i="105"/>
  <c r="M822" i="105" s="1"/>
  <c r="K330" i="105"/>
  <c r="M330" i="105" s="1"/>
  <c r="L342" i="105"/>
  <c r="M342" i="105" s="1"/>
  <c r="K324" i="105"/>
  <c r="M324" i="105" s="1"/>
  <c r="L1200" i="105"/>
  <c r="M1200" i="105" s="1"/>
  <c r="K198" i="105"/>
  <c r="M198" i="105" s="1"/>
  <c r="K86" i="105"/>
  <c r="M86" i="105" s="1"/>
  <c r="E6" i="14"/>
  <c r="E33" i="14" s="1"/>
  <c r="A7" i="4"/>
  <c r="A6" i="4" s="1"/>
  <c r="E6" i="17"/>
  <c r="E33" i="17" s="1"/>
  <c r="E6" i="12"/>
  <c r="E6" i="44"/>
  <c r="E33" i="44" s="1"/>
  <c r="E790" i="84"/>
  <c r="L1321" i="105"/>
  <c r="K1321" i="105"/>
  <c r="E6" i="60"/>
  <c r="H90" i="90"/>
  <c r="N23" i="90"/>
  <c r="K1218" i="105"/>
  <c r="M1218" i="105" s="1"/>
  <c r="L646" i="105"/>
  <c r="M646" i="105" s="1"/>
  <c r="L516" i="105"/>
  <c r="M516" i="105" s="1"/>
  <c r="L162" i="105"/>
  <c r="M162" i="105" s="1"/>
  <c r="K1242" i="105"/>
  <c r="M1242" i="105" s="1"/>
  <c r="B95" i="90"/>
  <c r="E6" i="22"/>
  <c r="E36" i="22" s="1"/>
  <c r="E6" i="21"/>
  <c r="E34" i="21" s="1"/>
  <c r="E6" i="65"/>
  <c r="R83" i="90"/>
  <c r="E27" i="49" s="1"/>
  <c r="K1027" i="105"/>
  <c r="L1027" i="105"/>
  <c r="A11" i="104"/>
  <c r="B143" i="4"/>
  <c r="E6" i="29"/>
  <c r="N25" i="90"/>
  <c r="L450" i="105"/>
  <c r="M450" i="105" s="1"/>
  <c r="L642" i="105"/>
  <c r="M642" i="105" s="1"/>
  <c r="K156" i="105"/>
  <c r="M156" i="105" s="1"/>
  <c r="N22" i="90"/>
  <c r="N35" i="90"/>
  <c r="A9" i="104"/>
  <c r="E3" i="70"/>
  <c r="E6" i="70"/>
  <c r="B17" i="103"/>
  <c r="H69" i="50"/>
  <c r="K691" i="105"/>
  <c r="L691" i="105"/>
  <c r="M406" i="84"/>
  <c r="M797" i="84"/>
  <c r="E307" i="84"/>
  <c r="E300" i="84"/>
  <c r="E303" i="84" s="1"/>
  <c r="K894" i="105"/>
  <c r="M894" i="105" s="1"/>
  <c r="K415" i="84"/>
  <c r="P83" i="90"/>
  <c r="G27" i="7"/>
  <c r="G658" i="84"/>
  <c r="G651" i="84"/>
  <c r="G654" i="84" s="1"/>
  <c r="L1182" i="105"/>
  <c r="M1182" i="105" s="1"/>
  <c r="L202" i="105"/>
  <c r="M202" i="105" s="1"/>
  <c r="K384" i="105"/>
  <c r="M384" i="105" s="1"/>
  <c r="K600" i="105"/>
  <c r="M600" i="105" s="1"/>
  <c r="K240" i="105"/>
  <c r="M240" i="105" s="1"/>
  <c r="L990" i="105"/>
  <c r="M990" i="105" s="1"/>
  <c r="G501" i="84"/>
  <c r="G1012" i="84"/>
  <c r="K528" i="105"/>
  <c r="M528" i="105" s="1"/>
  <c r="F18" i="16"/>
  <c r="G134" i="84"/>
  <c r="F18" i="42" s="1"/>
  <c r="D15" i="7"/>
  <c r="G127" i="84"/>
  <c r="G130" i="84" s="1"/>
  <c r="R78" i="90"/>
  <c r="I342" i="84"/>
  <c r="I345" i="84" s="1"/>
  <c r="I349" i="84"/>
  <c r="K658" i="84"/>
  <c r="K651" i="84"/>
  <c r="K654" i="84" s="1"/>
  <c r="L83" i="90"/>
  <c r="L336" i="105"/>
  <c r="M336" i="105" s="1"/>
  <c r="J101" i="112"/>
  <c r="L978" i="105"/>
  <c r="M978" i="105" s="1"/>
  <c r="L792" i="105"/>
  <c r="M792" i="105" s="1"/>
  <c r="L402" i="105"/>
  <c r="M402" i="105" s="1"/>
  <c r="L1344" i="105"/>
  <c r="M1344" i="105" s="1"/>
  <c r="L180" i="105"/>
  <c r="M180" i="105" s="1"/>
  <c r="L786" i="105"/>
  <c r="M786" i="105" s="1"/>
  <c r="U5" i="100"/>
  <c r="A24" i="104"/>
  <c r="A26" i="103"/>
  <c r="A13" i="93"/>
  <c r="B39" i="90"/>
  <c r="E6" i="45"/>
  <c r="B34" i="101"/>
  <c r="L154" i="105"/>
  <c r="M154" i="105" s="1"/>
  <c r="E17" i="49"/>
  <c r="G845" i="84"/>
  <c r="G673" i="84"/>
  <c r="G322" i="84"/>
  <c r="G1011" i="84"/>
  <c r="K349" i="84"/>
  <c r="K342" i="84"/>
  <c r="K345" i="84" s="1"/>
  <c r="D36" i="22"/>
  <c r="P87" i="90"/>
  <c r="R87" i="90"/>
  <c r="J26" i="7" s="1"/>
  <c r="K948" i="105"/>
  <c r="M948" i="105" s="1"/>
  <c r="K239" i="84"/>
  <c r="M665" i="84"/>
  <c r="M624" i="84"/>
  <c r="M584" i="84"/>
  <c r="M349" i="84"/>
  <c r="M342" i="84"/>
  <c r="M345" i="84" s="1"/>
  <c r="L1086" i="105"/>
  <c r="M1086" i="105" s="1"/>
  <c r="L296" i="105"/>
  <c r="M296" i="105" s="1"/>
  <c r="K106" i="105"/>
  <c r="M106" i="105" s="1"/>
  <c r="K155" i="105"/>
  <c r="M155" i="105" s="1"/>
  <c r="K606" i="105"/>
  <c r="M606" i="105" s="1"/>
  <c r="L498" i="105"/>
  <c r="M498" i="105" s="1"/>
  <c r="K954" i="105"/>
  <c r="M954" i="105" s="1"/>
  <c r="K1152" i="105"/>
  <c r="M1152" i="105" s="1"/>
  <c r="K112" i="105"/>
  <c r="M112" i="105" s="1"/>
  <c r="K64" i="105"/>
  <c r="M64" i="105" s="1"/>
  <c r="L538" i="105"/>
  <c r="M538" i="105" s="1"/>
  <c r="K930" i="84"/>
  <c r="E6" i="15"/>
  <c r="Y3" i="76" s="1"/>
  <c r="B145" i="4"/>
  <c r="E6" i="61"/>
  <c r="E6" i="16"/>
  <c r="E54" i="16" s="1"/>
  <c r="E6" i="19"/>
  <c r="E41" i="19" s="1"/>
  <c r="A56" i="93"/>
  <c r="A55" i="94" s="1"/>
  <c r="E6" i="49"/>
  <c r="N90" i="90"/>
  <c r="E6" i="46"/>
  <c r="E6" i="20"/>
  <c r="E31" i="20" s="1"/>
  <c r="I872" i="84"/>
  <c r="D29" i="52"/>
  <c r="D27" i="97"/>
  <c r="E658" i="84"/>
  <c r="E651" i="84"/>
  <c r="E654" i="84" s="1"/>
  <c r="M300" i="84"/>
  <c r="M303" i="84" s="1"/>
  <c r="M307" i="84"/>
  <c r="K948" i="84"/>
  <c r="K951" i="84" s="1"/>
  <c r="K955" i="84"/>
  <c r="D24" i="20"/>
  <c r="L1338" i="105"/>
  <c r="M1338" i="105" s="1"/>
  <c r="L602" i="105"/>
  <c r="M602" i="105" s="1"/>
  <c r="K765" i="84"/>
  <c r="K1331" i="105"/>
  <c r="L1331" i="105"/>
  <c r="M658" i="84"/>
  <c r="M651" i="84"/>
  <c r="M654" i="84" s="1"/>
  <c r="G955" i="84"/>
  <c r="G948" i="84"/>
  <c r="G951" i="84" s="1"/>
  <c r="K364" i="105"/>
  <c r="L364" i="105"/>
  <c r="K320" i="105"/>
  <c r="L320" i="105"/>
  <c r="K543" i="105"/>
  <c r="L543" i="105"/>
  <c r="K350" i="105"/>
  <c r="L350" i="105"/>
  <c r="L302" i="105"/>
  <c r="K302" i="105"/>
  <c r="L135" i="105"/>
  <c r="K135" i="105"/>
  <c r="K75" i="105"/>
  <c r="L75" i="105"/>
  <c r="K39" i="105"/>
  <c r="L39" i="105"/>
  <c r="L278" i="105"/>
  <c r="K278" i="105"/>
  <c r="K230" i="105"/>
  <c r="L230" i="105"/>
  <c r="K134" i="105"/>
  <c r="L134" i="105"/>
  <c r="G824" i="84"/>
  <c r="G827" i="84" s="1"/>
  <c r="G831" i="84"/>
  <c r="E831" i="84"/>
  <c r="E824" i="84"/>
  <c r="E827" i="84" s="1"/>
  <c r="P88" i="90"/>
  <c r="R88" i="90"/>
  <c r="J21" i="7" s="1"/>
  <c r="D14" i="7"/>
  <c r="I37" i="84"/>
  <c r="F19" i="16" s="1"/>
  <c r="L750" i="105"/>
  <c r="M750" i="105" s="1"/>
  <c r="K1074" i="105"/>
  <c r="M1074" i="105" s="1"/>
  <c r="L846" i="105"/>
  <c r="M846" i="105" s="1"/>
  <c r="L486" i="105"/>
  <c r="M486" i="105" s="1"/>
  <c r="L942" i="105"/>
  <c r="M942" i="105" s="1"/>
  <c r="A36" i="104"/>
  <c r="A33" i="104"/>
  <c r="A31" i="104"/>
  <c r="D46" i="12"/>
  <c r="K439" i="105"/>
  <c r="L439" i="105"/>
  <c r="K287" i="105"/>
  <c r="L287" i="105"/>
  <c r="K127" i="105"/>
  <c r="L127" i="105"/>
  <c r="L35" i="105"/>
  <c r="K35" i="105"/>
  <c r="K226" i="105"/>
  <c r="L226" i="105"/>
  <c r="L178" i="105"/>
  <c r="K178" i="105"/>
  <c r="L130" i="105"/>
  <c r="K130" i="105"/>
  <c r="L82" i="105"/>
  <c r="K82" i="105"/>
  <c r="D39" i="97"/>
  <c r="K208" i="105"/>
  <c r="L208" i="105"/>
  <c r="K351" i="105"/>
  <c r="L351" i="105"/>
  <c r="K338" i="105"/>
  <c r="L338" i="105"/>
  <c r="K191" i="105"/>
  <c r="L191" i="105"/>
  <c r="K266" i="105"/>
  <c r="L266" i="105"/>
  <c r="K218" i="105"/>
  <c r="L218" i="105"/>
  <c r="K170" i="105"/>
  <c r="L170" i="105"/>
  <c r="L122" i="105"/>
  <c r="K122" i="105"/>
  <c r="K74" i="105"/>
  <c r="L74" i="105"/>
  <c r="K272" i="105"/>
  <c r="L272" i="105"/>
  <c r="Z3" i="77"/>
  <c r="K1095" i="105"/>
  <c r="L1095" i="105"/>
  <c r="K319" i="105"/>
  <c r="L319" i="105"/>
  <c r="L334" i="105"/>
  <c r="K334" i="105"/>
  <c r="K119" i="105"/>
  <c r="L119" i="105"/>
  <c r="K262" i="105"/>
  <c r="L262" i="105"/>
  <c r="K214" i="105"/>
  <c r="L214" i="105"/>
  <c r="K200" i="105"/>
  <c r="L200" i="105"/>
  <c r="K76" i="105"/>
  <c r="L76" i="105"/>
  <c r="D23" i="7"/>
  <c r="G176" i="84"/>
  <c r="F19" i="49" s="1"/>
  <c r="K1170" i="105"/>
  <c r="M1170" i="105" s="1"/>
  <c r="K210" i="105"/>
  <c r="M210" i="105" s="1"/>
  <c r="L1050" i="105"/>
  <c r="M1050" i="105" s="1"/>
  <c r="K114" i="105"/>
  <c r="M114" i="105" s="1"/>
  <c r="K1248" i="105"/>
  <c r="M1248" i="105" s="1"/>
  <c r="L1224" i="105"/>
  <c r="M1224" i="105" s="1"/>
  <c r="L478" i="105"/>
  <c r="M478" i="105" s="1"/>
  <c r="D31" i="19"/>
  <c r="D31" i="97"/>
  <c r="N89" i="90"/>
  <c r="J36" i="112"/>
  <c r="L880" i="105"/>
  <c r="K880" i="105"/>
  <c r="L452" i="105"/>
  <c r="K452" i="105"/>
  <c r="K899" i="105"/>
  <c r="L899" i="105"/>
  <c r="K326" i="105"/>
  <c r="L326" i="105"/>
  <c r="K91" i="105"/>
  <c r="L91" i="105"/>
  <c r="K55" i="105"/>
  <c r="L55" i="105"/>
  <c r="L158" i="105"/>
  <c r="K158" i="105"/>
  <c r="L110" i="105"/>
  <c r="K110" i="105"/>
  <c r="M872" i="84"/>
  <c r="M865" i="84"/>
  <c r="M868" i="84" s="1"/>
  <c r="L666" i="105"/>
  <c r="M666" i="105" s="1"/>
  <c r="I30" i="84"/>
  <c r="I33" i="84" s="1"/>
  <c r="E6" i="39"/>
  <c r="K448" i="105"/>
  <c r="L448" i="105"/>
  <c r="K332" i="105"/>
  <c r="L332" i="105"/>
  <c r="L374" i="105"/>
  <c r="K374" i="105"/>
  <c r="L322" i="105"/>
  <c r="K322" i="105"/>
  <c r="K151" i="105"/>
  <c r="L151" i="105"/>
  <c r="K87" i="105"/>
  <c r="L87" i="105"/>
  <c r="L250" i="105"/>
  <c r="K250" i="105"/>
  <c r="I520" i="84"/>
  <c r="I523" i="84" s="1"/>
  <c r="I527" i="84"/>
  <c r="K882" i="105"/>
  <c r="M882" i="105" s="1"/>
  <c r="L306" i="105"/>
  <c r="M306" i="105" s="1"/>
  <c r="L1261" i="105"/>
  <c r="M1261" i="105" s="1"/>
  <c r="A38" i="104"/>
  <c r="L182" i="105"/>
  <c r="M182" i="105" s="1"/>
  <c r="L1264" i="105"/>
  <c r="K1264" i="105"/>
  <c r="K328" i="105"/>
  <c r="L328" i="105"/>
  <c r="K595" i="105"/>
  <c r="L595" i="105"/>
  <c r="L370" i="105"/>
  <c r="K370" i="105"/>
  <c r="K314" i="105"/>
  <c r="L314" i="105"/>
  <c r="L147" i="105"/>
  <c r="K147" i="105"/>
  <c r="K47" i="105"/>
  <c r="L47" i="105"/>
  <c r="L146" i="105"/>
  <c r="K146" i="105"/>
  <c r="L98" i="105"/>
  <c r="K98" i="105"/>
  <c r="L50" i="105"/>
  <c r="K50" i="105"/>
  <c r="G485" i="84"/>
  <c r="G478" i="84"/>
  <c r="G481" i="84" s="1"/>
  <c r="M824" i="84"/>
  <c r="M827" i="84" s="1"/>
  <c r="M831" i="84"/>
  <c r="K232" i="105"/>
  <c r="L232" i="105"/>
  <c r="K176" i="105"/>
  <c r="L176" i="105"/>
  <c r="N83" i="90"/>
  <c r="E16" i="41"/>
  <c r="K362" i="105"/>
  <c r="L362" i="105"/>
  <c r="K310" i="105"/>
  <c r="L310" i="105"/>
  <c r="L139" i="105"/>
  <c r="K139" i="105"/>
  <c r="K79" i="105"/>
  <c r="L79" i="105"/>
  <c r="K238" i="105"/>
  <c r="L238" i="105"/>
  <c r="K190" i="105"/>
  <c r="L190" i="105"/>
  <c r="L142" i="105"/>
  <c r="K142" i="105"/>
  <c r="L94" i="105"/>
  <c r="K94" i="105"/>
  <c r="I831" i="84"/>
  <c r="I824" i="84"/>
  <c r="I827" i="84" s="1"/>
  <c r="L52" i="105"/>
  <c r="K52" i="105"/>
  <c r="L526" i="105"/>
  <c r="K526" i="105"/>
  <c r="L586" i="105"/>
  <c r="K586" i="105"/>
  <c r="K506" i="105"/>
  <c r="L506" i="105"/>
  <c r="K458" i="105"/>
  <c r="L458" i="105"/>
  <c r="R80" i="90"/>
  <c r="E28" i="40" s="1"/>
  <c r="P80" i="90"/>
  <c r="L1044" i="105"/>
  <c r="M1044" i="105" s="1"/>
  <c r="K502" i="105"/>
  <c r="L502" i="105"/>
  <c r="K382" i="105"/>
  <c r="L382" i="105"/>
  <c r="D44" i="26"/>
  <c r="G865" i="84"/>
  <c r="G868" i="84" s="1"/>
  <c r="G872" i="84"/>
  <c r="I700" i="84"/>
  <c r="I693" i="84"/>
  <c r="I696" i="84" s="1"/>
  <c r="L21" i="90"/>
  <c r="H21" i="90"/>
  <c r="P79" i="90"/>
  <c r="R79" i="90"/>
  <c r="E28" i="39" s="1"/>
  <c r="L566" i="105"/>
  <c r="K566" i="105"/>
  <c r="D28" i="97"/>
  <c r="K700" i="84"/>
  <c r="K693" i="84"/>
  <c r="K696" i="84" s="1"/>
  <c r="L626" i="105"/>
  <c r="K626" i="105"/>
  <c r="K562" i="105"/>
  <c r="L562" i="105"/>
  <c r="K430" i="105"/>
  <c r="L430" i="105"/>
  <c r="E955" i="84"/>
  <c r="E948" i="84"/>
  <c r="E951" i="84" s="1"/>
  <c r="M693" i="84"/>
  <c r="M696" i="84" s="1"/>
  <c r="M700" i="84"/>
  <c r="A44" i="104"/>
  <c r="A27" i="104"/>
  <c r="B27" i="91"/>
  <c r="A2" i="97"/>
  <c r="H80" i="90"/>
  <c r="L1062" i="105"/>
  <c r="M1062" i="105" s="1"/>
  <c r="L966" i="105"/>
  <c r="M966" i="105" s="1"/>
  <c r="L590" i="105"/>
  <c r="M590" i="105" s="1"/>
  <c r="G38" i="58"/>
  <c r="K622" i="105"/>
  <c r="L622" i="105"/>
  <c r="L550" i="105"/>
  <c r="K550" i="105"/>
  <c r="K482" i="105"/>
  <c r="L482" i="105"/>
  <c r="K422" i="105"/>
  <c r="L422" i="105"/>
  <c r="K169" i="84"/>
  <c r="K172" i="84" s="1"/>
  <c r="D25" i="7"/>
  <c r="K176" i="84"/>
  <c r="F19" i="47" s="1"/>
  <c r="G618" i="84"/>
  <c r="G611" i="84"/>
  <c r="G614" i="84" s="1"/>
  <c r="G22" i="7"/>
  <c r="E17" i="48"/>
  <c r="G693" i="84"/>
  <c r="G696" i="84" s="1"/>
  <c r="G700" i="84"/>
  <c r="K418" i="105"/>
  <c r="L418" i="105"/>
  <c r="K1038" i="84"/>
  <c r="K1031" i="84"/>
  <c r="K1034" i="84" s="1"/>
  <c r="D24" i="7"/>
  <c r="M134" i="84"/>
  <c r="F19" i="46" s="1"/>
  <c r="D14" i="97"/>
  <c r="D23" i="15"/>
  <c r="N92" i="90"/>
  <c r="N87" i="90"/>
  <c r="N80" i="90"/>
  <c r="N82" i="90"/>
  <c r="N79" i="90"/>
  <c r="N76" i="90"/>
  <c r="N88" i="90"/>
  <c r="N78" i="90"/>
  <c r="E16" i="39"/>
  <c r="G17" i="7"/>
  <c r="D24" i="17"/>
  <c r="D17" i="97"/>
  <c r="L80" i="90"/>
  <c r="L1158" i="105"/>
  <c r="M1158" i="105" s="1"/>
  <c r="D33" i="14"/>
  <c r="L825" i="105"/>
  <c r="K825" i="105"/>
  <c r="K85" i="84"/>
  <c r="F18" i="40" s="1"/>
  <c r="K78" i="84"/>
  <c r="K81" i="84" s="1"/>
  <c r="D18" i="7"/>
  <c r="D17" i="7"/>
  <c r="K37" i="84"/>
  <c r="F18" i="39" s="1"/>
  <c r="D33" i="71"/>
  <c r="I1038" i="84"/>
  <c r="I1031" i="84"/>
  <c r="I1034" i="84" s="1"/>
  <c r="D46" i="97"/>
  <c r="I478" i="84"/>
  <c r="I481" i="84" s="1"/>
  <c r="I485" i="84"/>
  <c r="G19" i="7"/>
  <c r="E16" i="43"/>
  <c r="AG29" i="58"/>
  <c r="M520" i="84"/>
  <c r="M523" i="84" s="1"/>
  <c r="M527" i="84"/>
  <c r="G24" i="7"/>
  <c r="E17" i="46"/>
  <c r="D23" i="18"/>
  <c r="D19" i="97"/>
  <c r="K433" i="84"/>
  <c r="K436" i="84" s="1"/>
  <c r="K440" i="84"/>
  <c r="F81" i="90"/>
  <c r="D93" i="90"/>
  <c r="F75" i="90" s="1"/>
  <c r="D32" i="18"/>
  <c r="K1254" i="105"/>
  <c r="M1254" i="105" s="1"/>
  <c r="L1140" i="105"/>
  <c r="M1140" i="105" s="1"/>
  <c r="K126" i="105"/>
  <c r="M126" i="105" s="1"/>
  <c r="L678" i="105"/>
  <c r="M678" i="105" s="1"/>
  <c r="K222" i="105"/>
  <c r="M222" i="105" s="1"/>
  <c r="D40" i="23"/>
  <c r="AD3" i="76"/>
  <c r="D54" i="16"/>
  <c r="X3" i="76"/>
  <c r="D32" i="15"/>
  <c r="K520" i="84"/>
  <c r="K523" i="84" s="1"/>
  <c r="K527" i="84"/>
  <c r="G440" i="84"/>
  <c r="G433" i="84"/>
  <c r="G436" i="84" s="1"/>
  <c r="J70" i="112"/>
  <c r="L318" i="105"/>
  <c r="M318" i="105" s="1"/>
  <c r="D33" i="44"/>
  <c r="D33" i="17"/>
  <c r="D37" i="61"/>
  <c r="AE3" i="76"/>
  <c r="C28" i="7"/>
  <c r="D40" i="97"/>
  <c r="D23" i="44"/>
  <c r="E440" i="84"/>
  <c r="E433" i="84"/>
  <c r="E436" i="84" s="1"/>
  <c r="L1302" i="105"/>
  <c r="M1302" i="105" s="1"/>
  <c r="K510" i="105"/>
  <c r="M510" i="105" s="1"/>
  <c r="L870" i="105"/>
  <c r="M870" i="105" s="1"/>
  <c r="K1332" i="105"/>
  <c r="M1332" i="105" s="1"/>
  <c r="L414" i="105"/>
  <c r="M414" i="105" s="1"/>
  <c r="L582" i="105"/>
  <c r="M582" i="105" s="1"/>
  <c r="K774" i="105"/>
  <c r="M774" i="105" s="1"/>
  <c r="D45" i="52"/>
  <c r="I112" i="112"/>
  <c r="AR32" i="101"/>
  <c r="D12" i="7"/>
  <c r="G37" i="84"/>
  <c r="G18" i="12" s="1"/>
  <c r="E18" i="12" s="1"/>
  <c r="G30" i="84"/>
  <c r="G33" i="84" s="1"/>
  <c r="G1038" i="84"/>
  <c r="G1031" i="84"/>
  <c r="G1034" i="84" s="1"/>
  <c r="AR18" i="101"/>
  <c r="D34" i="21"/>
  <c r="D61" i="13"/>
  <c r="D24" i="37"/>
  <c r="N11" i="106"/>
  <c r="A16" i="41"/>
  <c r="A17" i="31"/>
  <c r="A17" i="12"/>
  <c r="A16" i="43"/>
  <c r="A17" i="45"/>
  <c r="A16" i="39"/>
  <c r="A17" i="46"/>
  <c r="A17" i="65"/>
  <c r="A17" i="47"/>
  <c r="A16" i="42"/>
  <c r="A17" i="16"/>
  <c r="A17" i="49"/>
  <c r="A17" i="48"/>
  <c r="A17" i="70"/>
  <c r="A17" i="29"/>
  <c r="A16" i="40"/>
  <c r="A17" i="13"/>
  <c r="A17" i="30"/>
  <c r="AR46" i="101"/>
  <c r="K485" i="84"/>
  <c r="K478" i="84"/>
  <c r="K481" i="84" s="1"/>
  <c r="E17" i="31"/>
  <c r="G21" i="7"/>
  <c r="E28" i="7"/>
  <c r="L73" i="104"/>
  <c r="J83" i="104"/>
  <c r="D87" i="104" s="1"/>
  <c r="H43" i="58"/>
  <c r="H45" i="58" s="1"/>
  <c r="C25" i="21"/>
  <c r="C27" i="21" s="1"/>
  <c r="D9" i="21" s="1"/>
  <c r="C15" i="58"/>
  <c r="G43" i="58" s="1"/>
  <c r="G45" i="58" s="1"/>
  <c r="G251" i="104"/>
  <c r="E62" i="104" s="1"/>
  <c r="J85" i="104"/>
  <c r="B89" i="104" s="1"/>
  <c r="L80" i="104"/>
  <c r="L79" i="104"/>
  <c r="W17" i="90"/>
  <c r="D55" i="50"/>
  <c r="H27" i="91"/>
  <c r="E14" i="58" s="1"/>
  <c r="L68" i="104"/>
  <c r="L67" i="104"/>
  <c r="I26" i="7"/>
  <c r="E25" i="45"/>
  <c r="H38" i="50"/>
  <c r="D35" i="5"/>
  <c r="AF7" i="78"/>
  <c r="E112" i="112"/>
  <c r="E25" i="19" s="1"/>
  <c r="F36" i="7" l="1"/>
  <c r="F77" i="90"/>
  <c r="J77" i="90"/>
  <c r="H75" i="90"/>
  <c r="N75" i="90"/>
  <c r="G26" i="12" s="1"/>
  <c r="E26" i="12" s="1"/>
  <c r="L75" i="90"/>
  <c r="P75" i="90"/>
  <c r="H23" i="12" s="1"/>
  <c r="R75" i="90"/>
  <c r="J12" i="7" s="1"/>
  <c r="G23" i="12"/>
  <c r="J75" i="90"/>
  <c r="J93" i="90" s="1"/>
  <c r="M66" i="106"/>
  <c r="M68" i="106"/>
  <c r="B158" i="4"/>
  <c r="F33" i="40"/>
  <c r="B60" i="4"/>
  <c r="C93" i="50"/>
  <c r="B50" i="4"/>
  <c r="I93" i="50"/>
  <c r="B18" i="4"/>
  <c r="A37" i="12"/>
  <c r="B55" i="4"/>
  <c r="B58" i="4"/>
  <c r="B47" i="4"/>
  <c r="B17" i="4"/>
  <c r="D42" i="5"/>
  <c r="F49" i="39"/>
  <c r="F54" i="39" s="1"/>
  <c r="H45" i="50"/>
  <c r="H46" i="104"/>
  <c r="S1" i="50"/>
  <c r="B90" i="50"/>
  <c r="G276" i="10"/>
  <c r="N19" i="8"/>
  <c r="J128" i="104"/>
  <c r="E36" i="104" s="1"/>
  <c r="J36" i="104" s="1"/>
  <c r="B33" i="84"/>
  <c r="B910" i="84" s="1"/>
  <c r="A12" i="104"/>
  <c r="B22" i="84"/>
  <c r="B940" i="84" s="1"/>
  <c r="A29" i="104"/>
  <c r="A25" i="104"/>
  <c r="A35" i="12"/>
  <c r="D66" i="4"/>
  <c r="D31" i="43"/>
  <c r="D41" i="43" s="1"/>
  <c r="E9" i="43" s="1"/>
  <c r="B151" i="4"/>
  <c r="F6" i="8"/>
  <c r="B49" i="4"/>
  <c r="E10" i="5"/>
  <c r="E57" i="5" s="1"/>
  <c r="B94" i="4"/>
  <c r="A181" i="104"/>
  <c r="B46" i="84"/>
  <c r="A185" i="104"/>
  <c r="A8" i="90"/>
  <c r="B34" i="104"/>
  <c r="I314" i="84"/>
  <c r="A118" i="104"/>
  <c r="M69" i="106"/>
  <c r="A7" i="5"/>
  <c r="I10" i="50"/>
  <c r="I60" i="50" s="1"/>
  <c r="B97" i="84"/>
  <c r="B353" i="84" s="1"/>
  <c r="B48" i="84"/>
  <c r="C12" i="104"/>
  <c r="A116" i="104"/>
  <c r="H8" i="9"/>
  <c r="B14" i="84"/>
  <c r="B891" i="84" s="1"/>
  <c r="B54" i="4"/>
  <c r="B89" i="4"/>
  <c r="H76" i="50"/>
  <c r="B20" i="84"/>
  <c r="B938" i="84" s="1"/>
  <c r="A85" i="104"/>
  <c r="B16" i="4"/>
  <c r="A21" i="104"/>
  <c r="A189" i="104"/>
  <c r="F127" i="4"/>
  <c r="B52" i="4"/>
  <c r="M70" i="106"/>
  <c r="B70" i="4"/>
  <c r="B41" i="84"/>
  <c r="D50" i="13"/>
  <c r="D42" i="40"/>
  <c r="D25" i="70"/>
  <c r="D30" i="41"/>
  <c r="D38" i="29"/>
  <c r="D25" i="31"/>
  <c r="D30" i="42"/>
  <c r="B46" i="4"/>
  <c r="B975" i="84"/>
  <c r="B464" i="84"/>
  <c r="B506" i="84"/>
  <c r="B155" i="84"/>
  <c r="B679" i="84"/>
  <c r="B893" i="84"/>
  <c r="B15" i="4"/>
  <c r="I60" i="39" s="1"/>
  <c r="K9" i="7"/>
  <c r="S5" i="106"/>
  <c r="B6" i="50"/>
  <c r="I665" i="84"/>
  <c r="B90" i="4"/>
  <c r="B45" i="84"/>
  <c r="M71" i="106"/>
  <c r="A20" i="104"/>
  <c r="A78" i="104"/>
  <c r="A77" i="5"/>
  <c r="B24" i="84"/>
  <c r="B729" i="84" s="1"/>
  <c r="B5" i="50"/>
  <c r="B13" i="103"/>
  <c r="D255" i="104"/>
  <c r="L9" i="7"/>
  <c r="A139" i="104"/>
  <c r="A138" i="104"/>
  <c r="B53" i="4"/>
  <c r="M67" i="106"/>
  <c r="B89" i="50"/>
  <c r="A28" i="102"/>
  <c r="B785" i="84"/>
  <c r="B991" i="84"/>
  <c r="B480" i="84"/>
  <c r="B1033" i="84"/>
  <c r="B129" i="84"/>
  <c r="I27" i="7"/>
  <c r="B826" i="84"/>
  <c r="B934" i="84"/>
  <c r="B243" i="84"/>
  <c r="B565" i="84"/>
  <c r="B213" i="84"/>
  <c r="B613" i="84"/>
  <c r="B197" i="84"/>
  <c r="B597" i="84"/>
  <c r="B721" i="84"/>
  <c r="B637" i="84"/>
  <c r="B80" i="84"/>
  <c r="B522" i="84"/>
  <c r="B302" i="84"/>
  <c r="B419" i="84"/>
  <c r="B64" i="84"/>
  <c r="B344" i="84"/>
  <c r="B1017" i="84"/>
  <c r="B371" i="84"/>
  <c r="B695" i="84"/>
  <c r="B653" i="84"/>
  <c r="B769" i="84"/>
  <c r="B851" i="84"/>
  <c r="B328" i="84"/>
  <c r="B909" i="84"/>
  <c r="B867" i="84"/>
  <c r="B259" i="84"/>
  <c r="B435" i="84"/>
  <c r="B387" i="84"/>
  <c r="B950" i="84"/>
  <c r="B113" i="84"/>
  <c r="B549" i="84"/>
  <c r="B810" i="84"/>
  <c r="B171" i="84"/>
  <c r="E23" i="70"/>
  <c r="I624" i="84"/>
  <c r="E30" i="29"/>
  <c r="D26" i="97"/>
  <c r="I273" i="84"/>
  <c r="E26" i="29"/>
  <c r="I837" i="84"/>
  <c r="I878" i="84" s="1"/>
  <c r="I921" i="84" s="1"/>
  <c r="D31" i="49"/>
  <c r="I797" i="84"/>
  <c r="D31" i="45"/>
  <c r="I492" i="84"/>
  <c r="I451" i="84"/>
  <c r="D31" i="46"/>
  <c r="D31" i="47"/>
  <c r="D31" i="48"/>
  <c r="D35" i="26"/>
  <c r="D42" i="39"/>
  <c r="E18" i="16"/>
  <c r="L13" i="7"/>
  <c r="E19" i="45"/>
  <c r="D34" i="65"/>
  <c r="D9" i="97"/>
  <c r="D24" i="11"/>
  <c r="F17" i="13"/>
  <c r="E19" i="29"/>
  <c r="E19" i="13"/>
  <c r="D21" i="74"/>
  <c r="I17" i="7"/>
  <c r="I16" i="7"/>
  <c r="I25" i="7"/>
  <c r="H16" i="7"/>
  <c r="I22" i="7"/>
  <c r="I15" i="7"/>
  <c r="E22" i="70"/>
  <c r="G24" i="12"/>
  <c r="E24" i="12" s="1"/>
  <c r="E31" i="13"/>
  <c r="I23" i="7"/>
  <c r="I12" i="7"/>
  <c r="E25" i="46"/>
  <c r="I18" i="7"/>
  <c r="E27" i="47"/>
  <c r="E21" i="70"/>
  <c r="E23" i="49"/>
  <c r="I21" i="7"/>
  <c r="E28" i="29"/>
  <c r="E26" i="39"/>
  <c r="E26" i="41"/>
  <c r="I20" i="7"/>
  <c r="D31" i="12"/>
  <c r="I13" i="7"/>
  <c r="E29" i="13"/>
  <c r="E29" i="47"/>
  <c r="J13" i="7"/>
  <c r="H23" i="71"/>
  <c r="E21" i="31"/>
  <c r="E24" i="31"/>
  <c r="E24" i="41"/>
  <c r="A34" i="94"/>
  <c r="E22" i="41"/>
  <c r="E30" i="40"/>
  <c r="H13" i="7"/>
  <c r="G25" i="12"/>
  <c r="E25" i="12" s="1"/>
  <c r="H24" i="7"/>
  <c r="E23" i="47"/>
  <c r="E23" i="46"/>
  <c r="E27" i="48"/>
  <c r="E24" i="39"/>
  <c r="E29" i="45"/>
  <c r="J15" i="7"/>
  <c r="E29" i="46"/>
  <c r="E24" i="70"/>
  <c r="E25" i="48"/>
  <c r="E23" i="31"/>
  <c r="E25" i="49"/>
  <c r="J24" i="7"/>
  <c r="H15" i="7"/>
  <c r="H22" i="15"/>
  <c r="E22" i="42"/>
  <c r="E27" i="45"/>
  <c r="J23" i="7"/>
  <c r="H22" i="7"/>
  <c r="E23" i="48"/>
  <c r="D7" i="97"/>
  <c r="E26" i="42"/>
  <c r="H27" i="7"/>
  <c r="E29" i="49"/>
  <c r="E32" i="15"/>
  <c r="E24" i="29"/>
  <c r="M673" i="105"/>
  <c r="H20" i="7"/>
  <c r="E25" i="47"/>
  <c r="H26" i="7"/>
  <c r="E30" i="39"/>
  <c r="M695" i="105"/>
  <c r="M277" i="105"/>
  <c r="M476" i="105"/>
  <c r="M340" i="105"/>
  <c r="M572" i="105"/>
  <c r="E23" i="45"/>
  <c r="E17" i="29"/>
  <c r="G16" i="7"/>
  <c r="M453" i="105"/>
  <c r="M436" i="105"/>
  <c r="M99" i="105"/>
  <c r="M691" i="105"/>
  <c r="M267" i="105"/>
  <c r="M260" i="105"/>
  <c r="M685" i="105"/>
  <c r="M764" i="105"/>
  <c r="M805" i="105"/>
  <c r="M1153" i="105"/>
  <c r="E61" i="13"/>
  <c r="D16" i="97"/>
  <c r="D43" i="16"/>
  <c r="F33" i="13"/>
  <c r="E46" i="12"/>
  <c r="E6" i="74"/>
  <c r="E29" i="74" s="1"/>
  <c r="E26" i="74"/>
  <c r="E40" i="23"/>
  <c r="F17" i="45"/>
  <c r="F27" i="46"/>
  <c r="E19" i="46"/>
  <c r="F17" i="48"/>
  <c r="E19" i="49"/>
  <c r="F17" i="49"/>
  <c r="F27" i="49"/>
  <c r="F17" i="46"/>
  <c r="E19" i="47"/>
  <c r="D51" i="97"/>
  <c r="E18" i="40"/>
  <c r="F28" i="39"/>
  <c r="E18" i="42"/>
  <c r="F16" i="43"/>
  <c r="F16" i="39"/>
  <c r="E18" i="39"/>
  <c r="F28" i="40"/>
  <c r="E44" i="26"/>
  <c r="D30" i="61"/>
  <c r="E37" i="61"/>
  <c r="E19" i="16"/>
  <c r="I19" i="16"/>
  <c r="F16" i="41"/>
  <c r="E18" i="41"/>
  <c r="D39" i="30"/>
  <c r="F28" i="41"/>
  <c r="D25" i="44"/>
  <c r="D31" i="52"/>
  <c r="F40" i="50"/>
  <c r="E37" i="60"/>
  <c r="D32" i="23"/>
  <c r="D29" i="22"/>
  <c r="D17" i="37"/>
  <c r="D25" i="15"/>
  <c r="D26" i="71"/>
  <c r="AG5" i="78"/>
  <c r="D26" i="14"/>
  <c r="D25" i="18"/>
  <c r="D42" i="38"/>
  <c r="D47" i="32"/>
  <c r="D25" i="21"/>
  <c r="D83" i="20"/>
  <c r="D30" i="60"/>
  <c r="D33" i="19"/>
  <c r="D26" i="17"/>
  <c r="M1257" i="105"/>
  <c r="M1137" i="105"/>
  <c r="M199" i="105"/>
  <c r="M505" i="105"/>
  <c r="M644" i="105"/>
  <c r="M208" i="105"/>
  <c r="M1281" i="105"/>
  <c r="M187" i="105"/>
  <c r="E35" i="13"/>
  <c r="M94" i="105"/>
  <c r="M266" i="105"/>
  <c r="M313" i="105"/>
  <c r="M230" i="105"/>
  <c r="M181" i="105"/>
  <c r="M130" i="105"/>
  <c r="M543" i="105"/>
  <c r="M1321" i="105"/>
  <c r="M796" i="105"/>
  <c r="M297" i="105"/>
  <c r="M745" i="105"/>
  <c r="M1033" i="105"/>
  <c r="M349" i="105"/>
  <c r="M721" i="105"/>
  <c r="M74" i="105"/>
  <c r="M124" i="105"/>
  <c r="M196" i="105"/>
  <c r="M1329" i="105"/>
  <c r="I24" i="7"/>
  <c r="M178" i="105"/>
  <c r="M39" i="105"/>
  <c r="M515" i="105"/>
  <c r="M152" i="105"/>
  <c r="M628" i="105"/>
  <c r="E45" i="52"/>
  <c r="M316" i="105"/>
  <c r="M1333" i="105"/>
  <c r="M639" i="105"/>
  <c r="M777" i="105"/>
  <c r="M1305" i="105"/>
  <c r="M873" i="105"/>
  <c r="H25" i="7"/>
  <c r="E28" i="42"/>
  <c r="M1161" i="105"/>
  <c r="H18" i="7"/>
  <c r="M981" i="105"/>
  <c r="H23" i="7"/>
  <c r="M765" i="105"/>
  <c r="M544" i="105"/>
  <c r="M111" i="105"/>
  <c r="M1005" i="105"/>
  <c r="M1065" i="105"/>
  <c r="M502" i="105"/>
  <c r="M79" i="105"/>
  <c r="M110" i="105"/>
  <c r="L112" i="112"/>
  <c r="M232" i="105"/>
  <c r="E17" i="103"/>
  <c r="J24" i="10"/>
  <c r="J25" i="10" s="1"/>
  <c r="K25" i="10" s="1"/>
  <c r="E15" i="5"/>
  <c r="I18" i="50"/>
  <c r="I18" i="13"/>
  <c r="E29" i="48"/>
  <c r="E24" i="40"/>
  <c r="M310" i="105"/>
  <c r="M287" i="105"/>
  <c r="E24" i="42"/>
  <c r="I24" i="50"/>
  <c r="I96" i="50" s="1"/>
  <c r="M1027" i="105"/>
  <c r="I28" i="102"/>
  <c r="I30" i="102" s="1"/>
  <c r="E36" i="16" s="1"/>
  <c r="E21" i="5"/>
  <c r="M458" i="105"/>
  <c r="M921" i="84"/>
  <c r="M1003" i="84"/>
  <c r="M962" i="84"/>
  <c r="M190" i="105"/>
  <c r="E26" i="40"/>
  <c r="M320" i="105"/>
  <c r="J93" i="104"/>
  <c r="M362" i="105"/>
  <c r="M146" i="105"/>
  <c r="M370" i="105"/>
  <c r="M87" i="105"/>
  <c r="M332" i="105"/>
  <c r="M218" i="105"/>
  <c r="M127" i="105"/>
  <c r="M278" i="105"/>
  <c r="M302" i="105"/>
  <c r="M364" i="105"/>
  <c r="M1331" i="105"/>
  <c r="H17" i="7"/>
  <c r="E16" i="42"/>
  <c r="G15" i="7"/>
  <c r="M47" i="105"/>
  <c r="M595" i="105"/>
  <c r="M322" i="105"/>
  <c r="M158" i="105"/>
  <c r="M262" i="105"/>
  <c r="M122" i="105"/>
  <c r="M191" i="105"/>
  <c r="H21" i="7"/>
  <c r="M328" i="105"/>
  <c r="M250" i="105"/>
  <c r="M374" i="105"/>
  <c r="M55" i="105"/>
  <c r="M452" i="105"/>
  <c r="M170" i="105"/>
  <c r="M338" i="105"/>
  <c r="E17" i="16"/>
  <c r="G14" i="7"/>
  <c r="M586" i="105"/>
  <c r="M238" i="105"/>
  <c r="M98" i="105"/>
  <c r="M314" i="105"/>
  <c r="M1264" i="105"/>
  <c r="M76" i="105"/>
  <c r="M119" i="105"/>
  <c r="M226" i="105"/>
  <c r="M439" i="105"/>
  <c r="M134" i="105"/>
  <c r="M75" i="105"/>
  <c r="M566" i="105"/>
  <c r="M91" i="105"/>
  <c r="M880" i="105"/>
  <c r="M200" i="105"/>
  <c r="M334" i="105"/>
  <c r="M272" i="105"/>
  <c r="M351" i="105"/>
  <c r="M82" i="105"/>
  <c r="M35" i="105"/>
  <c r="M135" i="105"/>
  <c r="M382" i="105"/>
  <c r="M526" i="105"/>
  <c r="M142" i="105"/>
  <c r="M139" i="105"/>
  <c r="M151" i="105"/>
  <c r="M448" i="105"/>
  <c r="M326" i="105"/>
  <c r="M214" i="105"/>
  <c r="M319" i="105"/>
  <c r="M482" i="105"/>
  <c r="M562" i="105"/>
  <c r="M52" i="105"/>
  <c r="M176" i="105"/>
  <c r="M50" i="105"/>
  <c r="M147" i="105"/>
  <c r="M899" i="105"/>
  <c r="M1095" i="105"/>
  <c r="M350" i="105"/>
  <c r="E17" i="47"/>
  <c r="G25" i="7"/>
  <c r="M422" i="105"/>
  <c r="M506" i="105"/>
  <c r="D28" i="7"/>
  <c r="M825" i="105"/>
  <c r="M430" i="105"/>
  <c r="J18" i="7"/>
  <c r="E16" i="40"/>
  <c r="G18" i="7"/>
  <c r="M622" i="105"/>
  <c r="J17" i="7"/>
  <c r="D89" i="104"/>
  <c r="M550" i="105"/>
  <c r="M418" i="105"/>
  <c r="M626" i="105"/>
  <c r="A18" i="48"/>
  <c r="A18" i="49"/>
  <c r="N81" i="90"/>
  <c r="E29" i="43" s="1"/>
  <c r="F29" i="43" s="1"/>
  <c r="F30" i="43" s="1"/>
  <c r="R81" i="90"/>
  <c r="P81" i="90"/>
  <c r="F93" i="90"/>
  <c r="L81" i="90"/>
  <c r="H81" i="90"/>
  <c r="G17" i="12"/>
  <c r="E17" i="12" s="1"/>
  <c r="G12" i="7"/>
  <c r="P7" i="78"/>
  <c r="A17" i="42"/>
  <c r="A18" i="16"/>
  <c r="A18" i="45"/>
  <c r="A17" i="39"/>
  <c r="A18" i="46"/>
  <c r="A18" i="65"/>
  <c r="A18" i="70"/>
  <c r="A18" i="47"/>
  <c r="A17" i="40"/>
  <c r="A18" i="29"/>
  <c r="A18" i="13"/>
  <c r="A18" i="31"/>
  <c r="A17" i="43"/>
  <c r="A17" i="41"/>
  <c r="A18" i="30"/>
  <c r="R7" i="78"/>
  <c r="C38" i="58"/>
  <c r="D40" i="50" s="1"/>
  <c r="D52" i="50" s="1"/>
  <c r="D54" i="50" s="1"/>
  <c r="D22" i="97"/>
  <c r="L89" i="104"/>
  <c r="L90" i="104"/>
  <c r="J89" i="104"/>
  <c r="G14" i="58"/>
  <c r="AA3" i="77"/>
  <c r="W36" i="90"/>
  <c r="J20" i="90" s="1"/>
  <c r="E15" i="58"/>
  <c r="F25" i="45"/>
  <c r="J112" i="112"/>
  <c r="E23" i="12" l="1"/>
  <c r="H12" i="7"/>
  <c r="P77" i="90"/>
  <c r="L77" i="90"/>
  <c r="N77" i="90"/>
  <c r="E33" i="16" s="1"/>
  <c r="F33" i="16" s="1"/>
  <c r="H77" i="90"/>
  <c r="R77" i="90"/>
  <c r="J17" i="90"/>
  <c r="J18" i="90"/>
  <c r="G164" i="104"/>
  <c r="J160" i="104" s="1"/>
  <c r="J31" i="104" s="1"/>
  <c r="B137" i="4"/>
  <c r="B136" i="4"/>
  <c r="B78" i="4"/>
  <c r="B81" i="4"/>
  <c r="B135" i="4"/>
  <c r="B138" i="4"/>
  <c r="B91" i="4"/>
  <c r="B139" i="4"/>
  <c r="I100" i="50"/>
  <c r="A17" i="85"/>
  <c r="N17" i="8"/>
  <c r="S2" i="50"/>
  <c r="B727" i="84"/>
  <c r="E39" i="97"/>
  <c r="J95" i="104"/>
  <c r="J9" i="104" s="1"/>
  <c r="B470" i="84"/>
  <c r="F9" i="43"/>
  <c r="B1023" i="84"/>
  <c r="B555" i="84"/>
  <c r="B203" i="84"/>
  <c r="B643" i="84"/>
  <c r="B816" i="84"/>
  <c r="B603" i="84"/>
  <c r="B685" i="84"/>
  <c r="B70" i="84"/>
  <c r="B119" i="84" s="1"/>
  <c r="B981" i="84"/>
  <c r="B249" i="84"/>
  <c r="B425" i="84"/>
  <c r="B899" i="84"/>
  <c r="B775" i="84"/>
  <c r="B292" i="84"/>
  <c r="B857" i="84"/>
  <c r="B377" i="84"/>
  <c r="B334" i="84"/>
  <c r="B161" i="84"/>
  <c r="B512" i="84"/>
  <c r="B808" i="84"/>
  <c r="B566" i="84"/>
  <c r="B523" i="84"/>
  <c r="B195" i="84"/>
  <c r="B462" i="84"/>
  <c r="B71" i="4"/>
  <c r="B992" i="84"/>
  <c r="B159" i="84"/>
  <c r="D32" i="31"/>
  <c r="B375" i="84"/>
  <c r="B1021" i="84"/>
  <c r="B855" i="84"/>
  <c r="B897" i="84"/>
  <c r="B725" i="84"/>
  <c r="B68" i="84"/>
  <c r="B117" i="84" s="1"/>
  <c r="B814" i="84"/>
  <c r="B423" i="84"/>
  <c r="B553" i="84"/>
  <c r="B683" i="84"/>
  <c r="B468" i="84"/>
  <c r="B773" i="84"/>
  <c r="B601" i="84"/>
  <c r="B332" i="84"/>
  <c r="B247" i="84"/>
  <c r="B979" i="84"/>
  <c r="B290" i="84"/>
  <c r="D55" i="40"/>
  <c r="B510" i="84"/>
  <c r="B201" i="84"/>
  <c r="B641" i="84"/>
  <c r="B345" i="84"/>
  <c r="B172" i="84"/>
  <c r="B827" i="84"/>
  <c r="B786" i="84"/>
  <c r="B1034" i="84"/>
  <c r="B81" i="84"/>
  <c r="B614" i="84"/>
  <c r="B481" i="84"/>
  <c r="B654" i="84"/>
  <c r="B504" i="84"/>
  <c r="B62" i="84"/>
  <c r="B595" i="84"/>
  <c r="B369" i="84"/>
  <c r="B719" i="84"/>
  <c r="B1015" i="84"/>
  <c r="B973" i="84"/>
  <c r="B677" i="84"/>
  <c r="B767" i="84"/>
  <c r="B241" i="84"/>
  <c r="B326" i="84"/>
  <c r="B547" i="84"/>
  <c r="B635" i="84"/>
  <c r="B111" i="84"/>
  <c r="B417" i="84"/>
  <c r="B849" i="84"/>
  <c r="B153" i="84"/>
  <c r="B932" i="84"/>
  <c r="B284" i="84"/>
  <c r="B270" i="84"/>
  <c r="B531" i="84"/>
  <c r="B448" i="84"/>
  <c r="B951" i="84"/>
  <c r="B738" i="84"/>
  <c r="B388" i="84"/>
  <c r="B214" i="84"/>
  <c r="B303" i="84"/>
  <c r="B260" i="84"/>
  <c r="B130" i="84"/>
  <c r="B868" i="84"/>
  <c r="B436" i="84"/>
  <c r="B696" i="84"/>
  <c r="D51" i="29"/>
  <c r="B489" i="84"/>
  <c r="B138" i="84"/>
  <c r="B1000" i="84"/>
  <c r="B834" i="84"/>
  <c r="B621" i="84"/>
  <c r="B703" i="84"/>
  <c r="B580" i="84"/>
  <c r="B793" i="84"/>
  <c r="B959" i="84"/>
  <c r="B311" i="84"/>
  <c r="B225" i="84"/>
  <c r="B752" i="84"/>
  <c r="B917" i="84"/>
  <c r="B1041" i="84"/>
  <c r="B402" i="84"/>
  <c r="B875" i="84"/>
  <c r="B180" i="84"/>
  <c r="B662" i="84"/>
  <c r="D54" i="13"/>
  <c r="D32" i="70"/>
  <c r="D38" i="42"/>
  <c r="F30" i="29"/>
  <c r="D40" i="41"/>
  <c r="L1" i="99"/>
  <c r="B983" i="84"/>
  <c r="B163" i="84"/>
  <c r="A1" i="78"/>
  <c r="B1025" i="84"/>
  <c r="K6" i="8"/>
  <c r="B255" i="104"/>
  <c r="A65" i="90"/>
  <c r="B152" i="4"/>
  <c r="L10" i="7"/>
  <c r="B55" i="85"/>
  <c r="B76" i="4"/>
  <c r="A68" i="90"/>
  <c r="B89" i="84"/>
  <c r="U5" i="106"/>
  <c r="A12" i="90" s="1"/>
  <c r="B10" i="91"/>
  <c r="B77" i="4"/>
  <c r="B73" i="4"/>
  <c r="B74" i="4"/>
  <c r="D34" i="104"/>
  <c r="A64" i="94"/>
  <c r="A11" i="90"/>
  <c r="O1" i="104"/>
  <c r="G92" i="84"/>
  <c r="G88" i="84"/>
  <c r="A65" i="93"/>
  <c r="B39" i="91"/>
  <c r="B15" i="91"/>
  <c r="B37" i="84"/>
  <c r="B831" i="84" s="1"/>
  <c r="A43" i="93"/>
  <c r="A43" i="94" s="1"/>
  <c r="B92" i="84"/>
  <c r="B75" i="4"/>
  <c r="A158" i="104"/>
  <c r="A50" i="85"/>
  <c r="C29" i="104"/>
  <c r="B47" i="84"/>
  <c r="C20" i="104"/>
  <c r="I60" i="40"/>
  <c r="K89" i="84"/>
  <c r="A22" i="93"/>
  <c r="C25" i="104"/>
  <c r="A157" i="104"/>
  <c r="J8" i="9"/>
  <c r="B72" i="4"/>
  <c r="C21" i="104"/>
  <c r="A57" i="85"/>
  <c r="E119" i="104"/>
  <c r="A47" i="85"/>
  <c r="B777" i="84"/>
  <c r="B72" i="84"/>
  <c r="B687" i="84"/>
  <c r="B942" i="84"/>
  <c r="B336" i="84"/>
  <c r="B818" i="84"/>
  <c r="B557" i="84"/>
  <c r="B427" i="84"/>
  <c r="B901" i="84"/>
  <c r="B205" i="84"/>
  <c r="B605" i="84"/>
  <c r="B251" i="84"/>
  <c r="B121" i="84"/>
  <c r="B472" i="84"/>
  <c r="B379" i="84"/>
  <c r="B514" i="84"/>
  <c r="B294" i="84"/>
  <c r="B859" i="84"/>
  <c r="B645" i="84"/>
  <c r="I962" i="84"/>
  <c r="I1003" i="84"/>
  <c r="D38" i="49"/>
  <c r="F26" i="29"/>
  <c r="D38" i="45"/>
  <c r="D38" i="47"/>
  <c r="D38" i="46"/>
  <c r="D55" i="39"/>
  <c r="D38" i="48"/>
  <c r="D37" i="26"/>
  <c r="D32" i="10"/>
  <c r="E9" i="74"/>
  <c r="E18" i="13"/>
  <c r="AK9" i="78"/>
  <c r="E9" i="11"/>
  <c r="F30" i="40"/>
  <c r="F24" i="41"/>
  <c r="F26" i="41"/>
  <c r="F17" i="29"/>
  <c r="F26" i="39"/>
  <c r="F24" i="39"/>
  <c r="F23" i="45"/>
  <c r="F24" i="29"/>
  <c r="F29" i="45"/>
  <c r="F28" i="29"/>
  <c r="F25" i="49"/>
  <c r="F31" i="13"/>
  <c r="F29" i="49"/>
  <c r="F23" i="47"/>
  <c r="F22" i="41"/>
  <c r="F27" i="45"/>
  <c r="F25" i="48"/>
  <c r="F23" i="49"/>
  <c r="F26" i="42"/>
  <c r="F27" i="48"/>
  <c r="F29" i="47"/>
  <c r="F29" i="46"/>
  <c r="F29" i="13"/>
  <c r="F27" i="47"/>
  <c r="F30" i="39"/>
  <c r="F23" i="48"/>
  <c r="F25" i="46"/>
  <c r="E9" i="65"/>
  <c r="F22" i="42"/>
  <c r="F23" i="46"/>
  <c r="D38" i="12"/>
  <c r="F25" i="47"/>
  <c r="H23" i="31"/>
  <c r="H29" i="31" s="1"/>
  <c r="F52" i="50"/>
  <c r="D41" i="97"/>
  <c r="D43" i="97" s="1"/>
  <c r="F26" i="40"/>
  <c r="F34" i="13"/>
  <c r="D47" i="16"/>
  <c r="E9" i="22"/>
  <c r="E9" i="37"/>
  <c r="E9" i="23"/>
  <c r="F29" i="41"/>
  <c r="F35" i="13"/>
  <c r="F28" i="49"/>
  <c r="F29" i="48"/>
  <c r="F28" i="46"/>
  <c r="F17" i="47"/>
  <c r="F16" i="42"/>
  <c r="F16" i="40"/>
  <c r="F24" i="42"/>
  <c r="F28" i="42"/>
  <c r="F29" i="40"/>
  <c r="F24" i="40"/>
  <c r="F29" i="39"/>
  <c r="E9" i="61"/>
  <c r="J24" i="50"/>
  <c r="F17" i="16"/>
  <c r="E9" i="30"/>
  <c r="F36" i="16"/>
  <c r="AH5" i="78"/>
  <c r="E9" i="44"/>
  <c r="E9" i="52"/>
  <c r="AI9" i="78"/>
  <c r="E9" i="60"/>
  <c r="E9" i="14"/>
  <c r="E9" i="20"/>
  <c r="E9" i="17"/>
  <c r="E9" i="32"/>
  <c r="AG9" i="78"/>
  <c r="E9" i="38"/>
  <c r="AJ9" i="78"/>
  <c r="E9" i="19"/>
  <c r="E9" i="71"/>
  <c r="D27" i="21"/>
  <c r="E9" i="18"/>
  <c r="E9" i="15"/>
  <c r="J18" i="50"/>
  <c r="G28" i="7"/>
  <c r="B7" i="78"/>
  <c r="E27" i="43"/>
  <c r="F27" i="43" s="1"/>
  <c r="F28" i="43" s="1"/>
  <c r="J19" i="7"/>
  <c r="I19" i="7"/>
  <c r="E25" i="43"/>
  <c r="F25" i="43" s="1"/>
  <c r="F26" i="43" s="1"/>
  <c r="E23" i="43"/>
  <c r="F23" i="43" s="1"/>
  <c r="F24" i="43" s="1"/>
  <c r="H19" i="7"/>
  <c r="A41" i="58"/>
  <c r="E38" i="58"/>
  <c r="I43" i="58"/>
  <c r="I45" i="58" s="1"/>
  <c r="F26" i="45"/>
  <c r="H14" i="7" l="1"/>
  <c r="E25" i="16"/>
  <c r="H28" i="7"/>
  <c r="I14" i="7"/>
  <c r="I28" i="7" s="1"/>
  <c r="E27" i="16"/>
  <c r="F27" i="16" s="1"/>
  <c r="J28" i="7"/>
  <c r="E29" i="16"/>
  <c r="F29" i="16" s="1"/>
  <c r="F30" i="16" s="1"/>
  <c r="J14" i="7"/>
  <c r="J36" i="90"/>
  <c r="J96" i="50"/>
  <c r="J100" i="50"/>
  <c r="H28" i="61"/>
  <c r="E173" i="104"/>
  <c r="E175" i="104" s="1"/>
  <c r="J175" i="104" s="1"/>
  <c r="G283" i="10" s="1"/>
  <c r="E9" i="31"/>
  <c r="E9" i="40"/>
  <c r="E9" i="29"/>
  <c r="E9" i="41"/>
  <c r="E9" i="70"/>
  <c r="E9" i="13"/>
  <c r="F31" i="29"/>
  <c r="E9" i="42"/>
  <c r="F27" i="29"/>
  <c r="E9" i="49"/>
  <c r="E35" i="97"/>
  <c r="E9" i="48"/>
  <c r="F24" i="47"/>
  <c r="E24" i="20"/>
  <c r="F30" i="49"/>
  <c r="B872" i="84"/>
  <c r="B700" i="84"/>
  <c r="B955" i="84"/>
  <c r="B618" i="84"/>
  <c r="B440" i="84"/>
  <c r="B349" i="84"/>
  <c r="B264" i="84"/>
  <c r="B218" i="84"/>
  <c r="A22" i="94"/>
  <c r="A69" i="90"/>
  <c r="B742" i="84"/>
  <c r="B790" i="84"/>
  <c r="B658" i="84"/>
  <c r="B485" i="84"/>
  <c r="B914" i="84"/>
  <c r="B527" i="84"/>
  <c r="B570" i="84"/>
  <c r="B176" i="84"/>
  <c r="B1038" i="84"/>
  <c r="B85" i="84"/>
  <c r="B392" i="84"/>
  <c r="B134" i="84"/>
  <c r="B307" i="84"/>
  <c r="B996" i="84"/>
  <c r="E9" i="47"/>
  <c r="E9" i="46"/>
  <c r="E9" i="45"/>
  <c r="E9" i="39"/>
  <c r="E9" i="26"/>
  <c r="E8" i="10"/>
  <c r="AD3" i="77"/>
  <c r="F31" i="39"/>
  <c r="F25" i="41"/>
  <c r="F24" i="45"/>
  <c r="F28" i="47"/>
  <c r="F32" i="13"/>
  <c r="F31" i="40"/>
  <c r="J14" i="104"/>
  <c r="F26" i="47"/>
  <c r="F25" i="29"/>
  <c r="F28" i="48"/>
  <c r="F27" i="41"/>
  <c r="F24" i="48"/>
  <c r="E22" i="11"/>
  <c r="E8" i="97"/>
  <c r="F27" i="42"/>
  <c r="F23" i="42"/>
  <c r="F24" i="49"/>
  <c r="F25" i="39"/>
  <c r="F23" i="41"/>
  <c r="F26" i="46"/>
  <c r="F28" i="45"/>
  <c r="F29" i="29"/>
  <c r="F26" i="49"/>
  <c r="F30" i="13"/>
  <c r="F27" i="39"/>
  <c r="F26" i="48"/>
  <c r="F25" i="42"/>
  <c r="F30" i="46"/>
  <c r="F34" i="16"/>
  <c r="E18" i="97"/>
  <c r="E27" i="65"/>
  <c r="M3" i="77"/>
  <c r="F30" i="47"/>
  <c r="F30" i="45"/>
  <c r="F28" i="16"/>
  <c r="E9" i="12"/>
  <c r="F24" i="46"/>
  <c r="F27" i="40"/>
  <c r="E9" i="16"/>
  <c r="S3" i="77"/>
  <c r="F54" i="50"/>
  <c r="E24" i="97"/>
  <c r="AB3" i="77"/>
  <c r="E27" i="22"/>
  <c r="F25" i="40"/>
  <c r="E23" i="97"/>
  <c r="R3" i="77"/>
  <c r="F36" i="13"/>
  <c r="E13" i="97"/>
  <c r="E23" i="15"/>
  <c r="E33" i="97"/>
  <c r="E30" i="23"/>
  <c r="H3" i="77"/>
  <c r="E28" i="61"/>
  <c r="F30" i="48"/>
  <c r="F29" i="42"/>
  <c r="F9" i="30"/>
  <c r="E30" i="30"/>
  <c r="E29" i="97"/>
  <c r="AK3" i="77"/>
  <c r="E23" i="44"/>
  <c r="E40" i="97"/>
  <c r="E27" i="97"/>
  <c r="V3" i="77"/>
  <c r="E29" i="52"/>
  <c r="AC3" i="77"/>
  <c r="E34" i="97"/>
  <c r="E11" i="97"/>
  <c r="F3" i="77"/>
  <c r="E28" i="60"/>
  <c r="E24" i="71"/>
  <c r="J3" i="77"/>
  <c r="E15" i="97"/>
  <c r="E31" i="97"/>
  <c r="E21" i="97"/>
  <c r="E20" i="97"/>
  <c r="E31" i="19"/>
  <c r="O3" i="77"/>
  <c r="I3" i="77"/>
  <c r="E14" i="97"/>
  <c r="G3" i="77"/>
  <c r="E12" i="97"/>
  <c r="E24" i="14"/>
  <c r="E9" i="21"/>
  <c r="N3" i="77"/>
  <c r="E23" i="18"/>
  <c r="E19" i="97"/>
  <c r="L3" i="77"/>
  <c r="E24" i="17"/>
  <c r="E17" i="97"/>
  <c r="F31" i="43"/>
  <c r="F42" i="43" s="1"/>
  <c r="F43" i="43" s="1"/>
  <c r="D37" i="5"/>
  <c r="AH9" i="78"/>
  <c r="H40" i="50"/>
  <c r="F25" i="16" l="1"/>
  <c r="F26" i="16" s="1"/>
  <c r="J18" i="10"/>
  <c r="J30" i="10"/>
  <c r="J31" i="10" s="1"/>
  <c r="K31" i="10" s="1"/>
  <c r="E25" i="70"/>
  <c r="E38" i="97"/>
  <c r="E28" i="97"/>
  <c r="E25" i="31"/>
  <c r="E30" i="97"/>
  <c r="E25" i="97"/>
  <c r="Y3" i="77"/>
  <c r="F9" i="41"/>
  <c r="T3" i="77"/>
  <c r="F9" i="29"/>
  <c r="E37" i="97"/>
  <c r="F9" i="13"/>
  <c r="F9" i="40"/>
  <c r="E45" i="97"/>
  <c r="F9" i="42"/>
  <c r="E10" i="97"/>
  <c r="E50" i="13"/>
  <c r="E50" i="97"/>
  <c r="F9" i="49"/>
  <c r="F9" i="48"/>
  <c r="E49" i="97"/>
  <c r="E35" i="26"/>
  <c r="F9" i="45"/>
  <c r="E82" i="20"/>
  <c r="E47" i="97"/>
  <c r="E48" i="97"/>
  <c r="U3" i="77"/>
  <c r="F9" i="47"/>
  <c r="E26" i="97"/>
  <c r="E46" i="97"/>
  <c r="F9" i="46"/>
  <c r="F9" i="39"/>
  <c r="E36" i="97"/>
  <c r="E7" i="97"/>
  <c r="E13" i="103"/>
  <c r="E20" i="103" s="1"/>
  <c r="AK5" i="78"/>
  <c r="T5" i="78"/>
  <c r="L101" i="104"/>
  <c r="M106" i="104"/>
  <c r="N106" i="104" s="1"/>
  <c r="O106" i="104" s="1"/>
  <c r="P106" i="104" s="1"/>
  <c r="Q106" i="104" s="1"/>
  <c r="M101" i="104" s="1"/>
  <c r="B17" i="104"/>
  <c r="L99" i="104"/>
  <c r="M105" i="104"/>
  <c r="N105" i="104" s="1"/>
  <c r="O105" i="104" s="1"/>
  <c r="P105" i="104" s="1"/>
  <c r="Q105" i="104" s="1"/>
  <c r="M99" i="104" s="1"/>
  <c r="L102" i="104"/>
  <c r="L98" i="104"/>
  <c r="E24" i="11"/>
  <c r="F9" i="16"/>
  <c r="E34" i="65"/>
  <c r="E9" i="97"/>
  <c r="X3" i="77"/>
  <c r="E16" i="97"/>
  <c r="Z5" i="78"/>
  <c r="E43" i="16"/>
  <c r="Y5" i="78"/>
  <c r="AI5" i="78"/>
  <c r="E28" i="22"/>
  <c r="O5" i="78"/>
  <c r="E31" i="23"/>
  <c r="E29" i="61"/>
  <c r="F30" i="30"/>
  <c r="E39" i="30"/>
  <c r="AC5" i="78"/>
  <c r="AQ5" i="78"/>
  <c r="E30" i="52"/>
  <c r="E24" i="44"/>
  <c r="E24" i="15"/>
  <c r="E25" i="71"/>
  <c r="E24" i="18"/>
  <c r="E25" i="14"/>
  <c r="E29" i="60"/>
  <c r="M5" i="78"/>
  <c r="AJ5" i="78"/>
  <c r="E25" i="17"/>
  <c r="P5" i="78"/>
  <c r="Q5" i="78"/>
  <c r="U5" i="78"/>
  <c r="V5" i="78"/>
  <c r="N5" i="78"/>
  <c r="E32" i="19"/>
  <c r="S5" i="78"/>
  <c r="Q3" i="77"/>
  <c r="E25" i="21"/>
  <c r="E22" i="97"/>
  <c r="AP9" i="78"/>
  <c r="F44" i="43"/>
  <c r="F50" i="13" l="1"/>
  <c r="E33" i="70"/>
  <c r="E33" i="31"/>
  <c r="F30" i="41"/>
  <c r="E3" i="77"/>
  <c r="AA5" i="78"/>
  <c r="AF5" i="78"/>
  <c r="AB5" i="78"/>
  <c r="F42" i="40"/>
  <c r="F30" i="42"/>
  <c r="F38" i="29"/>
  <c r="F31" i="49"/>
  <c r="E54" i="13"/>
  <c r="F31" i="45"/>
  <c r="F31" i="48"/>
  <c r="E36" i="26"/>
  <c r="E51" i="97"/>
  <c r="F42" i="39"/>
  <c r="F31" i="46"/>
  <c r="C3" i="77"/>
  <c r="F31" i="47"/>
  <c r="G24" i="11"/>
  <c r="AE5" i="78"/>
  <c r="D17" i="104"/>
  <c r="J17" i="104" s="1"/>
  <c r="K3" i="77"/>
  <c r="F43" i="16"/>
  <c r="J9" i="78"/>
  <c r="E41" i="97"/>
  <c r="E43" i="97" s="1"/>
  <c r="O9" i="78"/>
  <c r="E29" i="22"/>
  <c r="E47" i="16"/>
  <c r="G31" i="23"/>
  <c r="D29" i="5"/>
  <c r="D18" i="5"/>
  <c r="G29" i="61"/>
  <c r="E30" i="61"/>
  <c r="H21" i="50"/>
  <c r="G28" i="22"/>
  <c r="E32" i="23"/>
  <c r="Z9" i="78"/>
  <c r="H32" i="50"/>
  <c r="D28" i="5"/>
  <c r="H31" i="50"/>
  <c r="Y9" i="78"/>
  <c r="F40" i="30"/>
  <c r="E25" i="44"/>
  <c r="D60" i="5"/>
  <c r="H51" i="50"/>
  <c r="AQ9" i="78"/>
  <c r="G24" i="44"/>
  <c r="E31" i="52"/>
  <c r="D32" i="5"/>
  <c r="H35" i="50"/>
  <c r="G29" i="52"/>
  <c r="AC9" i="78"/>
  <c r="E33" i="19"/>
  <c r="V9" i="78"/>
  <c r="G32" i="19"/>
  <c r="H28" i="50"/>
  <c r="D25" i="5"/>
  <c r="H19" i="50"/>
  <c r="M9" i="78"/>
  <c r="G29" i="60"/>
  <c r="D16" i="5"/>
  <c r="E26" i="14"/>
  <c r="H20" i="50"/>
  <c r="N9" i="78"/>
  <c r="G25" i="14"/>
  <c r="D17" i="5"/>
  <c r="E25" i="15"/>
  <c r="H22" i="50"/>
  <c r="D19" i="5"/>
  <c r="G24" i="15"/>
  <c r="P9" i="78"/>
  <c r="E26" i="17"/>
  <c r="H25" i="50"/>
  <c r="G25" i="17"/>
  <c r="S9" i="78"/>
  <c r="D22" i="5"/>
  <c r="E26" i="21"/>
  <c r="X5" i="78"/>
  <c r="G24" i="18"/>
  <c r="D24" i="5"/>
  <c r="U9" i="78"/>
  <c r="E25" i="18"/>
  <c r="H27" i="50"/>
  <c r="E26" i="71"/>
  <c r="H23" i="50"/>
  <c r="G25" i="71"/>
  <c r="Q9" i="78"/>
  <c r="D20" i="5"/>
  <c r="E30" i="60"/>
  <c r="I49" i="50"/>
  <c r="I107" i="50" s="1"/>
  <c r="K19" i="7"/>
  <c r="E46" i="5"/>
  <c r="I44" i="43"/>
  <c r="Q56" i="104" l="1"/>
  <c r="E46" i="104"/>
  <c r="F53" i="13"/>
  <c r="F52" i="13"/>
  <c r="AA9" i="78"/>
  <c r="E34" i="70"/>
  <c r="AF9" i="78"/>
  <c r="E34" i="31"/>
  <c r="L5" i="78"/>
  <c r="F41" i="41"/>
  <c r="F39" i="49"/>
  <c r="F52" i="29"/>
  <c r="F39" i="42"/>
  <c r="F56" i="40"/>
  <c r="J5" i="78"/>
  <c r="F39" i="45"/>
  <c r="E37" i="26"/>
  <c r="G36" i="26"/>
  <c r="D31" i="5"/>
  <c r="F56" i="39"/>
  <c r="F39" i="48"/>
  <c r="AB9" i="78"/>
  <c r="H34" i="50"/>
  <c r="F39" i="46"/>
  <c r="F39" i="47"/>
  <c r="J49" i="50"/>
  <c r="F46" i="16"/>
  <c r="R5" i="78"/>
  <c r="F45" i="16"/>
  <c r="F41" i="30"/>
  <c r="L19" i="7"/>
  <c r="AE9" i="78"/>
  <c r="E27" i="21"/>
  <c r="H30" i="50"/>
  <c r="D27" i="5"/>
  <c r="X9" i="78"/>
  <c r="G26" i="21"/>
  <c r="J107" i="50" l="1"/>
  <c r="J46" i="104"/>
  <c r="J24" i="70" s="1"/>
  <c r="J25" i="70" s="1"/>
  <c r="E51" i="104"/>
  <c r="F41" i="88" s="1"/>
  <c r="D56" i="104"/>
  <c r="J56" i="104"/>
  <c r="E21" i="88" s="1"/>
  <c r="J21" i="88" s="1"/>
  <c r="J24" i="88" s="1"/>
  <c r="E35" i="31"/>
  <c r="L9" i="78"/>
  <c r="E35" i="70"/>
  <c r="H53" i="13"/>
  <c r="F42" i="41"/>
  <c r="AN9" i="78"/>
  <c r="AU9" i="78"/>
  <c r="F40" i="49"/>
  <c r="H39" i="49"/>
  <c r="AD9" i="78"/>
  <c r="F45" i="49"/>
  <c r="F53" i="29"/>
  <c r="AM9" i="78"/>
  <c r="F57" i="40"/>
  <c r="F58" i="40" s="1"/>
  <c r="AO9" i="78"/>
  <c r="F40" i="42"/>
  <c r="F40" i="45"/>
  <c r="AR9" i="78"/>
  <c r="AT9" i="78"/>
  <c r="F57" i="39"/>
  <c r="F40" i="46"/>
  <c r="H44" i="48"/>
  <c r="F40" i="48"/>
  <c r="AL9" i="78"/>
  <c r="F40" i="47"/>
  <c r="AS9" i="78"/>
  <c r="H47" i="16"/>
  <c r="H45" i="16"/>
  <c r="R9" i="78"/>
  <c r="E17" i="43"/>
  <c r="F42" i="30"/>
  <c r="P3" i="77"/>
  <c r="J51" i="104" l="1"/>
  <c r="H35" i="91" s="1"/>
  <c r="H37" i="91" s="1"/>
  <c r="H39" i="91" s="1"/>
  <c r="F34" i="88"/>
  <c r="N22" i="88"/>
  <c r="N23" i="88" s="1"/>
  <c r="I10" i="102" s="1"/>
  <c r="C13" i="102" s="1"/>
  <c r="I13" i="102" s="1"/>
  <c r="I17" i="102" s="1"/>
  <c r="E28" i="12" s="1"/>
  <c r="J25" i="88"/>
  <c r="J14" i="10"/>
  <c r="J16" i="10" s="1"/>
  <c r="E31" i="10" s="1"/>
  <c r="E10" i="103"/>
  <c r="E22" i="103" s="1"/>
  <c r="I33" i="50"/>
  <c r="I32" i="70"/>
  <c r="E35" i="5"/>
  <c r="K21" i="7"/>
  <c r="I38" i="50"/>
  <c r="I103" i="50" s="1"/>
  <c r="I36" i="31"/>
  <c r="E30" i="5"/>
  <c r="K27" i="7"/>
  <c r="F43" i="41"/>
  <c r="F41" i="49"/>
  <c r="K18" i="7"/>
  <c r="F41" i="42"/>
  <c r="F54" i="29"/>
  <c r="I46" i="50"/>
  <c r="I58" i="40"/>
  <c r="E43" i="5"/>
  <c r="F41" i="45"/>
  <c r="F58" i="39"/>
  <c r="F41" i="46"/>
  <c r="F41" i="48"/>
  <c r="F41" i="47"/>
  <c r="AJ3" i="77"/>
  <c r="E31" i="43"/>
  <c r="E41" i="43" s="1"/>
  <c r="I42" i="30"/>
  <c r="I37" i="50"/>
  <c r="E34" i="5"/>
  <c r="W5" i="78"/>
  <c r="I97" i="50" l="1"/>
  <c r="E31" i="12"/>
  <c r="I32" i="12"/>
  <c r="I34" i="12" s="1"/>
  <c r="H42" i="88"/>
  <c r="K273" i="12" s="1"/>
  <c r="N273" i="12" s="1"/>
  <c r="J26" i="88"/>
  <c r="H35" i="88"/>
  <c r="K287" i="12" s="1"/>
  <c r="N287" i="12" s="1"/>
  <c r="J33" i="50"/>
  <c r="I101" i="50"/>
  <c r="K16" i="10"/>
  <c r="L21" i="7"/>
  <c r="J38" i="50"/>
  <c r="L27" i="7"/>
  <c r="K20" i="7"/>
  <c r="I43" i="41"/>
  <c r="E44" i="5"/>
  <c r="I47" i="50"/>
  <c r="I36" i="50"/>
  <c r="K22" i="7"/>
  <c r="E67" i="5"/>
  <c r="K23" i="7"/>
  <c r="I41" i="49"/>
  <c r="I68" i="50"/>
  <c r="L67" i="50" s="1"/>
  <c r="L18" i="7"/>
  <c r="I54" i="29"/>
  <c r="L52" i="50"/>
  <c r="M52" i="50"/>
  <c r="I48" i="50"/>
  <c r="K15" i="7"/>
  <c r="E45" i="5"/>
  <c r="I41" i="42"/>
  <c r="K26" i="7"/>
  <c r="E63" i="5"/>
  <c r="H44" i="45"/>
  <c r="F42" i="45" s="1"/>
  <c r="F43" i="45" s="1"/>
  <c r="I64" i="50"/>
  <c r="K16" i="7"/>
  <c r="E33" i="5"/>
  <c r="I41" i="45"/>
  <c r="E66" i="5"/>
  <c r="H42" i="48"/>
  <c r="F42" i="48" s="1"/>
  <c r="F43" i="48" s="1"/>
  <c r="I66" i="50"/>
  <c r="I39" i="48"/>
  <c r="K17" i="7"/>
  <c r="I58" i="39"/>
  <c r="I45" i="50"/>
  <c r="E42" i="5"/>
  <c r="I67" i="50"/>
  <c r="E65" i="5"/>
  <c r="I65" i="50"/>
  <c r="I39" i="46"/>
  <c r="E64" i="5"/>
  <c r="K24" i="7"/>
  <c r="H42" i="46"/>
  <c r="F42" i="46" s="1"/>
  <c r="F43" i="46" s="1"/>
  <c r="I41" i="47"/>
  <c r="F42" i="47"/>
  <c r="F43" i="47" s="1"/>
  <c r="K25" i="7"/>
  <c r="J37" i="50"/>
  <c r="D3" i="77"/>
  <c r="AP5" i="78"/>
  <c r="E83" i="20"/>
  <c r="D26" i="5"/>
  <c r="W9" i="78"/>
  <c r="H29" i="50"/>
  <c r="N26" i="12" l="1"/>
  <c r="O26" i="12" s="1"/>
  <c r="J68" i="50"/>
  <c r="O68" i="50"/>
  <c r="E32" i="12"/>
  <c r="K9" i="78" s="1"/>
  <c r="I15" i="78" s="1"/>
  <c r="J48" i="50"/>
  <c r="I106" i="50"/>
  <c r="J65" i="50"/>
  <c r="I109" i="50"/>
  <c r="I104" i="50"/>
  <c r="J103" i="50"/>
  <c r="J36" i="50"/>
  <c r="I102" i="50"/>
  <c r="I108" i="50"/>
  <c r="J66" i="50"/>
  <c r="I110" i="50"/>
  <c r="J47" i="50"/>
  <c r="I105" i="50"/>
  <c r="J101" i="50"/>
  <c r="J46" i="50"/>
  <c r="D12" i="5"/>
  <c r="E25" i="10"/>
  <c r="J19" i="10"/>
  <c r="H14" i="50"/>
  <c r="I9" i="78"/>
  <c r="I14" i="78" s="1"/>
  <c r="L20" i="7"/>
  <c r="L22" i="7"/>
  <c r="L26" i="7"/>
  <c r="L15" i="7"/>
  <c r="N69" i="50"/>
  <c r="L23" i="7"/>
  <c r="E17" i="40"/>
  <c r="J64" i="50"/>
  <c r="L16" i="7"/>
  <c r="M66" i="50"/>
  <c r="M51" i="50"/>
  <c r="L24" i="7"/>
  <c r="L17" i="7"/>
  <c r="L25" i="7"/>
  <c r="L51" i="50"/>
  <c r="L66" i="50"/>
  <c r="N68" i="50"/>
  <c r="E68" i="5"/>
  <c r="I69" i="50"/>
  <c r="K5" i="78"/>
  <c r="J97" i="50" l="1"/>
  <c r="D14" i="5"/>
  <c r="D61" i="5" s="1"/>
  <c r="H15" i="50"/>
  <c r="E33" i="12"/>
  <c r="J108" i="50"/>
  <c r="J109" i="50"/>
  <c r="J102" i="50"/>
  <c r="J105" i="50"/>
  <c r="J110" i="50"/>
  <c r="J106" i="50"/>
  <c r="J67" i="50"/>
  <c r="J45" i="50"/>
  <c r="E18" i="49"/>
  <c r="AG3" i="77"/>
  <c r="E17" i="41"/>
  <c r="E18" i="48"/>
  <c r="E17" i="42"/>
  <c r="E18" i="45"/>
  <c r="E42" i="40"/>
  <c r="E18" i="29"/>
  <c r="E18" i="46"/>
  <c r="E18" i="47"/>
  <c r="E17" i="39"/>
  <c r="B9" i="78"/>
  <c r="H52" i="50" l="1"/>
  <c r="H54" i="50" s="1"/>
  <c r="J69" i="50"/>
  <c r="E35" i="12"/>
  <c r="E36" i="12" s="1"/>
  <c r="E37" i="12" s="1"/>
  <c r="J104" i="50"/>
  <c r="E31" i="49"/>
  <c r="AP3" i="77"/>
  <c r="AM5" i="78"/>
  <c r="E31" i="48"/>
  <c r="AI3" i="77"/>
  <c r="AH3" i="77"/>
  <c r="E30" i="41"/>
  <c r="AL3" i="77"/>
  <c r="E31" i="45"/>
  <c r="E30" i="42"/>
  <c r="AO3" i="77"/>
  <c r="E55" i="40"/>
  <c r="E38" i="29"/>
  <c r="W3" i="77"/>
  <c r="AM3" i="77"/>
  <c r="E31" i="46"/>
  <c r="AN3" i="77"/>
  <c r="E31" i="47"/>
  <c r="E42" i="39"/>
  <c r="AF3" i="77"/>
  <c r="K12" i="7" l="1"/>
  <c r="K28" i="7" s="1"/>
  <c r="E14" i="5"/>
  <c r="E61" i="5" s="1"/>
  <c r="I15" i="50"/>
  <c r="H38" i="12"/>
  <c r="E38" i="49"/>
  <c r="AU5" i="78"/>
  <c r="E40" i="41"/>
  <c r="E38" i="48"/>
  <c r="AO5" i="78"/>
  <c r="AN5" i="78"/>
  <c r="E38" i="45"/>
  <c r="AR5" i="78"/>
  <c r="E38" i="42"/>
  <c r="AT5" i="78"/>
  <c r="AS5" i="78"/>
  <c r="E51" i="29"/>
  <c r="E38" i="46"/>
  <c r="AD5" i="78"/>
  <c r="E38" i="47"/>
  <c r="AL5" i="78"/>
  <c r="E55" i="39"/>
  <c r="E30" i="10"/>
  <c r="B3" i="77"/>
  <c r="I99" i="50" l="1"/>
  <c r="I111" i="50" s="1"/>
  <c r="L12" i="7"/>
  <c r="L28" i="7" s="1"/>
  <c r="I52" i="50"/>
  <c r="H70" i="50" s="1"/>
  <c r="J15" i="50"/>
  <c r="I5" i="78"/>
  <c r="B5" i="78" s="1"/>
  <c r="B13" i="78" s="1"/>
  <c r="J99" i="50" l="1"/>
  <c r="J111" i="50" s="1"/>
  <c r="H55" i="50"/>
  <c r="J52" i="50"/>
  <c r="B14" i="78"/>
</calcChain>
</file>

<file path=xl/comments1.xml><?xml version="1.0" encoding="utf-8"?>
<comments xmlns="http://schemas.openxmlformats.org/spreadsheetml/2006/main">
  <authors>
    <author>Sara Barnes</author>
    <author>KSDE</author>
  </authors>
  <commentList>
    <comment ref="A50" authorId="0">
      <text>
        <r>
          <rPr>
            <sz val="9"/>
            <color indexed="81"/>
            <rFont val="Open Sans Light"/>
            <family val="2"/>
          </rPr>
          <t>Based on Income Eligiblity Guidelines.  Many districts may be using the Household Economic Survey for FY2022.</t>
        </r>
      </text>
    </comment>
    <comment ref="F129" authorId="1">
      <text>
        <r>
          <rPr>
            <sz val="9"/>
            <color indexed="81"/>
            <rFont val="Open Sans Light"/>
            <family val="2"/>
          </rPr>
          <t xml:space="preserve">
This should match the Grand Total of Outstanding Principal on C05 Col 4.</t>
        </r>
      </text>
    </comment>
  </commentList>
</comments>
</file>

<file path=xl/comments10.xml><?xml version="1.0" encoding="utf-8"?>
<comments xmlns="http://schemas.openxmlformats.org/spreadsheetml/2006/main">
  <authors>
    <author>Donna Reinert</author>
    <author>CICS</author>
  </authors>
  <commentList>
    <comment ref="G23" authorId="0">
      <text>
        <r>
          <rPr>
            <sz val="9"/>
            <color indexed="81"/>
            <rFont val="Tahoma"/>
            <family val="2"/>
          </rPr>
          <t xml:space="preserve">MVPT from F194
</t>
        </r>
      </text>
    </comment>
    <comment ref="H23" authorId="0">
      <text>
        <r>
          <rPr>
            <sz val="9"/>
            <color indexed="81"/>
            <rFont val="Tahoma"/>
            <family val="2"/>
          </rPr>
          <t>16/20M Tax from F194</t>
        </r>
      </text>
    </comment>
    <comment ref="G24" authorId="0">
      <text>
        <r>
          <rPr>
            <sz val="9"/>
            <color indexed="81"/>
            <rFont val="Tahoma"/>
            <family val="2"/>
          </rPr>
          <t>Rec. Veh. Tax from F194</t>
        </r>
      </text>
    </comment>
    <comment ref="G25" authorId="0">
      <text>
        <r>
          <rPr>
            <sz val="9"/>
            <color indexed="81"/>
            <rFont val="Tahoma"/>
            <family val="2"/>
          </rPr>
          <t xml:space="preserve">Comm. Veh. Tax from F194
</t>
        </r>
      </text>
    </comment>
    <comment ref="G26" authorId="0">
      <text>
        <r>
          <rPr>
            <sz val="9"/>
            <color indexed="81"/>
            <rFont val="Tahoma"/>
            <family val="2"/>
          </rPr>
          <t>IRB's from F194</t>
        </r>
      </text>
    </comment>
    <comment ref="E32" authorId="1">
      <text>
        <r>
          <rPr>
            <sz val="10"/>
            <color indexed="81"/>
            <rFont val="Tahoma"/>
            <family val="2"/>
          </rPr>
          <t xml:space="preserve">Expenditures must equal LOB amount from F155 for this figure to compute </t>
        </r>
        <r>
          <rPr>
            <u/>
            <sz val="10"/>
            <color indexed="81"/>
            <rFont val="Tahoma"/>
            <family val="2"/>
          </rPr>
          <t>AND</t>
        </r>
        <r>
          <rPr>
            <sz val="10"/>
            <color indexed="81"/>
            <rFont val="Tahoma"/>
            <family val="2"/>
          </rPr>
          <t xml:space="preserve"> transfers to Bilingual and At Risk (K-12) must meet minimum amounts as computed below.  Check minimum transfers at bottom of sheet AND Revenue vs. Expenditures calculation. (highlighted in blue, to the right)--&gt;
</t>
        </r>
      </text>
    </comment>
    <comment ref="E273" authorId="0">
      <text>
        <r>
          <rPr>
            <sz val="9"/>
            <color indexed="81"/>
            <rFont val="Tahoma"/>
            <family val="2"/>
          </rPr>
          <t xml:space="preserve">Check mimimum transfer to Bilingual to the right
</t>
        </r>
      </text>
    </comment>
    <comment ref="E287" authorId="0">
      <text>
        <r>
          <rPr>
            <sz val="9"/>
            <color indexed="81"/>
            <rFont val="Tahoma"/>
            <family val="2"/>
          </rPr>
          <t xml:space="preserve">Check mimimum transfer to At Risk (K-12) to the right
</t>
        </r>
      </text>
    </comment>
  </commentList>
</comments>
</file>

<file path=xl/comments11.xml><?xml version="1.0" encoding="utf-8"?>
<comments xmlns="http://schemas.openxmlformats.org/spreadsheetml/2006/main">
  <authors>
    <author>dreinert</author>
  </authors>
  <commentList>
    <comment ref="A26" authorId="0">
      <text>
        <r>
          <rPr>
            <sz val="9"/>
            <color indexed="81"/>
            <rFont val="Tahoma"/>
            <family val="2"/>
          </rPr>
          <t>Leave in due to statute.</t>
        </r>
      </text>
    </comment>
  </commentList>
</comments>
</file>

<file path=xl/comments12.xml><?xml version="1.0" encoding="utf-8"?>
<comments xmlns="http://schemas.openxmlformats.org/spreadsheetml/2006/main">
  <authors>
    <author>Sara Barnes</author>
  </authors>
  <commentList>
    <comment ref="I82" authorId="0">
      <text>
        <r>
          <rPr>
            <sz val="9"/>
            <color indexed="81"/>
            <rFont val="Tahoma"/>
            <family val="2"/>
          </rPr>
          <t>This is validation for Cell E80.</t>
        </r>
      </text>
    </comment>
  </commentList>
</comments>
</file>

<file path=xl/comments13.xml><?xml version="1.0" encoding="utf-8"?>
<comments xmlns="http://schemas.openxmlformats.org/spreadsheetml/2006/main">
  <authors>
    <author>Christie N. Wyckoff</author>
  </authors>
  <commentList>
    <comment ref="A23" authorId="0">
      <text>
        <r>
          <rPr>
            <sz val="10"/>
            <rFont val="Arial"/>
            <family val="2"/>
          </rPr>
          <t xml:space="preserve">Christie N. Wyckoff:
</t>
        </r>
        <r>
          <rPr>
            <sz val="10"/>
            <rFont val="Arial"/>
            <family val="2"/>
          </rPr>
          <t>This was only in 2018-19.  Can we remove this line?</t>
        </r>
      </text>
    </comment>
  </commentList>
</comments>
</file>

<file path=xl/comments14.xml><?xml version="1.0" encoding="utf-8"?>
<comments xmlns="http://schemas.openxmlformats.org/spreadsheetml/2006/main">
  <authors>
    <author>dreinert</author>
  </authors>
  <commentList>
    <comment ref="E30" authorId="0">
      <text>
        <r>
          <rPr>
            <sz val="9"/>
            <color indexed="81"/>
            <rFont val="Tahoma"/>
            <family val="2"/>
          </rPr>
          <t xml:space="preserve">This amount comes from the Form 150 line 11 and can be overwritten to ensure taxes received will be adequate for State Payment.
</t>
        </r>
      </text>
    </comment>
  </commentList>
</comments>
</file>

<file path=xl/comments15.xml><?xml version="1.0" encoding="utf-8"?>
<comments xmlns="http://schemas.openxmlformats.org/spreadsheetml/2006/main">
  <authors>
    <author>KSDE</author>
  </authors>
  <commentList>
    <comment ref="V28" authorId="0">
      <text>
        <r>
          <rPr>
            <sz val="9"/>
            <color indexed="81"/>
            <rFont val="Tahoma"/>
            <family val="2"/>
          </rPr>
          <t>Includes Function 4700 salaries in this total.</t>
        </r>
      </text>
    </comment>
    <comment ref="G37" authorId="0">
      <text>
        <r>
          <rPr>
            <sz val="9"/>
            <color indexed="81"/>
            <rFont val="Tahoma"/>
            <family val="2"/>
          </rPr>
          <t xml:space="preserve">Includes 4700 salaries for c016.
</t>
        </r>
      </text>
    </comment>
  </commentList>
</comments>
</file>

<file path=xl/comments16.xml><?xml version="1.0" encoding="utf-8"?>
<comments xmlns="http://schemas.openxmlformats.org/spreadsheetml/2006/main">
  <authors>
    <author>CICS</author>
    <author>dreinert</author>
    <author>Bob Mather</author>
  </authors>
  <commentList>
    <comment ref="F34" authorId="0">
      <text>
        <r>
          <rPr>
            <sz val="10"/>
            <color indexed="81"/>
            <rFont val="Geneva"/>
            <family val="2"/>
          </rPr>
          <t>Remember to enter state aid for the last six months here.</t>
        </r>
        <r>
          <rPr>
            <sz val="9"/>
            <color indexed="81"/>
            <rFont val="Geneva"/>
            <family val="2"/>
          </rPr>
          <t xml:space="preserve">
</t>
        </r>
      </text>
    </comment>
    <comment ref="F36" authorId="1">
      <text>
        <r>
          <rPr>
            <sz val="9"/>
            <color indexed="81"/>
            <rFont val="Tahoma"/>
            <family val="2"/>
          </rPr>
          <t xml:space="preserve">Remember to enter state aid for the last six months here.
</t>
        </r>
      </text>
    </comment>
    <comment ref="F38" authorId="2">
      <text>
        <r>
          <rPr>
            <sz val="9"/>
            <color indexed="81"/>
            <rFont val="Tahoma"/>
            <family val="2"/>
          </rPr>
          <t>Remember to enter state aid for the last six months here.</t>
        </r>
      </text>
    </comment>
    <comment ref="F41" authorId="1">
      <text>
        <r>
          <rPr>
            <sz val="10"/>
            <color indexed="81"/>
            <rFont val="Tahoma"/>
            <family val="2"/>
          </rPr>
          <t>Remember to enter federal aid for the last six months here.</t>
        </r>
        <r>
          <rPr>
            <sz val="8"/>
            <color indexed="81"/>
            <rFont val="Tahoma"/>
            <family val="2"/>
          </rPr>
          <t xml:space="preserve">
</t>
        </r>
      </text>
    </comment>
    <comment ref="E46" authorId="0">
      <text>
        <r>
          <rPr>
            <sz val="10"/>
            <color indexed="81"/>
            <rFont val="Geneva"/>
            <family val="2"/>
          </rPr>
          <t>If you</t>
        </r>
        <r>
          <rPr>
            <b/>
            <sz val="10"/>
            <color indexed="81"/>
            <rFont val="Geneva"/>
            <family val="2"/>
          </rPr>
          <t xml:space="preserve"> DO NOT </t>
        </r>
        <r>
          <rPr>
            <sz val="10"/>
            <color indexed="81"/>
            <rFont val="Geneva"/>
            <family val="2"/>
          </rPr>
          <t>have a</t>
        </r>
        <r>
          <rPr>
            <b/>
            <sz val="10"/>
            <color indexed="81"/>
            <rFont val="Geneva"/>
            <family val="2"/>
          </rPr>
          <t xml:space="preserve"> Bond &amp; Interest #2</t>
        </r>
        <r>
          <rPr>
            <sz val="10"/>
            <color indexed="81"/>
            <rFont val="Geneva"/>
            <family val="2"/>
          </rPr>
          <t xml:space="preserve"> </t>
        </r>
        <r>
          <rPr>
            <b/>
            <sz val="10"/>
            <color indexed="81"/>
            <rFont val="Geneva"/>
            <family val="2"/>
          </rPr>
          <t>(C063)</t>
        </r>
        <r>
          <rPr>
            <sz val="10"/>
            <color indexed="81"/>
            <rFont val="Geneva"/>
            <family val="2"/>
          </rPr>
          <t xml:space="preserve"> then what is entered in this cell should equal the total of </t>
        </r>
        <r>
          <rPr>
            <b/>
            <sz val="10"/>
            <color indexed="81"/>
            <rFont val="Geneva"/>
            <family val="2"/>
          </rPr>
          <t>Column 7</t>
        </r>
        <r>
          <rPr>
            <sz val="10"/>
            <color indexed="81"/>
            <rFont val="Geneva"/>
            <family val="2"/>
          </rPr>
          <t xml:space="preserve"> (cell I45) on C05 (the cell with a pink fill on C05).</t>
        </r>
        <r>
          <rPr>
            <sz val="9"/>
            <color indexed="81"/>
            <rFont val="Geneva"/>
            <family val="2"/>
          </rPr>
          <t xml:space="preserve">
</t>
        </r>
      </text>
    </comment>
    <comment ref="E48" authorId="0">
      <text>
        <r>
          <rPr>
            <sz val="10"/>
            <color indexed="81"/>
            <rFont val="Geneva"/>
            <family val="2"/>
          </rPr>
          <t>If you</t>
        </r>
        <r>
          <rPr>
            <b/>
            <sz val="10"/>
            <color indexed="81"/>
            <rFont val="Geneva"/>
            <family val="2"/>
          </rPr>
          <t xml:space="preserve"> DO NOT </t>
        </r>
        <r>
          <rPr>
            <sz val="10"/>
            <color indexed="81"/>
            <rFont val="Geneva"/>
            <family val="2"/>
          </rPr>
          <t>have a</t>
        </r>
        <r>
          <rPr>
            <b/>
            <sz val="10"/>
            <color indexed="81"/>
            <rFont val="Geneva"/>
            <family val="2"/>
          </rPr>
          <t xml:space="preserve"> Bond &amp; Interest #2 (C063) </t>
        </r>
        <r>
          <rPr>
            <sz val="10"/>
            <color indexed="81"/>
            <rFont val="Geneva"/>
            <family val="2"/>
          </rPr>
          <t xml:space="preserve">then what is entered in this cell should equal the total of </t>
        </r>
        <r>
          <rPr>
            <b/>
            <sz val="10"/>
            <color indexed="81"/>
            <rFont val="Geneva"/>
            <family val="2"/>
          </rPr>
          <t>Column 8</t>
        </r>
        <r>
          <rPr>
            <sz val="10"/>
            <color indexed="81"/>
            <rFont val="Geneva"/>
            <family val="2"/>
          </rPr>
          <t xml:space="preserve"> (cell J45) on C05 (the cell with an aqua fill on C05).</t>
        </r>
      </text>
    </comment>
    <comment ref="F50" authorId="0">
      <text>
        <r>
          <rPr>
            <sz val="10"/>
            <color indexed="81"/>
            <rFont val="Geneva"/>
            <family val="2"/>
          </rPr>
          <t>If you</t>
        </r>
        <r>
          <rPr>
            <b/>
            <sz val="10"/>
            <color indexed="81"/>
            <rFont val="Geneva"/>
            <family val="2"/>
          </rPr>
          <t xml:space="preserve"> DO NOT </t>
        </r>
        <r>
          <rPr>
            <sz val="10"/>
            <color indexed="81"/>
            <rFont val="Geneva"/>
            <family val="2"/>
          </rPr>
          <t>have a</t>
        </r>
        <r>
          <rPr>
            <b/>
            <sz val="10"/>
            <color indexed="81"/>
            <rFont val="Geneva"/>
            <family val="2"/>
          </rPr>
          <t xml:space="preserve"> Bond &amp; Interest #2</t>
        </r>
        <r>
          <rPr>
            <sz val="10"/>
            <color indexed="81"/>
            <rFont val="Geneva"/>
            <family val="2"/>
          </rPr>
          <t xml:space="preserve"> </t>
        </r>
        <r>
          <rPr>
            <b/>
            <sz val="10"/>
            <color indexed="81"/>
            <rFont val="Geneva"/>
            <family val="2"/>
          </rPr>
          <t>(C063)</t>
        </r>
        <r>
          <rPr>
            <sz val="10"/>
            <color indexed="81"/>
            <rFont val="Geneva"/>
            <family val="2"/>
          </rPr>
          <t xml:space="preserve"> then what is entered in this cell should equal the total of </t>
        </r>
        <r>
          <rPr>
            <b/>
            <sz val="10"/>
            <color indexed="81"/>
            <rFont val="Geneva"/>
            <family val="2"/>
          </rPr>
          <t>Column 9</t>
        </r>
        <r>
          <rPr>
            <sz val="10"/>
            <color indexed="81"/>
            <rFont val="Geneva"/>
            <family val="2"/>
          </rPr>
          <t xml:space="preserve"> (cell K45) on C05 (the cell with a periwinkle fill on C05).</t>
        </r>
      </text>
    </comment>
    <comment ref="F52" authorId="0">
      <text>
        <r>
          <rPr>
            <sz val="10"/>
            <color indexed="81"/>
            <rFont val="Geneva"/>
            <family val="2"/>
          </rPr>
          <t xml:space="preserve">If you </t>
        </r>
        <r>
          <rPr>
            <b/>
            <sz val="10"/>
            <color indexed="81"/>
            <rFont val="Geneva"/>
            <family val="2"/>
          </rPr>
          <t xml:space="preserve">DO NOT </t>
        </r>
        <r>
          <rPr>
            <sz val="10"/>
            <color indexed="81"/>
            <rFont val="Geneva"/>
            <family val="2"/>
          </rPr>
          <t>have a</t>
        </r>
        <r>
          <rPr>
            <b/>
            <sz val="10"/>
            <color indexed="81"/>
            <rFont val="Geneva"/>
            <family val="2"/>
          </rPr>
          <t xml:space="preserve"> Bond &amp; Interest #2</t>
        </r>
        <r>
          <rPr>
            <sz val="10"/>
            <color indexed="81"/>
            <rFont val="Geneva"/>
            <family val="2"/>
          </rPr>
          <t xml:space="preserve"> </t>
        </r>
        <r>
          <rPr>
            <b/>
            <sz val="10"/>
            <color indexed="81"/>
            <rFont val="Geneva"/>
            <family val="2"/>
          </rPr>
          <t>(C063)</t>
        </r>
        <r>
          <rPr>
            <sz val="10"/>
            <color indexed="81"/>
            <rFont val="Geneva"/>
            <family val="2"/>
          </rPr>
          <t xml:space="preserve"> then what is entered in this cell should equal the total of </t>
        </r>
        <r>
          <rPr>
            <b/>
            <sz val="10"/>
            <color indexed="81"/>
            <rFont val="Geneva"/>
            <family val="2"/>
          </rPr>
          <t>Column 10</t>
        </r>
        <r>
          <rPr>
            <sz val="10"/>
            <color indexed="81"/>
            <rFont val="Geneva"/>
            <family val="2"/>
          </rPr>
          <t xml:space="preserve"> (cell L45) on C05 (the cell with a light blue fill on C05).</t>
        </r>
        <r>
          <rPr>
            <sz val="9"/>
            <color indexed="81"/>
            <rFont val="Geneva"/>
            <family val="2"/>
          </rPr>
          <t xml:space="preserve">
</t>
        </r>
      </text>
    </comment>
  </commentList>
</comments>
</file>

<file path=xl/comments17.xml><?xml version="1.0" encoding="utf-8"?>
<comments xmlns="http://schemas.openxmlformats.org/spreadsheetml/2006/main">
  <authors>
    <author>CICS</author>
    <author>dreinert</author>
    <author>Donna Reinert</author>
  </authors>
  <commentList>
    <comment ref="F34" authorId="0">
      <text>
        <r>
          <rPr>
            <sz val="9"/>
            <color indexed="81"/>
            <rFont val="Arial"/>
            <family val="2"/>
          </rPr>
          <t>Remember to enter state aid for the last six months here.</t>
        </r>
        <r>
          <rPr>
            <sz val="9"/>
            <color indexed="81"/>
            <rFont val="Geneva"/>
            <family val="2"/>
          </rPr>
          <t xml:space="preserve">
</t>
        </r>
      </text>
    </comment>
    <comment ref="F36" authorId="1">
      <text>
        <r>
          <rPr>
            <sz val="9"/>
            <color indexed="81"/>
            <rFont val="Tahoma"/>
            <family val="2"/>
          </rPr>
          <t xml:space="preserve">Remember to enter state aid for the last six months here.
</t>
        </r>
      </text>
    </comment>
    <comment ref="F38" authorId="2">
      <text>
        <r>
          <rPr>
            <sz val="9"/>
            <color indexed="81"/>
            <rFont val="Tahoma"/>
            <family val="2"/>
          </rPr>
          <t>Remember to enter state aid for the last six months here.</t>
        </r>
      </text>
    </comment>
    <comment ref="F41" authorId="1">
      <text>
        <r>
          <rPr>
            <sz val="9"/>
            <color indexed="81"/>
            <rFont val="Arial"/>
            <family val="2"/>
          </rPr>
          <t>Remember to enter federal aid for the last six months here.</t>
        </r>
        <r>
          <rPr>
            <b/>
            <sz val="9"/>
            <color indexed="81"/>
            <rFont val="Arial"/>
            <family val="2"/>
          </rPr>
          <t xml:space="preserve">
</t>
        </r>
      </text>
    </comment>
  </commentList>
</comments>
</file>

<file path=xl/comments18.xml><?xml version="1.0" encoding="utf-8"?>
<comments xmlns="http://schemas.openxmlformats.org/spreadsheetml/2006/main">
  <authors>
    <author>Bob Mather</author>
  </authors>
  <commentList>
    <comment ref="W15" authorId="0">
      <text>
        <r>
          <rPr>
            <b/>
            <sz val="9"/>
            <color indexed="81"/>
            <rFont val="Tahoma"/>
            <family val="2"/>
          </rPr>
          <t>Bob Mather:</t>
        </r>
        <r>
          <rPr>
            <sz val="9"/>
            <color indexed="81"/>
            <rFont val="Tahoma"/>
            <family val="2"/>
          </rPr>
          <t xml:space="preserve">
These should be hidden and protected.</t>
        </r>
      </text>
    </comment>
  </commentList>
</comments>
</file>

<file path=xl/comments19.xml><?xml version="1.0" encoding="utf-8"?>
<comments xmlns="http://schemas.openxmlformats.org/spreadsheetml/2006/main">
  <authors>
    <author>Bob Mather</author>
    <author>Sara Barnes</author>
    <author>dreinert</author>
  </authors>
  <commentList>
    <comment ref="O29" authorId="0">
      <text>
        <r>
          <rPr>
            <b/>
            <sz val="9"/>
            <color indexed="81"/>
            <rFont val="Tahoma"/>
            <family val="2"/>
          </rPr>
          <t>Bob Mather:</t>
        </r>
        <r>
          <rPr>
            <sz val="9"/>
            <color indexed="81"/>
            <rFont val="Tahoma"/>
            <family val="2"/>
          </rPr>
          <t xml:space="preserve">
Goes to Form195, cell B25
</t>
        </r>
      </text>
    </comment>
    <comment ref="Q31" authorId="1">
      <text>
        <r>
          <rPr>
            <b/>
            <sz val="9"/>
            <color indexed="81"/>
            <rFont val="Tahoma"/>
            <family val="2"/>
          </rPr>
          <t>6-21-2021:</t>
        </r>
        <r>
          <rPr>
            <sz val="9"/>
            <color indexed="81"/>
            <rFont val="Tahoma"/>
            <family val="2"/>
          </rPr>
          <t xml:space="preserve">
Likely will not change from year to year, unless legislative action.</t>
        </r>
      </text>
    </comment>
    <comment ref="R31" authorId="2">
      <text>
        <r>
          <rPr>
            <sz val="9"/>
            <color indexed="81"/>
            <rFont val="Tahoma"/>
            <family val="2"/>
          </rPr>
          <t>Between 40-50%</t>
        </r>
      </text>
    </comment>
    <comment ref="S31" authorId="2">
      <text>
        <r>
          <rPr>
            <sz val="9"/>
            <color indexed="81"/>
            <rFont val="Tahoma"/>
            <family val="2"/>
          </rPr>
          <t>Between 40-50%</t>
        </r>
      </text>
    </comment>
    <comment ref="Q32" authorId="1">
      <text>
        <r>
          <rPr>
            <b/>
            <sz val="9"/>
            <color indexed="81"/>
            <rFont val="Tahoma"/>
            <family val="2"/>
          </rPr>
          <t>6-21-2021:</t>
        </r>
        <r>
          <rPr>
            <sz val="9"/>
            <color indexed="81"/>
            <rFont val="Tahoma"/>
            <family val="2"/>
          </rPr>
          <t xml:space="preserve">
Likely will not change from year to year, unless legislative action.</t>
        </r>
      </text>
    </comment>
    <comment ref="Q33" authorId="1">
      <text>
        <r>
          <rPr>
            <b/>
            <sz val="9"/>
            <color indexed="81"/>
            <rFont val="Tahoma"/>
            <family val="2"/>
          </rPr>
          <t>6-21-2021:</t>
        </r>
        <r>
          <rPr>
            <sz val="9"/>
            <color indexed="81"/>
            <rFont val="Tahoma"/>
            <family val="2"/>
          </rPr>
          <t xml:space="preserve">
Likely will not change from year to year, unless legislative action.</t>
        </r>
      </text>
    </comment>
  </commentList>
</comments>
</file>

<file path=xl/comments2.xml><?xml version="1.0" encoding="utf-8"?>
<comments xmlns="http://schemas.openxmlformats.org/spreadsheetml/2006/main">
  <authors>
    <author>CICS</author>
    <author>cics</author>
    <author>dreinert</author>
  </authors>
  <commentList>
    <comment ref="C18" authorId="0">
      <text>
        <r>
          <rPr>
            <sz val="10"/>
            <color rgb="FF000000"/>
            <rFont val="Arial"/>
            <family val="2"/>
          </rPr>
          <t xml:space="preserve">Remember to enter the percent of delinquent taxes to use for the COMBINED data.
</t>
        </r>
      </text>
    </comment>
    <comment ref="M41" authorId="1">
      <text>
        <r>
          <rPr>
            <sz val="10"/>
            <color indexed="81"/>
            <rFont val="Arial"/>
            <family val="2"/>
          </rPr>
          <t>If this number is over 5%, please verify that it is indeed correct.</t>
        </r>
        <r>
          <rPr>
            <sz val="8"/>
            <color indexed="81"/>
            <rFont val="Tahoma"/>
            <family val="2"/>
          </rPr>
          <t xml:space="preserve">
</t>
        </r>
      </text>
    </comment>
    <comment ref="M42" authorId="1">
      <text>
        <r>
          <rPr>
            <sz val="10"/>
            <color indexed="81"/>
            <rFont val="Arial"/>
            <family val="2"/>
          </rPr>
          <t>If this number is over 5%, please verify that it is indeed correct.</t>
        </r>
        <r>
          <rPr>
            <sz val="8"/>
            <color indexed="81"/>
            <rFont val="Tahoma"/>
            <family val="2"/>
          </rPr>
          <t xml:space="preserve">
</t>
        </r>
      </text>
    </comment>
    <comment ref="E96" authorId="2">
      <text>
        <r>
          <rPr>
            <sz val="9"/>
            <color indexed="81"/>
            <rFont val="Tahoma"/>
            <family val="2"/>
          </rPr>
          <t xml:space="preserve">Transfers to the bottom of the Code 01 worksheet.
</t>
        </r>
      </text>
    </comment>
  </commentList>
</comments>
</file>

<file path=xl/comments20.xml><?xml version="1.0" encoding="utf-8"?>
<comments xmlns="http://schemas.openxmlformats.org/spreadsheetml/2006/main">
  <authors>
    <author>Sara Barnes</author>
    <author>RoseMary Ireland</author>
  </authors>
  <commentList>
    <comment ref="BL1" authorId="0">
      <text>
        <r>
          <rPr>
            <b/>
            <sz val="9"/>
            <color indexed="81"/>
            <rFont val="Tahoma"/>
            <family val="2"/>
          </rPr>
          <t>Sara Barnes: Rose Ireland</t>
        </r>
        <r>
          <rPr>
            <sz val="9"/>
            <color indexed="81"/>
            <rFont val="Tahoma"/>
            <family val="2"/>
          </rPr>
          <t xml:space="preserve">
6/1/21:  Added Free/Reduced to DATA worksheet tab.  This is used for Sumexpense only.  Historically, Donna has updated this information as loaded on the OPEN page, but did not get rolled forward BDYR2021 and was missed in testing.  It will be easier to provide data rather than expect programmer to roll forward.</t>
        </r>
      </text>
    </comment>
    <comment ref="BM1" authorId="0">
      <text>
        <r>
          <rPr>
            <b/>
            <sz val="9"/>
            <color indexed="81"/>
            <rFont val="Tahoma"/>
            <family val="2"/>
          </rPr>
          <t>Sara Barnes: Rose Ireland</t>
        </r>
        <r>
          <rPr>
            <sz val="9"/>
            <color indexed="81"/>
            <rFont val="Tahoma"/>
            <family val="2"/>
          </rPr>
          <t xml:space="preserve">
6/1/21:  Added Free/Reduced to DATA worksheet tab.  This is used for Sumexpense only.  Historically, Donna has updated this information as loaded on the OPEN page, but did not get rolled forward BDYR2021 and was missed in testing.  It will be easier to provide data rather than expect programmer to roll forward.</t>
        </r>
      </text>
    </comment>
    <comment ref="BN1" authorId="0">
      <text>
        <r>
          <rPr>
            <b/>
            <sz val="9"/>
            <color indexed="81"/>
            <rFont val="Tahoma"/>
            <family val="2"/>
          </rPr>
          <t>Sara Barnes: Rose Ireland</t>
        </r>
        <r>
          <rPr>
            <sz val="9"/>
            <color indexed="81"/>
            <rFont val="Tahoma"/>
            <family val="2"/>
          </rPr>
          <t xml:space="preserve">
6/1/21:  Added Free/Reduced to DATA worksheet tab.  This is used for Sumexpense only.  Historically, Donna has updated this information as loaded on the OPEN page, but did not get rolled forward BDYR2021 and was missed in testing.  It will be easier to provide data rather than expect programmer to roll forward.</t>
        </r>
      </text>
    </comment>
    <comment ref="BO1" authorId="0">
      <text>
        <r>
          <rPr>
            <b/>
            <sz val="9"/>
            <color indexed="81"/>
            <rFont val="Tahoma"/>
            <family val="2"/>
          </rPr>
          <t>Sara Barnes: Rose Ireland</t>
        </r>
        <r>
          <rPr>
            <sz val="9"/>
            <color indexed="81"/>
            <rFont val="Tahoma"/>
            <family val="2"/>
          </rPr>
          <t xml:space="preserve">
6/1/21:  Added Free/Reduced to DATA worksheet tab.  This is used for Sumexpense only.  Historically, Donna has updated this information as loaded on the OPEN page, but did not get rolled forward BDYR2021 and was missed in testing.  It will be easier to provide data rather than expect programmer to roll forward.</t>
        </r>
      </text>
    </comment>
    <comment ref="BP1" authorId="0">
      <text>
        <r>
          <rPr>
            <b/>
            <sz val="9"/>
            <color indexed="81"/>
            <rFont val="Tahoma"/>
            <family val="2"/>
          </rPr>
          <t>Sara Barnes: Rose Ireland</t>
        </r>
        <r>
          <rPr>
            <sz val="9"/>
            <color indexed="81"/>
            <rFont val="Tahoma"/>
            <family val="2"/>
          </rPr>
          <t xml:space="preserve">
6/1/21:  Added Free/Reduced to DATA worksheet tab.  This is used for Sumexpense only.  Historically, Donna has updated this information as loaded on the OPEN page, but did not get rolled forward BDYR2021 and was missed in testing.  It will be easier to provide data rather than expect programmer to roll forward.</t>
        </r>
      </text>
    </comment>
    <comment ref="BQ1" authorId="0">
      <text>
        <r>
          <rPr>
            <b/>
            <sz val="9"/>
            <color indexed="81"/>
            <rFont val="Tahoma"/>
            <family val="2"/>
          </rPr>
          <t>Sara Barnes: Rose Ireland</t>
        </r>
        <r>
          <rPr>
            <sz val="9"/>
            <color indexed="81"/>
            <rFont val="Tahoma"/>
            <family val="2"/>
          </rPr>
          <t xml:space="preserve">
6/1/21:  Added Free/Reduced to DATA worksheet tab.  This is used for Sumexpense only.  Historically, Donna has updated this information as loaded on the OPEN page, but did not get rolled forward BDYR2021 and was missed in testing.  It will be easier to provide data rather than expect programmer to roll forward.</t>
        </r>
      </text>
    </comment>
    <comment ref="H2" authorId="0">
      <text>
        <r>
          <rPr>
            <b/>
            <sz val="9"/>
            <color indexed="81"/>
            <rFont val="Tahoma"/>
            <family val="2"/>
          </rPr>
          <t>Sara Barnes:</t>
        </r>
        <r>
          <rPr>
            <sz val="9"/>
            <color indexed="81"/>
            <rFont val="Tahoma"/>
            <family val="2"/>
          </rPr>
          <t xml:space="preserve">
6-1-21:  Yellow shaded are USDs with 2/20 FTE.  Exclude 4yr AR and Virtual and 2/20.</t>
        </r>
      </text>
    </comment>
    <comment ref="I2" authorId="0">
      <text>
        <r>
          <rPr>
            <b/>
            <sz val="9"/>
            <color rgb="FF000000"/>
            <rFont val="Tahoma"/>
            <family val="2"/>
          </rPr>
          <t>Sara Barnes:</t>
        </r>
        <r>
          <rPr>
            <sz val="9"/>
            <color rgb="FF000000"/>
            <rFont val="Tahoma"/>
            <family val="2"/>
          </rPr>
          <t xml:space="preserve">
6-1-21:  Yellow shaded are USDs with 2/20 FTE.  Exclude 4yr AR and Virtual and 2/20.
6-21-21:  FTE was adjusted to exclude students that were enrolled in 2019-2020 that attended private school in 2020-2021 due to Tax Credit Scholarship.</t>
        </r>
      </text>
    </comment>
    <comment ref="X2" authorId="0">
      <text>
        <r>
          <rPr>
            <b/>
            <sz val="9"/>
            <color indexed="81"/>
            <rFont val="Tahoma"/>
            <family val="2"/>
          </rPr>
          <t>Sara Barnes:</t>
        </r>
        <r>
          <rPr>
            <sz val="9"/>
            <color indexed="81"/>
            <rFont val="Tahoma"/>
            <family val="2"/>
          </rPr>
          <t xml:space="preserve">
Pull from final legal max.</t>
        </r>
      </text>
    </comment>
    <comment ref="Y2" authorId="0">
      <text>
        <r>
          <rPr>
            <b/>
            <sz val="9"/>
            <color indexed="81"/>
            <rFont val="Tahoma"/>
            <family val="2"/>
          </rPr>
          <t>Sara Barnes:</t>
        </r>
        <r>
          <rPr>
            <sz val="9"/>
            <color indexed="81"/>
            <rFont val="Tahoma"/>
            <family val="2"/>
          </rPr>
          <t xml:space="preserve">
2020-21 pulled from Free &amp; Reduced S066 report after all audits were completed.</t>
        </r>
      </text>
    </comment>
    <comment ref="AF2" authorId="0">
      <text>
        <r>
          <rPr>
            <b/>
            <sz val="9"/>
            <color indexed="81"/>
            <rFont val="Tahoma"/>
            <family val="2"/>
          </rPr>
          <t>Sara Barnes:</t>
        </r>
        <r>
          <rPr>
            <sz val="9"/>
            <color indexed="81"/>
            <rFont val="Tahoma"/>
            <family val="2"/>
          </rPr>
          <t xml:space="preserve">
Be sure to include 2/20 when applicable.  Based on current year FTE enrollment, incl 4yr AR.  Prior budget years we excluded 4yr AR, but Mr. Dennis agreed we should include beginning BDYR18.
FTE is calculated to </t>
        </r>
        <r>
          <rPr>
            <b/>
            <sz val="9"/>
            <color indexed="81"/>
            <rFont val="Tahoma"/>
            <family val="2"/>
          </rPr>
          <t>exclude Virtual</t>
        </r>
        <r>
          <rPr>
            <sz val="9"/>
            <color indexed="81"/>
            <rFont val="Tahoma"/>
            <family val="2"/>
          </rPr>
          <t>.</t>
        </r>
      </text>
    </comment>
    <comment ref="AG2" authorId="0">
      <text>
        <r>
          <rPr>
            <b/>
            <sz val="9"/>
            <color indexed="81"/>
            <rFont val="Tahoma"/>
            <family val="2"/>
          </rPr>
          <t>Sara Barnes:</t>
        </r>
        <r>
          <rPr>
            <sz val="9"/>
            <color indexed="81"/>
            <rFont val="Tahoma"/>
            <family val="2"/>
          </rPr>
          <t xml:space="preserve">
Be sure to include 2/20 when applicable.  Based on current year FTE enrollment, incl 4yr AR.  Prior budget years we excluded 4yr AR, but Mr. Dennis agreed we should include beginning BDYR18.
FTE is calculated to </t>
        </r>
        <r>
          <rPr>
            <b/>
            <sz val="9"/>
            <color indexed="81"/>
            <rFont val="Tahoma"/>
            <family val="2"/>
          </rPr>
          <t>exclude Virtual</t>
        </r>
        <r>
          <rPr>
            <sz val="9"/>
            <color indexed="81"/>
            <rFont val="Tahoma"/>
            <family val="2"/>
          </rPr>
          <t>.</t>
        </r>
      </text>
    </comment>
    <comment ref="AH2" authorId="0">
      <text>
        <r>
          <rPr>
            <b/>
            <sz val="9"/>
            <color indexed="81"/>
            <rFont val="Tahoma"/>
            <family val="2"/>
          </rPr>
          <t>Sara Barnes:</t>
        </r>
        <r>
          <rPr>
            <sz val="9"/>
            <color indexed="81"/>
            <rFont val="Tahoma"/>
            <family val="2"/>
          </rPr>
          <t xml:space="preserve">
Be sure to include 2/20 when applicable.  Based on current year FTE enrollment, incl 4yr AR.  Prior budget years we excluded 4yr AR, but Mr. Dennis agreed we should include beginning BDYR18.
FTE is calculated to </t>
        </r>
        <r>
          <rPr>
            <b/>
            <sz val="9"/>
            <color indexed="81"/>
            <rFont val="Tahoma"/>
            <family val="2"/>
          </rPr>
          <t>exclude Virtual</t>
        </r>
        <r>
          <rPr>
            <sz val="9"/>
            <color indexed="81"/>
            <rFont val="Tahoma"/>
            <family val="2"/>
          </rPr>
          <t>.</t>
        </r>
      </text>
    </comment>
    <comment ref="AI2" authorId="0">
      <text>
        <r>
          <rPr>
            <b/>
            <sz val="9"/>
            <color indexed="81"/>
            <rFont val="Tahoma"/>
            <family val="2"/>
          </rPr>
          <t>Sara Barnes:</t>
        </r>
        <r>
          <rPr>
            <sz val="9"/>
            <color indexed="81"/>
            <rFont val="Tahoma"/>
            <family val="2"/>
          </rPr>
          <t xml:space="preserve">
Be sure to include 2/20 when applicable.  Based on current year FTE enrollment, incl 4yr AR.  Prior budget years we excluded 4yr AR, but Mr. Dennis agreed we should include beginning BDYR18.
Legal Max Column Excel Columns O (9/20 + 2/20) plus Q (4yrAR) [excludes Virtual]
</t>
        </r>
        <r>
          <rPr>
            <b/>
            <sz val="9"/>
            <color indexed="81"/>
            <rFont val="Tahoma"/>
            <family val="2"/>
          </rPr>
          <t xml:space="preserve">
FTE calculated excludes Virtual.</t>
        </r>
      </text>
    </comment>
    <comment ref="AJ2" authorId="0">
      <text>
        <r>
          <rPr>
            <b/>
            <sz val="9"/>
            <color indexed="81"/>
            <rFont val="Tahoma"/>
            <family val="2"/>
          </rPr>
          <t>Sara Barnes:</t>
        </r>
        <r>
          <rPr>
            <sz val="9"/>
            <color indexed="81"/>
            <rFont val="Tahoma"/>
            <family val="2"/>
          </rPr>
          <t xml:space="preserve">
Pull from Average Apprasied Value of Homes saved in this folder:  T:/Assessed Valuation/Appraised Value of Homes (COL)</t>
        </r>
      </text>
    </comment>
    <comment ref="AM2" authorId="0">
      <text>
        <r>
          <rPr>
            <b/>
            <sz val="9"/>
            <color indexed="81"/>
            <rFont val="Tahoma"/>
            <family val="2"/>
          </rPr>
          <t>Sara Barnes:</t>
        </r>
        <r>
          <rPr>
            <sz val="9"/>
            <color indexed="81"/>
            <rFont val="Tahoma"/>
            <family val="2"/>
          </rPr>
          <t xml:space="preserve">
Submit Data Request for Military Connected Students.  Refer to file saved here:  P:/Budget/Export 2021-2022/Documentation/Military Connected Students.xlsx</t>
        </r>
      </text>
    </comment>
    <comment ref="BH2" authorId="0">
      <text>
        <r>
          <rPr>
            <b/>
            <sz val="9"/>
            <color indexed="81"/>
            <rFont val="Tahoma"/>
            <family val="2"/>
          </rPr>
          <t>Sara Barnes:</t>
        </r>
        <r>
          <rPr>
            <sz val="9"/>
            <color indexed="81"/>
            <rFont val="Tahoma"/>
            <family val="2"/>
          </rPr>
          <t xml:space="preserve">
6-18-21:  Be sure to pull from the web form as certified April 1.</t>
        </r>
      </text>
    </comment>
    <comment ref="D3" authorId="0">
      <text>
        <r>
          <rPr>
            <b/>
            <sz val="9"/>
            <color rgb="FF000000"/>
            <rFont val="Tahoma"/>
            <family val="2"/>
          </rPr>
          <t xml:space="preserve">Sara Barnes:
</t>
        </r>
        <r>
          <rPr>
            <sz val="9"/>
            <color rgb="FF000000"/>
            <rFont val="Tahoma"/>
            <family val="2"/>
          </rPr>
          <t>5-23-16:  Craig confirmed to use Total Valuation opposed to LOB/BI as decided for loading to prior budget.</t>
        </r>
      </text>
    </comment>
    <comment ref="F3" authorId="0">
      <text>
        <r>
          <rPr>
            <b/>
            <sz val="9"/>
            <color rgb="FF000000"/>
            <rFont val="Tahoma"/>
            <family val="2"/>
          </rPr>
          <t>Sara Barnes:</t>
        </r>
        <r>
          <rPr>
            <sz val="9"/>
            <color rgb="FF000000"/>
            <rFont val="Tahoma"/>
            <family val="2"/>
          </rPr>
          <t xml:space="preserve">
5-23-16:  Craig confirmed to use Total Valuation opposed to LOB/BI as decided for loading to prior budget.</t>
        </r>
      </text>
    </comment>
    <comment ref="K3" authorId="0">
      <text>
        <r>
          <rPr>
            <b/>
            <sz val="9"/>
            <color indexed="81"/>
            <rFont val="Tahoma"/>
            <family val="2"/>
          </rPr>
          <t>Sara Barnes:</t>
        </r>
        <r>
          <rPr>
            <sz val="9"/>
            <color indexed="81"/>
            <rFont val="Tahoma"/>
            <family val="2"/>
          </rPr>
          <t xml:space="preserve">
Adjusted Legal General Fund Budget - pull from Legal Max.   Should also balance on State Aid All-In.</t>
        </r>
      </text>
    </comment>
    <comment ref="L3" authorId="0">
      <text>
        <r>
          <rPr>
            <b/>
            <sz val="9"/>
            <color indexed="81"/>
            <rFont val="Tahoma"/>
            <family val="2"/>
          </rPr>
          <t>Sara Barnes:</t>
        </r>
        <r>
          <rPr>
            <sz val="9"/>
            <color indexed="81"/>
            <rFont val="Tahoma"/>
            <family val="2"/>
          </rPr>
          <t xml:space="preserve">
Includes Virtual</t>
        </r>
      </text>
    </comment>
    <comment ref="M3" authorId="0">
      <text>
        <r>
          <rPr>
            <b/>
            <sz val="9"/>
            <color indexed="81"/>
            <rFont val="Tahoma"/>
            <family val="2"/>
          </rPr>
          <t>Sara Barnes:</t>
        </r>
        <r>
          <rPr>
            <sz val="9"/>
            <color indexed="81"/>
            <rFont val="Tahoma"/>
            <family val="2"/>
          </rPr>
          <t xml:space="preserve">
Includes Virtual</t>
        </r>
      </text>
    </comment>
    <comment ref="N3" authorId="0">
      <text>
        <r>
          <rPr>
            <b/>
            <sz val="9"/>
            <color indexed="81"/>
            <rFont val="Tahoma"/>
            <family val="2"/>
          </rPr>
          <t>Sara Barnes:</t>
        </r>
        <r>
          <rPr>
            <sz val="9"/>
            <color indexed="81"/>
            <rFont val="Tahoma"/>
            <family val="2"/>
          </rPr>
          <t xml:space="preserve">
Includes Virtual</t>
        </r>
      </text>
    </comment>
    <comment ref="O3" authorId="0">
      <text>
        <r>
          <rPr>
            <b/>
            <sz val="9"/>
            <color indexed="81"/>
            <rFont val="Tahoma"/>
            <family val="2"/>
          </rPr>
          <t>Sara Barnes:</t>
        </r>
        <r>
          <rPr>
            <sz val="9"/>
            <color indexed="81"/>
            <rFont val="Tahoma"/>
            <family val="2"/>
          </rPr>
          <t xml:space="preserve">
Includes Virtual.  Should be the same FTE used for computing AVPP.  Refer to 2020DeptOfEdu_PVD.xlsx file (2020-2021 Final AVPP worksheet tab).</t>
        </r>
      </text>
    </comment>
    <comment ref="Y3" authorId="0">
      <text>
        <r>
          <rPr>
            <b/>
            <sz val="9"/>
            <color rgb="FF000000"/>
            <rFont val="Tahoma"/>
            <family val="2"/>
          </rPr>
          <t>Sara Barnes:</t>
        </r>
        <r>
          <rPr>
            <sz val="9"/>
            <color rgb="FF000000"/>
            <rFont val="Tahoma"/>
            <family val="2"/>
          </rPr>
          <t xml:space="preserve">
2019-20 pulled from Free &amp; Reduced S066 report after all audits were completed.</t>
        </r>
      </text>
    </comment>
    <comment ref="Z3" authorId="0">
      <text>
        <r>
          <rPr>
            <b/>
            <sz val="9"/>
            <color rgb="FF000000"/>
            <rFont val="Tahoma"/>
            <family val="2"/>
          </rPr>
          <t>Sara Barnes:</t>
        </r>
        <r>
          <rPr>
            <sz val="9"/>
            <color rgb="FF000000"/>
            <rFont val="Tahoma"/>
            <family val="2"/>
          </rPr>
          <t xml:space="preserve">
USD 113 has old bonds prior to consolidation.
6-21-16:  Capital Outlay aid rate (F239 E30) uses same rate as bonds prior to July 1, 2015.</t>
        </r>
      </text>
    </comment>
    <comment ref="AA3" authorId="0">
      <text>
        <r>
          <rPr>
            <b/>
            <sz val="9"/>
            <color indexed="81"/>
            <rFont val="Calibri"/>
            <family val="2"/>
            <scheme val="minor"/>
          </rPr>
          <t>Sara Barnes:</t>
        </r>
        <r>
          <rPr>
            <sz val="9"/>
            <color indexed="81"/>
            <rFont val="Calibri"/>
            <family val="2"/>
            <scheme val="minor"/>
          </rPr>
          <t xml:space="preserve">
6-21-16:  Same rate will be used for bond elections after July 1, 2015 and prior July 1, 2016, and for bond elections held after July 1, 2016 - however, aid will be pro-rated as determined by State Board for bond elections after July 1, 2016.</t>
        </r>
      </text>
    </comment>
    <comment ref="Z15" authorId="0">
      <text>
        <r>
          <rPr>
            <b/>
            <sz val="9"/>
            <color indexed="81"/>
            <rFont val="Tahoma"/>
            <family val="2"/>
          </rPr>
          <t>Sara Barnes:</t>
        </r>
        <r>
          <rPr>
            <sz val="9"/>
            <color indexed="81"/>
            <rFont val="Tahoma"/>
            <family val="2"/>
          </rPr>
          <t xml:space="preserve">
6-17-20:  Old USD 441.</t>
        </r>
      </text>
    </comment>
    <comment ref="W24" authorId="1">
      <text>
        <r>
          <rPr>
            <b/>
            <sz val="9"/>
            <color indexed="81"/>
            <rFont val="Tahoma"/>
            <family val="2"/>
          </rPr>
          <t>RoseMary Ireland:</t>
        </r>
        <r>
          <rPr>
            <sz val="9"/>
            <color indexed="81"/>
            <rFont val="Tahoma"/>
            <family val="2"/>
          </rPr>
          <t xml:space="preserve">
Rate was capped at 100%</t>
        </r>
      </text>
    </comment>
    <comment ref="B127" authorId="0">
      <text>
        <r>
          <rPr>
            <b/>
            <sz val="9"/>
            <color indexed="81"/>
            <rFont val="Tahoma"/>
            <family val="2"/>
          </rPr>
          <t>Sara Barnes:</t>
        </r>
        <r>
          <rPr>
            <sz val="9"/>
            <color indexed="81"/>
            <rFont val="Tahoma"/>
            <family val="2"/>
          </rPr>
          <t xml:space="preserve">
7-16-2020:  Updated USD Name as Kingman-Norwich per Diana Thornton, Board Clerk.</t>
        </r>
      </text>
    </comment>
    <comment ref="BL236" authorId="0">
      <text>
        <r>
          <rPr>
            <b/>
            <sz val="9"/>
            <color rgb="FF000000"/>
            <rFont val="Tahoma"/>
            <family val="2"/>
          </rPr>
          <t>Sara Barnes:</t>
        </r>
        <r>
          <rPr>
            <sz val="9"/>
            <color rgb="FF000000"/>
            <rFont val="Tahoma"/>
            <family val="2"/>
          </rPr>
          <t xml:space="preserve">
6-2-14:  Corrected from 201 to 200 as confirmed by Mike.</t>
        </r>
      </text>
    </comment>
    <comment ref="AB277" authorId="0">
      <text>
        <r>
          <rPr>
            <b/>
            <sz val="9"/>
            <color indexed="81"/>
            <rFont val="Tahoma"/>
            <family val="2"/>
          </rPr>
          <t>Sara Barnes:</t>
        </r>
        <r>
          <rPr>
            <sz val="9"/>
            <color indexed="81"/>
            <rFont val="Tahoma"/>
            <family val="2"/>
          </rPr>
          <t xml:space="preserve">
6-18-2021:  This will not match Axel as School Finance will compute and feed to him. Be sure to update to reflect our computed rate.  This will be estimated and will change in Feburary 2022.
School Finance will compute for FY2022 and FY2023 to provide to Axel for state aid.</t>
        </r>
      </text>
    </comment>
  </commentList>
</comments>
</file>

<file path=xl/comments21.xml><?xml version="1.0" encoding="utf-8"?>
<comments xmlns="http://schemas.openxmlformats.org/spreadsheetml/2006/main">
  <authors>
    <author>Sara Barnes</author>
  </authors>
  <commentList>
    <comment ref="AO3" authorId="0">
      <text>
        <r>
          <rPr>
            <b/>
            <sz val="9"/>
            <color indexed="81"/>
            <rFont val="Tahoma"/>
            <family val="2"/>
          </rPr>
          <t>Sara Barnes:</t>
        </r>
        <r>
          <rPr>
            <sz val="9"/>
            <color indexed="81"/>
            <rFont val="Tahoma"/>
            <family val="2"/>
          </rPr>
          <t xml:space="preserve">
Sum of Total Org Rate and Total Other Rate</t>
        </r>
      </text>
    </comment>
  </commentList>
</comments>
</file>

<file path=xl/comments3.xml><?xml version="1.0" encoding="utf-8"?>
<comments xmlns="http://schemas.openxmlformats.org/spreadsheetml/2006/main">
  <authors>
    <author>Sara Barnes</author>
    <author>kmercer</author>
  </authors>
  <commentList>
    <comment ref="L49" authorId="0">
      <text>
        <r>
          <rPr>
            <sz val="8"/>
            <color indexed="81"/>
            <rFont val="Open Sans Light"/>
            <family val="2"/>
          </rPr>
          <t>This is used to compute cost of living weighting.  Do not delete formula.</t>
        </r>
      </text>
    </comment>
    <comment ref="AA564" authorId="1">
      <text>
        <r>
          <rPr>
            <sz val="8"/>
            <color indexed="81"/>
            <rFont val="Tahoma"/>
            <family val="2"/>
          </rPr>
          <t xml:space="preserve">$303,432 payment added back for 07-08 payment paid in 08-09
</t>
        </r>
      </text>
    </comment>
  </commentList>
</comments>
</file>

<file path=xl/comments4.xml><?xml version="1.0" encoding="utf-8"?>
<comments xmlns="http://schemas.openxmlformats.org/spreadsheetml/2006/main">
  <authors>
    <author>Donna Reinert</author>
  </authors>
  <commentList>
    <comment ref="A31" authorId="0">
      <text>
        <r>
          <rPr>
            <sz val="9"/>
            <color indexed="81"/>
            <rFont val="Tahoma"/>
            <family val="2"/>
          </rPr>
          <t xml:space="preserve">Click on this down arrow to filter the data by district.  Uncheck 'Select All' and check the box to the left of your district.
</t>
        </r>
      </text>
    </comment>
  </commentList>
</comments>
</file>

<file path=xl/comments5.xml><?xml version="1.0" encoding="utf-8"?>
<comments xmlns="http://schemas.openxmlformats.org/spreadsheetml/2006/main">
  <authors>
    <author>dreinert</author>
  </authors>
  <commentList>
    <comment ref="J23" authorId="0">
      <text>
        <r>
          <rPr>
            <sz val="10"/>
            <rFont val="Arial"/>
            <family val="2"/>
          </rPr>
          <t>If you leave this blank you will be adopting the maximum LOB on line 5.</t>
        </r>
        <r>
          <rPr>
            <sz val="10"/>
            <rFont val="Arial"/>
            <family val="2"/>
          </rPr>
          <t xml:space="preserve">
</t>
        </r>
        <r>
          <rPr>
            <sz val="10"/>
            <rFont val="Arial"/>
            <family val="2"/>
          </rPr>
          <t xml:space="preserve">
</t>
        </r>
      </text>
    </comment>
  </commentList>
</comments>
</file>

<file path=xl/comments6.xml><?xml version="1.0" encoding="utf-8"?>
<comments xmlns="http://schemas.openxmlformats.org/spreadsheetml/2006/main">
  <authors>
    <author>Sara Barnes</author>
  </authors>
  <commentList>
    <comment ref="H16" authorId="0">
      <text>
        <r>
          <rPr>
            <sz val="9"/>
            <color indexed="81"/>
            <rFont val="Open Sans Light"/>
            <family val="2"/>
          </rPr>
          <t xml:space="preserve">
This Rate is set by USDA.</t>
        </r>
      </text>
    </comment>
    <comment ref="H25" authorId="0">
      <text>
        <r>
          <rPr>
            <sz val="9"/>
            <color indexed="81"/>
            <rFont val="Tahoma"/>
            <family val="2"/>
          </rPr>
          <t xml:space="preserve">
</t>
        </r>
        <r>
          <rPr>
            <sz val="9"/>
            <color indexed="81"/>
            <rFont val="Open Sans Light"/>
            <family val="2"/>
          </rPr>
          <t>This Rate is set by USDA.</t>
        </r>
      </text>
    </comment>
    <comment ref="H34" authorId="0">
      <text>
        <r>
          <rPr>
            <b/>
            <sz val="9"/>
            <color indexed="81"/>
            <rFont val="Tahoma"/>
            <family val="2"/>
          </rPr>
          <t xml:space="preserve">
</t>
        </r>
        <r>
          <rPr>
            <sz val="9"/>
            <color indexed="81"/>
            <rFont val="Open Sans Light"/>
            <family val="2"/>
          </rPr>
          <t>This rate is set by USDA.</t>
        </r>
      </text>
    </comment>
  </commentList>
</comments>
</file>

<file path=xl/comments7.xml><?xml version="1.0" encoding="utf-8"?>
<comments xmlns="http://schemas.openxmlformats.org/spreadsheetml/2006/main">
  <authors>
    <author>dreinert</author>
    <author>Sara Barnes</author>
  </authors>
  <commentList>
    <comment ref="B97" authorId="0">
      <text>
        <r>
          <rPr>
            <sz val="9"/>
            <color indexed="81"/>
            <rFont val="Open Sans Light"/>
            <family val="2"/>
          </rPr>
          <t>Comes from the Form 110, page 2.</t>
        </r>
        <r>
          <rPr>
            <sz val="9"/>
            <color indexed="81"/>
            <rFont val="Tahoma"/>
            <family val="2"/>
          </rPr>
          <t xml:space="preserve">
</t>
        </r>
      </text>
    </comment>
    <comment ref="E97" authorId="1">
      <text>
        <r>
          <rPr>
            <sz val="9"/>
            <color indexed="81"/>
            <rFont val="Open Sans Light"/>
            <family val="2"/>
          </rPr>
          <t>Comes from the OPEN page.</t>
        </r>
      </text>
    </comment>
  </commentList>
</comments>
</file>

<file path=xl/comments8.xml><?xml version="1.0" encoding="utf-8"?>
<comments xmlns="http://schemas.openxmlformats.org/spreadsheetml/2006/main">
  <authors>
    <author>dreinert</author>
  </authors>
  <commentList>
    <comment ref="K12" authorId="0">
      <text>
        <r>
          <rPr>
            <sz val="8"/>
            <color indexed="81"/>
            <rFont val="Open Sans Light"/>
            <family val="2"/>
          </rPr>
          <t>If this cell is equal to zero, then switch to the C08 and verify it does not say ERROR on taxes to be levied or 'expend &lt;&gt; LOB'.</t>
        </r>
      </text>
    </comment>
  </commentList>
</comments>
</file>

<file path=xl/comments9.xml><?xml version="1.0" encoding="utf-8"?>
<comments xmlns="http://schemas.openxmlformats.org/spreadsheetml/2006/main">
  <authors>
    <author>Bob Mather</author>
    <author>CICS</author>
    <author>Donna Reinert</author>
    <author>Sara Barnes</author>
  </authors>
  <commentList>
    <comment ref="C23" authorId="0">
      <text>
        <r>
          <rPr>
            <sz val="8"/>
            <color indexed="81"/>
            <rFont val="Open Sans Light"/>
            <family val="2"/>
          </rPr>
          <t>Non-designated revenue should be deposited into the appropriate categorical fund.  
Only 20 Mill Levy revenue inadvertently paid direct to the district should be deposited here.</t>
        </r>
      </text>
    </comment>
    <comment ref="D23" authorId="0">
      <text>
        <r>
          <rPr>
            <sz val="8"/>
            <color indexed="81"/>
            <rFont val="Open Sans Light"/>
            <family val="2"/>
          </rPr>
          <t>Non-designated revenue should be deposited into the appropriate categorical fund.
Only 20 Mill Levy revenue inadvertently paid direct to the district should be deposited here.</t>
        </r>
      </text>
    </comment>
    <comment ref="E25" authorId="1">
      <text>
        <r>
          <rPr>
            <sz val="8"/>
            <color indexed="81"/>
            <rFont val="Open Sans Light"/>
            <family val="2"/>
          </rPr>
          <t>If this cell is 0 or a blank value for General State Aid, check cell J24 to see the difference between your revenue and expenditures (they must balance).</t>
        </r>
      </text>
    </comment>
    <comment ref="E27" authorId="2">
      <text>
        <r>
          <rPr>
            <sz val="8"/>
            <color indexed="81"/>
            <rFont val="Open Sans Light"/>
            <family val="2"/>
          </rPr>
          <t>This amount comes from the F150, Line 12.</t>
        </r>
        <r>
          <rPr>
            <sz val="9"/>
            <color indexed="81"/>
            <rFont val="Tahoma"/>
            <family val="2"/>
          </rPr>
          <t xml:space="preserve">
</t>
        </r>
      </text>
    </comment>
    <comment ref="E31" authorId="1">
      <text>
        <r>
          <rPr>
            <sz val="10"/>
            <color indexed="81"/>
            <rFont val="Open Sans Light"/>
            <family val="2"/>
          </rPr>
          <t>Cell I24 must be 0 and the transfer to Special Ed (Line 840) must be greater than or equal to your Special Education Aid (Line 120).  
See cell J32.</t>
        </r>
        <r>
          <rPr>
            <sz val="9"/>
            <color indexed="81"/>
            <rFont val="Geneva"/>
            <family val="2"/>
          </rPr>
          <t xml:space="preserve">
</t>
        </r>
      </text>
    </comment>
    <comment ref="E276" authorId="1">
      <text>
        <r>
          <rPr>
            <sz val="8"/>
            <color indexed="81"/>
            <rFont val="Open Sans Light"/>
            <family val="2"/>
          </rPr>
          <t>This transfer amount must be greater than or equal to the amount of Special Education Aid on line 120 (cell E27).</t>
        </r>
        <r>
          <rPr>
            <sz val="9"/>
            <color indexed="81"/>
            <rFont val="Geneva"/>
            <family val="2"/>
          </rPr>
          <t xml:space="preserve">
</t>
        </r>
      </text>
    </comment>
    <comment ref="E283" authorId="3">
      <text>
        <r>
          <rPr>
            <sz val="8"/>
            <color indexed="81"/>
            <rFont val="Open Sans Light"/>
            <family val="2"/>
          </rPr>
          <t>This transfer amount must be greater than or equal to the state aid amount generated for At-Risk (free meals) and At-Risk (high density) as computed on Form 150 Table VI.</t>
        </r>
      </text>
    </comment>
  </commentList>
</comments>
</file>

<file path=xl/sharedStrings.xml><?xml version="1.0" encoding="utf-8"?>
<sst xmlns="http://schemas.openxmlformats.org/spreadsheetml/2006/main" count="11534" uniqueCount="5314">
  <si>
    <t xml:space="preserve">      680 Miscellaneous Supplies </t>
  </si>
  <si>
    <t>50% or more free meals</t>
  </si>
  <si>
    <t>Density of 212.1 students and free lunch rate &gt;=35.1</t>
  </si>
  <si>
    <t>COST OF LIVING</t>
  </si>
  <si>
    <t>12-1927</t>
  </si>
  <si>
    <t>18 mo.</t>
  </si>
  <si>
    <t>Financing</t>
  </si>
  <si>
    <t xml:space="preserve">  974 Textbook &amp; Student Material Revolving</t>
  </si>
  <si>
    <t>&lt;--Should be zero</t>
  </si>
  <si>
    <t xml:space="preserve">  946 Professional Development  </t>
  </si>
  <si>
    <t>ADULT EDUCATION</t>
  </si>
  <si>
    <t>Required</t>
  </si>
  <si>
    <t xml:space="preserve">UNENCUMBERED CASH BALANCE, JULY 1  </t>
  </si>
  <si>
    <t xml:space="preserve">1000 LOCAL SOURCES              </t>
  </si>
  <si>
    <t xml:space="preserve">  1110 Ad Valorem Tax Levied    </t>
  </si>
  <si>
    <t xml:space="preserve">   1310 Tuition Individuals-Class Fees  </t>
  </si>
  <si>
    <t xml:space="preserve">      July - December Estimate   </t>
  </si>
  <si>
    <t xml:space="preserve">   1510 Interest on Idle Funds </t>
  </si>
  <si>
    <t xml:space="preserve">  1900 Other Revenue From Local Source</t>
  </si>
  <si>
    <t xml:space="preserve">    1940 Sale &amp; Rent of Textbook</t>
  </si>
  <si>
    <t xml:space="preserve">    1990 Miscellaneous          </t>
  </si>
  <si>
    <t xml:space="preserve">2000 COUNTY SOURCES             </t>
  </si>
  <si>
    <t xml:space="preserve">    July - December Estimate     </t>
  </si>
  <si>
    <t xml:space="preserve">  2450 Recreational Vehicle Tax</t>
  </si>
  <si>
    <t xml:space="preserve">    July - December Estimate</t>
  </si>
  <si>
    <t xml:space="preserve">3000 STATE SOURCES              </t>
  </si>
  <si>
    <t xml:space="preserve">  832 Interest                   </t>
  </si>
  <si>
    <t xml:space="preserve">  831 Principal                  </t>
  </si>
  <si>
    <t xml:space="preserve">  832 Interest Due July-December  </t>
  </si>
  <si>
    <t xml:space="preserve">  831 Principal Due July-December      </t>
  </si>
  <si>
    <t xml:space="preserve">  832 Interest                  </t>
  </si>
  <si>
    <t xml:space="preserve">  831 Principal                 </t>
  </si>
  <si>
    <t xml:space="preserve">  832 Interest Due July - December </t>
  </si>
  <si>
    <t xml:space="preserve">  831 Principal Due July - December     </t>
  </si>
  <si>
    <t xml:space="preserve">  832 Interest Due July - December  </t>
  </si>
  <si>
    <t xml:space="preserve">  831 Principal Due July - December      </t>
  </si>
  <si>
    <t xml:space="preserve">  3201 Adult Basic Aid          </t>
  </si>
  <si>
    <t xml:space="preserve">4000 FEDERAL SOURCES            </t>
  </si>
  <si>
    <t xml:space="preserve">  4540 Adult Education Aid      </t>
  </si>
  <si>
    <t xml:space="preserve">5000 OTHER                      </t>
  </si>
  <si>
    <t xml:space="preserve">  5206 Transfer From General    </t>
  </si>
  <si>
    <t xml:space="preserve">  5253 Transfer From Contingency Reserve</t>
  </si>
  <si>
    <t xml:space="preserve">RESOURCES AVAILABLE          </t>
  </si>
  <si>
    <t xml:space="preserve">TOTAL EXPENDITURES &amp; TRANSFERS  </t>
  </si>
  <si>
    <t>TOTAL OPERATING EXPENDITURE (18 MO)</t>
  </si>
  <si>
    <t xml:space="preserve">    120 NonCertified            </t>
  </si>
  <si>
    <t xml:space="preserve">  300 Purchased Professional and Tech Services</t>
  </si>
  <si>
    <t xml:space="preserve">2200 Instructional Support Staff        </t>
  </si>
  <si>
    <t>281 - Graham County</t>
  </si>
  <si>
    <t>2330 Special Area Administration Services</t>
  </si>
  <si>
    <t>&lt;-- Should not transfer back to General Fund</t>
  </si>
  <si>
    <t xml:space="preserve">      626 Motor Fuel (not school bus)</t>
  </si>
  <si>
    <t>ADULT SUPPLEMENTARY EDUCATION</t>
  </si>
  <si>
    <t xml:space="preserve">  1300 Tuition</t>
  </si>
  <si>
    <t xml:space="preserve">    1310 Individuals-Class Fees    </t>
  </si>
  <si>
    <t xml:space="preserve">    1510 Interest on Idle Funds</t>
  </si>
  <si>
    <t xml:space="preserve">     1940 Sale &amp; Rent of Textbook</t>
  </si>
  <si>
    <t xml:space="preserve">     1990 Miscellaneous</t>
  </si>
  <si>
    <t>5000 OTHER</t>
  </si>
  <si>
    <t xml:space="preserve">  5206 Transfer From General</t>
  </si>
  <si>
    <t>EXPENDITURES</t>
  </si>
  <si>
    <t xml:space="preserve">1000 Instruction               </t>
  </si>
  <si>
    <t xml:space="preserve">    560 Tuition                </t>
  </si>
  <si>
    <t xml:space="preserve">    610 General Supplemental(Teaching)</t>
  </si>
  <si>
    <t xml:space="preserve">    644 Textbooks              </t>
  </si>
  <si>
    <t xml:space="preserve">2000 Support Services          </t>
  </si>
  <si>
    <t xml:space="preserve">2100 Student Support Services     </t>
  </si>
  <si>
    <t xml:space="preserve">2200 Instructional Support Staff       </t>
  </si>
  <si>
    <t xml:space="preserve">2300 General Administration    </t>
  </si>
  <si>
    <t xml:space="preserve">  1979 Revenue From Special Liability Expense</t>
  </si>
  <si>
    <t>BILINGUAL EDUCATION</t>
  </si>
  <si>
    <t xml:space="preserve">  1510 Interest on Idle Funds   </t>
  </si>
  <si>
    <t xml:space="preserve">  4520 Bilingual Aid            </t>
  </si>
  <si>
    <t xml:space="preserve">  5208 Transfer From Supplemental General </t>
  </si>
  <si>
    <t xml:space="preserve">      561 Tuition/other State LEA's </t>
  </si>
  <si>
    <t xml:space="preserve">      563 Tuition/Private Sources </t>
  </si>
  <si>
    <t xml:space="preserve">      564 Payment to Bilingual Education Coop</t>
  </si>
  <si>
    <t xml:space="preserve">2400 School Administration     </t>
  </si>
  <si>
    <t>CAPITAL OUTLAY</t>
  </si>
  <si>
    <t xml:space="preserve">    July  - December Estimate     </t>
  </si>
  <si>
    <t xml:space="preserve">  2600 Other County Revenue     </t>
  </si>
  <si>
    <t xml:space="preserve">  4390 Impact Aid Construction   </t>
  </si>
  <si>
    <t>TOTAL OPERATION EXPENDITURE (18 MO)</t>
  </si>
  <si>
    <t xml:space="preserve">     220 Social Security</t>
  </si>
  <si>
    <t xml:space="preserve">     290 Other</t>
  </si>
  <si>
    <t xml:space="preserve">     210 Insurance</t>
  </si>
  <si>
    <t xml:space="preserve">  963 Special Liability Expense Fund</t>
  </si>
  <si>
    <t>VIRTUAL EDUCATION</t>
  </si>
  <si>
    <t xml:space="preserve">  974 Textbook &amp; Student Materials Revolving</t>
  </si>
  <si>
    <t>PROFESSIONAL DEVELOPMENT</t>
  </si>
  <si>
    <t xml:space="preserve">     120 NonCertified</t>
  </si>
  <si>
    <t>co6</t>
  </si>
  <si>
    <t>co7</t>
  </si>
  <si>
    <t>co8</t>
  </si>
  <si>
    <t>co10</t>
  </si>
  <si>
    <t>co11</t>
  </si>
  <si>
    <t>co12</t>
  </si>
  <si>
    <t>co13</t>
  </si>
  <si>
    <t>co14</t>
  </si>
  <si>
    <t>co18</t>
  </si>
  <si>
    <t>co22</t>
  </si>
  <si>
    <t>co24</t>
  </si>
  <si>
    <t>co26</t>
  </si>
  <si>
    <t>co28</t>
  </si>
  <si>
    <t>co29</t>
  </si>
  <si>
    <t>co30</t>
  </si>
  <si>
    <t>co34</t>
  </si>
  <si>
    <t>co35</t>
  </si>
  <si>
    <t>co78</t>
  </si>
  <si>
    <t xml:space="preserve">    700 Property (Equipment &amp; Furnishings) </t>
  </si>
  <si>
    <t xml:space="preserve">  2100 Student Support Services      </t>
  </si>
  <si>
    <t xml:space="preserve">  2200 Instructional Support Staff        </t>
  </si>
  <si>
    <t xml:space="preserve">  2300 General Administration     </t>
  </si>
  <si>
    <t xml:space="preserve">  2400 School Administration      </t>
  </si>
  <si>
    <t xml:space="preserve">  4200 Site Improvement Services</t>
  </si>
  <si>
    <t xml:space="preserve">  4300 Architectural &amp; Engineering Services</t>
  </si>
  <si>
    <t xml:space="preserve">  4900 Other                    </t>
  </si>
  <si>
    <t xml:space="preserve">5100 Debt Service               </t>
  </si>
  <si>
    <t xml:space="preserve">  Capital Outlay Bond           </t>
  </si>
  <si>
    <t xml:space="preserve">    890 Commission &amp; Postage          </t>
  </si>
  <si>
    <t xml:space="preserve">  960 Special Reserve Fund  </t>
  </si>
  <si>
    <t xml:space="preserve">  1942 Rental Fees &amp; Books</t>
  </si>
  <si>
    <t xml:space="preserve">  210 Health Care Services</t>
  </si>
  <si>
    <t xml:space="preserve">  520 Risk Management Insurance</t>
  </si>
  <si>
    <t>DRIVER TRAINING</t>
  </si>
  <si>
    <t xml:space="preserve">  3208 State Safety Aid         </t>
  </si>
  <si>
    <t xml:space="preserve">  3209 Motorcycle Safety Aid    </t>
  </si>
  <si>
    <t>Neosho</t>
  </si>
  <si>
    <t>Gray</t>
  </si>
  <si>
    <t>Cheyenne</t>
  </si>
  <si>
    <t>Rawlins</t>
  </si>
  <si>
    <t>Ness</t>
  </si>
  <si>
    <t>Jewell</t>
  </si>
  <si>
    <t>Washington</t>
  </si>
  <si>
    <t>Republic</t>
  </si>
  <si>
    <t>Greeley</t>
  </si>
  <si>
    <t>Wyandotte</t>
  </si>
  <si>
    <t>Butler</t>
  </si>
  <si>
    <t>Leavenworth</t>
  </si>
  <si>
    <t>Trego</t>
  </si>
  <si>
    <t>Stevens</t>
  </si>
  <si>
    <t>Norton</t>
  </si>
  <si>
    <t>Grant</t>
  </si>
  <si>
    <t>Kearny</t>
  </si>
  <si>
    <t>Morton</t>
  </si>
  <si>
    <t>Clark</t>
  </si>
  <si>
    <t>Meade</t>
  </si>
  <si>
    <t>Hodgeman</t>
  </si>
  <si>
    <t>Johnson</t>
  </si>
  <si>
    <t>Bourbon</t>
  </si>
  <si>
    <t>Smith</t>
  </si>
  <si>
    <t>Ottawa</t>
  </si>
  <si>
    <t>Wallace</t>
  </si>
  <si>
    <t>Coffey</t>
  </si>
  <si>
    <t>Crawford</t>
  </si>
  <si>
    <t>Lyon</t>
  </si>
  <si>
    <t>Barber</t>
  </si>
  <si>
    <t>Allen</t>
  </si>
  <si>
    <t>Sedgwick</t>
  </si>
  <si>
    <t>Rooks</t>
  </si>
  <si>
    <t>Mitchell</t>
  </si>
  <si>
    <t>Logan</t>
  </si>
  <si>
    <t>Graham</t>
  </si>
  <si>
    <t>Elk</t>
  </si>
  <si>
    <t>Chase</t>
  </si>
  <si>
    <t>Chautauqua</t>
  </si>
  <si>
    <t>Franklin</t>
  </si>
  <si>
    <t>Gove</t>
  </si>
  <si>
    <t>Decatur</t>
  </si>
  <si>
    <t>Lincoln</t>
  </si>
  <si>
    <t>Comanche</t>
  </si>
  <si>
    <t>Saline</t>
  </si>
  <si>
    <t>Reno</t>
  </si>
  <si>
    <t>Thomas</t>
  </si>
  <si>
    <t>Pottawatomie</t>
  </si>
  <si>
    <t>Phillips</t>
  </si>
  <si>
    <t>Ellsworth</t>
  </si>
  <si>
    <t>Wabaunsee</t>
  </si>
  <si>
    <t>Kingman</t>
  </si>
  <si>
    <t>Cloud</t>
  </si>
  <si>
    <t>Jackson</t>
  </si>
  <si>
    <t>Jefferson</t>
  </si>
  <si>
    <t>Linn</t>
  </si>
  <si>
    <t>Shawnee</t>
  </si>
  <si>
    <t>Edwards</t>
  </si>
  <si>
    <t>Douglas</t>
  </si>
  <si>
    <t>Stafford</t>
  </si>
  <si>
    <t>Sherman</t>
  </si>
  <si>
    <t>Sumner</t>
  </si>
  <si>
    <t>Barton</t>
  </si>
  <si>
    <t>Harper</t>
  </si>
  <si>
    <t>Finney</t>
  </si>
  <si>
    <t>Marshall</t>
  </si>
  <si>
    <t>Anderson</t>
  </si>
  <si>
    <t>Woodson</t>
  </si>
  <si>
    <t>Miami</t>
  </si>
  <si>
    <t>Harvey</t>
  </si>
  <si>
    <t>Haskell</t>
  </si>
  <si>
    <t>Rice</t>
  </si>
  <si>
    <t>Atchison</t>
  </si>
  <si>
    <t>Riley</t>
  </si>
  <si>
    <t>Clay</t>
  </si>
  <si>
    <t>Ford</t>
  </si>
  <si>
    <t>Pratt</t>
  </si>
  <si>
    <t>Greenwood</t>
  </si>
  <si>
    <t>Wilson</t>
  </si>
  <si>
    <t>Ellis</t>
  </si>
  <si>
    <t>Osborne</t>
  </si>
  <si>
    <t>Dickinson</t>
  </si>
  <si>
    <t>Rush</t>
  </si>
  <si>
    <t>Marion</t>
  </si>
  <si>
    <t>Russell</t>
  </si>
  <si>
    <t>McPherson</t>
  </si>
  <si>
    <t>Cherokee</t>
  </si>
  <si>
    <t>Doniphan</t>
  </si>
  <si>
    <t>Sheridan</t>
  </si>
  <si>
    <t>Brown</t>
  </si>
  <si>
    <t>Morris</t>
  </si>
  <si>
    <t>Osage</t>
  </si>
  <si>
    <t>Kiowa</t>
  </si>
  <si>
    <t>Montgomery</t>
  </si>
  <si>
    <t>Nemaha</t>
  </si>
  <si>
    <t>Stanton</t>
  </si>
  <si>
    <t>Cowley</t>
  </si>
  <si>
    <t>Scott</t>
  </si>
  <si>
    <t>Wichita</t>
  </si>
  <si>
    <t>Lane</t>
  </si>
  <si>
    <t>Geary</t>
  </si>
  <si>
    <t>Seward</t>
  </si>
  <si>
    <t>Hamilton</t>
  </si>
  <si>
    <t>Pawnee</t>
  </si>
  <si>
    <t>Labette</t>
  </si>
  <si>
    <t xml:space="preserve">  5253 Transfer from Contingency Reserve</t>
  </si>
  <si>
    <t xml:space="preserve">  4100 Land Acquisition</t>
  </si>
  <si>
    <t xml:space="preserve">  4200 Land Improvement </t>
  </si>
  <si>
    <t xml:space="preserve">  4600 Site Improvement </t>
  </si>
  <si>
    <t xml:space="preserve">  4700 Building Improvements </t>
  </si>
  <si>
    <t xml:space="preserve">  400 Supplies (Technology Related)</t>
  </si>
  <si>
    <t xml:space="preserve">    650 Supplies (Technology Related) </t>
  </si>
  <si>
    <t xml:space="preserve">  1981 Revenue From At Risk (K-12)</t>
  </si>
  <si>
    <t xml:space="preserve">  2400 Motor Vehicle Tax (includes 16/20M Tax) </t>
  </si>
  <si>
    <t xml:space="preserve">  2400 Motor Vehicle Tax  (Includes 16/20M Tax)  </t>
  </si>
  <si>
    <t xml:space="preserve">  2400 Motor Vehicle Tax (Includes 16/20M Tax)</t>
  </si>
  <si>
    <t xml:space="preserve">  2400 Motor Vehicle Tax (Includes 16/20M Tax) </t>
  </si>
  <si>
    <t xml:space="preserve">  2400 Motor Vehicle Tax (Includes 16/20M Tax)     </t>
  </si>
  <si>
    <t xml:space="preserve">  2400 Motor Vehicle Tax (Includes 16/20M Tax)       </t>
  </si>
  <si>
    <t xml:space="preserve">  2400 Motor Vehicle Tax (Includes 16/20M Tax)    </t>
  </si>
  <si>
    <t xml:space="preserve">UNENCUMBERED CASH BALANCE JUNE 30   </t>
  </si>
  <si>
    <t xml:space="preserve">      626 Motor Fuel-not schoolbus</t>
  </si>
  <si>
    <t xml:space="preserve">  442 Rental of Vehicles       </t>
  </si>
  <si>
    <t xml:space="preserve">  520 Insurance                </t>
  </si>
  <si>
    <t>Budgeted by fund :</t>
  </si>
  <si>
    <t>Budgeted on the F195</t>
  </si>
  <si>
    <t>(details to the right)</t>
  </si>
  <si>
    <t>F110 dates</t>
  </si>
  <si>
    <t xml:space="preserve">      562 Tuition/LEA's Out of State</t>
  </si>
  <si>
    <t xml:space="preserve">2200 Instr Support Staff       </t>
  </si>
  <si>
    <t xml:space="preserve">    110 Certified</t>
  </si>
  <si>
    <t xml:space="preserve">    800 Other</t>
  </si>
  <si>
    <t xml:space="preserve">  400 Purchased Property Serv</t>
  </si>
  <si>
    <t xml:space="preserve">    411 Water/Sewer</t>
  </si>
  <si>
    <t xml:space="preserve">    420 Cleaning</t>
  </si>
  <si>
    <t xml:space="preserve">    430 Repairs &amp; Maintenance</t>
  </si>
  <si>
    <t xml:space="preserve">    440 Rentals</t>
  </si>
  <si>
    <t xml:space="preserve">    490 Other</t>
  </si>
  <si>
    <t xml:space="preserve">    610 General Supplies</t>
  </si>
  <si>
    <t xml:space="preserve">    620 Energy</t>
  </si>
  <si>
    <t xml:space="preserve">      621 Heating</t>
  </si>
  <si>
    <t xml:space="preserve">      622 Electricity</t>
  </si>
  <si>
    <t xml:space="preserve">      629 Other</t>
  </si>
  <si>
    <t>FOOD SERVICE</t>
  </si>
  <si>
    <t xml:space="preserve">  1600 Food Service             </t>
  </si>
  <si>
    <t>3000 STATE SOURCES</t>
  </si>
  <si>
    <t>4000 FEDERAL SOURCES</t>
  </si>
  <si>
    <t xml:space="preserve">  1310 Tuition Individual-Class Fees</t>
  </si>
  <si>
    <t xml:space="preserve">  3203 School Food Assistance   </t>
  </si>
  <si>
    <t xml:space="preserve">  4550 Child Nutrition Programs </t>
  </si>
  <si>
    <t xml:space="preserve">5000 Other                      </t>
  </si>
  <si>
    <t xml:space="preserve">  5208 Transfer From Supplemental General  </t>
  </si>
  <si>
    <t>1920  Contributions &amp; Donations</t>
  </si>
  <si>
    <t>TAX REQUIRED (Line 185 minus Line 100)</t>
  </si>
  <si>
    <t xml:space="preserve">  211 Disability Income Benefits   </t>
  </si>
  <si>
    <t xml:space="preserve">  212 Group Life Insurance</t>
  </si>
  <si>
    <t xml:space="preserve">  3211 Deaf/Blind        </t>
  </si>
  <si>
    <t xml:space="preserve">2600 Operations &amp; Maintenance   </t>
  </si>
  <si>
    <t xml:space="preserve">    120 NonCertified </t>
  </si>
  <si>
    <t xml:space="preserve">    411 Water/Sewer             </t>
  </si>
  <si>
    <t xml:space="preserve">    490 Other                   </t>
  </si>
  <si>
    <t xml:space="preserve">    610 General Supplies        </t>
  </si>
  <si>
    <t xml:space="preserve">    620 Energy                  </t>
  </si>
  <si>
    <t xml:space="preserve">      621 Heating               </t>
  </si>
  <si>
    <t xml:space="preserve">      622 Electricity           </t>
  </si>
  <si>
    <t xml:space="preserve">      629 Other                 </t>
  </si>
  <si>
    <t xml:space="preserve">3000 Operation of NonInstructional Services     </t>
  </si>
  <si>
    <t xml:space="preserve">3100 Food Service Operation     </t>
  </si>
  <si>
    <t xml:space="preserve">    210 Insurance               </t>
  </si>
  <si>
    <t xml:space="preserve">    570 Food Service Management </t>
  </si>
  <si>
    <t xml:space="preserve">    630 Food &amp; Milk             </t>
  </si>
  <si>
    <t xml:space="preserve">  4500 Aid                      </t>
  </si>
  <si>
    <t xml:space="preserve">RESOURCES AVAILABLE       </t>
  </si>
  <si>
    <t xml:space="preserve">    120 NonCertified     </t>
  </si>
  <si>
    <t xml:space="preserve">    640 Books (not textbooks) and Periodicals  </t>
  </si>
  <si>
    <t xml:space="preserve">    120 NonCertified      </t>
  </si>
  <si>
    <t>PARENT EDUCATION PROGRAM</t>
  </si>
  <si>
    <t>DECLINING ENROLLMENT FUND</t>
  </si>
  <si>
    <t>Declining Enrollment</t>
  </si>
  <si>
    <t xml:space="preserve">  1320 Payment from Other school district</t>
  </si>
  <si>
    <t xml:space="preserve">  3216 Parent Education Aid     </t>
  </si>
  <si>
    <t xml:space="preserve">  5208 Transfer From Supplemental General   </t>
  </si>
  <si>
    <t xml:space="preserve">2100 Support Services  Student  </t>
  </si>
  <si>
    <t xml:space="preserve">    561 Payment to Other School District</t>
  </si>
  <si>
    <t xml:space="preserve">    564 Payment to Coops/Interlocal </t>
  </si>
  <si>
    <t xml:space="preserve">    120 NonCertified  </t>
  </si>
  <si>
    <t xml:space="preserve">    120 Non-Certified     </t>
  </si>
  <si>
    <t>SUMMER SCHOOL</t>
  </si>
  <si>
    <t xml:space="preserve">   1315 Individual (Summer School) </t>
  </si>
  <si>
    <t xml:space="preserve">   1316 Individuals (Out-of-District)</t>
  </si>
  <si>
    <t xml:space="preserve">   1320 Other School District in State</t>
  </si>
  <si>
    <t>Messages</t>
  </si>
  <si>
    <t>Est. Tax Rate for C016:</t>
  </si>
  <si>
    <t>Est. Tax Rate for C042:</t>
  </si>
  <si>
    <t>Est. tax rate for C044:</t>
  </si>
  <si>
    <t>Est tax rate for C045:</t>
  </si>
  <si>
    <t>Est. tax rate for C033:</t>
  </si>
  <si>
    <t>Est. tax rate for C066:</t>
  </si>
  <si>
    <t>Est. tax rate for C067:</t>
  </si>
  <si>
    <t>Est. tax rate for C068:</t>
  </si>
  <si>
    <t>Est. tax rate for C080:</t>
  </si>
  <si>
    <t>Est. tax rate for C082:</t>
  </si>
  <si>
    <t>Est. tax rate for C083:</t>
  </si>
  <si>
    <t>Est. tax rate for C084:</t>
  </si>
  <si>
    <t>Est. tax rate for C086:</t>
  </si>
  <si>
    <t xml:space="preserve">  1510 Interest on Idle Funds</t>
  </si>
  <si>
    <t xml:space="preserve">  5206 Transfer from General</t>
  </si>
  <si>
    <t xml:space="preserve">      562 Tuition/other LEA's outside State</t>
  </si>
  <si>
    <t>101 - Erie</t>
  </si>
  <si>
    <t>102 - Cimarron-Ensign</t>
  </si>
  <si>
    <t>103 - Cheylin</t>
  </si>
  <si>
    <t>105 - Rawlins County</t>
  </si>
  <si>
    <t>106 - Western Plains</t>
  </si>
  <si>
    <t>107 - Rock Hills</t>
  </si>
  <si>
    <t>108 - Washington Co. Schools</t>
  </si>
  <si>
    <t>109 - Republic County</t>
  </si>
  <si>
    <t>200 - Greeley County</t>
  </si>
  <si>
    <t>202 - Turner</t>
  </si>
  <si>
    <t>203 - Piper</t>
  </si>
  <si>
    <t>204 - Bonner Springs</t>
  </si>
  <si>
    <t>205 - Bluestem</t>
  </si>
  <si>
    <t>206 - Remington-Whitewater</t>
  </si>
  <si>
    <t>207 - Ft. Leavenworth</t>
  </si>
  <si>
    <t>208 - WaKeeney</t>
  </si>
  <si>
    <t>209 - Moscow</t>
  </si>
  <si>
    <t>210 - Hugoton</t>
  </si>
  <si>
    <t>211 - Norton</t>
  </si>
  <si>
    <t>212 - Northern Valley</t>
  </si>
  <si>
    <t>214 - Ulysses</t>
  </si>
  <si>
    <t>215 - Lakin</t>
  </si>
  <si>
    <t>216 - Deerfield</t>
  </si>
  <si>
    <t>217 - Rolla</t>
  </si>
  <si>
    <t>218 - Elkhart</t>
  </si>
  <si>
    <t>219 - Minneola</t>
  </si>
  <si>
    <t>220 - Ashland</t>
  </si>
  <si>
    <t>223 - Barnes</t>
  </si>
  <si>
    <t>224 - Clifton-Clyde</t>
  </si>
  <si>
    <t>225 - Fowler</t>
  </si>
  <si>
    <t>226 - Meade</t>
  </si>
  <si>
    <t>227 - Jetmore</t>
  </si>
  <si>
    <t>229 - Blue Valley</t>
  </si>
  <si>
    <t>230 - Spring Hill</t>
  </si>
  <si>
    <t>231 - Gardner-Edgerton</t>
  </si>
  <si>
    <t>232 - DeSoto</t>
  </si>
  <si>
    <t>233 - Olathe</t>
  </si>
  <si>
    <t>234 - Ft. Scott</t>
  </si>
  <si>
    <t>235 - Uniontown</t>
  </si>
  <si>
    <t>237 - Smith Center</t>
  </si>
  <si>
    <t>239 - North Ottawa Co.</t>
  </si>
  <si>
    <t>240 - Twin Valley</t>
  </si>
  <si>
    <t>241 - Wallace</t>
  </si>
  <si>
    <t>242 - Weskan</t>
  </si>
  <si>
    <t>243 - Lebo-Waverly</t>
  </si>
  <si>
    <t>244 - Burlington</t>
  </si>
  <si>
    <t>245 - LeRoy-Gridley</t>
  </si>
  <si>
    <t>246 - Northeast</t>
  </si>
  <si>
    <t>247 - Cherokee</t>
  </si>
  <si>
    <t>248 - Girard</t>
  </si>
  <si>
    <t>249 - Frontenac</t>
  </si>
  <si>
    <t>250 - Pittsburg</t>
  </si>
  <si>
    <t>251 - North Lyon Co.</t>
  </si>
  <si>
    <t>252 - Southern Lyon Co.</t>
  </si>
  <si>
    <t>253 - Emporia</t>
  </si>
  <si>
    <t>254 - Barber Co.</t>
  </si>
  <si>
    <t>255 - South Barber Co.</t>
  </si>
  <si>
    <t>256 - Marmaton Valley</t>
  </si>
  <si>
    <t>257 - Iola</t>
  </si>
  <si>
    <t>258 - Humboldt</t>
  </si>
  <si>
    <t>259 - Wichita</t>
  </si>
  <si>
    <t>260 - Derby</t>
  </si>
  <si>
    <t>261 - Haysville</t>
  </si>
  <si>
    <t>262 - Valley Center</t>
  </si>
  <si>
    <t>263 - Mulvane</t>
  </si>
  <si>
    <t>264 - Clearwater</t>
  </si>
  <si>
    <t>265 - Goddard</t>
  </si>
  <si>
    <t>266 - Maize</t>
  </si>
  <si>
    <t>267 - Renwick</t>
  </si>
  <si>
    <t>268 - Cheney</t>
  </si>
  <si>
    <t>269 - Palco</t>
  </si>
  <si>
    <t>270 - Plainville</t>
  </si>
  <si>
    <t>271 - Stockton</t>
  </si>
  <si>
    <t>272 - Waconda</t>
  </si>
  <si>
    <t>273 - Beloit</t>
  </si>
  <si>
    <t>274 - Oakley</t>
  </si>
  <si>
    <t>275 - Triplains</t>
  </si>
  <si>
    <t>282 - West Elk</t>
  </si>
  <si>
    <t>283 - Elk Valley</t>
  </si>
  <si>
    <t>284 - Chase County</t>
  </si>
  <si>
    <t>285 - Cedar Vale</t>
  </si>
  <si>
    <t>286 - Chautauqua</t>
  </si>
  <si>
    <t>287 - West Franklin</t>
  </si>
  <si>
    <t>288 - Central Heights</t>
  </si>
  <si>
    <t>289 - Wellsville</t>
  </si>
  <si>
    <t>290 - Ottawa</t>
  </si>
  <si>
    <t>291 - Grinnell</t>
  </si>
  <si>
    <t>293 - Quinter</t>
  </si>
  <si>
    <t>294 - Oberlin</t>
  </si>
  <si>
    <t>297 - St. Francis</t>
  </si>
  <si>
    <t>298 - Lincoln</t>
  </si>
  <si>
    <t>299 - Sylvan Grove</t>
  </si>
  <si>
    <t>300 - Commanche County</t>
  </si>
  <si>
    <t>303 - Ness City</t>
  </si>
  <si>
    <t>305 - Salina</t>
  </si>
  <si>
    <t>306 - Southeast of Saline</t>
  </si>
  <si>
    <t>307 - Ell-Saline</t>
  </si>
  <si>
    <t>308 - Hutchinson</t>
  </si>
  <si>
    <t>309 - Nickerson</t>
  </si>
  <si>
    <t>310 - Fairfield</t>
  </si>
  <si>
    <t>311 - Pretty Prairie</t>
  </si>
  <si>
    <t>312 - Haven</t>
  </si>
  <si>
    <t>313 - Buhler</t>
  </si>
  <si>
    <t>314 - Brewster</t>
  </si>
  <si>
    <t>315 - Colby</t>
  </si>
  <si>
    <t>316 - Golden Plains</t>
  </si>
  <si>
    <t>320 - Wamego</t>
  </si>
  <si>
    <t>321 - Kaw Valley</t>
  </si>
  <si>
    <t>322 - Onaga</t>
  </si>
  <si>
    <t>323 - Westmoreland</t>
  </si>
  <si>
    <t>325 - Phillipsburg</t>
  </si>
  <si>
    <t>326 - Logan</t>
  </si>
  <si>
    <t>327 - Ellsworth</t>
  </si>
  <si>
    <t>332 - Cunningham</t>
  </si>
  <si>
    <t>333 - Concordia</t>
  </si>
  <si>
    <t>334 - Southern Cloud</t>
  </si>
  <si>
    <t>335 - North Jackson</t>
  </si>
  <si>
    <t>336 - Holton</t>
  </si>
  <si>
    <t>337 - Mayetta</t>
  </si>
  <si>
    <t>339 - Jefferson County</t>
  </si>
  <si>
    <t>340 - Jefferson West</t>
  </si>
  <si>
    <t>341 - Oskaloosa</t>
  </si>
  <si>
    <t>342 - McLouth</t>
  </si>
  <si>
    <t>343 - Perry</t>
  </si>
  <si>
    <t>344 - Pleasanton</t>
  </si>
  <si>
    <t>345 - Seaman</t>
  </si>
  <si>
    <t>346 - Jayhawk</t>
  </si>
  <si>
    <t>347 - Kinsely-Offerle</t>
  </si>
  <si>
    <t>348 - Baldwin City</t>
  </si>
  <si>
    <t>349 - Stafford</t>
  </si>
  <si>
    <t>350 - St. John-Hudson</t>
  </si>
  <si>
    <t>351 - Macksville</t>
  </si>
  <si>
    <t>352 - Goodland</t>
  </si>
  <si>
    <t>353 - Wellington</t>
  </si>
  <si>
    <t>355 - Ellinwood</t>
  </si>
  <si>
    <t>co15</t>
  </si>
  <si>
    <t>356 - Conway Springs</t>
  </si>
  <si>
    <t>357 - Belle Plaine</t>
  </si>
  <si>
    <t>358 - Oxford</t>
  </si>
  <si>
    <t>359 - Argonia</t>
  </si>
  <si>
    <t>360 - Caldwell</t>
  </si>
  <si>
    <t>362 - Prairie View</t>
  </si>
  <si>
    <t>363 - Holcomb</t>
  </si>
  <si>
    <t>364 - Marysville</t>
  </si>
  <si>
    <t>365 - Garnett</t>
  </si>
  <si>
    <t>366 - Woodson</t>
  </si>
  <si>
    <t>367 - Osawatomie</t>
  </si>
  <si>
    <t>368 - Paola</t>
  </si>
  <si>
    <t>369 - Burrton</t>
  </si>
  <si>
    <t>371 - Montezuma</t>
  </si>
  <si>
    <t>372 - Silver Lake</t>
  </si>
  <si>
    <t>373 - Newton</t>
  </si>
  <si>
    <t>374 - Sublette</t>
  </si>
  <si>
    <t>375 - Circle</t>
  </si>
  <si>
    <t>376 - Sterling</t>
  </si>
  <si>
    <t>377 - Atchison County</t>
  </si>
  <si>
    <t>378 - Riley County</t>
  </si>
  <si>
    <t>379 - Clay Center</t>
  </si>
  <si>
    <t>380 - Vermillon</t>
  </si>
  <si>
    <t>381 - Spearville</t>
  </si>
  <si>
    <t>382 - Pratt</t>
  </si>
  <si>
    <t>383 - Manhattan</t>
  </si>
  <si>
    <t>384 - Blue Valley</t>
  </si>
  <si>
    <t>385 - Andover</t>
  </si>
  <si>
    <t>386 - Madison-Virgil</t>
  </si>
  <si>
    <t>387 - Altoona-Midway</t>
  </si>
  <si>
    <t>388 - Ellis</t>
  </si>
  <si>
    <t>389 - Eureka</t>
  </si>
  <si>
    <t>390 - Hamilton</t>
  </si>
  <si>
    <t>392 - Osborne</t>
  </si>
  <si>
    <t>393 - Solomon</t>
  </si>
  <si>
    <t>394 - Rose Hill</t>
  </si>
  <si>
    <t>&lt;-- Includes Sponsoring district payment to coop fund (Code 78)</t>
  </si>
  <si>
    <t>395 - LaCrosse</t>
  </si>
  <si>
    <t>396 - Douglass</t>
  </si>
  <si>
    <t>397 - Centre</t>
  </si>
  <si>
    <t>398 - Peabody-Burns</t>
  </si>
  <si>
    <t>399 - Paradise</t>
  </si>
  <si>
    <t>400 - Smoky Valley</t>
  </si>
  <si>
    <t>401 - Chase</t>
  </si>
  <si>
    <t>402 - Augusta</t>
  </si>
  <si>
    <t>403 - Otis-Bison</t>
  </si>
  <si>
    <t>404 - Riverton</t>
  </si>
  <si>
    <t>405 - Lyons</t>
  </si>
  <si>
    <t xml:space="preserve">407 - Russell </t>
  </si>
  <si>
    <t>408 - Marion</t>
  </si>
  <si>
    <t>409 - Atchison</t>
  </si>
  <si>
    <t>411 - Goessel</t>
  </si>
  <si>
    <t>412 - Hoxie</t>
  </si>
  <si>
    <t>413 - Chanute</t>
  </si>
  <si>
    <t>415 - Hiawatha</t>
  </si>
  <si>
    <t>416 - Louisburg</t>
  </si>
  <si>
    <t>417 - Morris County</t>
  </si>
  <si>
    <t>418 - McPherson</t>
  </si>
  <si>
    <t>419 - Canton-Galva</t>
  </si>
  <si>
    <t>420 - Osage City</t>
  </si>
  <si>
    <t>421 - Lyndon</t>
  </si>
  <si>
    <t>B&amp;I #2 msg</t>
  </si>
  <si>
    <t>423 - Moundridge</t>
  </si>
  <si>
    <t>426 - Pike Valley</t>
  </si>
  <si>
    <t>428 - Great Bend</t>
  </si>
  <si>
    <t>429 - Troy</t>
  </si>
  <si>
    <t>430 - Brown County</t>
  </si>
  <si>
    <t>431 - Hoisington</t>
  </si>
  <si>
    <t>432 - Victoria</t>
  </si>
  <si>
    <t>434 - Santa Fe</t>
  </si>
  <si>
    <t>435 - Abilene</t>
  </si>
  <si>
    <t>436 - Caney</t>
  </si>
  <si>
    <t>437 - Auburn Washburn</t>
  </si>
  <si>
    <t>438 - Skyline</t>
  </si>
  <si>
    <t>439 - Sedgwick</t>
  </si>
  <si>
    <t>440 - Halstead</t>
  </si>
  <si>
    <t>443 - Dodge City</t>
  </si>
  <si>
    <t>444 - Little River</t>
  </si>
  <si>
    <t>445 - Coffeyville</t>
  </si>
  <si>
    <t>446 - Independence</t>
  </si>
  <si>
    <t>447 - Cherryvale</t>
  </si>
  <si>
    <t>448 - Inman</t>
  </si>
  <si>
    <t>449 - Easton</t>
  </si>
  <si>
    <t>450 - Shawnee Heights</t>
  </si>
  <si>
    <t xml:space="preserve">    684 Other </t>
  </si>
  <si>
    <t>452 - Stanton County</t>
  </si>
  <si>
    <t>453 - Leavenworth</t>
  </si>
  <si>
    <t>454 - Burlingame</t>
  </si>
  <si>
    <t>456 - Marais Des Cygnes</t>
  </si>
  <si>
    <t>457 - Garden City</t>
  </si>
  <si>
    <t>458 - Basehor-Linwood</t>
  </si>
  <si>
    <t>459 - Bucklin</t>
  </si>
  <si>
    <t>460 - Hesston</t>
  </si>
  <si>
    <t>461 - Neodesha</t>
  </si>
  <si>
    <t>462 - Central</t>
  </si>
  <si>
    <t>463 - Udall</t>
  </si>
  <si>
    <t>464 - Tonganoxie</t>
  </si>
  <si>
    <t>465 - Winfield</t>
  </si>
  <si>
    <t>466 - Scott County</t>
  </si>
  <si>
    <t>467 - Leoti</t>
  </si>
  <si>
    <t>468 - Healy</t>
  </si>
  <si>
    <t>469 - Lansing</t>
  </si>
  <si>
    <t>470 - Arkansas City</t>
  </si>
  <si>
    <t>471 - Dexter</t>
  </si>
  <si>
    <t>473 - Chapman</t>
  </si>
  <si>
    <t>474 - Haviland</t>
  </si>
  <si>
    <t>475 - Junction City</t>
  </si>
  <si>
    <t>476 - Copeland</t>
  </si>
  <si>
    <t>477 - Ingalls</t>
  </si>
  <si>
    <t>479 - Crest</t>
  </si>
  <si>
    <t>480 - Liberal</t>
  </si>
  <si>
    <t>481 - Rural Vista</t>
  </si>
  <si>
    <t>482 - Dighton</t>
  </si>
  <si>
    <t>483 - Kismet-Plains</t>
  </si>
  <si>
    <t>484 - Fredonia</t>
  </si>
  <si>
    <t>487 - Herington</t>
  </si>
  <si>
    <t>489 - Hays</t>
  </si>
  <si>
    <t>490 - El Dorado</t>
  </si>
  <si>
    <t>491 - Eudora</t>
  </si>
  <si>
    <t>492 - Flinthills</t>
  </si>
  <si>
    <t>493 - Columbus</t>
  </si>
  <si>
    <t>494 - Syracuse</t>
  </si>
  <si>
    <t>495 - Ft. Larned</t>
  </si>
  <si>
    <t>496 - Pawnee Heights</t>
  </si>
  <si>
    <t>497 - Lawrence</t>
  </si>
  <si>
    <t>498 - Valley Heights</t>
  </si>
  <si>
    <t>499 - Galena</t>
  </si>
  <si>
    <t>500 - Kansas City</t>
  </si>
  <si>
    <t>501 - Topeka</t>
  </si>
  <si>
    <t>502 - Lewis</t>
  </si>
  <si>
    <t>503 - Parsons</t>
  </si>
  <si>
    <t xml:space="preserve">    120 NonCertified        </t>
  </si>
  <si>
    <t xml:space="preserve">    120 NonCertified   </t>
  </si>
  <si>
    <t xml:space="preserve">    590 Other</t>
  </si>
  <si>
    <t xml:space="preserve">    120 NonCertified    </t>
  </si>
  <si>
    <t xml:space="preserve">    420 Cleaning                </t>
  </si>
  <si>
    <t xml:space="preserve">    430 Repairs &amp; Maintenance   </t>
  </si>
  <si>
    <t xml:space="preserve">    440 Rentals                 </t>
  </si>
  <si>
    <t xml:space="preserve">    460 Repair of Building</t>
  </si>
  <si>
    <t xml:space="preserve">  500 Other Purchased Services</t>
  </si>
  <si>
    <t>3300 Community Services Operations</t>
  </si>
  <si>
    <t>SPECIAL EDUCATION</t>
  </si>
  <si>
    <t xml:space="preserve">  3211 Deaf/Blind               </t>
  </si>
  <si>
    <t xml:space="preserve">  4310 PL 382 Special Ed (formerly PL:874)  </t>
  </si>
  <si>
    <t xml:space="preserve">  4570 Medicaid</t>
  </si>
  <si>
    <t xml:space="preserve">  4590 Other Reserve Grants in Aid  </t>
  </si>
  <si>
    <t xml:space="preserve">UNENCUMBERED CASH BALANCEJUNE 30   </t>
  </si>
  <si>
    <t>2330 Special Area Admin Services</t>
  </si>
  <si>
    <t>2700 Student Transportation Serv</t>
  </si>
  <si>
    <t xml:space="preserve">    442 Rent of Vehicles (lease)</t>
  </si>
  <si>
    <t xml:space="preserve">    626 Motor Fuel              </t>
  </si>
  <si>
    <t xml:space="preserve">  730 Equip (Including Buses)   </t>
  </si>
  <si>
    <t xml:space="preserve">2790 Other Student Transportation Services    </t>
  </si>
  <si>
    <t>Bilingual</t>
  </si>
  <si>
    <t>Vocational</t>
  </si>
  <si>
    <t>Free Lunch</t>
  </si>
  <si>
    <t>New Facility</t>
  </si>
  <si>
    <t>F195-Automobile</t>
  </si>
  <si>
    <t>F195-Motorcycle</t>
  </si>
  <si>
    <t xml:space="preserve">  978 At Risk (K-12)</t>
  </si>
  <si>
    <t xml:space="preserve">    4590 Other Federal Aid            </t>
  </si>
  <si>
    <t xml:space="preserve">  400 Purchased Property Services</t>
  </si>
  <si>
    <t>1710  Admissions</t>
  </si>
  <si>
    <t>1790  Other Student Activity Income</t>
  </si>
  <si>
    <t>1990  Miscellaneous</t>
  </si>
  <si>
    <r>
      <t>1700 Student Activities</t>
    </r>
    <r>
      <rPr>
        <b/>
        <sz val="10"/>
        <rFont val="Arial"/>
        <family val="2"/>
      </rPr>
      <t>*</t>
    </r>
  </si>
  <si>
    <r>
      <t>1900  Other Revenue From Local Sources</t>
    </r>
    <r>
      <rPr>
        <b/>
        <sz val="10"/>
        <rFont val="Arial"/>
        <family val="2"/>
      </rPr>
      <t>*</t>
    </r>
  </si>
  <si>
    <t xml:space="preserve">  3221 KPERS       </t>
  </si>
  <si>
    <t xml:space="preserve">  730 Equipment                 </t>
  </si>
  <si>
    <t xml:space="preserve">  442 Rent of Vehicles (lease)  </t>
  </si>
  <si>
    <t xml:space="preserve">  626 Motor Fuel                </t>
  </si>
  <si>
    <t xml:space="preserve">  730 Equipment (Including Buses)   </t>
  </si>
  <si>
    <t xml:space="preserve">2790 Other Student Transportation Services  </t>
  </si>
  <si>
    <t>Amend</t>
  </si>
  <si>
    <t xml:space="preserve">  1300 Tuition                  </t>
  </si>
  <si>
    <t xml:space="preserve">    1312 Individuals </t>
  </si>
  <si>
    <t xml:space="preserve">    1315 Individual (Summer School)     </t>
  </si>
  <si>
    <t xml:space="preserve">  1700 Student Activities(Reimbursement)</t>
  </si>
  <si>
    <t xml:space="preserve">    1910 User Charges           </t>
  </si>
  <si>
    <t xml:space="preserve">  4530 Vocational Aid           </t>
  </si>
  <si>
    <t xml:space="preserve">    4531 Regular Aid            </t>
  </si>
  <si>
    <t xml:space="preserve">    4532 Special Project Aid    </t>
  </si>
  <si>
    <t xml:space="preserve">RESOURCES AVAILABLE        </t>
  </si>
  <si>
    <t xml:space="preserve">      564 Payment to Vocational Education Coop</t>
  </si>
  <si>
    <t xml:space="preserve">    1311 Individuals            </t>
  </si>
  <si>
    <t>Budget year</t>
  </si>
  <si>
    <t>Revision date</t>
  </si>
  <si>
    <t>Column headings</t>
  </si>
  <si>
    <t>Years</t>
  </si>
  <si>
    <t>Levied funds</t>
  </si>
  <si>
    <t>Ad valorem yrs</t>
  </si>
  <si>
    <t xml:space="preserve">  1969 Revenue From Professional Development</t>
  </si>
  <si>
    <t xml:space="preserve">Financing </t>
  </si>
  <si>
    <t xml:space="preserve">  2300 General Administration   </t>
  </si>
  <si>
    <t xml:space="preserve">      820 Judgments             </t>
  </si>
  <si>
    <t xml:space="preserve">TOTAL EXPENDITURES              </t>
  </si>
  <si>
    <t xml:space="preserve">TOTAL OPERATING EXPENDITURE (18 MO)  </t>
  </si>
  <si>
    <t>Delinquent Tax</t>
  </si>
  <si>
    <t>SPECIAL LIABILITY EXPENSE</t>
  </si>
  <si>
    <t xml:space="preserve">      520 Insurance             </t>
  </si>
  <si>
    <t xml:space="preserve">      890 Other                 </t>
  </si>
  <si>
    <t xml:space="preserve">    July  December Estimate     </t>
  </si>
  <si>
    <t>TAX REQUIRED (Line 185 minus Line 70)</t>
  </si>
  <si>
    <t>SCHOOL RETIREMENT</t>
  </si>
  <si>
    <t xml:space="preserve">  1000 Instruction</t>
  </si>
  <si>
    <t xml:space="preserve">    200 Employee Benefits</t>
  </si>
  <si>
    <t xml:space="preserve">      230 Retirement Appropriation</t>
  </si>
  <si>
    <t>UNENCUMBERED CASH BALANCEJUNE 30</t>
  </si>
  <si>
    <t xml:space="preserve">      890 State Payment</t>
  </si>
  <si>
    <t xml:space="preserve">RESOURCES AVAILABLE             </t>
  </si>
  <si>
    <t>CONTINGENCY RESERVE</t>
  </si>
  <si>
    <t xml:space="preserve">      563 Tuition/Private Sources  </t>
  </si>
  <si>
    <t>4601  Title III (English Language Acquisition)</t>
  </si>
  <si>
    <t>XXXXXXXXXX</t>
  </si>
  <si>
    <t xml:space="preserve">    650 Technology Supplies    </t>
  </si>
  <si>
    <t xml:space="preserve">2720 Supervision                </t>
  </si>
  <si>
    <t xml:space="preserve">2710 Vehicle Operating Services    </t>
  </si>
  <si>
    <t xml:space="preserve">2730 Vehicle Services&amp; Maintenance Services </t>
  </si>
  <si>
    <t>2710 Vehicle Operating Services</t>
  </si>
  <si>
    <t xml:space="preserve">    650 Technology Supplies</t>
  </si>
  <si>
    <t xml:space="preserve">    650 Technology Supplies   </t>
  </si>
  <si>
    <t xml:space="preserve">    650 Technology Supplies        </t>
  </si>
  <si>
    <t xml:space="preserve">    650 Technology Supplies       </t>
  </si>
  <si>
    <t xml:space="preserve">    832 Interest                </t>
  </si>
  <si>
    <t xml:space="preserve">    831 Principal               </t>
  </si>
  <si>
    <t xml:space="preserve">    400 Outside Contractors</t>
  </si>
  <si>
    <t xml:space="preserve">  1740 Fees (Rental)            </t>
  </si>
  <si>
    <t xml:space="preserve">  1911 Fines                    </t>
  </si>
  <si>
    <t xml:space="preserve">  1990 Miscellaneous            </t>
  </si>
  <si>
    <t xml:space="preserve">2200 Support Services           </t>
  </si>
  <si>
    <t xml:space="preserve">  680 Miscellaneous Supplies    </t>
  </si>
  <si>
    <t xml:space="preserve">    681 Special Clothing &amp; Towels  </t>
  </si>
  <si>
    <t xml:space="preserve">    682 Musical Instruments     </t>
  </si>
  <si>
    <t xml:space="preserve">    683 Other Material &amp; Supplies </t>
  </si>
  <si>
    <t xml:space="preserve">    645 Workbooks               </t>
  </si>
  <si>
    <t xml:space="preserve">    646 Repairing Textbooks     </t>
  </si>
  <si>
    <t xml:space="preserve">    649 Other Materials &amp; Supplies</t>
  </si>
  <si>
    <t xml:space="preserve">1000 LOCAL SOURCES               </t>
  </si>
  <si>
    <t xml:space="preserve">  1110 Ad Valorem Tax Levied     </t>
  </si>
  <si>
    <t xml:space="preserve">  1140 Delinquent Tax            </t>
  </si>
  <si>
    <t xml:space="preserve">    July - December Estimate      </t>
  </si>
  <si>
    <t xml:space="preserve">  1900 Other Revenue From Local Source </t>
  </si>
  <si>
    <t xml:space="preserve">2000 COUNTY SOURCES              </t>
  </si>
  <si>
    <t>C02-Levy Limits for Tax Funds</t>
  </si>
  <si>
    <t>C04-Worksheet 1</t>
  </si>
  <si>
    <t>C05-Statement of Indebtedness</t>
  </si>
  <si>
    <t>C05a-Statement of Conditional Lease</t>
  </si>
  <si>
    <t>C06-General Fund</t>
  </si>
  <si>
    <t>C07-Federal Funds</t>
  </si>
  <si>
    <t>C08-Supplemental General</t>
  </si>
  <si>
    <t>C010-Adult Education</t>
  </si>
  <si>
    <t>C012-Adult Supplemental Education</t>
  </si>
  <si>
    <t>C013-At Risk (K-12)</t>
  </si>
  <si>
    <t>C014-Bilingual Education</t>
  </si>
  <si>
    <t>C016-Capital Outlay</t>
  </si>
  <si>
    <t>C018-Driver Training</t>
  </si>
  <si>
    <t>C019-Declining Enrollment</t>
  </si>
  <si>
    <t>C022-Extraordinary School Program</t>
  </si>
  <si>
    <t>C024-Food Service</t>
  </si>
  <si>
    <t>C026-Professional Development</t>
  </si>
  <si>
    <t>C028-Parent Education Program</t>
  </si>
  <si>
    <t>C029-Summer School</t>
  </si>
  <si>
    <t>C030-Special Education</t>
  </si>
  <si>
    <t>C035-Gifts/Grants</t>
  </si>
  <si>
    <t>C042-Special Liability Expense (includes Judgments)</t>
  </si>
  <si>
    <t>C044-School Retirement</t>
  </si>
  <si>
    <t>C045-Extraordinary Growth Facilities</t>
  </si>
  <si>
    <t>C051-KPERS Special Retirement Contribution</t>
  </si>
  <si>
    <t>C053-Contingency Reserve</t>
  </si>
  <si>
    <t>C055-Textbook &amp; Student Materials Revolving</t>
  </si>
  <si>
    <t>C062-Bond and Interest #1</t>
  </si>
  <si>
    <t>C063-Bond and Interest #2</t>
  </si>
  <si>
    <t>C067-Special Assessment</t>
  </si>
  <si>
    <t>C068-Temporary Note</t>
  </si>
  <si>
    <t>C078-COOP Special Education</t>
  </si>
  <si>
    <t>Current Yr</t>
  </si>
  <si>
    <t>C080-Historical Museum</t>
  </si>
  <si>
    <t>C082-Public Library Board (USD 446 &amp; 500 only)</t>
  </si>
  <si>
    <t>C083-Public Library Board Employee Benefits (USD 446 &amp; 500 only)</t>
  </si>
  <si>
    <t>C084-Recreation Commission</t>
  </si>
  <si>
    <t>C086-Recreation Commission Employee Benefits &amp; Special Liability</t>
  </si>
  <si>
    <t>C099-Publication</t>
  </si>
  <si>
    <t>C033-Cost of Living</t>
  </si>
  <si>
    <t>Return to Contents page</t>
  </si>
  <si>
    <t xml:space="preserve">3000 STATE SOURCES               </t>
  </si>
  <si>
    <t xml:space="preserve">    July - December Estimate*</t>
  </si>
  <si>
    <t xml:space="preserve">5100 DEBT SERVICE                </t>
  </si>
  <si>
    <t xml:space="preserve">TOTAL EXPENDITURES               </t>
  </si>
  <si>
    <t xml:space="preserve">  990 Cash Basis Reserve         </t>
  </si>
  <si>
    <t xml:space="preserve">TOTAL OPERATING EXPENDITURE (18 MO)   </t>
  </si>
  <si>
    <t xml:space="preserve">UNENCUMBERED CASH BALANCE JUNE 30    </t>
  </si>
  <si>
    <t>TAX REQUIRED (Line 185 minus Line 80)</t>
  </si>
  <si>
    <t xml:space="preserve">  1140 Delinquent Tax           </t>
  </si>
  <si>
    <t xml:space="preserve">5100 DEBT SERVICE               </t>
  </si>
  <si>
    <t xml:space="preserve">  990 Cash Basis Reserve        </t>
  </si>
  <si>
    <t>NO FUND WARRANT</t>
  </si>
  <si>
    <t>SPECIAL ASSESSMENT</t>
  </si>
  <si>
    <t xml:space="preserve">4000 FACILITIES ACQUISITION     </t>
  </si>
  <si>
    <t xml:space="preserve">    610 General Supplemental (Teaching)</t>
  </si>
  <si>
    <t xml:space="preserve">    640 Books (not textbooks) and Periodicals </t>
  </si>
  <si>
    <t xml:space="preserve">    120 NonCertified       </t>
  </si>
  <si>
    <t xml:space="preserve">2790 Other Student Transportation Services </t>
  </si>
  <si>
    <t>Sumexpen</t>
  </si>
  <si>
    <t>HISTORICAL MUSEUM</t>
  </si>
  <si>
    <t xml:space="preserve">  3300 Community Service Operations   </t>
  </si>
  <si>
    <t xml:space="preserve">                                </t>
  </si>
  <si>
    <t>PUBLIC LIBRARY BOARD</t>
  </si>
  <si>
    <t xml:space="preserve">    July - December Estimate </t>
  </si>
  <si>
    <t xml:space="preserve">  3300 Community Service Operations    </t>
  </si>
  <si>
    <t xml:space="preserve">TOTAL EXPENDITURES         </t>
  </si>
  <si>
    <t>TOTAL OPERATING EXPEND (18 MO)</t>
  </si>
  <si>
    <t xml:space="preserve">UNENCUMBERED CASH BALANCE JUNE 30 </t>
  </si>
  <si>
    <t xml:space="preserve">TOTAL EXPENDITURES      </t>
  </si>
  <si>
    <t>Budget Form USD-A</t>
  </si>
  <si>
    <t>Est.</t>
  </si>
  <si>
    <t xml:space="preserve">Actual </t>
  </si>
  <si>
    <t>Rate*</t>
  </si>
  <si>
    <t>OPERATING</t>
  </si>
  <si>
    <t>SPECIAL REVENUE</t>
  </si>
  <si>
    <t>Spec Liability Expense</t>
  </si>
  <si>
    <t xml:space="preserve">  946 Professional Development     </t>
  </si>
  <si>
    <t xml:space="preserve">  5200 Transfer</t>
  </si>
  <si>
    <t xml:space="preserve">  800 Other</t>
  </si>
  <si>
    <t xml:space="preserve">  200 Employee Benefits</t>
  </si>
  <si>
    <t xml:space="preserve">  120 NonCertified Salaries</t>
  </si>
  <si>
    <t>1930  City/County Sales Tax</t>
  </si>
  <si>
    <t>DEBT SERVICE</t>
  </si>
  <si>
    <t>OTHER</t>
  </si>
  <si>
    <t>TOTAL TAXES LEVIED</t>
  </si>
  <si>
    <t>C015-Virtual Education</t>
  </si>
  <si>
    <t>Assessed Valuation - General Fund</t>
  </si>
  <si>
    <t>Assessed Valuation - All Other Funds</t>
  </si>
  <si>
    <t>Outstanding Indebtedness, July 1</t>
  </si>
  <si>
    <t>minus Expenditures</t>
  </si>
  <si>
    <t>Resources available</t>
  </si>
  <si>
    <t>&lt;--If negative then decrease expenditures by this amount</t>
  </si>
  <si>
    <t>If positive then increase expenditures by this amount</t>
  </si>
  <si>
    <t>DISTRICT NAME</t>
  </si>
  <si>
    <t>USD #</t>
  </si>
  <si>
    <t>(TYPE USD NUMBER ONLY)</t>
  </si>
  <si>
    <t>HOME COUNTY</t>
  </si>
  <si>
    <t>Cell E16 can be overwritten if needed</t>
  </si>
  <si>
    <t>General</t>
  </si>
  <si>
    <t>Supplemental General</t>
  </si>
  <si>
    <t>Adult Education</t>
  </si>
  <si>
    <t>Capital Outlay</t>
  </si>
  <si>
    <t>School Retirement</t>
  </si>
  <si>
    <t>No Fund Warrant</t>
  </si>
  <si>
    <t>Special Assessment</t>
  </si>
  <si>
    <t>Temporary Note</t>
  </si>
  <si>
    <t>Historical Museum</t>
  </si>
  <si>
    <t>Public Library Board</t>
  </si>
  <si>
    <t>Special Liability Expense</t>
  </si>
  <si>
    <t>Extraordinary Growth Facilities</t>
  </si>
  <si>
    <t>Date the Capital Outlay was authorized.</t>
  </si>
  <si>
    <t>(Goes to Code 02.)</t>
  </si>
  <si>
    <t xml:space="preserve">Date the Adult Education was authorized.  </t>
  </si>
  <si>
    <t>Bonded Indebtedness</t>
  </si>
  <si>
    <t>General Obligation Bonds</t>
  </si>
  <si>
    <t>Capital Outlay Bonds</t>
  </si>
  <si>
    <t>No-Fund Warrant</t>
  </si>
  <si>
    <t>Lease Purchase Principal</t>
  </si>
  <si>
    <t>(Goes to Code 04.)</t>
  </si>
  <si>
    <t>USD</t>
  </si>
  <si>
    <t>USD#</t>
  </si>
  <si>
    <t>STATE OF KANSAS</t>
  </si>
  <si>
    <t>Budget Form USD-B</t>
  </si>
  <si>
    <t>CERTIFICATE</t>
  </si>
  <si>
    <t xml:space="preserve">We, the undersigned, duly elected, qualified and acting officers of </t>
  </si>
  <si>
    <t xml:space="preserve">  1900 Other Revenue From Local Sources</t>
  </si>
  <si>
    <t xml:space="preserve">  1961 Revenue From General    </t>
  </si>
  <si>
    <t xml:space="preserve">  1962 Revenue From Supplemental General</t>
  </si>
  <si>
    <t xml:space="preserve">  1963 Revenue From Adult Education</t>
  </si>
  <si>
    <t xml:space="preserve">  1965 Revenue From Bilingual Education </t>
  </si>
  <si>
    <t xml:space="preserve">  1966 Revenue From Driver Training</t>
  </si>
  <si>
    <t xml:space="preserve">  1967 Revenue From Extraordinary School</t>
  </si>
  <si>
    <t xml:space="preserve">  1968 Revenue From Food Service</t>
  </si>
  <si>
    <t xml:space="preserve">  1970 Revenue From Parent Education </t>
  </si>
  <si>
    <t xml:space="preserve">  1971 Revenue From Summer School</t>
  </si>
  <si>
    <t xml:space="preserve">  1972 Revenue From Special Education </t>
  </si>
  <si>
    <t xml:space="preserve">  1977 Revenue From Federal Funds</t>
  </si>
  <si>
    <t xml:space="preserve">  1978 Revenue From Contingency Reserve</t>
  </si>
  <si>
    <t xml:space="preserve">  260 School Workers' Compensation    </t>
  </si>
  <si>
    <t>Code</t>
  </si>
  <si>
    <t>Adopted Budget</t>
  </si>
  <si>
    <t>Expenditures</t>
  </si>
  <si>
    <t>be Levied</t>
  </si>
  <si>
    <t>Line</t>
  </si>
  <si>
    <t>K.S.A.</t>
  </si>
  <si>
    <t>12-1663</t>
  </si>
  <si>
    <t xml:space="preserve">DEBT SERVICE                           </t>
  </si>
  <si>
    <t>10-113</t>
  </si>
  <si>
    <t>79-2939</t>
  </si>
  <si>
    <t>12-6a10</t>
  </si>
  <si>
    <t>Dates in the budget:</t>
  </si>
  <si>
    <t>authorizing</t>
  </si>
  <si>
    <t xml:space="preserve">COOPERATIVES                   </t>
  </si>
  <si>
    <t xml:space="preserve">OTHER                           </t>
  </si>
  <si>
    <t>12-1684</t>
  </si>
  <si>
    <t>12-16,102</t>
  </si>
  <si>
    <t>12-1928/75-6110</t>
  </si>
  <si>
    <t xml:space="preserve">  4599 Summer School Aid</t>
  </si>
  <si>
    <t xml:space="preserve">    1320 Other School District/Govt Sources In-State  </t>
  </si>
  <si>
    <t>Municipal Accounting Use Only</t>
  </si>
  <si>
    <t>Assisted by:</t>
  </si>
  <si>
    <t>County Clerk</t>
  </si>
  <si>
    <t>Clerk of the Board</t>
  </si>
  <si>
    <t>FINAL VALUATION</t>
  </si>
  <si>
    <t>County</t>
  </si>
  <si>
    <t>Bond and Interest</t>
  </si>
  <si>
    <t>#1</t>
  </si>
  <si>
    <t>#2</t>
  </si>
  <si>
    <t>$</t>
  </si>
  <si>
    <t>TOTAL</t>
  </si>
  <si>
    <t>Computation of Delinquency</t>
  </si>
  <si>
    <t>%</t>
  </si>
  <si>
    <t>Resolution dated</t>
  </si>
  <si>
    <t>mills for</t>
  </si>
  <si>
    <t xml:space="preserve">mills. </t>
  </si>
  <si>
    <t>mills.</t>
  </si>
  <si>
    <t>Budget Form USD-C</t>
  </si>
  <si>
    <t>WORKSHEET I</t>
  </si>
  <si>
    <t>Actual</t>
  </si>
  <si>
    <t>Tax</t>
  </si>
  <si>
    <t xml:space="preserve">  937 Virtual Education</t>
  </si>
  <si>
    <t>Fund</t>
  </si>
  <si>
    <t>No-fund Warrant</t>
  </si>
  <si>
    <t>504 - Oswego</t>
  </si>
  <si>
    <t>505 - Chetopa - St. Paul</t>
  </si>
  <si>
    <t>506 - Labette County</t>
  </si>
  <si>
    <t>507 - Satanta</t>
  </si>
  <si>
    <t>508 - Baxter Springs</t>
  </si>
  <si>
    <t>509 - South Haven</t>
  </si>
  <si>
    <t>511 - Attica</t>
  </si>
  <si>
    <t>512 - Shawnee Mission</t>
  </si>
  <si>
    <t>Assessed Valuation</t>
  </si>
  <si>
    <t>=</t>
  </si>
  <si>
    <t xml:space="preserve">    100 Salaries</t>
  </si>
  <si>
    <t xml:space="preserve">    200 Fringe Benefits</t>
  </si>
  <si>
    <t>Budget Form USD-D</t>
  </si>
  <si>
    <t>STATEMENT OF INDEBTEDNESS</t>
  </si>
  <si>
    <t>Date Due</t>
  </si>
  <si>
    <t>Rate</t>
  </si>
  <si>
    <t>Purpose of Debt</t>
  </si>
  <si>
    <t xml:space="preserve">  4500 New Building Acquisition &amp; Construction</t>
  </si>
  <si>
    <t>Total</t>
  </si>
  <si>
    <t>xxxxxx</t>
  </si>
  <si>
    <t>Budget Form USD-D1</t>
  </si>
  <si>
    <t>Principal</t>
  </si>
  <si>
    <t>Item/Service Purchased</t>
  </si>
  <si>
    <t>Budget Form USD-E</t>
  </si>
  <si>
    <t>12 mo.</t>
  </si>
  <si>
    <t>Budget</t>
  </si>
  <si>
    <t xml:space="preserve">UNENCUMBERED CASH BALANCE JULY 1 </t>
  </si>
  <si>
    <t>Salaries</t>
  </si>
  <si>
    <t xml:space="preserve">1000 LOCAL SOURCES                  </t>
  </si>
  <si>
    <t xml:space="preserve">  1900 Other Revenue From Local Source    </t>
  </si>
  <si>
    <t xml:space="preserve">    1980 Reimbursements</t>
  </si>
  <si>
    <t>Cost of Living</t>
  </si>
  <si>
    <t>Revenue vs. Expenditures &amp; Transfer check</t>
  </si>
  <si>
    <t xml:space="preserve">5000 OTHER                          </t>
  </si>
  <si>
    <t xml:space="preserve">  5208 Transfer From Supplemental General</t>
  </si>
  <si>
    <t>RESOURCES AVAILABLE</t>
  </si>
  <si>
    <t>TOTAL EXPENDITURES &amp; TRANSFERS</t>
  </si>
  <si>
    <t>UNENCUMBERED CASH BALANCE JUNE 30</t>
  </si>
  <si>
    <t xml:space="preserve">    650 Supplies (Technology Related)</t>
  </si>
  <si>
    <t>Motor Vehicle</t>
  </si>
  <si>
    <t xml:space="preserve">  1410 Transportation Fees</t>
  </si>
  <si>
    <t xml:space="preserve">  1980 Reimbursements</t>
  </si>
  <si>
    <t xml:space="preserve">1000 Instruction                </t>
  </si>
  <si>
    <t xml:space="preserve">  100 Salaries                  </t>
  </si>
  <si>
    <t xml:space="preserve">    110 Certified               </t>
  </si>
  <si>
    <t xml:space="preserve">    120 NonCertified           </t>
  </si>
  <si>
    <t xml:space="preserve">  200 Employee Benefits         </t>
  </si>
  <si>
    <t xml:space="preserve">    210 Insurance (Employee)    </t>
  </si>
  <si>
    <t xml:space="preserve">    220 Social Security         </t>
  </si>
  <si>
    <t xml:space="preserve">    290 Other                   </t>
  </si>
  <si>
    <t xml:space="preserve">    640 Books (not textbooks) and Periodicals           </t>
  </si>
  <si>
    <t xml:space="preserve">  300 Purchased Professional and Technical Services      </t>
  </si>
  <si>
    <t xml:space="preserve">  500 Other Purchased Services  </t>
  </si>
  <si>
    <t xml:space="preserve">    560 Tuition                 </t>
  </si>
  <si>
    <t xml:space="preserve">      561 Tuition/other State LEA's  </t>
  </si>
  <si>
    <t xml:space="preserve">      562 Tuition/other LEA's outside the State</t>
  </si>
  <si>
    <t xml:space="preserve">    590 Other                   </t>
  </si>
  <si>
    <t xml:space="preserve">  600 Supplies                  </t>
  </si>
  <si>
    <t xml:space="preserve">    610 General Supplemental (Teaching) </t>
  </si>
  <si>
    <t xml:space="preserve">    644 Textbooks               </t>
  </si>
  <si>
    <t xml:space="preserve">    680 Miscellaneous Supplies  </t>
  </si>
  <si>
    <t xml:space="preserve">  700 Property (Equipment &amp; Furnishings)   </t>
  </si>
  <si>
    <t xml:space="preserve">  800 Other                     </t>
  </si>
  <si>
    <t xml:space="preserve">2000 Support Services           </t>
  </si>
  <si>
    <t xml:space="preserve">2100 Student Support Services      </t>
  </si>
  <si>
    <t xml:space="preserve">2200 Instr Support Staff        </t>
  </si>
  <si>
    <t xml:space="preserve">  3224 Declining Enrollment State Aid</t>
  </si>
  <si>
    <t xml:space="preserve">    640 Books (not textbooks)   </t>
  </si>
  <si>
    <t xml:space="preserve">      and Periodicals           </t>
  </si>
  <si>
    <t xml:space="preserve">2300 General Administration     </t>
  </si>
  <si>
    <t xml:space="preserve">  400 Purchased Property Services  </t>
  </si>
  <si>
    <t xml:space="preserve">    520 Insurance               </t>
  </si>
  <si>
    <t xml:space="preserve">2400 School Administration      </t>
  </si>
  <si>
    <t xml:space="preserve">2600 Operations &amp; Maintenance  </t>
  </si>
  <si>
    <t xml:space="preserve">  100 Salaries                 </t>
  </si>
  <si>
    <t xml:space="preserve">  200 Employee Benefits        </t>
  </si>
  <si>
    <t xml:space="preserve">    210 Insurance (Employee)   </t>
  </si>
  <si>
    <t>District's assessed valuation * Rec. Levy</t>
  </si>
  <si>
    <t>Tax to be levied cannot exceed this amount.</t>
  </si>
  <si>
    <t xml:space="preserve">    220 Social Security        </t>
  </si>
  <si>
    <t xml:space="preserve">    290 Other                  </t>
  </si>
  <si>
    <t xml:space="preserve">  400 Purchased Property Services </t>
  </si>
  <si>
    <t xml:space="preserve">    411 Water/Sewer            </t>
  </si>
  <si>
    <t xml:space="preserve">    420 Cleaning               </t>
  </si>
  <si>
    <t xml:space="preserve">    430 Repairs &amp; Maintenance  </t>
  </si>
  <si>
    <t xml:space="preserve">    440 Rentals                </t>
  </si>
  <si>
    <t xml:space="preserve">    460 Repair of Buildings    </t>
  </si>
  <si>
    <t xml:space="preserve">    490 Other                  </t>
  </si>
  <si>
    <t xml:space="preserve">  500 Other Purchased Services </t>
  </si>
  <si>
    <t xml:space="preserve">    520 Insurance              </t>
  </si>
  <si>
    <t xml:space="preserve">    590 Other                  </t>
  </si>
  <si>
    <t xml:space="preserve">  600 Supplies                 </t>
  </si>
  <si>
    <t xml:space="preserve">    610 General Supplies       </t>
  </si>
  <si>
    <t xml:space="preserve">    620 Energy                 </t>
  </si>
  <si>
    <t xml:space="preserve">      621 Heating              </t>
  </si>
  <si>
    <t xml:space="preserve">      622 Electricity          </t>
  </si>
  <si>
    <t xml:space="preserve">      626 Motor Fuel (not schoolbus)</t>
  </si>
  <si>
    <t xml:space="preserve">      629 Other                </t>
  </si>
  <si>
    <t xml:space="preserve">    680 Miscellaneous Supplies </t>
  </si>
  <si>
    <t xml:space="preserve">  700 Property (Equipment &amp; Furnishings)  </t>
  </si>
  <si>
    <t xml:space="preserve">  800 Other                    </t>
  </si>
  <si>
    <t xml:space="preserve">    110 Certified              </t>
  </si>
  <si>
    <t xml:space="preserve">    210 Insurance              </t>
  </si>
  <si>
    <t xml:space="preserve">3300 Community Services Operations </t>
  </si>
  <si>
    <t xml:space="preserve">4300 Architectural &amp; Engineering Services </t>
  </si>
  <si>
    <t xml:space="preserve">5200 TRANSFER TO:               </t>
  </si>
  <si>
    <t xml:space="preserve">  932 Adult Education           </t>
  </si>
  <si>
    <t xml:space="preserve">  934 Adult Suppl Education     </t>
  </si>
  <si>
    <t xml:space="preserve">  936 Bilingual Education       </t>
  </si>
  <si>
    <t xml:space="preserve">  940 Driver Training           </t>
  </si>
  <si>
    <t xml:space="preserve">  943 Extraordinary School Prog</t>
  </si>
  <si>
    <t xml:space="preserve">  944 Food Service              </t>
  </si>
  <si>
    <t xml:space="preserve">  948 Parent Education Program  </t>
  </si>
  <si>
    <t xml:space="preserve">  949 Summer School</t>
  </si>
  <si>
    <t xml:space="preserve">  950 Special Education         </t>
  </si>
  <si>
    <t>xxxx</t>
  </si>
  <si>
    <t>Federal Funds</t>
  </si>
  <si>
    <t>Form 118</t>
  </si>
  <si>
    <t>amount</t>
  </si>
  <si>
    <t>4599  Other</t>
  </si>
  <si>
    <t xml:space="preserve">Budget </t>
  </si>
  <si>
    <t xml:space="preserve">  2100 Student Support</t>
  </si>
  <si>
    <t xml:space="preserve">  2200 Instructional Support</t>
  </si>
  <si>
    <t xml:space="preserve">  2300 General Administration</t>
  </si>
  <si>
    <t xml:space="preserve">  2400 School Administration</t>
  </si>
  <si>
    <t xml:space="preserve">  2600 Operations &amp; Maintenance</t>
  </si>
  <si>
    <t xml:space="preserve">  2700 Student Transportation Services</t>
  </si>
  <si>
    <t xml:space="preserve">  3000 Food Service</t>
  </si>
  <si>
    <t>Total Expenditures must equal resources available.</t>
  </si>
  <si>
    <t>2700 Student Transportation Services</t>
  </si>
  <si>
    <t xml:space="preserve">    120 NonCertified</t>
  </si>
  <si>
    <t xml:space="preserve">    210 Insurance</t>
  </si>
  <si>
    <t xml:space="preserve">  442 Rent of Vehicles (lease)</t>
  </si>
  <si>
    <t xml:space="preserve">    513 Contracting of Bus Services</t>
  </si>
  <si>
    <t xml:space="preserve">    519 Mileage in Lieu of Trans</t>
  </si>
  <si>
    <t xml:space="preserve">  626 Motor Fuel</t>
  </si>
  <si>
    <t xml:space="preserve">  730 Equipment (including buses)</t>
  </si>
  <si>
    <t>3000 Operation of Noninstructional Services</t>
  </si>
  <si>
    <t>3100 Food Service Operation</t>
  </si>
  <si>
    <t xml:space="preserve">    520 Insurance</t>
  </si>
  <si>
    <t xml:space="preserve">    570 Food Service Management</t>
  </si>
  <si>
    <t xml:space="preserve">    590 Other Purchased Services</t>
  </si>
  <si>
    <t xml:space="preserve">    630 Food &amp; Milk</t>
  </si>
  <si>
    <t xml:space="preserve">    680 Miscellaneous Supplies</t>
  </si>
  <si>
    <t>SUPPLEMENTAL GENERAL</t>
  </si>
  <si>
    <t>UNENCUMBERED CASH BALANCE JULY 1</t>
  </si>
  <si>
    <t>1000 LOCAL SOURCES</t>
  </si>
  <si>
    <t xml:space="preserve">  1110 Ad Valorem Tax Levied</t>
  </si>
  <si>
    <t xml:space="preserve">  1140 Delinquent Tax</t>
  </si>
  <si>
    <t>Mill Rates</t>
  </si>
  <si>
    <t xml:space="preserve">2000 COUNTY SOURCES           </t>
  </si>
  <si>
    <t xml:space="preserve">  2400 Motor Vehicle Tax </t>
  </si>
  <si>
    <t xml:space="preserve">  2450 Recreational Vehicle Tax </t>
  </si>
  <si>
    <t xml:space="preserve">3000 STATE SOURCES             </t>
  </si>
  <si>
    <t xml:space="preserve">  3140 Supplemental State Aid  </t>
  </si>
  <si>
    <t xml:space="preserve">RESOURCES AVAILABLE         </t>
  </si>
  <si>
    <t xml:space="preserve">TOTAL EXPENDITURES &amp; TRANSFERS </t>
  </si>
  <si>
    <t xml:space="preserve">TAX REQUIRED (175 minus 170)   </t>
  </si>
  <si>
    <t xml:space="preserve">5000 OTHER             </t>
  </si>
  <si>
    <t>Sumexpen:</t>
  </si>
  <si>
    <t xml:space="preserve">  5206 Transfer From General  </t>
  </si>
  <si>
    <t xml:space="preserve">  5253 Transfer From Contingency Reserve  </t>
  </si>
  <si>
    <t xml:space="preserve">5000 OTHER              </t>
  </si>
  <si>
    <t xml:space="preserve">  5206 Transfer From General          </t>
  </si>
  <si>
    <t xml:space="preserve">  5208 Transfer From Supplemental General    </t>
  </si>
  <si>
    <t xml:space="preserve">  5253 Transfer From Contingency Reserve         </t>
  </si>
  <si>
    <t xml:space="preserve">  5206 Transfer From General </t>
  </si>
  <si>
    <t xml:space="preserve">Delinquent Tax    </t>
  </si>
  <si>
    <t xml:space="preserve">    120 Non-Certified           </t>
  </si>
  <si>
    <t>Open page - USD Information - DO FIRST</t>
  </si>
  <si>
    <t>Bdgt2010</t>
  </si>
  <si>
    <t xml:space="preserve">  1982 Revenue From Virtual Education</t>
  </si>
  <si>
    <t>BOTA Goal</t>
  </si>
  <si>
    <t>Collection Rate Used in Documents</t>
  </si>
  <si>
    <t>Anticipated Collection Rate</t>
  </si>
  <si>
    <t>Additional Collection</t>
  </si>
  <si>
    <t>Additional For Budget Authority</t>
  </si>
  <si>
    <t>5000 OTHER FINANCING SOURCES</t>
  </si>
  <si>
    <t xml:space="preserve">   5140 Federal Tax Credit</t>
  </si>
  <si>
    <t xml:space="preserve">  5140 Federal Tax Credit</t>
  </si>
  <si>
    <t>F194 needs</t>
  </si>
  <si>
    <t>Cell B141</t>
  </si>
  <si>
    <t>TAX REQUIRED (Line 185 minus Line 82)</t>
  </si>
  <si>
    <t>C01-Certificate</t>
  </si>
  <si>
    <t>(Total Principal Outstanding)</t>
  </si>
  <si>
    <t>Bdgt2011</t>
  </si>
  <si>
    <t xml:space="preserve">  1990 Miscellaneous</t>
  </si>
  <si>
    <t>F195-KPERS %</t>
  </si>
  <si>
    <t>(line 2)</t>
  </si>
  <si>
    <t>110 - Thunder Ridge</t>
  </si>
  <si>
    <t>111 - Doniphan West Schools</t>
  </si>
  <si>
    <t>112 - Central Plains</t>
  </si>
  <si>
    <t>292 - Wheatland</t>
  </si>
  <si>
    <t>338 - Valley Falls</t>
  </si>
  <si>
    <t>USD 113 only</t>
  </si>
  <si>
    <t>99% districts</t>
  </si>
  <si>
    <t>Co62-special cases</t>
  </si>
  <si>
    <t>Co63-special cases</t>
  </si>
  <si>
    <t>Comma separated amount in text (put $ and comma in the figure)</t>
  </si>
  <si>
    <t>If there are two recreation commissions on a consolidation:</t>
  </si>
  <si>
    <t>Rec comm</t>
  </si>
  <si>
    <t>Public Library Brd - Emp Bnfts</t>
  </si>
  <si>
    <t>Public Lib Brd Emp Bnfts</t>
  </si>
  <si>
    <t>Rec comm emp bnfts</t>
  </si>
  <si>
    <t>114 - Riverside</t>
  </si>
  <si>
    <t>Text on co99, f194, co4, co1, open cells A27 &amp; A28, sumexpen Keep 2, co99a, sumexpen A998 &amp; A999, F110 K13 &amp; K61</t>
  </si>
  <si>
    <t>Text on OPEN, co99, co1, co84, co86, co4, Keep 2, Sumexpen A1334 &amp; A1336, F194, F110 G150 &amp; G151 &amp; G152</t>
  </si>
  <si>
    <t>113 - Prairie Hills</t>
  </si>
  <si>
    <t>Bdgt2012</t>
  </si>
  <si>
    <t>Year 2 Bdgt2008</t>
  </si>
  <si>
    <t>District's assessed valuation * Historical Museum Levy</t>
  </si>
  <si>
    <t>Ck if cells A16</t>
  </si>
  <si>
    <t>or cell A18 filled in</t>
  </si>
  <si>
    <t>ACTIVITY FUND</t>
  </si>
  <si>
    <t xml:space="preserve">  1710 Admissions/Gate Receipts</t>
  </si>
  <si>
    <t>C011</t>
  </si>
  <si>
    <t>C013</t>
  </si>
  <si>
    <t>C014</t>
  </si>
  <si>
    <t>C015</t>
  </si>
  <si>
    <t>C018</t>
  </si>
  <si>
    <t>C026</t>
  </si>
  <si>
    <t>C028</t>
  </si>
  <si>
    <t>C029</t>
  </si>
  <si>
    <t>C030</t>
  </si>
  <si>
    <t>C034</t>
  </si>
  <si>
    <t>C053</t>
  </si>
  <si>
    <t>C055</t>
  </si>
  <si>
    <t>Goes To ---</t>
  </si>
  <si>
    <t>Open - A10</t>
  </si>
  <si>
    <t>Open - A11</t>
  </si>
  <si>
    <t>Open - A12</t>
  </si>
  <si>
    <t>Open - A13</t>
  </si>
  <si>
    <t>Open - A45</t>
  </si>
  <si>
    <t>USD# - Name</t>
  </si>
  <si>
    <t>County Name</t>
  </si>
  <si>
    <t>Sq Miles</t>
  </si>
  <si>
    <t>115 - Nemaha Central</t>
  </si>
  <si>
    <t>Bond Prior Rate</t>
  </si>
  <si>
    <t>Bond After Rate</t>
  </si>
  <si>
    <t>C056-Activity Funds</t>
  </si>
  <si>
    <t xml:space="preserve">  4590 Other Federal Aid</t>
  </si>
  <si>
    <t xml:space="preserve">    4590 Other Federal Aid</t>
  </si>
  <si>
    <t>Description</t>
  </si>
  <si>
    <t>Co84-special cases</t>
  </si>
  <si>
    <t>USD 113</t>
  </si>
  <si>
    <t>Co86-special cases</t>
  </si>
  <si>
    <t xml:space="preserve">  100 Salaries</t>
  </si>
  <si>
    <t xml:space="preserve">    220 Social Security</t>
  </si>
  <si>
    <t xml:space="preserve">    290 Other</t>
  </si>
  <si>
    <t>TAX REQUIRED (line 175-line 70)</t>
  </si>
  <si>
    <t>Cell E17 should be zero</t>
  </si>
  <si>
    <t>USD 105, 110, 112, 113, 422</t>
  </si>
  <si>
    <t>USD 114, 422</t>
  </si>
  <si>
    <t>114 &amp; 422</t>
  </si>
  <si>
    <t>105, 110, 112</t>
  </si>
  <si>
    <t>Bdgt2013</t>
  </si>
  <si>
    <t>Year 3 Bdgt2009-2012</t>
  </si>
  <si>
    <t>Checks for the budget edits-negative revenues:</t>
  </si>
  <si>
    <t>co6 col1</t>
  </si>
  <si>
    <t>co7 col1</t>
  </si>
  <si>
    <t>co8 col1</t>
  </si>
  <si>
    <t>co10 col1</t>
  </si>
  <si>
    <t>co11 col1</t>
  </si>
  <si>
    <t xml:space="preserve">col12 col1 </t>
  </si>
  <si>
    <t>co13 col1</t>
  </si>
  <si>
    <t xml:space="preserve">co14 col1 </t>
  </si>
  <si>
    <t>co15 col1</t>
  </si>
  <si>
    <t>co16 col1</t>
  </si>
  <si>
    <t>co18 col1</t>
  </si>
  <si>
    <t>co19 col1-3</t>
  </si>
  <si>
    <t>co22 co1</t>
  </si>
  <si>
    <t>co24 col1-3</t>
  </si>
  <si>
    <t>co26 col1-3</t>
  </si>
  <si>
    <t>co28 col1</t>
  </si>
  <si>
    <t>co29 col1</t>
  </si>
  <si>
    <t>co30 col1</t>
  </si>
  <si>
    <t>co33 col1-3</t>
  </si>
  <si>
    <t>co34 col1</t>
  </si>
  <si>
    <t>co35 col1</t>
  </si>
  <si>
    <t>co42 col1-3</t>
  </si>
  <si>
    <t>co44 col1-3</t>
  </si>
  <si>
    <t>co45 col1-3</t>
  </si>
  <si>
    <t>co47 col1-2</t>
  </si>
  <si>
    <t>co51 col1-3</t>
  </si>
  <si>
    <t xml:space="preserve">co53 col1 </t>
  </si>
  <si>
    <t>co55 col1-3</t>
  </si>
  <si>
    <t>co56 col1-3</t>
  </si>
  <si>
    <t>co57 col1</t>
  </si>
  <si>
    <t>co62 col1-4</t>
  </si>
  <si>
    <t>co63 col1-4</t>
  </si>
  <si>
    <t>co66 col1-4</t>
  </si>
  <si>
    <t>co67col1-4</t>
  </si>
  <si>
    <t>co68 col1-4</t>
  </si>
  <si>
    <t>co78 col1</t>
  </si>
  <si>
    <t>co80 col1-4</t>
  </si>
  <si>
    <t>co82 col1-4</t>
  </si>
  <si>
    <t>co83 col1-4</t>
  </si>
  <si>
    <t>co84 col1-4</t>
  </si>
  <si>
    <t>co86 col1-4</t>
  </si>
  <si>
    <t>Checks for the budget edits-negative expenditures:</t>
  </si>
  <si>
    <t>co6 col2</t>
  </si>
  <si>
    <t>co6 col3</t>
  </si>
  <si>
    <t>col7 col2</t>
  </si>
  <si>
    <t>col7 col3</t>
  </si>
  <si>
    <t>co8 col2</t>
  </si>
  <si>
    <t>co8 col3</t>
  </si>
  <si>
    <t>co10 col2</t>
  </si>
  <si>
    <t>co10 col3</t>
  </si>
  <si>
    <t>col11 col2</t>
  </si>
  <si>
    <t>col11 col3</t>
  </si>
  <si>
    <t>col12 col2</t>
  </si>
  <si>
    <t>co12 col3</t>
  </si>
  <si>
    <t>col13 col2</t>
  </si>
  <si>
    <t>col13 col3</t>
  </si>
  <si>
    <t xml:space="preserve">co14 col2 </t>
  </si>
  <si>
    <t>co14 col3</t>
  </si>
  <si>
    <t>co15 col2</t>
  </si>
  <si>
    <t>co15 col3</t>
  </si>
  <si>
    <t>co16 col2</t>
  </si>
  <si>
    <t>co16 col3</t>
  </si>
  <si>
    <t>co18 col2</t>
  </si>
  <si>
    <t>co18 col3</t>
  </si>
  <si>
    <t>co22 col2</t>
  </si>
  <si>
    <t>co22 col3</t>
  </si>
  <si>
    <t>co29 col2</t>
  </si>
  <si>
    <t>co29 col3</t>
  </si>
  <si>
    <t>co30 col2</t>
  </si>
  <si>
    <t>co30 col3</t>
  </si>
  <si>
    <t>co34 col2</t>
  </si>
  <si>
    <t>co34 col3</t>
  </si>
  <si>
    <t>co35 col2</t>
  </si>
  <si>
    <t>co35 col3</t>
  </si>
  <si>
    <t>co53 col2</t>
  </si>
  <si>
    <t>co78 col2</t>
  </si>
  <si>
    <t>co78 col3</t>
  </si>
  <si>
    <t>C06</t>
  </si>
  <si>
    <t>C08</t>
  </si>
  <si>
    <t>C010</t>
  </si>
  <si>
    <t>C012</t>
  </si>
  <si>
    <t>C07</t>
  </si>
  <si>
    <t>C016</t>
  </si>
  <si>
    <t>C019</t>
  </si>
  <si>
    <t>C022</t>
  </si>
  <si>
    <t>C024</t>
  </si>
  <si>
    <t>C033</t>
  </si>
  <si>
    <t>C035</t>
  </si>
  <si>
    <t>C042</t>
  </si>
  <si>
    <t>C044</t>
  </si>
  <si>
    <t>C045</t>
  </si>
  <si>
    <t>C047</t>
  </si>
  <si>
    <t>C051</t>
  </si>
  <si>
    <t>C056</t>
  </si>
  <si>
    <t>C062</t>
  </si>
  <si>
    <t>C063</t>
  </si>
  <si>
    <t>C066</t>
  </si>
  <si>
    <t>C067</t>
  </si>
  <si>
    <t>C068</t>
  </si>
  <si>
    <t>C078</t>
  </si>
  <si>
    <t>C080</t>
  </si>
  <si>
    <t>C083</t>
  </si>
  <si>
    <t>C084</t>
  </si>
  <si>
    <t>C086</t>
  </si>
  <si>
    <t xml:space="preserve">   Funds in Error</t>
  </si>
  <si>
    <t xml:space="preserve">   Funds with Negative Revenues*</t>
  </si>
  <si>
    <t xml:space="preserve">   Funds with Negative Expenditures**</t>
  </si>
  <si>
    <t>**Adjust other expenditures to get rid of the negatives.</t>
  </si>
  <si>
    <t>*Negative revenues could be possible on the C07</t>
  </si>
  <si>
    <r>
      <t>Explanation for errors if valid:</t>
    </r>
    <r>
      <rPr>
        <sz val="10"/>
        <color rgb="FF92D050"/>
        <rFont val="Arial"/>
        <family val="2"/>
      </rPr>
      <t xml:space="preserve"> (double-click in box below and type)</t>
    </r>
  </si>
  <si>
    <t xml:space="preserve">    2310 Board of Education Services</t>
  </si>
  <si>
    <t>Taxes to be Levied</t>
  </si>
  <si>
    <t xml:space="preserve">  if federal funds are lagging.  The opening cash balances </t>
  </si>
  <si>
    <t xml:space="preserve">  are not checked on the C07.</t>
  </si>
  <si>
    <t>Return to Contents Page</t>
  </si>
  <si>
    <t>Factor A</t>
  </si>
  <si>
    <t>Free Meal Percentages between 35.0 and 49.99</t>
  </si>
  <si>
    <t xml:space="preserve">  120 NonCertified</t>
  </si>
  <si>
    <t>Open - A3</t>
  </si>
  <si>
    <t>C051 - C13</t>
  </si>
  <si>
    <t>C051 - D13</t>
  </si>
  <si>
    <t>2014-2015</t>
  </si>
  <si>
    <t>F196</t>
  </si>
  <si>
    <t>School Bus C,D</t>
  </si>
  <si>
    <t>School Bus A,B</t>
  </si>
  <si>
    <t>Suburbans, Vans</t>
  </si>
  <si>
    <t>calculation</t>
  </si>
  <si>
    <t>printed (text)</t>
  </si>
  <si>
    <t xml:space="preserve">  3225 CTE Transportation State Aid </t>
  </si>
  <si>
    <t>Bdgt2014</t>
  </si>
  <si>
    <t>Year 3-Bdgt2009</t>
  </si>
  <si>
    <t>Year 2-Bdgt2008</t>
  </si>
  <si>
    <t>2013-2014</t>
  </si>
  <si>
    <t>422 - Greensburg</t>
  </si>
  <si>
    <t xml:space="preserve">  1990 Miscellaneous </t>
  </si>
  <si>
    <t>$1.45</t>
  </si>
  <si>
    <t>$1.15</t>
  </si>
  <si>
    <t>$.90</t>
  </si>
  <si>
    <t>co8-col1-65</t>
  </si>
  <si>
    <t>co8-col2-65</t>
  </si>
  <si>
    <t>co8-col3-65</t>
  </si>
  <si>
    <t>co16-col1-97</t>
  </si>
  <si>
    <t>co16-col2-97</t>
  </si>
  <si>
    <t>co16-col3-97</t>
  </si>
  <si>
    <t>co30-col1-65</t>
  </si>
  <si>
    <t>co30-col2-65</t>
  </si>
  <si>
    <t>co30-col3-65</t>
  </si>
  <si>
    <t>Bdgt 2015</t>
  </si>
  <si>
    <t>Bdgt2015</t>
  </si>
  <si>
    <t>Bdgt2013-2014</t>
  </si>
  <si>
    <t xml:space="preserve">    600 Supplies - Performance Uniforms</t>
  </si>
  <si>
    <t>2600 Operations &amp; Maintenance</t>
  </si>
  <si>
    <t xml:space="preserve">   120 NonCertified</t>
  </si>
  <si>
    <t xml:space="preserve">    210 Insurance (Employee)</t>
  </si>
  <si>
    <t xml:space="preserve">    460 Repair of Buildings</t>
  </si>
  <si>
    <t xml:space="preserve">   700 Property (Equipment &amp; Buses)</t>
  </si>
  <si>
    <t>2730 Vehicle Services &amp; Maintenance Services</t>
  </si>
  <si>
    <t xml:space="preserve">  600 Supplies</t>
  </si>
  <si>
    <t xml:space="preserve">  700 Property (Equipment &amp; Furnishings)</t>
  </si>
  <si>
    <t>2700 Transportation</t>
  </si>
  <si>
    <t xml:space="preserve">2900 Other Support Services     </t>
  </si>
  <si>
    <t xml:space="preserve">2500 Central Services          </t>
  </si>
  <si>
    <t xml:space="preserve">   700 Property (Equipment &amp; Furnishings) </t>
  </si>
  <si>
    <t xml:space="preserve">5000 OTHER  </t>
  </si>
  <si>
    <t>2500 Central Services</t>
  </si>
  <si>
    <t xml:space="preserve">   110 Certified</t>
  </si>
  <si>
    <t xml:space="preserve">   220 Social Security</t>
  </si>
  <si>
    <t xml:space="preserve">   210 Insurance  </t>
  </si>
  <si>
    <t xml:space="preserve">   290 Other</t>
  </si>
  <si>
    <t>2900 Other Support Services</t>
  </si>
  <si>
    <t xml:space="preserve">2900 Other Support Services </t>
  </si>
  <si>
    <t xml:space="preserve">2900 Other Support Services  </t>
  </si>
  <si>
    <t xml:space="preserve"> 2900 Other Support Services </t>
  </si>
  <si>
    <t xml:space="preserve">  2500 Central Services</t>
  </si>
  <si>
    <t xml:space="preserve">  2900 Other Support Services</t>
  </si>
  <si>
    <t xml:space="preserve">2500 Central Services  </t>
  </si>
  <si>
    <t xml:space="preserve">  3223 Capital Outlay State Aid</t>
  </si>
  <si>
    <t>2nd Publication</t>
  </si>
  <si>
    <t>years.</t>
  </si>
  <si>
    <t xml:space="preserve">    650 Supplies - Technology Software</t>
  </si>
  <si>
    <t xml:space="preserve">   650 Supplies - Technology Software</t>
  </si>
  <si>
    <t xml:space="preserve">  650 Supplies - Technology Software</t>
  </si>
  <si>
    <t>(USD 500 ONLY)</t>
  </si>
  <si>
    <t xml:space="preserve">   Number of years authorized.</t>
  </si>
  <si>
    <t>100%</t>
  </si>
  <si>
    <t xml:space="preserve">   Number of years authorized.  (Enter 9999 for continuous and permanent.)</t>
  </si>
  <si>
    <t xml:space="preserve">   Number of mills.</t>
  </si>
  <si>
    <t>410 - Durham-Hillsboro-Lehigh</t>
  </si>
  <si>
    <t>C034 - C24</t>
  </si>
  <si>
    <t>C034 - D24</t>
  </si>
  <si>
    <t>Open - B22</t>
  </si>
  <si>
    <t>Open - B23</t>
  </si>
  <si>
    <t>Open - B24</t>
  </si>
  <si>
    <t>Open - B25</t>
  </si>
  <si>
    <t>Open - B26</t>
  </si>
  <si>
    <t>Open - B27</t>
  </si>
  <si>
    <t>Open - B28</t>
  </si>
  <si>
    <t>Open - B29</t>
  </si>
  <si>
    <t>Open - B30</t>
  </si>
  <si>
    <t>Open - B31</t>
  </si>
  <si>
    <t>Open - B32</t>
  </si>
  <si>
    <t>Open - B33</t>
  </si>
  <si>
    <t>Open - B34</t>
  </si>
  <si>
    <t>Open - B35</t>
  </si>
  <si>
    <t>Open - B38</t>
  </si>
  <si>
    <t>Open - B39</t>
  </si>
  <si>
    <t>Open - B40</t>
  </si>
  <si>
    <t xml:space="preserve">  980 Supplemental General Fund</t>
  </si>
  <si>
    <t>Amount to enter in Line 75</t>
  </si>
  <si>
    <t>330 - Mission Valley</t>
  </si>
  <si>
    <t>2015-2016</t>
  </si>
  <si>
    <t xml:space="preserve">    2015  $</t>
  </si>
  <si>
    <t>2015-16</t>
  </si>
  <si>
    <t>July 1, 2015</t>
  </si>
  <si>
    <t>Bdgt2016</t>
  </si>
  <si>
    <t>Block Grant</t>
  </si>
  <si>
    <t>co16</t>
  </si>
  <si>
    <t xml:space="preserve">  3217 State Aid (prior July 1, 2015)</t>
  </si>
  <si>
    <t xml:space="preserve">  2460 Commercial Vehicle Tax</t>
  </si>
  <si>
    <t xml:space="preserve">  2460 Commerical Vehicle Tax</t>
  </si>
  <si>
    <t xml:space="preserve">   1140 Delinquent Tax         </t>
  </si>
  <si>
    <t xml:space="preserve">  1140 Delinquent Tax         </t>
  </si>
  <si>
    <t xml:space="preserve">  1140 Delinquent Tax          </t>
  </si>
  <si>
    <t>expires</t>
  </si>
  <si>
    <t>x</t>
  </si>
  <si>
    <t>Amount in budget per Form 118-Est. Legal Maximum General Fund Budget</t>
  </si>
  <si>
    <t>n/a</t>
  </si>
  <si>
    <t>F151 over pro-ration</t>
  </si>
  <si>
    <t>$3,852</t>
  </si>
  <si>
    <t xml:space="preserve">  2800 In Lieu of Taxes IRBs/Rental Excise   </t>
  </si>
  <si>
    <t xml:space="preserve">  2800 In Lieu of Taxes IRBs/Rental Excise</t>
  </si>
  <si>
    <t xml:space="preserve">  2800 In Lieu of Taxes IRBs/Rental Excise    </t>
  </si>
  <si>
    <t xml:space="preserve">  2800 In Lieu of Taxes IRBs/Rental Excise     </t>
  </si>
  <si>
    <t>Open - B37</t>
  </si>
  <si>
    <t>C08 - D27</t>
  </si>
  <si>
    <t>F242 - E18</t>
  </si>
  <si>
    <t>BLANK</t>
  </si>
  <si>
    <t xml:space="preserve">  890 Bond Fees      </t>
  </si>
  <si>
    <t xml:space="preserve">  890 Bond Fees </t>
  </si>
  <si>
    <t xml:space="preserve">  890 Bond Fees July-December </t>
  </si>
  <si>
    <t xml:space="preserve">  832 Interest Due July-December </t>
  </si>
  <si>
    <t xml:space="preserve">  831 Principal Due July-December     </t>
  </si>
  <si>
    <t>Cell E28 can be overwritten to ensure taxes received will be adequate for State Payment</t>
  </si>
  <si>
    <t>C016 - D35</t>
  </si>
  <si>
    <t>Return to Contents</t>
  </si>
  <si>
    <t xml:space="preserve">I hereby certify that the budget amounts and expenditures within this document are in compliance with the Kansas Accounting Handbook to the best of my knowledge. </t>
  </si>
  <si>
    <t>USD# and Name:</t>
  </si>
  <si>
    <t>Superintendent:</t>
  </si>
  <si>
    <t>Date:</t>
  </si>
  <si>
    <t xml:space="preserve">   Superintendent should sign document once printed.</t>
  </si>
  <si>
    <t>Form 0-135-110</t>
  </si>
  <si>
    <t>PAGE 1</t>
  </si>
  <si>
    <t>District Name</t>
  </si>
  <si>
    <t>No.</t>
  </si>
  <si>
    <t>COMBINED</t>
  </si>
  <si>
    <t>TAX IN PROCESS OF COLLECTION AND INFORMATION NEEDED</t>
  </si>
  <si>
    <t>FROM THE COUNTY TREASURER TO PREPARE UNIFIED SCHOOL DISTRICT BUDGET FORMS</t>
  </si>
  <si>
    <t>FORM 110</t>
  </si>
  <si>
    <t>Supplemental</t>
  </si>
  <si>
    <t>Capital</t>
  </si>
  <si>
    <t>Bond and</t>
  </si>
  <si>
    <t>Outlay</t>
  </si>
  <si>
    <t>Interest</t>
  </si>
  <si>
    <t>Recreation</t>
  </si>
  <si>
    <t>3.  Less:  percent of delinquent taxes  (3a)</t>
  </si>
  <si>
    <t>7.  Less:  County Taxes received**</t>
  </si>
  <si>
    <t>8.  Less:  County Taxes received**</t>
  </si>
  <si>
    <t>9.  Less:  Taxes refunded/abated</t>
  </si>
  <si>
    <t>10. Total Deductions (add Lines 3+4+5+6+7+8+9)</t>
  </si>
  <si>
    <t>12. Estimated Revenue from Delinquent</t>
  </si>
  <si>
    <t xml:space="preserve">     Taxes during the next 18 months</t>
  </si>
  <si>
    <t>Tax Collection Ratio (Jan, Mar, June)</t>
  </si>
  <si>
    <t>TABLE I</t>
  </si>
  <si>
    <t>2.  Estimated percent of distribution (Jan., Mar., June)</t>
  </si>
  <si>
    <t>(Must total 100%)</t>
  </si>
  <si>
    <t>and does not include MVPT.)   Include Watercraft Tax if USD received payment direct from county.   ***Exclude any assessed valuation due to the neighborhood</t>
  </si>
  <si>
    <t>revitalization act and tax increment financing.</t>
  </si>
  <si>
    <t>PAGE 2</t>
  </si>
  <si>
    <t>Adult</t>
  </si>
  <si>
    <t xml:space="preserve">Special </t>
  </si>
  <si>
    <t xml:space="preserve">School </t>
  </si>
  <si>
    <t>Bond &amp;</t>
  </si>
  <si>
    <t>Education</t>
  </si>
  <si>
    <t>Liability</t>
  </si>
  <si>
    <t>Retirement</t>
  </si>
  <si>
    <t>3.  Less:  percent of delinquent taxes</t>
  </si>
  <si>
    <t>10. Total Deductions (Add lines 3+4+5+6+7+8+9)</t>
  </si>
  <si>
    <t>12.  Estimated Revenue from Delinquent</t>
  </si>
  <si>
    <t>Estimated Motor</t>
  </si>
  <si>
    <t>Estimated Recreational Vehicle</t>
  </si>
  <si>
    <t>Estimated In Lieu of Taxes</t>
  </si>
  <si>
    <t>Vehicle Property Tax*</t>
  </si>
  <si>
    <t>on Industrial Revenue Bonds*</t>
  </si>
  <si>
    <t>Estimated 16/20M Tax*</t>
  </si>
  <si>
    <t>Estimated Commercial Vehicle Tax*</t>
  </si>
  <si>
    <t>Percent Uncollected*</t>
  </si>
  <si>
    <t xml:space="preserve"> records and does not include MVPT.)   Include Watercraft Tax if USD received payment direct from county.</t>
  </si>
  <si>
    <t>PAGE 3</t>
  </si>
  <si>
    <t>No Fund</t>
  </si>
  <si>
    <t>Special</t>
  </si>
  <si>
    <t>Temporary</t>
  </si>
  <si>
    <t>Historical</t>
  </si>
  <si>
    <t>Public</t>
  </si>
  <si>
    <t>Warrant</t>
  </si>
  <si>
    <t>Assessment</t>
  </si>
  <si>
    <t>Note</t>
  </si>
  <si>
    <t>Museum</t>
  </si>
  <si>
    <t>Library</t>
  </si>
  <si>
    <t>PAGE 4</t>
  </si>
  <si>
    <t>Extraordinary</t>
  </si>
  <si>
    <t>Public Library</t>
  </si>
  <si>
    <t>Declining</t>
  </si>
  <si>
    <t>Growth</t>
  </si>
  <si>
    <t>Board</t>
  </si>
  <si>
    <t xml:space="preserve">Cost of </t>
  </si>
  <si>
    <t>Enrollment</t>
  </si>
  <si>
    <t>Facilities</t>
  </si>
  <si>
    <t>Emp Benefits</t>
  </si>
  <si>
    <t>Living</t>
  </si>
  <si>
    <t>School</t>
  </si>
  <si>
    <t xml:space="preserve">Bond &amp; </t>
  </si>
  <si>
    <t>7.  Less:  County Taxes Received*</t>
  </si>
  <si>
    <t>8.  Less:  County Taxes Received*</t>
  </si>
  <si>
    <t>10.  Total Deductions (Add lines 3+4+5+6+7+8+9)</t>
  </si>
  <si>
    <t>Cost of</t>
  </si>
  <si>
    <t xml:space="preserve">      Taxes during the next 18 months</t>
  </si>
  <si>
    <t>FORM 118</t>
  </si>
  <si>
    <t>(This form should be included with the budget document and filed with the State Board of Education)</t>
  </si>
  <si>
    <t>1.  Estimated number of Special Education Teachers (FTE*)</t>
  </si>
  <si>
    <t xml:space="preserve">2.  Estimated (FTE*)Special Education Paraprofessionals </t>
  </si>
  <si>
    <t>times .4  =</t>
  </si>
  <si>
    <t>3.  Total number of Special Education Teachers (Line 1 + Line 2)</t>
  </si>
  <si>
    <t>*Full-time equivalency</t>
  </si>
  <si>
    <t xml:space="preserve">5.  Salaries of Bus Drivers and Transportation Aides (includes social security </t>
  </si>
  <si>
    <t xml:space="preserve">     and fringe benefits)</t>
  </si>
  <si>
    <t>6.  Contractual Services (includes mileage paid to parents)</t>
  </si>
  <si>
    <t>7.  Insurance</t>
  </si>
  <si>
    <t>8.  Maintenance in Lieu of Transportation (limited to $750 per child)</t>
  </si>
  <si>
    <t>9.  Other Expense (gasoline, oil, vehicle maintenance, etc.)</t>
  </si>
  <si>
    <t>10. Capital Outlay Fund—Equipment (exclude bus purchases)</t>
  </si>
  <si>
    <t>11. Depreciation (Includes only those vehicles which are not depreciated in the regular</t>
  </si>
  <si>
    <t xml:space="preserve">      transportation formula.  See depreciation schedule for prior year.)</t>
  </si>
  <si>
    <t>12. Teacher travel (in-district)</t>
  </si>
  <si>
    <t>13. Total of Lines 5 through 12</t>
  </si>
  <si>
    <t>14.  Less:  Transportation reimbursement (include cash sale of buses, EXCLUDE State Aid)</t>
  </si>
  <si>
    <t>15. Net Transportation Cost (Line 13 minus Line 14)</t>
  </si>
  <si>
    <t>18.  Estimated Medicaid Replacement State Aid</t>
  </si>
  <si>
    <t>19.  Estimated Special Education State Aid on behalf of Cooperative/Interlocal (Form 120)</t>
  </si>
  <si>
    <t xml:space="preserve">            </t>
  </si>
  <si>
    <t>Bilingual Education</t>
  </si>
  <si>
    <t>Parent Education Program</t>
  </si>
  <si>
    <t>Professional Development</t>
  </si>
  <si>
    <t>Summer School</t>
  </si>
  <si>
    <t>Virtual Education</t>
  </si>
  <si>
    <t>+</t>
  </si>
  <si>
    <t>Kansas Department of Education</t>
  </si>
  <si>
    <t>FORM  155</t>
  </si>
  <si>
    <t>School year it expires</t>
  </si>
  <si>
    <t>Expires</t>
  </si>
  <si>
    <t>Form 162</t>
  </si>
  <si>
    <t>DISTRICT</t>
  </si>
  <si>
    <t>ANNUAL</t>
  </si>
  <si>
    <t>FEDERAL</t>
  </si>
  <si>
    <t>STATE</t>
  </si>
  <si>
    <t>LOCAL</t>
  </si>
  <si>
    <t>MEALS</t>
  </si>
  <si>
    <t>RATE</t>
  </si>
  <si>
    <t>Reimbursement</t>
  </si>
  <si>
    <t>PRICE</t>
  </si>
  <si>
    <t>REVENUE</t>
  </si>
  <si>
    <t>OTHER CASH</t>
  </si>
  <si>
    <t>Sales/Income</t>
  </si>
  <si>
    <t>12 Months</t>
  </si>
  <si>
    <t>FORM 194</t>
  </si>
  <si>
    <t>Proration of Estimated Motor Vehicle Property Tax, Recreational Vehicle Property Tax,</t>
  </si>
  <si>
    <t>Do Not Anticipate Revenues from Motor Vehicle Property Tax, Recreational Vehicle Property Tax and In Lieu of Taxes on Ind. Rev. Bonds</t>
  </si>
  <si>
    <t>Percent of Total</t>
  </si>
  <si>
    <t>Recreational Vehicle</t>
  </si>
  <si>
    <t>In Lieu of Taxes in</t>
  </si>
  <si>
    <t>Commercial</t>
  </si>
  <si>
    <t>(Dollars)(a)</t>
  </si>
  <si>
    <t>Taxes Levied (b)</t>
  </si>
  <si>
    <t>Property Tax (d)</t>
  </si>
  <si>
    <t>Taxes Levied (f)</t>
  </si>
  <si>
    <t>Ind. Rev. Bonds (g)</t>
  </si>
  <si>
    <t>16/20M Tax (d)</t>
  </si>
  <si>
    <t>Vehicle Tax (d)</t>
  </si>
  <si>
    <t>Computes using whole General Fund (col. 4) (comes from Open)</t>
  </si>
  <si>
    <t>General (No MVPT or RVPT)</t>
  </si>
  <si>
    <t>Supplemental Gen. Fund</t>
  </si>
  <si>
    <t>Temporary Notes</t>
  </si>
  <si>
    <t>(c)</t>
  </si>
  <si>
    <t>(e)</t>
  </si>
  <si>
    <t>(a)</t>
  </si>
  <si>
    <t>(b)</t>
  </si>
  <si>
    <t>Divide each fund's tax levy by total tax dollars levied.</t>
  </si>
  <si>
    <t>Should equal 100 percent.</t>
  </si>
  <si>
    <t>(d)</t>
  </si>
  <si>
    <t>Take the amount on line 21 times the calculated percentage for each fund from column 2.</t>
  </si>
  <si>
    <t xml:space="preserve">Take the amount on Form 110, Page 2, Lines 13, 14, 15, 16 and 17 and multiply by .67. </t>
  </si>
  <si>
    <t>(f)</t>
  </si>
  <si>
    <t>(g)</t>
  </si>
  <si>
    <t>FORM 194-A</t>
  </si>
  <si>
    <t>Proration of Estimated Motor Vehicle Property Tax, Recreational Vehicle Property Tax</t>
  </si>
  <si>
    <t>Computes using whole General Fund (comes from F110)</t>
  </si>
  <si>
    <t xml:space="preserve">Take the amount on Form 110, Page 2, lines 13, 14, 15, 16 and 17 and multiply by .33. </t>
  </si>
  <si>
    <t>FORM 195</t>
  </si>
  <si>
    <t>A.  Driver Education Aid (Approved Programs Only)</t>
  </si>
  <si>
    <t>B.  Motorcycle Safety Aid (Approved Programs Only)</t>
  </si>
  <si>
    <t>3.  Est. KPERS State Aid due to salary increases and added staff</t>
  </si>
  <si>
    <t xml:space="preserve">   ((Line 1 + Line 2) X % of salary increase and added staff</t>
  </si>
  <si>
    <t>%)</t>
  </si>
  <si>
    <t>Form 196</t>
  </si>
  <si>
    <t>Career and Technical Education</t>
  </si>
  <si>
    <t>Community Colleges/Technical Colleges</t>
  </si>
  <si>
    <t>Transportation for 11th and 12th grade pupils attending Career &amp; Technical</t>
  </si>
  <si>
    <t>programs/courses at community colleges/technical colleges</t>
  </si>
  <si>
    <t>School Bus - Types C &amp; D</t>
  </si>
  <si>
    <t>Total number of miles to and from community college/technical college</t>
  </si>
  <si>
    <t xml:space="preserve">*This applies to transportation provided by school districts.  Do not include mileage for </t>
  </si>
  <si>
    <t xml:space="preserve"> students that choose to drive their own vehicle.</t>
  </si>
  <si>
    <t>FORM 242</t>
  </si>
  <si>
    <t>BOND AND INTEREST FUND #1</t>
  </si>
  <si>
    <t>(Bond Elections Prior July 1, 2015)</t>
  </si>
  <si>
    <t>Does not include asbestos bonds and capital outlay bonds.  State aid applies only to general</t>
  </si>
  <si>
    <t>obligation bonds passed in a referendum.</t>
  </si>
  <si>
    <t>2.  Estimated Federal Tax Credit (Build America Bonds)</t>
  </si>
  <si>
    <t>3.  Estimated bond and interest state aid.  (Line 1 minus Line 2) x factor</t>
  </si>
  <si>
    <t>4.  Less prior year overpayment</t>
  </si>
  <si>
    <t>-</t>
  </si>
  <si>
    <t>FORM 242-A</t>
  </si>
  <si>
    <t>BOND AND INTEREST FUND #2</t>
  </si>
  <si>
    <t>3.  Estimated bond and interest state aid. (Line 1 minus Line 2) x factor</t>
  </si>
  <si>
    <t>FORM 244-A</t>
  </si>
  <si>
    <t>BUDGET AMENDMENT INSTRUCTIONS</t>
  </si>
  <si>
    <t>AMENDMENT PROCEDURES</t>
  </si>
  <si>
    <t>SUMMARY OF AMENDMENTS</t>
  </si>
  <si>
    <t>Proposed Amendment</t>
  </si>
  <si>
    <t>Unencumbered Cash Balance by Fund</t>
  </si>
  <si>
    <t>Adult Supplemental Education</t>
  </si>
  <si>
    <t>At Risk (K-12)</t>
  </si>
  <si>
    <t>Driver Training</t>
  </si>
  <si>
    <t>Extraordinary School Program</t>
  </si>
  <si>
    <t>Food Service</t>
  </si>
  <si>
    <t>Special Education</t>
  </si>
  <si>
    <t>Gifts/Grants</t>
  </si>
  <si>
    <t>Special Liability</t>
  </si>
  <si>
    <t>Special Reserve</t>
  </si>
  <si>
    <t>KPERS Spec. Ret. Contribution</t>
  </si>
  <si>
    <t>Contingency Reserve</t>
  </si>
  <si>
    <t>Text Book &amp; Student Material</t>
  </si>
  <si>
    <t>Activity Fund</t>
  </si>
  <si>
    <t>Bond and Interest #1</t>
  </si>
  <si>
    <t>Bond and Interest #2</t>
  </si>
  <si>
    <t>Special Education Coop</t>
  </si>
  <si>
    <t>USD TOTAL</t>
  </si>
  <si>
    <t>Public Lib. Emp. Benefits</t>
  </si>
  <si>
    <t>Recreation Commission</t>
  </si>
  <si>
    <t>Rec. Comm. Emp. Benefits</t>
  </si>
  <si>
    <t>OTHER TOTAL</t>
  </si>
  <si>
    <t>Salaries page</t>
  </si>
  <si>
    <t>Certify-Superintendent must sign!</t>
  </si>
  <si>
    <t>Form 110-Tax in Process</t>
  </si>
  <si>
    <t>Form 118-Estimated Special Education Aid</t>
  </si>
  <si>
    <t>Form 155-Local Option Budget (Supplemental General Fund)</t>
  </si>
  <si>
    <t>Form 162-Estimated Food Service Revenue</t>
  </si>
  <si>
    <t>Form 194-Estimated Motor Vehicle Tax and IRB Payments</t>
  </si>
  <si>
    <t>Form 196-Estimated State Aid for Transportation to Comm Colleges/Technical Colleges</t>
  </si>
  <si>
    <t>Form 242-Estimated Bond &amp; Interest #1 State Aid</t>
  </si>
  <si>
    <t>Form 242A-Estimated Bond &amp; Interest #2 State Aid</t>
  </si>
  <si>
    <t>Cash Balances on all funds</t>
  </si>
  <si>
    <t>District:</t>
  </si>
  <si>
    <t>Year:</t>
  </si>
  <si>
    <t>In order to help you fill out the headings on the Certify, Certificate (C01), Notice of Hearing (CO99) and Amendment (Amend),</t>
  </si>
  <si>
    <t>fill in the information on this sheet and it will be transferred over to the correct places.</t>
  </si>
  <si>
    <t>Certificate (C01):</t>
  </si>
  <si>
    <t>…acting officers of …</t>
  </si>
  <si>
    <t>Notice of Hearing (CO99):</t>
  </si>
  <si>
    <t>The governing body of</t>
  </si>
  <si>
    <t xml:space="preserve">will meet on the </t>
  </si>
  <si>
    <t>day of</t>
  </si>
  <si>
    <r>
      <t xml:space="preserve">(Month spelled out, for example:  </t>
    </r>
    <r>
      <rPr>
        <sz val="10"/>
        <color indexed="10"/>
        <rFont val="Arial"/>
        <family val="2"/>
      </rPr>
      <t>August</t>
    </r>
    <r>
      <rPr>
        <sz val="10"/>
        <rFont val="Arial"/>
        <family val="2"/>
      </rPr>
      <t>)</t>
    </r>
  </si>
  <si>
    <t>at</t>
  </si>
  <si>
    <r>
      <t xml:space="preserve">(time, for example: </t>
    </r>
    <r>
      <rPr>
        <sz val="10"/>
        <color indexed="10"/>
        <rFont val="Arial"/>
        <family val="2"/>
      </rPr>
      <t xml:space="preserve"> 8:30 AM</t>
    </r>
    <r>
      <rPr>
        <sz val="10"/>
        <rFont val="Arial"/>
        <family val="2"/>
      </rPr>
      <t>)</t>
    </r>
  </si>
  <si>
    <r>
      <t xml:space="preserve">(street address for location of meeting, for example:  </t>
    </r>
    <r>
      <rPr>
        <sz val="10"/>
        <color indexed="10"/>
        <rFont val="Arial"/>
        <family val="2"/>
      </rPr>
      <t>131 East Commercial</t>
    </r>
    <r>
      <rPr>
        <sz val="10"/>
        <rFont val="Arial"/>
        <family val="2"/>
      </rPr>
      <t>)</t>
    </r>
  </si>
  <si>
    <t>…budget information is available at…</t>
  </si>
  <si>
    <r>
      <t xml:space="preserve">(location budget information can be found on any day, for example:  </t>
    </r>
    <r>
      <rPr>
        <sz val="10"/>
        <color indexed="10"/>
        <rFont val="Arial"/>
        <family val="2"/>
      </rPr>
      <t>district office</t>
    </r>
    <r>
      <rPr>
        <sz val="10"/>
        <rFont val="Arial"/>
        <family val="2"/>
      </rPr>
      <t>)</t>
    </r>
  </si>
  <si>
    <t>Amendment (Amend):</t>
  </si>
  <si>
    <t xml:space="preserve">day of </t>
  </si>
  <si>
    <r>
      <t xml:space="preserve">(Month spelled out, for example:  </t>
    </r>
    <r>
      <rPr>
        <sz val="10"/>
        <color indexed="10"/>
        <rFont val="Arial"/>
        <family val="2"/>
      </rPr>
      <t>May</t>
    </r>
    <r>
      <rPr>
        <sz val="10"/>
        <rFont val="Arial"/>
        <family val="2"/>
      </rPr>
      <t>)</t>
    </r>
  </si>
  <si>
    <r>
      <t xml:space="preserve">(time, for example:  </t>
    </r>
    <r>
      <rPr>
        <sz val="10"/>
        <color indexed="10"/>
        <rFont val="Arial"/>
        <family val="2"/>
      </rPr>
      <t>8:30 AM</t>
    </r>
    <r>
      <rPr>
        <sz val="10"/>
        <rFont val="Arial"/>
        <family val="2"/>
      </rPr>
      <t>)</t>
    </r>
  </si>
  <si>
    <t>Certify:</t>
  </si>
  <si>
    <t>FTE</t>
  </si>
  <si>
    <t>Total Salary</t>
  </si>
  <si>
    <t>Average Salary</t>
  </si>
  <si>
    <t>Chart Data</t>
  </si>
  <si>
    <t>Administrators (Certified/Non-Certified)</t>
  </si>
  <si>
    <t>Teachers (Full Time)</t>
  </si>
  <si>
    <t>Other Certified (Licensed) Personnel</t>
  </si>
  <si>
    <t>Classified Personnel</t>
  </si>
  <si>
    <t>Substitutes/Temporary Help</t>
  </si>
  <si>
    <t>DEFINITIONS</t>
  </si>
  <si>
    <t>Administrators:</t>
  </si>
  <si>
    <t>Teachers (Full Time Only):</t>
  </si>
  <si>
    <t>Other Certified (Licensed) Personnel:</t>
  </si>
  <si>
    <t>Classified Personnel:</t>
  </si>
  <si>
    <t>Substitutes/Temporary:</t>
  </si>
  <si>
    <t>**Substitute Teachers, Coaching Assistants and other short term temporary help.</t>
  </si>
  <si>
    <t>Total Salary:</t>
  </si>
  <si>
    <t>**FTE of 1.0 for Non-Certified Administrators, Classified Personnel and Substitutes/Temporary should be based upon 2,080 hours.</t>
  </si>
  <si>
    <t>Instructions:  Enter the FTE for each object in each fund.</t>
  </si>
  <si>
    <t>Total 100</t>
  </si>
  <si>
    <t>Total FTE</t>
  </si>
  <si>
    <t>by category</t>
  </si>
  <si>
    <t>2016-2017</t>
  </si>
  <si>
    <t xml:space="preserve">    2016  $</t>
  </si>
  <si>
    <t>2015-16 Actual</t>
  </si>
  <si>
    <t>2016-17</t>
  </si>
  <si>
    <t>July 1, 2016</t>
  </si>
  <si>
    <t>Bdgt2017</t>
  </si>
  <si>
    <r>
      <rPr>
        <sz val="14"/>
        <color rgb="FFC00000"/>
        <rFont val="Calibri"/>
        <family val="2"/>
        <scheme val="minor"/>
      </rPr>
      <t xml:space="preserve">OPTIONAL </t>
    </r>
    <r>
      <rPr>
        <sz val="12"/>
        <color rgb="FF0070C0"/>
        <rFont val="Calibri"/>
        <family val="2"/>
        <scheme val="minor"/>
      </rPr>
      <t>Worksheet to help compute the average salary   (includes 110 Certified &amp; 120 NonCertified)</t>
    </r>
  </si>
  <si>
    <t>Codes</t>
  </si>
  <si>
    <t>Forms</t>
  </si>
  <si>
    <t>C047-Special Reserve</t>
  </si>
  <si>
    <t>C066-No Fund Warrant</t>
  </si>
  <si>
    <t>Amend-Budget Amendment Instructions</t>
  </si>
  <si>
    <t>Budget Checks-Quick checks if funds are in balance</t>
  </si>
  <si>
    <t>FORM 246-A</t>
  </si>
  <si>
    <t>All other Revenue</t>
  </si>
  <si>
    <t>74-4939a</t>
  </si>
  <si>
    <t xml:space="preserve">  5208 Transfer from Supplemental General </t>
  </si>
  <si>
    <t xml:space="preserve">TOTAL EXPENDITURES &amp; TRANSFERS             </t>
  </si>
  <si>
    <t xml:space="preserve">  960 Special Reserve</t>
  </si>
  <si>
    <t>FORM 239</t>
  </si>
  <si>
    <t>(This form should be included with the budget document and filed with the State Department of Education)</t>
  </si>
  <si>
    <t>2.  Estimated supplemental general state aid</t>
  </si>
  <si>
    <t>Line 1</t>
  </si>
  <si>
    <t>3.  Less prior year overpayment</t>
  </si>
  <si>
    <t>4.  Net Estimated Supplemental General State Aid (Line 2 - Line 3)</t>
  </si>
  <si>
    <t>FORM 243</t>
  </si>
  <si>
    <t xml:space="preserve">    x      factor</t>
  </si>
  <si>
    <t>Form 239-Estimated Supplemental (LOB) State Aid and Capital Outlay State Aid</t>
  </si>
  <si>
    <t>Open - B5</t>
  </si>
  <si>
    <t>329 - Wabaunsee</t>
  </si>
  <si>
    <t>Copied from</t>
  </si>
  <si>
    <t>Mill Levy Pub</t>
  </si>
  <si>
    <t>Difference</t>
  </si>
  <si>
    <t>2.  Estimated Capital Outlay State Aid.  Line 1 x factor</t>
  </si>
  <si>
    <t xml:space="preserve">   USD # and name comes from the Open sheet cell B3.</t>
  </si>
  <si>
    <t>F196 pro-ration</t>
  </si>
  <si>
    <t>F239 pro-ration</t>
  </si>
  <si>
    <t>F246 pro-ration</t>
  </si>
  <si>
    <t>361 - Chaparral Schools</t>
  </si>
  <si>
    <t>F239 - E14</t>
  </si>
  <si>
    <t>LOB Aid Rate</t>
  </si>
  <si>
    <t xml:space="preserve">  4560 Aid Regular*             </t>
  </si>
  <si>
    <t xml:space="preserve">      564 Payment to Virtual Education Coop</t>
  </si>
  <si>
    <t>2017-2018</t>
  </si>
  <si>
    <t xml:space="preserve">    2017  $</t>
  </si>
  <si>
    <t xml:space="preserve">    2017* $</t>
  </si>
  <si>
    <t>Jan. 20, 2018</t>
  </si>
  <si>
    <t>Mar. 20, 2018</t>
  </si>
  <si>
    <t>Sept. 20, 2018</t>
  </si>
  <si>
    <t>Oct. 31, 2018</t>
  </si>
  <si>
    <t>2016-17 Actual</t>
  </si>
  <si>
    <t>2017-18 Contracted</t>
  </si>
  <si>
    <t>2017-18</t>
  </si>
  <si>
    <t>July 1, 2017</t>
  </si>
  <si>
    <t>Bdgt2018</t>
  </si>
  <si>
    <t>$28,250</t>
  </si>
  <si>
    <t>F195-Prof. Dev.</t>
  </si>
  <si>
    <t>Kansas State Department of Education</t>
  </si>
  <si>
    <t>2.  Estimated Local Effort</t>
  </si>
  <si>
    <t>Form 148</t>
  </si>
  <si>
    <t>Form 148-Estimated General Fund State Aid</t>
  </si>
  <si>
    <r>
      <t xml:space="preserve">(numerical day of month, for example: </t>
    </r>
    <r>
      <rPr>
        <sz val="10"/>
        <color indexed="10"/>
        <rFont val="Arial"/>
        <family val="2"/>
      </rPr>
      <t>7th</t>
    </r>
    <r>
      <rPr>
        <sz val="10"/>
        <rFont val="Arial"/>
        <family val="2"/>
      </rPr>
      <t>)</t>
    </r>
  </si>
  <si>
    <t>Form 0-135-150</t>
  </si>
  <si>
    <t>X</t>
  </si>
  <si>
    <t>ESTIMATED LEGAL MAXIMUM GENERAL FUND BUDGET</t>
  </si>
  <si>
    <t xml:space="preserve">     (from line 3)</t>
  </si>
  <si>
    <t xml:space="preserve">     Note:  Bilingual weighting is based on the higher of contact hours or headcount.</t>
  </si>
  <si>
    <t>÷</t>
  </si>
  <si>
    <t>(maximum allowed for this district)</t>
  </si>
  <si>
    <t>(Amt district will use, up to the maximum)</t>
  </si>
  <si>
    <t>Local Option Budget --  See Form 155</t>
  </si>
  <si>
    <t>(Spec Ed)</t>
  </si>
  <si>
    <t xml:space="preserve">(a)  Weighted FTE enrollment is computed by taking the total clock hours of bilingual students who are enrolled and attending in an  </t>
  </si>
  <si>
    <t xml:space="preserve">     clock hours </t>
  </si>
  <si>
    <t>(Record on Line 5)</t>
  </si>
  <si>
    <t xml:space="preserve">     headcount</t>
  </si>
  <si>
    <t>÷ 6 =</t>
  </si>
  <si>
    <t>(Record on Line 6)</t>
  </si>
  <si>
    <t xml:space="preserve">      of Education.</t>
  </si>
  <si>
    <t>(NOTE:  If September 20 falls on a weekend, the following Monday will be the official count date.)</t>
  </si>
  <si>
    <t>Enrollment of District</t>
  </si>
  <si>
    <t>Factor</t>
  </si>
  <si>
    <t>0 - 99.9</t>
  </si>
  <si>
    <t>100 - 299.9</t>
  </si>
  <si>
    <t>{[7337 - 9.655 (E - 100)]÷3642.4} -1</t>
  </si>
  <si>
    <t>300 - 1,621.9</t>
  </si>
  <si>
    <t>{[5406 - 1.237500 (E - 300)]÷3642.4} -1</t>
  </si>
  <si>
    <t>1622 and over</t>
  </si>
  <si>
    <t>EXAMPLE:  (FTE of 954.0)</t>
  </si>
  <si>
    <t>{[5406 - 1.237500 (954.0 - 300)]÷3642.4}-1</t>
  </si>
  <si>
    <t>{[5406 - 1.237500 (654.0)]÷3642.4}-1</t>
  </si>
  <si>
    <t>{[5406 - 809.325]÷3642.4}-1</t>
  </si>
  <si>
    <t>{4597.675÷3642.4} -1</t>
  </si>
  <si>
    <t>1.261991-1</t>
  </si>
  <si>
    <t>Computation of Low and High Enrollment Weighting Factor</t>
  </si>
  <si>
    <t>Calculating example of 954 FTE:</t>
  </si>
  <si>
    <t xml:space="preserve">     who reside in the district 2.5 miles or more (Estimated)</t>
  </si>
  <si>
    <t>3.  Index of density = Line 2</t>
  </si>
  <si>
    <t>divided by Line 1</t>
  </si>
  <si>
    <t xml:space="preserve">Check formula J137 each year to match the maximum Density from the table </t>
  </si>
  <si>
    <t>Must match range of Density table below</t>
  </si>
  <si>
    <t>TABLE V</t>
  </si>
  <si>
    <t xml:space="preserve">    *No student shall be counted for more than 6 credits per year.</t>
  </si>
  <si>
    <t>ADDITIONAL DEFINITION FOR SCHOOL FACILITIES (Must use a minimum LOB listed below to qualify for this provision.)</t>
  </si>
  <si>
    <t>Example #1:  (For new buildings.)</t>
  </si>
  <si>
    <t>For a totally new constructed building, the FTE equals the total enrollment FTE for that building.</t>
  </si>
  <si>
    <t>Headcount</t>
  </si>
  <si>
    <t xml:space="preserve">  Kindergarten</t>
  </si>
  <si>
    <t xml:space="preserve">  Grade 1</t>
  </si>
  <si>
    <t xml:space="preserve">  Grade 2</t>
  </si>
  <si>
    <t xml:space="preserve">  Grade 3</t>
  </si>
  <si>
    <t>Weighting for example:</t>
  </si>
  <si>
    <t>Example #2:  (For new additions)</t>
  </si>
  <si>
    <t>Keep for calculation of new facilities:</t>
  </si>
  <si>
    <t xml:space="preserve">  Total number of students in each new classroom </t>
  </si>
  <si>
    <t>Number of class periods (divide by)</t>
  </si>
  <si>
    <t xml:space="preserve">Full-time equivalent enrollment = </t>
  </si>
  <si>
    <t>Example:</t>
  </si>
  <si>
    <t xml:space="preserve">New classroom A = </t>
  </si>
  <si>
    <t>students for the day</t>
  </si>
  <si>
    <t xml:space="preserve">New classroom B = </t>
  </si>
  <si>
    <t xml:space="preserve">New classroom C = </t>
  </si>
  <si>
    <t xml:space="preserve">New classroom D = </t>
  </si>
  <si>
    <t xml:space="preserve">TOTAL = </t>
  </si>
  <si>
    <t>divide by</t>
  </si>
  <si>
    <t>class periods</t>
  </si>
  <si>
    <t xml:space="preserve"> = </t>
  </si>
  <si>
    <t>Old range: A289 :B2110     .1299 -18.22</t>
  </si>
  <si>
    <t>36.61     to          0.1142</t>
  </si>
  <si>
    <t xml:space="preserve">(b)  FTE is computed by taking the total headcount of bilingual students who are enrolled and attending in an  </t>
  </si>
  <si>
    <t xml:space="preserve">F150-Weightings </t>
  </si>
  <si>
    <t>x 0.185 =</t>
  </si>
  <si>
    <t>F150 - LOB</t>
  </si>
  <si>
    <t xml:space="preserve">F150 - Virtual </t>
  </si>
  <si>
    <t>BASE - F150</t>
  </si>
  <si>
    <t xml:space="preserve">     If it doesn't meet criteria then calculates zero.)</t>
  </si>
  <si>
    <t xml:space="preserve">C.  Estimated KPERS </t>
  </si>
  <si>
    <t>40%</t>
  </si>
  <si>
    <t>2.  Authorized percent due to Election to increase LOB authority (Max 33%)</t>
  </si>
  <si>
    <t>Form 150-Estimated Legal Maximum General Fund Budget</t>
  </si>
  <si>
    <t>C034-Career and Postsecondary Education</t>
  </si>
  <si>
    <t>change on the 2nd Publication page too</t>
  </si>
  <si>
    <t>is at least 25% for 2014-15 and have constructed an entirely new facility or an addition to an existing facility.  Only eligible to schools</t>
  </si>
  <si>
    <t>primarily with federal funds on a military reservation located on USD 207 or USD 475.</t>
  </si>
  <si>
    <t>that had a bond election prior to July 1, 2015 and bond money was used for construction of new facilities or new schools that were built</t>
  </si>
  <si>
    <t>e)  School Facilities Definition - School facilities weighting is available for school districts whose adopted local option budget (LOB)</t>
  </si>
  <si>
    <t>Amount (Ancillary Facilities Weighting) approved by Board of Tax Appeals (Transfers to F150, Line 11)</t>
  </si>
  <si>
    <t>(line 8)</t>
  </si>
  <si>
    <t>(line 9)</t>
  </si>
  <si>
    <t>(to Line 10, Page 1)</t>
  </si>
  <si>
    <t>F195 - H23</t>
  </si>
  <si>
    <t>Open - B41</t>
  </si>
  <si>
    <t>Open - D22</t>
  </si>
  <si>
    <t>Open - D23</t>
  </si>
  <si>
    <t>Open - D24</t>
  </si>
  <si>
    <t>Open - D25</t>
  </si>
  <si>
    <t>Open - D26</t>
  </si>
  <si>
    <t>Open - D27</t>
  </si>
  <si>
    <t>Open - D28</t>
  </si>
  <si>
    <t>Open - D29</t>
  </si>
  <si>
    <t>Open - D30</t>
  </si>
  <si>
    <t>Open - D31</t>
  </si>
  <si>
    <t>Open - D32</t>
  </si>
  <si>
    <t>Open - D33</t>
  </si>
  <si>
    <t>Open - D34</t>
  </si>
  <si>
    <t>Open - D35</t>
  </si>
  <si>
    <t>Open - D37</t>
  </si>
  <si>
    <t>Open - D38</t>
  </si>
  <si>
    <t>Open - D39</t>
  </si>
  <si>
    <t>Open - D40</t>
  </si>
  <si>
    <t>Open - D41</t>
  </si>
  <si>
    <t>Lookup col</t>
  </si>
  <si>
    <t>Lookup Col</t>
  </si>
  <si>
    <t>FY09 Sped Aid</t>
  </si>
  <si>
    <t>) x .185</t>
  </si>
  <si>
    <t>50.00</t>
  </si>
  <si>
    <t>F195-PD proration</t>
  </si>
  <si>
    <t>LOB pro-ration (not pro-rated)</t>
  </si>
  <si>
    <t xml:space="preserve">  3204 Professional Development Aid</t>
  </si>
  <si>
    <t xml:space="preserve">  954 Career and Postsecondary Education      </t>
  </si>
  <si>
    <t xml:space="preserve">  954 Career and Postsecondary Education     </t>
  </si>
  <si>
    <t>÷ 6 x 0.395 =</t>
  </si>
  <si>
    <t>&gt;=35% and &lt;50%</t>
  </si>
  <si>
    <t>&gt;= 50%</t>
  </si>
  <si>
    <t>Percent</t>
  </si>
  <si>
    <t>High Density</t>
  </si>
  <si>
    <t>LEA_Id</t>
  </si>
  <si>
    <t>State_School_Id</t>
  </si>
  <si>
    <t>SchoolName</t>
  </si>
  <si>
    <t>Total Headcount</t>
  </si>
  <si>
    <t>Total Free Lunch</t>
  </si>
  <si>
    <t>At Risk</t>
  </si>
  <si>
    <t>WTD FTE</t>
  </si>
  <si>
    <t xml:space="preserve">Erie Elementary                                             </t>
  </si>
  <si>
    <t xml:space="preserve">Galesburg Middle School                                     </t>
  </si>
  <si>
    <t xml:space="preserve">Erie High School                                            </t>
  </si>
  <si>
    <t xml:space="preserve">Cimarron Elem                                               </t>
  </si>
  <si>
    <t xml:space="preserve">Cimarron High                                               </t>
  </si>
  <si>
    <t xml:space="preserve">Cheylin Jr/Sr High                                          </t>
  </si>
  <si>
    <t xml:space="preserve">Cheylin Elementary                                          </t>
  </si>
  <si>
    <t xml:space="preserve">Rawlins County Elementary                                   </t>
  </si>
  <si>
    <t xml:space="preserve">Rawlins County Jr/Sr High School                            </t>
  </si>
  <si>
    <t xml:space="preserve">Western Plains North Elem                                   </t>
  </si>
  <si>
    <t xml:space="preserve">Western Plains High                                         </t>
  </si>
  <si>
    <t xml:space="preserve">Western Plains South Elem/Jr High                           </t>
  </si>
  <si>
    <t xml:space="preserve">Rock Hills Elementary School                                </t>
  </si>
  <si>
    <t xml:space="preserve">Rock Hills Jr/Sr High School                                </t>
  </si>
  <si>
    <t xml:space="preserve">Washington County High School                               </t>
  </si>
  <si>
    <t xml:space="preserve">Washington Elementary                                       </t>
  </si>
  <si>
    <t xml:space="preserve">Belleville East Elementary                                  </t>
  </si>
  <si>
    <t xml:space="preserve">Republic County Jr./Sr. High School                         </t>
  </si>
  <si>
    <t xml:space="preserve">Doniphan West JR/SR High School                             </t>
  </si>
  <si>
    <t xml:space="preserve">Wilson Junior/Senior High School                            </t>
  </si>
  <si>
    <t xml:space="preserve">Wilson Elementary School                                    </t>
  </si>
  <si>
    <t xml:space="preserve">Axtell High                                                 </t>
  </si>
  <si>
    <t xml:space="preserve">Sabetha Elementary School                                   </t>
  </si>
  <si>
    <t xml:space="preserve">Sabetha High School                                         </t>
  </si>
  <si>
    <t xml:space="preserve">Sabetha Middle School                                       </t>
  </si>
  <si>
    <t xml:space="preserve">Wetmore Elementary                                          </t>
  </si>
  <si>
    <t xml:space="preserve">Wetmore High                                                </t>
  </si>
  <si>
    <t xml:space="preserve">Axtell Elementary School                                    </t>
  </si>
  <si>
    <t xml:space="preserve">Riverside Intermediate                                      </t>
  </si>
  <si>
    <t xml:space="preserve">Riverside Middle School                                     </t>
  </si>
  <si>
    <t xml:space="preserve">Riverside Primary School                                    </t>
  </si>
  <si>
    <t xml:space="preserve">Riverside High School                                       </t>
  </si>
  <si>
    <t xml:space="preserve">Riverside Virtual High School                               </t>
  </si>
  <si>
    <t xml:space="preserve">Nemaha Central High School                                  </t>
  </si>
  <si>
    <t xml:space="preserve">Greeley County Elem School                                  </t>
  </si>
  <si>
    <t xml:space="preserve">Greeley County Jr./Sr. High                                 </t>
  </si>
  <si>
    <t xml:space="preserve">Junction Elementary                                         </t>
  </si>
  <si>
    <t xml:space="preserve">Turner Sixth Grade Academy                                  </t>
  </si>
  <si>
    <t xml:space="preserve">Midland Trail                                               </t>
  </si>
  <si>
    <t xml:space="preserve">Oak Grove Elem                                              </t>
  </si>
  <si>
    <t xml:space="preserve">Turner Elem                                                 </t>
  </si>
  <si>
    <t xml:space="preserve">Turner Middle School                                        </t>
  </si>
  <si>
    <t xml:space="preserve">Turner High                                                 </t>
  </si>
  <si>
    <t xml:space="preserve">Piper Middle                                                </t>
  </si>
  <si>
    <t xml:space="preserve">Piper High                                                  </t>
  </si>
  <si>
    <t xml:space="preserve">Bonner Springs Elementary                                   </t>
  </si>
  <si>
    <t xml:space="preserve">Bonner Springs High                                         </t>
  </si>
  <si>
    <t xml:space="preserve">Edwardsville Elem                                           </t>
  </si>
  <si>
    <t xml:space="preserve">Robert E Clark Middle                                       </t>
  </si>
  <si>
    <t xml:space="preserve">Delaware Ridge Elementary                                   </t>
  </si>
  <si>
    <t xml:space="preserve">Bluestem Elementary School                                  </t>
  </si>
  <si>
    <t xml:space="preserve">Bluestem Jr/Sr High                                         </t>
  </si>
  <si>
    <t xml:space="preserve">Frederic Remington High                                     </t>
  </si>
  <si>
    <t xml:space="preserve">Remington Elementary at Potwin                              </t>
  </si>
  <si>
    <t xml:space="preserve">Remington Middle School                                     </t>
  </si>
  <si>
    <t xml:space="preserve">Bradley Elem                                                </t>
  </si>
  <si>
    <t xml:space="preserve">Eisenhower Elem                                             </t>
  </si>
  <si>
    <t xml:space="preserve">MacArthur Elem                                              </t>
  </si>
  <si>
    <t xml:space="preserve">Patton Jr High                                              </t>
  </si>
  <si>
    <t xml:space="preserve">Trego Grade School                                          </t>
  </si>
  <si>
    <t xml:space="preserve">Trego Community High                                        </t>
  </si>
  <si>
    <t xml:space="preserve">Moscow Elem                                                 </t>
  </si>
  <si>
    <t xml:space="preserve">Moscow High                                                 </t>
  </si>
  <si>
    <t xml:space="preserve">Hugoton Elem                                                </t>
  </si>
  <si>
    <t xml:space="preserve">Hugoton Middle                                              </t>
  </si>
  <si>
    <t xml:space="preserve">Hugoton High                                                </t>
  </si>
  <si>
    <t xml:space="preserve">Hugoton Learning Academy                                    </t>
  </si>
  <si>
    <t xml:space="preserve">Norton Jr High                                              </t>
  </si>
  <si>
    <t xml:space="preserve">Norton High                                                 </t>
  </si>
  <si>
    <t xml:space="preserve">Almena Elem                                                 </t>
  </si>
  <si>
    <t xml:space="preserve">Northern Valley High                                        </t>
  </si>
  <si>
    <t xml:space="preserve">Kepley Middle School                                        </t>
  </si>
  <si>
    <t xml:space="preserve">Sullivan Elem                                               </t>
  </si>
  <si>
    <t xml:space="preserve">Ulysses High                                                </t>
  </si>
  <si>
    <t xml:space="preserve">Hickok Elem                                                 </t>
  </si>
  <si>
    <t xml:space="preserve">Lakin Elem                                                  </t>
  </si>
  <si>
    <t xml:space="preserve">Lakin Middle                                                </t>
  </si>
  <si>
    <t xml:space="preserve">Lakin High                                                  </t>
  </si>
  <si>
    <t xml:space="preserve">Deerfield Elem                                              </t>
  </si>
  <si>
    <t xml:space="preserve">Deerfield Middle School                                     </t>
  </si>
  <si>
    <t xml:space="preserve">Deerfield High                                              </t>
  </si>
  <si>
    <t xml:space="preserve">Rolla Elem (PreK-5)                                         </t>
  </si>
  <si>
    <t xml:space="preserve">Rolla JH/HS (6-12)                                          </t>
  </si>
  <si>
    <t xml:space="preserve">Elkhart Middle School                                       </t>
  </si>
  <si>
    <t xml:space="preserve">Elkhart Elem                                                </t>
  </si>
  <si>
    <t xml:space="preserve">Elkhart High                                                </t>
  </si>
  <si>
    <t xml:space="preserve">Kansas Connections Academy                                  </t>
  </si>
  <si>
    <t xml:space="preserve">Point Rock Alternative                                      </t>
  </si>
  <si>
    <t xml:space="preserve">Minneola Elem                                               </t>
  </si>
  <si>
    <t xml:space="preserve">Minneola High                                               </t>
  </si>
  <si>
    <t xml:space="preserve">Ashland Elem                                                </t>
  </si>
  <si>
    <t xml:space="preserve">Ashland Junior High School                                  </t>
  </si>
  <si>
    <t xml:space="preserve">Ashland High                                                </t>
  </si>
  <si>
    <t xml:space="preserve">Hanover Elem                                                </t>
  </si>
  <si>
    <t xml:space="preserve">Hanover High                                                </t>
  </si>
  <si>
    <t xml:space="preserve">Linn Elem                                                   </t>
  </si>
  <si>
    <t xml:space="preserve">Linn High                                                   </t>
  </si>
  <si>
    <t xml:space="preserve">Clifton-Clyde Grade School K-3                              </t>
  </si>
  <si>
    <t xml:space="preserve">Clifton-Clyde Middle School                                 </t>
  </si>
  <si>
    <t xml:space="preserve">Clifton-Clyde Sr High                                       </t>
  </si>
  <si>
    <t xml:space="preserve">Fowler Elem                                                 </t>
  </si>
  <si>
    <t xml:space="preserve">Fowler High                                                 </t>
  </si>
  <si>
    <t xml:space="preserve">Meade Elem                                                  </t>
  </si>
  <si>
    <t xml:space="preserve">Meade High                                                  </t>
  </si>
  <si>
    <t xml:space="preserve">Hodgeman County Elementary                                  </t>
  </si>
  <si>
    <t xml:space="preserve">Hodgeman County High                                        </t>
  </si>
  <si>
    <t xml:space="preserve">Lakewood Elementary                                         </t>
  </si>
  <si>
    <t xml:space="preserve">Lakewood Middle                                             </t>
  </si>
  <si>
    <t xml:space="preserve">Cedar Hills Elementary                                      </t>
  </si>
  <si>
    <t xml:space="preserve">Timber Creek Elementary School                              </t>
  </si>
  <si>
    <t xml:space="preserve">Liberty View Elementary                                     </t>
  </si>
  <si>
    <t xml:space="preserve">Oxford Middle                                               </t>
  </si>
  <si>
    <t xml:space="preserve">Stanley Elementary                                          </t>
  </si>
  <si>
    <t xml:space="preserve">Blue Valley North High                                      </t>
  </si>
  <si>
    <t xml:space="preserve">Blue Valley High                                            </t>
  </si>
  <si>
    <t xml:space="preserve">Morse Elementary                                            </t>
  </si>
  <si>
    <t xml:space="preserve">Valley Park Elementary                                      </t>
  </si>
  <si>
    <t xml:space="preserve">Leawood Elementary                                          </t>
  </si>
  <si>
    <t xml:space="preserve">Stilwell Elementary                                         </t>
  </si>
  <si>
    <t xml:space="preserve">Blue Valley Middle                                          </t>
  </si>
  <si>
    <t xml:space="preserve">Mission Trail Elementary                                    </t>
  </si>
  <si>
    <t xml:space="preserve">Leawood Middle                                              </t>
  </si>
  <si>
    <t xml:space="preserve">Overland Trail Elementary                                   </t>
  </si>
  <si>
    <t xml:space="preserve">Indian Valley Elementary                                    </t>
  </si>
  <si>
    <t xml:space="preserve">Overland Trail Middle                                       </t>
  </si>
  <si>
    <t xml:space="preserve">Oak Hill Elementary                                         </t>
  </si>
  <si>
    <t xml:space="preserve">Cottonwood Point Elementary                                 </t>
  </si>
  <si>
    <t xml:space="preserve">Harmony Middle                                              </t>
  </si>
  <si>
    <t xml:space="preserve">Harmony Elementary                                          </t>
  </si>
  <si>
    <t xml:space="preserve">Blue Valley Southwest High School                           </t>
  </si>
  <si>
    <t xml:space="preserve">Aubry Bend Middle School                                    </t>
  </si>
  <si>
    <t xml:space="preserve">Prairie Star Elementary                                     </t>
  </si>
  <si>
    <t xml:space="preserve">Blue Valley Northwest High                                  </t>
  </si>
  <si>
    <t xml:space="preserve">Heartland Elementary                                        </t>
  </si>
  <si>
    <t xml:space="preserve">Prairie Star Middle                                         </t>
  </si>
  <si>
    <t xml:space="preserve">Blue Valley West High                                       </t>
  </si>
  <si>
    <t xml:space="preserve">Blue River Elementary                                       </t>
  </si>
  <si>
    <t xml:space="preserve">Pleasant Ridge Middle                                       </t>
  </si>
  <si>
    <t xml:space="preserve">Sunset Ridge Elementary                                     </t>
  </si>
  <si>
    <t xml:space="preserve">Sunrise Point Elementary                                    </t>
  </si>
  <si>
    <t xml:space="preserve">Spring Hill Elementary School                               </t>
  </si>
  <si>
    <t xml:space="preserve">Spring Hill High School                                     </t>
  </si>
  <si>
    <t xml:space="preserve">Spring Hill Middle School                                   </t>
  </si>
  <si>
    <t xml:space="preserve">Prairie Creek Elementary                                    </t>
  </si>
  <si>
    <t xml:space="preserve">Insight School of KS at Hilltop Ed Center                   </t>
  </si>
  <si>
    <t xml:space="preserve">Wolf Creek Elementary School                                </t>
  </si>
  <si>
    <t xml:space="preserve">Kansas Virtual Academy (KSVA)                               </t>
  </si>
  <si>
    <t xml:space="preserve">Gardner Elem                                                </t>
  </si>
  <si>
    <t xml:space="preserve">Gardner Edgerton High                                       </t>
  </si>
  <si>
    <t xml:space="preserve">Edgerton Elem                                               </t>
  </si>
  <si>
    <t xml:space="preserve">Sunflower Elementary                                        </t>
  </si>
  <si>
    <t xml:space="preserve">Moonlight Elementary School                                 </t>
  </si>
  <si>
    <t xml:space="preserve">Madison Elementary                                          </t>
  </si>
  <si>
    <t xml:space="preserve">Pioneer Ridge Middle School                                 </t>
  </si>
  <si>
    <t xml:space="preserve">Nike Elementary                                             </t>
  </si>
  <si>
    <t xml:space="preserve">Wheatridge Middle School                                    </t>
  </si>
  <si>
    <t xml:space="preserve">Grand Star Elementary                                       </t>
  </si>
  <si>
    <t xml:space="preserve">Trail Ridge Middle School                                   </t>
  </si>
  <si>
    <t xml:space="preserve">Clear Creek Elem                                            </t>
  </si>
  <si>
    <t xml:space="preserve">Horizon Elementary                                          </t>
  </si>
  <si>
    <t xml:space="preserve">De Soto  High  School                                       </t>
  </si>
  <si>
    <t xml:space="preserve">Mill Valley High School                                     </t>
  </si>
  <si>
    <t xml:space="preserve">Monticello Trails Middle School                             </t>
  </si>
  <si>
    <t xml:space="preserve">Lexington Trails Middle School                              </t>
  </si>
  <si>
    <t xml:space="preserve">Starside Elem                                               </t>
  </si>
  <si>
    <t xml:space="preserve">Prairie Ridge Elementary School                             </t>
  </si>
  <si>
    <t xml:space="preserve">Mize Elementary School                                      </t>
  </si>
  <si>
    <t xml:space="preserve">Riverview Elementary                                        </t>
  </si>
  <si>
    <t xml:space="preserve">Mill Creek Middle School                                    </t>
  </si>
  <si>
    <t xml:space="preserve">Belmont Elementary School                                   </t>
  </si>
  <si>
    <t xml:space="preserve">Olathe Northwest High School                                </t>
  </si>
  <si>
    <t xml:space="preserve">Regency Place Elementary                                    </t>
  </si>
  <si>
    <t xml:space="preserve">Frontier Trail Middle School                                </t>
  </si>
  <si>
    <t xml:space="preserve">Brougham Elem                                               </t>
  </si>
  <si>
    <t xml:space="preserve">Central Elem                                                </t>
  </si>
  <si>
    <t xml:space="preserve">Indian Creek Elem                                           </t>
  </si>
  <si>
    <t xml:space="preserve">Fairview Elem                                               </t>
  </si>
  <si>
    <t xml:space="preserve">Briarwood Elem                                              </t>
  </si>
  <si>
    <t xml:space="preserve">Ridgeview Elem                                              </t>
  </si>
  <si>
    <t xml:space="preserve">Walnut Grove Elem                                           </t>
  </si>
  <si>
    <t xml:space="preserve">Prairie Center Elem                                         </t>
  </si>
  <si>
    <t xml:space="preserve">Pioneer Trail Middle School                                 </t>
  </si>
  <si>
    <t xml:space="preserve">Washington Elem                                             </t>
  </si>
  <si>
    <t xml:space="preserve">Countryside Elementary                                      </t>
  </si>
  <si>
    <t xml:space="preserve">Westview Elem                                               </t>
  </si>
  <si>
    <t xml:space="preserve">Santa Fe Trail Middle School                                </t>
  </si>
  <si>
    <t xml:space="preserve">Oregon Trail Middle School                                  </t>
  </si>
  <si>
    <t xml:space="preserve">Indian Trail Middle School                                  </t>
  </si>
  <si>
    <t xml:space="preserve">Olathe North Sr High                                        </t>
  </si>
  <si>
    <t xml:space="preserve">Olathe South Sr High                                        </t>
  </si>
  <si>
    <t xml:space="preserve">Meadow Lane Elem                                            </t>
  </si>
  <si>
    <t xml:space="preserve">Rolling Ridge Elem                                          </t>
  </si>
  <si>
    <t xml:space="preserve">Northview Elem                                              </t>
  </si>
  <si>
    <t xml:space="preserve">Havencroft Elem                                             </t>
  </si>
  <si>
    <t xml:space="preserve">Scarborough Elem                                            </t>
  </si>
  <si>
    <t xml:space="preserve">Heritage Elementary                                         </t>
  </si>
  <si>
    <t xml:space="preserve">Black Bob Elem                                              </t>
  </si>
  <si>
    <t xml:space="preserve">Tomahawk Elem                                               </t>
  </si>
  <si>
    <t xml:space="preserve">Olathe East Sr High                                         </t>
  </si>
  <si>
    <t xml:space="preserve">Mission Trail Middle School                                 </t>
  </si>
  <si>
    <t xml:space="preserve">Millbrooke Elementary                                       </t>
  </si>
  <si>
    <t xml:space="preserve">Green Springs Elem                                          </t>
  </si>
  <si>
    <t xml:space="preserve">Mahaffie Elem                                               </t>
  </si>
  <si>
    <t xml:space="preserve">Pleasant Ridge Elem                                         </t>
  </si>
  <si>
    <t xml:space="preserve">Heatherstone Elem                                           </t>
  </si>
  <si>
    <t xml:space="preserve">Bentwood Elem                                               </t>
  </si>
  <si>
    <t xml:space="preserve">California Trail Middle School                              </t>
  </si>
  <si>
    <t xml:space="preserve">Cedar Creek Elem                                            </t>
  </si>
  <si>
    <t xml:space="preserve">Madison Place Elementary                                    </t>
  </si>
  <si>
    <t xml:space="preserve">Woodland Elem                                               </t>
  </si>
  <si>
    <t xml:space="preserve">Sunnyside Elementary School                                 </t>
  </si>
  <si>
    <t xml:space="preserve">Chisholm Trail Middle School                                </t>
  </si>
  <si>
    <t xml:space="preserve">Arbor Creek Elementary                                      </t>
  </si>
  <si>
    <t xml:space="preserve">Manchester Park Elementary                                  </t>
  </si>
  <si>
    <t xml:space="preserve">Clearwater Creek Elementary                                 </t>
  </si>
  <si>
    <t xml:space="preserve">Prairie Trail Middle School                                 </t>
  </si>
  <si>
    <t xml:space="preserve">Ravenwood Elementary                                        </t>
  </si>
  <si>
    <t xml:space="preserve">Forest View Elem                                            </t>
  </si>
  <si>
    <t xml:space="preserve">Eugene Ware Elem                                            </t>
  </si>
  <si>
    <t xml:space="preserve">Winfield Scott Elem                                         </t>
  </si>
  <si>
    <t xml:space="preserve">Fort Scott Middle School                                    </t>
  </si>
  <si>
    <t xml:space="preserve">Fort Scott Sr High                                          </t>
  </si>
  <si>
    <t xml:space="preserve">Uniontown High School                                       </t>
  </si>
  <si>
    <t xml:space="preserve">West Bourbon Elementary                                     </t>
  </si>
  <si>
    <t xml:space="preserve">Smith Center Elem                                           </t>
  </si>
  <si>
    <t xml:space="preserve">Smith Center Jr Sr High                                     </t>
  </si>
  <si>
    <t xml:space="preserve">Minneapolis Elementary                                      </t>
  </si>
  <si>
    <t xml:space="preserve">Bennington Elem                                             </t>
  </si>
  <si>
    <t xml:space="preserve">Tescott Elem                                                </t>
  </si>
  <si>
    <t xml:space="preserve">Tescott Junior High/High School                             </t>
  </si>
  <si>
    <t xml:space="preserve">Sharon Springs Elem                                         </t>
  </si>
  <si>
    <t xml:space="preserve">Wallace County High                                         </t>
  </si>
  <si>
    <t xml:space="preserve">Weskan Elem                                                 </t>
  </si>
  <si>
    <t xml:space="preserve">Weskan High                                                 </t>
  </si>
  <si>
    <t xml:space="preserve">Lebo Elem                                                   </t>
  </si>
  <si>
    <t xml:space="preserve">Lebo High                                                   </t>
  </si>
  <si>
    <t xml:space="preserve">Waverly Elem                                                </t>
  </si>
  <si>
    <t xml:space="preserve">Waverly High                                                </t>
  </si>
  <si>
    <t xml:space="preserve">Burlington High                                             </t>
  </si>
  <si>
    <t xml:space="preserve">Burlington Elementary School                                </t>
  </si>
  <si>
    <t xml:space="preserve">Burlington Middle School 5 - 8                              </t>
  </si>
  <si>
    <t xml:space="preserve">Southern Coffey County High School                          </t>
  </si>
  <si>
    <t xml:space="preserve">Northeast Elem                                              </t>
  </si>
  <si>
    <t xml:space="preserve">North East High                                             </t>
  </si>
  <si>
    <t xml:space="preserve">Southeast High                                              </t>
  </si>
  <si>
    <t xml:space="preserve">Southeast Elementary School                                 </t>
  </si>
  <si>
    <t xml:space="preserve">R V Haderlein Elem                                          </t>
  </si>
  <si>
    <t xml:space="preserve">Girard Middle                                               </t>
  </si>
  <si>
    <t xml:space="preserve">Girard High                                                 </t>
  </si>
  <si>
    <t xml:space="preserve">Frank Layden Elem                                           </t>
  </si>
  <si>
    <t xml:space="preserve">Frontenac Jr. High                                          </t>
  </si>
  <si>
    <t xml:space="preserve">Frontenac Sr. High School                                   </t>
  </si>
  <si>
    <t xml:space="preserve">Geo E Nettels Elem                                          </t>
  </si>
  <si>
    <t xml:space="preserve">Lakeside Elem                                               </t>
  </si>
  <si>
    <t xml:space="preserve">Meadowlark Elementary                                       </t>
  </si>
  <si>
    <t xml:space="preserve">Westside Elem                                               </t>
  </si>
  <si>
    <t xml:space="preserve">Pittsburg Middle School                                     </t>
  </si>
  <si>
    <t xml:space="preserve">Pittsburg High                                              </t>
  </si>
  <si>
    <t xml:space="preserve">Northern Heights                                            </t>
  </si>
  <si>
    <t xml:space="preserve">Hartford Jr./Sr. High School                                </t>
  </si>
  <si>
    <t xml:space="preserve">Neosho Rapids Elementary                                    </t>
  </si>
  <si>
    <t xml:space="preserve">Olpe Elementary                                             </t>
  </si>
  <si>
    <t xml:space="preserve">Olpe Jr./Sr. High School                                    </t>
  </si>
  <si>
    <t xml:space="preserve">Village Elem                                                </t>
  </si>
  <si>
    <t xml:space="preserve">Walnut Elem                                                 </t>
  </si>
  <si>
    <t xml:space="preserve">W A White Elem                                              </t>
  </si>
  <si>
    <t xml:space="preserve">Emporia Middle School                                       </t>
  </si>
  <si>
    <t xml:space="preserve">Emporia High                                                </t>
  </si>
  <si>
    <t xml:space="preserve">Logan Ave Elem                                              </t>
  </si>
  <si>
    <t xml:space="preserve">Riverside Elementary                                        </t>
  </si>
  <si>
    <t xml:space="preserve">Timmerman Elementary                                        </t>
  </si>
  <si>
    <t xml:space="preserve">Medicine Lodge Grade School                                 </t>
  </si>
  <si>
    <t xml:space="preserve">Medicine Lodge Jr/Sr High School                            </t>
  </si>
  <si>
    <t xml:space="preserve">South Barber Pre-K-6                                        </t>
  </si>
  <si>
    <t xml:space="preserve">South Barber 7-12                                           </t>
  </si>
  <si>
    <t xml:space="preserve">Marmaton Valley Elem                                        </t>
  </si>
  <si>
    <t xml:space="preserve">Marmaton Valley High                                        </t>
  </si>
  <si>
    <t xml:space="preserve">Jefferson Elem                                              </t>
  </si>
  <si>
    <t xml:space="preserve">Lincoln Elem                                                </t>
  </si>
  <si>
    <t xml:space="preserve">McKinley Elem                                               </t>
  </si>
  <si>
    <t xml:space="preserve">Iola Middle School                                          </t>
  </si>
  <si>
    <t xml:space="preserve">Iola Sr High                                                </t>
  </si>
  <si>
    <t xml:space="preserve">Humboldt High School                                        </t>
  </si>
  <si>
    <t xml:space="preserve">Humboldt Elementary School                                  </t>
  </si>
  <si>
    <t xml:space="preserve">Humboldt Middle School                                      </t>
  </si>
  <si>
    <t xml:space="preserve">Adams Elem                                                  </t>
  </si>
  <si>
    <t xml:space="preserve">Marshall Middle School                                      </t>
  </si>
  <si>
    <t xml:space="preserve">Allen Elem                                                  </t>
  </si>
  <si>
    <t xml:space="preserve">Benton Elem                                                 </t>
  </si>
  <si>
    <t xml:space="preserve">Beech Elem                                                  </t>
  </si>
  <si>
    <t xml:space="preserve">Black Traditional Magnet Elem                               </t>
  </si>
  <si>
    <t xml:space="preserve">Gordon Parks Academy                                        </t>
  </si>
  <si>
    <t xml:space="preserve">Mead Middle School                                          </t>
  </si>
  <si>
    <t xml:space="preserve">Jackson Elementary                                          </t>
  </si>
  <si>
    <t xml:space="preserve">Caldwell Elem                                               </t>
  </si>
  <si>
    <t xml:space="preserve">Cessna Elem                                                 </t>
  </si>
  <si>
    <t xml:space="preserve">Chisholm Trail Elem                                         </t>
  </si>
  <si>
    <t xml:space="preserve">Clark Elem                                                  </t>
  </si>
  <si>
    <t xml:space="preserve">Wichita Learning Center                                     </t>
  </si>
  <si>
    <t xml:space="preserve">Cloud Elem                                                  </t>
  </si>
  <si>
    <t xml:space="preserve">College Hill Elem                                           </t>
  </si>
  <si>
    <t xml:space="preserve">Colvin Elem                                                 </t>
  </si>
  <si>
    <t xml:space="preserve">Earhart Environ Magnet Elem                                 </t>
  </si>
  <si>
    <t xml:space="preserve">Enterprise Elem                                             </t>
  </si>
  <si>
    <t xml:space="preserve">Dodge Literacy Magnet                                       </t>
  </si>
  <si>
    <t xml:space="preserve">Ortiz Elementary School                                     </t>
  </si>
  <si>
    <t xml:space="preserve">Christa McAuliffe Academy                                   </t>
  </si>
  <si>
    <t xml:space="preserve">Franklin Elem                                               </t>
  </si>
  <si>
    <t xml:space="preserve">Gammon Elem                                                 </t>
  </si>
  <si>
    <t xml:space="preserve">Gardiner Elem                                               </t>
  </si>
  <si>
    <t xml:space="preserve">Greiffenstein Alternative Elementary                        </t>
  </si>
  <si>
    <t xml:space="preserve">Griffith Elem                                               </t>
  </si>
  <si>
    <t xml:space="preserve">Harry Street Elem                                           </t>
  </si>
  <si>
    <t xml:space="preserve">Spaght Multimedia Magnet                                    </t>
  </si>
  <si>
    <t xml:space="preserve">Irving Elementary                                           </t>
  </si>
  <si>
    <t xml:space="preserve">Isely Traditional Magnet Elem                               </t>
  </si>
  <si>
    <t xml:space="preserve">Kelly Liberal Arts Academy                                  </t>
  </si>
  <si>
    <t xml:space="preserve">Kensler Elem                                                </t>
  </si>
  <si>
    <t xml:space="preserve">Bostic Traditional Magnet Elem                              </t>
  </si>
  <si>
    <t xml:space="preserve">Lawrence Elem                                               </t>
  </si>
  <si>
    <t xml:space="preserve">Levy Sp Ed Center                                           </t>
  </si>
  <si>
    <t xml:space="preserve">Linwood Elementary                                          </t>
  </si>
  <si>
    <t xml:space="preserve">McCollom Elem                                               </t>
  </si>
  <si>
    <t xml:space="preserve">Minneha Core Knowledge Elem                                 </t>
  </si>
  <si>
    <t xml:space="preserve">O K Elem                                                    </t>
  </si>
  <si>
    <t xml:space="preserve">Park Elementary                                             </t>
  </si>
  <si>
    <t xml:space="preserve">Payne Elem                                                  </t>
  </si>
  <si>
    <t xml:space="preserve">Peterson Elem                                               </t>
  </si>
  <si>
    <t xml:space="preserve">Seltzer Elem                                                </t>
  </si>
  <si>
    <t xml:space="preserve">Pleasant Valley Elem                                        </t>
  </si>
  <si>
    <t xml:space="preserve">Sowers Alternative High School                              </t>
  </si>
  <si>
    <t xml:space="preserve">Stanley Elem                                                </t>
  </si>
  <si>
    <t xml:space="preserve">Stucky Middle School                                        </t>
  </si>
  <si>
    <t xml:space="preserve">Wells Alternative Middle School                             </t>
  </si>
  <si>
    <t xml:space="preserve">White Elem                                                  </t>
  </si>
  <si>
    <t xml:space="preserve">Anderson Elem                                               </t>
  </si>
  <si>
    <t xml:space="preserve">Woodman Elem                                                </t>
  </si>
  <si>
    <t xml:space="preserve">Allison Traditional Magnet Middle                           </t>
  </si>
  <si>
    <t xml:space="preserve">Brooks Magnet Middle School                                 </t>
  </si>
  <si>
    <t xml:space="preserve">Curtis Middle School                                        </t>
  </si>
  <si>
    <t xml:space="preserve">Coleman Middle School                                       </t>
  </si>
  <si>
    <t xml:space="preserve">Hadley Middle School                                        </t>
  </si>
  <si>
    <t xml:space="preserve">Hamilton Middle School                                      </t>
  </si>
  <si>
    <t xml:space="preserve">Northeast Magnet High School                                </t>
  </si>
  <si>
    <t xml:space="preserve">Pleasant Valley Middle School                               </t>
  </si>
  <si>
    <t xml:space="preserve">Robinson Middle School                                      </t>
  </si>
  <si>
    <t xml:space="preserve">Wilbur Middle School                                        </t>
  </si>
  <si>
    <t xml:space="preserve">Truesdell Middle School                                     </t>
  </si>
  <si>
    <t xml:space="preserve">East High                                                   </t>
  </si>
  <si>
    <t xml:space="preserve">Wichita Alternative High                                    </t>
  </si>
  <si>
    <t xml:space="preserve">North High                                                  </t>
  </si>
  <si>
    <t xml:space="preserve">South High                                                  </t>
  </si>
  <si>
    <t xml:space="preserve">West High                                                   </t>
  </si>
  <si>
    <t xml:space="preserve">Heights High                                                </t>
  </si>
  <si>
    <t xml:space="preserve">Northwest High                                              </t>
  </si>
  <si>
    <t xml:space="preserve">Chisholm Life Skills Center                                 </t>
  </si>
  <si>
    <t xml:space="preserve">Derby Middle Sch                                            </t>
  </si>
  <si>
    <t xml:space="preserve">El Paso Elem                                                </t>
  </si>
  <si>
    <t xml:space="preserve">Oaklawn Elem                                                </t>
  </si>
  <si>
    <t xml:space="preserve">Paul B Cooper Elem                                          </t>
  </si>
  <si>
    <t xml:space="preserve">Swaney Elem                                                 </t>
  </si>
  <si>
    <t xml:space="preserve">Wineteer Elem                                               </t>
  </si>
  <si>
    <t xml:space="preserve">Derby Hills Elem                                            </t>
  </si>
  <si>
    <t xml:space="preserve">Derby High School                                           </t>
  </si>
  <si>
    <t xml:space="preserve">Tanglewood Elem                                             </t>
  </si>
  <si>
    <t xml:space="preserve">Park Hill Elementary                                        </t>
  </si>
  <si>
    <t xml:space="preserve">Derby North Middle School                                   </t>
  </si>
  <si>
    <t xml:space="preserve">Haysville West Middle School                                </t>
  </si>
  <si>
    <t xml:space="preserve">Campus High Haysville                                       </t>
  </si>
  <si>
    <t xml:space="preserve">Haysville Middle School                                     </t>
  </si>
  <si>
    <t xml:space="preserve">Freeman Elem                                                </t>
  </si>
  <si>
    <t xml:space="preserve">Prairie Elementary School                                   </t>
  </si>
  <si>
    <t xml:space="preserve">Nelson Elem                                                 </t>
  </si>
  <si>
    <t xml:space="preserve">Ruth Clark Elementary K-5                                   </t>
  </si>
  <si>
    <t xml:space="preserve">Oatville Elem                                               </t>
  </si>
  <si>
    <t xml:space="preserve">Rex Elem                                                    </t>
  </si>
  <si>
    <t xml:space="preserve">Valley Center Intermediate School                           </t>
  </si>
  <si>
    <t xml:space="preserve">Abilene Elem                                                </t>
  </si>
  <si>
    <t xml:space="preserve">Wheatland Elem                                              </t>
  </si>
  <si>
    <t xml:space="preserve">West Elem                                                   </t>
  </si>
  <si>
    <t xml:space="preserve">Valley Center Middle School                                 </t>
  </si>
  <si>
    <t xml:space="preserve">Valley Center High                                          </t>
  </si>
  <si>
    <t xml:space="preserve">The Learning Center                                         </t>
  </si>
  <si>
    <t xml:space="preserve">Mulvane Elem W D Munson                                     </t>
  </si>
  <si>
    <t xml:space="preserve">Mulvane High                                                </t>
  </si>
  <si>
    <t xml:space="preserve">Mulvane Middle School                                       </t>
  </si>
  <si>
    <t xml:space="preserve">Mulvane Grade School                                        </t>
  </si>
  <si>
    <t xml:space="preserve">Clearwater Elementary West                                  </t>
  </si>
  <si>
    <t xml:space="preserve">Clearwater High                                             </t>
  </si>
  <si>
    <t xml:space="preserve">Clark Davidson Elem                                         </t>
  </si>
  <si>
    <t xml:space="preserve">Oak Street Elementary School K-4                            </t>
  </si>
  <si>
    <t xml:space="preserve">Goddard Middle School                                       </t>
  </si>
  <si>
    <t xml:space="preserve">Challenger Intermediate School                              </t>
  </si>
  <si>
    <t xml:space="preserve">Goddard High                                                </t>
  </si>
  <si>
    <t xml:space="preserve">Amelia Earhart Elementary School                            </t>
  </si>
  <si>
    <t xml:space="preserve">Discovery Intermediate School                               </t>
  </si>
  <si>
    <t xml:space="preserve">Explorer Elementary School                                  </t>
  </si>
  <si>
    <t xml:space="preserve">Apollo Elementary School                                    </t>
  </si>
  <si>
    <t xml:space="preserve">Eisenhower High School                                      </t>
  </si>
  <si>
    <t xml:space="preserve">Pray-Woodman Elementary                                     </t>
  </si>
  <si>
    <t xml:space="preserve">Maize Middle School                                         </t>
  </si>
  <si>
    <t xml:space="preserve">Maize South Elementary                                      </t>
  </si>
  <si>
    <t xml:space="preserve">Maize Elementary                                            </t>
  </si>
  <si>
    <t xml:space="preserve">Maize South Middle School                                   </t>
  </si>
  <si>
    <t xml:space="preserve">Maize Sr High                                               </t>
  </si>
  <si>
    <t xml:space="preserve">Maize Central Elementary                                    </t>
  </si>
  <si>
    <t xml:space="preserve">Maize South High School                                     </t>
  </si>
  <si>
    <t xml:space="preserve">Vermillion Elementary School                                </t>
  </si>
  <si>
    <t xml:space="preserve">Maize Virtual Preparatory School                            </t>
  </si>
  <si>
    <t xml:space="preserve">Andale Elem-Middle                                          </t>
  </si>
  <si>
    <t xml:space="preserve">Andale High                                                 </t>
  </si>
  <si>
    <t xml:space="preserve">Colwich Elem                                                </t>
  </si>
  <si>
    <t xml:space="preserve">Garden Plain Elem                                           </t>
  </si>
  <si>
    <t xml:space="preserve">Garden Plain High                                           </t>
  </si>
  <si>
    <t xml:space="preserve">St. Marks School                                            </t>
  </si>
  <si>
    <t xml:space="preserve">Cheney Elem                                                 </t>
  </si>
  <si>
    <t xml:space="preserve">Cheney Middle School  6-8                                   </t>
  </si>
  <si>
    <t xml:space="preserve">Cheney High                                                 </t>
  </si>
  <si>
    <t xml:space="preserve">Palco Jr. High                                              </t>
  </si>
  <si>
    <t xml:space="preserve">Damar Elementary School                                     </t>
  </si>
  <si>
    <t xml:space="preserve">Palco High                                                  </t>
  </si>
  <si>
    <t xml:space="preserve">Plainville Elem                                             </t>
  </si>
  <si>
    <t xml:space="preserve">Plainville High                                             </t>
  </si>
  <si>
    <t xml:space="preserve">Stockton Elem                                               </t>
  </si>
  <si>
    <t xml:space="preserve">Stockton High                                               </t>
  </si>
  <si>
    <t xml:space="preserve">Lakeside Elementary                                         </t>
  </si>
  <si>
    <t xml:space="preserve">Lakeside Junior/Senior High School                          </t>
  </si>
  <si>
    <t xml:space="preserve">Tipton Community School                                     </t>
  </si>
  <si>
    <t xml:space="preserve">Beloit Elem                                                 </t>
  </si>
  <si>
    <t xml:space="preserve">Beloit Jr-Sr High                                           </t>
  </si>
  <si>
    <t xml:space="preserve">Oakley Elem                                                 </t>
  </si>
  <si>
    <t xml:space="preserve">Oakley Sr High                                              </t>
  </si>
  <si>
    <t xml:space="preserve">Oakley Middle School                                        </t>
  </si>
  <si>
    <t xml:space="preserve">Winona Elem                                                 </t>
  </si>
  <si>
    <t xml:space="preserve">Winona High                                                 </t>
  </si>
  <si>
    <t xml:space="preserve">Hill City Junior-Senior High                                </t>
  </si>
  <si>
    <t xml:space="preserve">Hill City Elem                                              </t>
  </si>
  <si>
    <t xml:space="preserve">West Elk Schools                                            </t>
  </si>
  <si>
    <t xml:space="preserve">Elk Valley Elementary                                       </t>
  </si>
  <si>
    <t xml:space="preserve">Elk Valley High School                                      </t>
  </si>
  <si>
    <t xml:space="preserve">Chase County Junior Senior High School                      </t>
  </si>
  <si>
    <t xml:space="preserve">Chase County Elementary School                              </t>
  </si>
  <si>
    <t xml:space="preserve">Cedar Vale Elem                                             </t>
  </si>
  <si>
    <t xml:space="preserve">Cedar Vale High                                             </t>
  </si>
  <si>
    <t xml:space="preserve">Sedan Elem                                                  </t>
  </si>
  <si>
    <t xml:space="preserve">Sedan High                                                  </t>
  </si>
  <si>
    <t xml:space="preserve">Appanoose Elementary School                                 </t>
  </si>
  <si>
    <t xml:space="preserve">West Franklin Middle School                                 </t>
  </si>
  <si>
    <t xml:space="preserve">Williamsburg Elementary School                              </t>
  </si>
  <si>
    <t xml:space="preserve">West Franklin High School                                   </t>
  </si>
  <si>
    <t xml:space="preserve">Central Heights High                                        </t>
  </si>
  <si>
    <t xml:space="preserve">Central Heights Elem                                        </t>
  </si>
  <si>
    <t xml:space="preserve">Wellsville Elem                                             </t>
  </si>
  <si>
    <t xml:space="preserve">Wellsville Middle School                                    </t>
  </si>
  <si>
    <t xml:space="preserve">Wellsville High                                             </t>
  </si>
  <si>
    <t xml:space="preserve">Garfield Elem                                               </t>
  </si>
  <si>
    <t xml:space="preserve">Ottawa Middle School                                        </t>
  </si>
  <si>
    <t xml:space="preserve">Ottawa Sr High                                              </t>
  </si>
  <si>
    <t xml:space="preserve">Grinnell Grade School                                       </t>
  </si>
  <si>
    <t xml:space="preserve">Grinnell Middle School                                      </t>
  </si>
  <si>
    <t xml:space="preserve">Wheatland Elementary School                                 </t>
  </si>
  <si>
    <t xml:space="preserve">Wheatland High School                                       </t>
  </si>
  <si>
    <t xml:space="preserve">Quinter Elem                                                </t>
  </si>
  <si>
    <t xml:space="preserve">Quinter Jr-Sr High                                          </t>
  </si>
  <si>
    <t xml:space="preserve">Oberlin Elem                                                </t>
  </si>
  <si>
    <t xml:space="preserve">Decatur Community Jr/Sr High                                </t>
  </si>
  <si>
    <t xml:space="preserve">St Francis Elem                                             </t>
  </si>
  <si>
    <t xml:space="preserve">St Francis High                                             </t>
  </si>
  <si>
    <t xml:space="preserve">Lincoln Jr/Sr High                                          </t>
  </si>
  <si>
    <t xml:space="preserve">Lucas/Sylvan Elementary Unified                             </t>
  </si>
  <si>
    <t xml:space="preserve">Sylvan-Lucas Unified Jr. sr                                 </t>
  </si>
  <si>
    <t xml:space="preserve">South Central High School                                   </t>
  </si>
  <si>
    <t xml:space="preserve">South Central Elementary School                             </t>
  </si>
  <si>
    <t xml:space="preserve">South Central Middle School                                 </t>
  </si>
  <si>
    <t xml:space="preserve">Ness City Elem                                              </t>
  </si>
  <si>
    <t xml:space="preserve">Ness City High                                              </t>
  </si>
  <si>
    <t xml:space="preserve">Coronado Elem                                               </t>
  </si>
  <si>
    <t xml:space="preserve">Heusner Elem                                                </t>
  </si>
  <si>
    <t xml:space="preserve">Meadowlark Ridge Elem                                       </t>
  </si>
  <si>
    <t xml:space="preserve">Oakdale Elem                                                </t>
  </si>
  <si>
    <t xml:space="preserve">Schilling Elem                                              </t>
  </si>
  <si>
    <t xml:space="preserve">Stewart Elem                                                </t>
  </si>
  <si>
    <t xml:space="preserve">Sunset Elem                                                 </t>
  </si>
  <si>
    <t xml:space="preserve">Lakewood Middle School                                      </t>
  </si>
  <si>
    <t xml:space="preserve">Salina South Middle                                         </t>
  </si>
  <si>
    <t xml:space="preserve">Salina High Central                                         </t>
  </si>
  <si>
    <t xml:space="preserve">Salina High South                                           </t>
  </si>
  <si>
    <t xml:space="preserve">Southeast Saline High                                       </t>
  </si>
  <si>
    <t xml:space="preserve">Southeast Saline Elem                                       </t>
  </si>
  <si>
    <t xml:space="preserve">Ell-Saline Middle/High School                               </t>
  </si>
  <si>
    <t xml:space="preserve">Ell-Saline Elementary                                       </t>
  </si>
  <si>
    <t xml:space="preserve">Hutchinson Magnet School at Allen                           </t>
  </si>
  <si>
    <t xml:space="preserve">Faris Elementary                                            </t>
  </si>
  <si>
    <t xml:space="preserve">Graber Elementary                                           </t>
  </si>
  <si>
    <t xml:space="preserve">Lincoln Elementary School                                   </t>
  </si>
  <si>
    <t xml:space="preserve">McCandless Elementary                                       </t>
  </si>
  <si>
    <t xml:space="preserve">Morgan Elementary                                           </t>
  </si>
  <si>
    <t xml:space="preserve">Wiley Elementary                                            </t>
  </si>
  <si>
    <t xml:space="preserve">Hutchinson Middle School 8                                  </t>
  </si>
  <si>
    <t xml:space="preserve">Hutchinson High School                                      </t>
  </si>
  <si>
    <t xml:space="preserve">Hutchinson Middle School 7                                  </t>
  </si>
  <si>
    <t xml:space="preserve">Nickerson Elem                                              </t>
  </si>
  <si>
    <t xml:space="preserve">Nickerson High                                              </t>
  </si>
  <si>
    <t xml:space="preserve">Reno Valley Middle School                                   </t>
  </si>
  <si>
    <t xml:space="preserve">South Hutchinson Elem                                       </t>
  </si>
  <si>
    <t xml:space="preserve">Fairfield Schools                                           </t>
  </si>
  <si>
    <t xml:space="preserve">Pretty Prairie Elem                                         </t>
  </si>
  <si>
    <t xml:space="preserve">Pretty Prairie High                                         </t>
  </si>
  <si>
    <t xml:space="preserve">Pretty Prairie Middle                                       </t>
  </si>
  <si>
    <t xml:space="preserve">Haven Elem                                                  </t>
  </si>
  <si>
    <t xml:space="preserve">Haven Middle School                                         </t>
  </si>
  <si>
    <t xml:space="preserve">Haven High                                                  </t>
  </si>
  <si>
    <t xml:space="preserve">Yoder Charter Elem School                                   </t>
  </si>
  <si>
    <t xml:space="preserve">Haven Virtual Academy                                       </t>
  </si>
  <si>
    <t xml:space="preserve">Buhler Elem                                                 </t>
  </si>
  <si>
    <t xml:space="preserve">Buhler High                                                 </t>
  </si>
  <si>
    <t xml:space="preserve">Plum Creek Elementary                                       </t>
  </si>
  <si>
    <t xml:space="preserve">Prairie Hills Middle                                        </t>
  </si>
  <si>
    <t xml:space="preserve">Union Valley Elem                                           </t>
  </si>
  <si>
    <t xml:space="preserve">Brewster Elem                                               </t>
  </si>
  <si>
    <t xml:space="preserve">Brewster High                                               </t>
  </si>
  <si>
    <t xml:space="preserve">Colby Elem                                                  </t>
  </si>
  <si>
    <t xml:space="preserve">Colby Middle School                                         </t>
  </si>
  <si>
    <t xml:space="preserve">Colby Senior High                                           </t>
  </si>
  <si>
    <t xml:space="preserve">Golden Plains Middle                                        </t>
  </si>
  <si>
    <t xml:space="preserve">Golden Plains High                                          </t>
  </si>
  <si>
    <t xml:space="preserve">Golden Plains Elem                                          </t>
  </si>
  <si>
    <t xml:space="preserve">Wamego Middle School                                        </t>
  </si>
  <si>
    <t xml:space="preserve">Wamego High                                                 </t>
  </si>
  <si>
    <t xml:space="preserve">Rossville Elem                                              </t>
  </si>
  <si>
    <t xml:space="preserve">Rossville Jr.-Sr. High School                               </t>
  </si>
  <si>
    <t xml:space="preserve">St Marys Elem                                               </t>
  </si>
  <si>
    <t xml:space="preserve">St. Marys Junior Senior High                                </t>
  </si>
  <si>
    <t xml:space="preserve">Onaga Elem                                                  </t>
  </si>
  <si>
    <t xml:space="preserve">Onaga Senior High                                           </t>
  </si>
  <si>
    <t xml:space="preserve">St George Elem                                              </t>
  </si>
  <si>
    <t xml:space="preserve">Westmoreland Elem                                           </t>
  </si>
  <si>
    <t xml:space="preserve">Phillipsburg Elem                                           </t>
  </si>
  <si>
    <t xml:space="preserve">Phillipsburg Middle                                         </t>
  </si>
  <si>
    <t xml:space="preserve">Phillipsburg High                                           </t>
  </si>
  <si>
    <t xml:space="preserve">Logan Elem                                                  </t>
  </si>
  <si>
    <t xml:space="preserve">Logan High                                                  </t>
  </si>
  <si>
    <t xml:space="preserve">Ellsworth Elem                                              </t>
  </si>
  <si>
    <t xml:space="preserve">Ellsworth High                                              </t>
  </si>
  <si>
    <t xml:space="preserve">Kanopolis Middle                                            </t>
  </si>
  <si>
    <t xml:space="preserve">Alma Elementary School                                      </t>
  </si>
  <si>
    <t xml:space="preserve">Wabaunsee Sr High                                           </t>
  </si>
  <si>
    <t xml:space="preserve">Paxico Middle School                                        </t>
  </si>
  <si>
    <t xml:space="preserve">Wabaunsee Junior High                                       </t>
  </si>
  <si>
    <t xml:space="preserve">Maple Hill Elem                                             </t>
  </si>
  <si>
    <t xml:space="preserve">Mission  Valley Elementary                                  </t>
  </si>
  <si>
    <t xml:space="preserve">Kingman Elementary School                                   </t>
  </si>
  <si>
    <t xml:space="preserve">Kingman Middle School                                       </t>
  </si>
  <si>
    <t xml:space="preserve">Norwich Middle School                                       </t>
  </si>
  <si>
    <t xml:space="preserve">Norwich Elementary School                                   </t>
  </si>
  <si>
    <t xml:space="preserve">USD 331 Virtual School                                      </t>
  </si>
  <si>
    <t xml:space="preserve">Kingman High                                                </t>
  </si>
  <si>
    <t xml:space="preserve">Norwich High                                                </t>
  </si>
  <si>
    <t xml:space="preserve">Cunningham Elem                                             </t>
  </si>
  <si>
    <t xml:space="preserve">Cunningham High                                             </t>
  </si>
  <si>
    <t xml:space="preserve">Concordia Elementary                                        </t>
  </si>
  <si>
    <t xml:space="preserve">Concordia Middle                                            </t>
  </si>
  <si>
    <t xml:space="preserve">Concordia Jr-Sr High                                        </t>
  </si>
  <si>
    <t xml:space="preserve">Glasco Elem                                                 </t>
  </si>
  <si>
    <t xml:space="preserve">Glasco High                                                 </t>
  </si>
  <si>
    <t xml:space="preserve">Miltonvale Elem                                             </t>
  </si>
  <si>
    <t xml:space="preserve">Miltonvale High                                             </t>
  </si>
  <si>
    <t xml:space="preserve">Jackson Heights Elementary School                           </t>
  </si>
  <si>
    <t xml:space="preserve">Holton Elementary School                                    </t>
  </si>
  <si>
    <t xml:space="preserve">Holton Middle                                               </t>
  </si>
  <si>
    <t xml:space="preserve">Holton High                                                 </t>
  </si>
  <si>
    <t xml:space="preserve">Royal Valley Elementary                                     </t>
  </si>
  <si>
    <t xml:space="preserve">Royal Valley High                                           </t>
  </si>
  <si>
    <t xml:space="preserve">Royal Valley Middle School                                  </t>
  </si>
  <si>
    <t xml:space="preserve">Valley Falls Elem                                           </t>
  </si>
  <si>
    <t xml:space="preserve">Valley Falls High                                           </t>
  </si>
  <si>
    <t xml:space="preserve">Jefferson Co North High                                     </t>
  </si>
  <si>
    <t xml:space="preserve">Jefferson West High                                         </t>
  </si>
  <si>
    <t xml:space="preserve">Jefferson West Middle                                       </t>
  </si>
  <si>
    <t xml:space="preserve">Jefferson West Elementary School                            </t>
  </si>
  <si>
    <t xml:space="preserve">Oskaloosa Elem                                              </t>
  </si>
  <si>
    <t xml:space="preserve">Oskaloosa JR-SR High School                                 </t>
  </si>
  <si>
    <t xml:space="preserve">McLouth Elem                                                </t>
  </si>
  <si>
    <t xml:space="preserve">McLouth Middle                                              </t>
  </si>
  <si>
    <t xml:space="preserve">McLouth High                                                </t>
  </si>
  <si>
    <t xml:space="preserve">Lecompton Elem                                              </t>
  </si>
  <si>
    <t xml:space="preserve">Perry-Lecompton Middle                                      </t>
  </si>
  <si>
    <t xml:space="preserve">Perry Lecompton High                                        </t>
  </si>
  <si>
    <t xml:space="preserve">Pleasanton Elem                                             </t>
  </si>
  <si>
    <t xml:space="preserve">Pleasanton High                                             </t>
  </si>
  <si>
    <t xml:space="preserve">Logan Elementary                                            </t>
  </si>
  <si>
    <t xml:space="preserve">North Fairview                                              </t>
  </si>
  <si>
    <t xml:space="preserve">Elmont Elem                                                 </t>
  </si>
  <si>
    <t xml:space="preserve">Northern Hills Elementary                                   </t>
  </si>
  <si>
    <t xml:space="preserve">West Indianola Elem                                         </t>
  </si>
  <si>
    <t xml:space="preserve">Seaman Middle School                                        </t>
  </si>
  <si>
    <t xml:space="preserve">Seaman High                                                 </t>
  </si>
  <si>
    <t xml:space="preserve">Jayhawk Elementary                                          </t>
  </si>
  <si>
    <t xml:space="preserve">Jayhawk-Linn High                                           </t>
  </si>
  <si>
    <t xml:space="preserve">Kinsley Jr/Sr High School                                   </t>
  </si>
  <si>
    <t xml:space="preserve">Baldwin Junior High School                                  </t>
  </si>
  <si>
    <t xml:space="preserve">Baldwin High School                                         </t>
  </si>
  <si>
    <t xml:space="preserve">Stafford Elementary                                         </t>
  </si>
  <si>
    <t xml:space="preserve">Stafford Middle School/High School                          </t>
  </si>
  <si>
    <t xml:space="preserve">St John Elem                                                </t>
  </si>
  <si>
    <t xml:space="preserve">St John High                                                </t>
  </si>
  <si>
    <t xml:space="preserve">Macksville Elem                                             </t>
  </si>
  <si>
    <t xml:space="preserve">Macksville High                                             </t>
  </si>
  <si>
    <t xml:space="preserve">Goodland Jr-Sr. High School                                 </t>
  </si>
  <si>
    <t xml:space="preserve">North Elementary                                            </t>
  </si>
  <si>
    <t xml:space="preserve">West Elementary                                             </t>
  </si>
  <si>
    <t xml:space="preserve">Kennedy Elem                                                </t>
  </si>
  <si>
    <t xml:space="preserve">Wellington Middle School                                    </t>
  </si>
  <si>
    <t xml:space="preserve">Wellington High School                                      </t>
  </si>
  <si>
    <t xml:space="preserve">Ellinwood Elem                                              </t>
  </si>
  <si>
    <t xml:space="preserve">Ellinwood  Middle School                                    </t>
  </si>
  <si>
    <t xml:space="preserve">Ellinwood High                                              </t>
  </si>
  <si>
    <t xml:space="preserve">Conway Springs Kyle Trueblood                               </t>
  </si>
  <si>
    <t xml:space="preserve">Conway Springs Middle School                                </t>
  </si>
  <si>
    <t xml:space="preserve">Conway Springs High School                                  </t>
  </si>
  <si>
    <t xml:space="preserve">Belle Plaine Elem                                           </t>
  </si>
  <si>
    <t xml:space="preserve">Belle Plaine Middle                                         </t>
  </si>
  <si>
    <t xml:space="preserve">Belle Plaine High                                           </t>
  </si>
  <si>
    <t xml:space="preserve">Oxford Elem                                                 </t>
  </si>
  <si>
    <t xml:space="preserve">Oxford Jr/Sr High                                           </t>
  </si>
  <si>
    <t xml:space="preserve">Argonia Elem                                                </t>
  </si>
  <si>
    <t xml:space="preserve">Argonia High                                                </t>
  </si>
  <si>
    <t xml:space="preserve">Caldwell Secondary School                                   </t>
  </si>
  <si>
    <t xml:space="preserve">Anthony Elem                                                </t>
  </si>
  <si>
    <t xml:space="preserve">Chaparral Jr/Sr High                                        </t>
  </si>
  <si>
    <t xml:space="preserve">Harper Elem                                                 </t>
  </si>
  <si>
    <t xml:space="preserve">Lacygne Elem                                                </t>
  </si>
  <si>
    <t xml:space="preserve">Parker Elem                                                 </t>
  </si>
  <si>
    <t xml:space="preserve">Prairie View Middle                                         </t>
  </si>
  <si>
    <t xml:space="preserve">Prairie View High                                           </t>
  </si>
  <si>
    <t xml:space="preserve">Holcomb Elem 3-5                                            </t>
  </si>
  <si>
    <t xml:space="preserve">Holcomb Middle                                              </t>
  </si>
  <si>
    <t xml:space="preserve">Holcomb High                                                </t>
  </si>
  <si>
    <t xml:space="preserve">Wiley Elem                                                  </t>
  </si>
  <si>
    <t xml:space="preserve">Marysville Elem                                             </t>
  </si>
  <si>
    <t xml:space="preserve">Marysville Jr/Sr High                                       </t>
  </si>
  <si>
    <t xml:space="preserve">Garnett Elementary School                                   </t>
  </si>
  <si>
    <t xml:space="preserve">Greeley Elem                                                </t>
  </si>
  <si>
    <t xml:space="preserve">Westphalia                                                  </t>
  </si>
  <si>
    <t xml:space="preserve">Anderson County Jr/Sr High School                           </t>
  </si>
  <si>
    <t xml:space="preserve">Yates Center Elem                                           </t>
  </si>
  <si>
    <t xml:space="preserve">Yates Center High                                           </t>
  </si>
  <si>
    <t xml:space="preserve">Trojan Elem                                                 </t>
  </si>
  <si>
    <t xml:space="preserve">Osawatomie Middle School                                    </t>
  </si>
  <si>
    <t xml:space="preserve">Osawatomie High                                             </t>
  </si>
  <si>
    <t xml:space="preserve">Sunflower Elem                                              </t>
  </si>
  <si>
    <t xml:space="preserve">Paola Middle                                                </t>
  </si>
  <si>
    <t xml:space="preserve">Paola High                                                  </t>
  </si>
  <si>
    <t xml:space="preserve">Cottonwood Elem                                             </t>
  </si>
  <si>
    <t xml:space="preserve">Burrton Elem                                                </t>
  </si>
  <si>
    <t xml:space="preserve">Burrton MS/HS                                               </t>
  </si>
  <si>
    <t xml:space="preserve">Montezuma Elem                                              </t>
  </si>
  <si>
    <t xml:space="preserve">South Gray High                                             </t>
  </si>
  <si>
    <t xml:space="preserve">Silver Lake Elem                                            </t>
  </si>
  <si>
    <t xml:space="preserve">Silver Lake Jr-Sr High                                      </t>
  </si>
  <si>
    <t xml:space="preserve">Newton Sr High                                              </t>
  </si>
  <si>
    <t xml:space="preserve">Chisholm Middle School                                      </t>
  </si>
  <si>
    <t xml:space="preserve">Northridge Elementary                                       </t>
  </si>
  <si>
    <t xml:space="preserve">Santa Fe 5/6 Center                                         </t>
  </si>
  <si>
    <t xml:space="preserve">Slate Creek Elementary                                      </t>
  </si>
  <si>
    <t xml:space="preserve">South Breeze Elementary                                     </t>
  </si>
  <si>
    <t xml:space="preserve">Sunset Elementary                                           </t>
  </si>
  <si>
    <t xml:space="preserve">Walton Rural Life Center                                    </t>
  </si>
  <si>
    <t xml:space="preserve">Sublette Elem                                               </t>
  </si>
  <si>
    <t xml:space="preserve">Sublette High                                               </t>
  </si>
  <si>
    <t xml:space="preserve">Sublette Middle                                             </t>
  </si>
  <si>
    <t xml:space="preserve">Circle Benton Elementary                                    </t>
  </si>
  <si>
    <t xml:space="preserve">Circle High                                                 </t>
  </si>
  <si>
    <t xml:space="preserve">Circle Oil Hill Elementary                                  </t>
  </si>
  <si>
    <t xml:space="preserve">Circle Towanda Elementary                                   </t>
  </si>
  <si>
    <t xml:space="preserve">Circle Middle School                                        </t>
  </si>
  <si>
    <t xml:space="preserve">Circle Greenwich Elementary                                 </t>
  </si>
  <si>
    <t xml:space="preserve">Sterling Grade School                                       </t>
  </si>
  <si>
    <t xml:space="preserve">Sterling Junior High/Senior High                            </t>
  </si>
  <si>
    <t xml:space="preserve">Riley County Grade School                                   </t>
  </si>
  <si>
    <t xml:space="preserve">Riley County High School                                    </t>
  </si>
  <si>
    <t xml:space="preserve">Clay Center Community Middle                                </t>
  </si>
  <si>
    <t xml:space="preserve">Clay Center Community High                                  </t>
  </si>
  <si>
    <t xml:space="preserve">Wakefield Elem                                              </t>
  </si>
  <si>
    <t xml:space="preserve">Wakefield High                                              </t>
  </si>
  <si>
    <t xml:space="preserve">Centralia Elem                                              </t>
  </si>
  <si>
    <t xml:space="preserve">Centralia High                                              </t>
  </si>
  <si>
    <t xml:space="preserve">Frankfort Elem                                              </t>
  </si>
  <si>
    <t xml:space="preserve">Frankfort High                                              </t>
  </si>
  <si>
    <t xml:space="preserve">Spearville Elem                                             </t>
  </si>
  <si>
    <t xml:space="preserve">Spearville Jr/Sr High                                       </t>
  </si>
  <si>
    <t xml:space="preserve">Southwest Elem                                              </t>
  </si>
  <si>
    <t xml:space="preserve">Liberty Middle School                                       </t>
  </si>
  <si>
    <t xml:space="preserve">Pratt Sr High                                               </t>
  </si>
  <si>
    <t xml:space="preserve">Amanda Arnold Elem                                          </t>
  </si>
  <si>
    <t xml:space="preserve">Frank V Bergman Elem                                        </t>
  </si>
  <si>
    <t xml:space="preserve">Bluemont Elementary School                                  </t>
  </si>
  <si>
    <t xml:space="preserve">Lee Elem                                                    </t>
  </si>
  <si>
    <t xml:space="preserve">Marlatt Elem                                                </t>
  </si>
  <si>
    <t xml:space="preserve">Theo Roosevelt Elem                                         </t>
  </si>
  <si>
    <t xml:space="preserve">Woodrow Wilson Elem                                         </t>
  </si>
  <si>
    <t xml:space="preserve">Susan B Anthony Middle School                               </t>
  </si>
  <si>
    <t xml:space="preserve">Manhattan High School West/East Campus                      </t>
  </si>
  <si>
    <t xml:space="preserve">Ogden Elem                                                  </t>
  </si>
  <si>
    <t xml:space="preserve">McCormick Elementary                                        </t>
  </si>
  <si>
    <t xml:space="preserve">Randolph Middle                                             </t>
  </si>
  <si>
    <t xml:space="preserve">Cottonwood Elementary                                       </t>
  </si>
  <si>
    <t xml:space="preserve">Andover Middle School                                       </t>
  </si>
  <si>
    <t xml:space="preserve">Andover High                                                </t>
  </si>
  <si>
    <t xml:space="preserve">Robert M. Martin Elementary                                 </t>
  </si>
  <si>
    <t xml:space="preserve">Sunflower Elementary School                                 </t>
  </si>
  <si>
    <t xml:space="preserve">Andover Central Middle School                               </t>
  </si>
  <si>
    <t xml:space="preserve">Andover Central High School                                 </t>
  </si>
  <si>
    <t xml:space="preserve">Wheatland Elementary                                        </t>
  </si>
  <si>
    <t xml:space="preserve">Andover eCademy                                             </t>
  </si>
  <si>
    <t xml:space="preserve">Madison Elem                                                </t>
  </si>
  <si>
    <t xml:space="preserve">Madison High                                                </t>
  </si>
  <si>
    <t xml:space="preserve">Altoona-Midway Elementary                                   </t>
  </si>
  <si>
    <t xml:space="preserve">Ellis Jr/Sr High                                            </t>
  </si>
  <si>
    <t xml:space="preserve">Eureka Jr/Sr High                                           </t>
  </si>
  <si>
    <t xml:space="preserve">Marshall Elementary School                                  </t>
  </si>
  <si>
    <t xml:space="preserve">Hamilton Elem                                               </t>
  </si>
  <si>
    <t xml:space="preserve">Hamilton High                                               </t>
  </si>
  <si>
    <t xml:space="preserve">Osborne Elem                                                </t>
  </si>
  <si>
    <t xml:space="preserve">Osborne Junior/Senior High                                  </t>
  </si>
  <si>
    <t xml:space="preserve">Solomon Elem                                                </t>
  </si>
  <si>
    <t xml:space="preserve">Solomon High                                                </t>
  </si>
  <si>
    <t xml:space="preserve">Rose Hill Primary                                           </t>
  </si>
  <si>
    <t xml:space="preserve">Rose Hill Middle                                            </t>
  </si>
  <si>
    <t xml:space="preserve">Rose Hill High                                              </t>
  </si>
  <si>
    <t xml:space="preserve">Rose Hill Intermediate                                      </t>
  </si>
  <si>
    <t xml:space="preserve">La Crosse Elementary                                        </t>
  </si>
  <si>
    <t xml:space="preserve">La Crosse High                                              </t>
  </si>
  <si>
    <t xml:space="preserve">La Crosse Middle School                                     </t>
  </si>
  <si>
    <t xml:space="preserve">Leonard C Seal Elem                                         </t>
  </si>
  <si>
    <t xml:space="preserve">Marvin Sisk Middle School                                   </t>
  </si>
  <si>
    <t xml:space="preserve">Douglass High                                               </t>
  </si>
  <si>
    <t xml:space="preserve">Centre                                                      </t>
  </si>
  <si>
    <t xml:space="preserve">Peabody-Burns Elementary                                    </t>
  </si>
  <si>
    <t xml:space="preserve">Peabody-Burns Jr/Sr High School                             </t>
  </si>
  <si>
    <t xml:space="preserve">Natoma Elem                                                 </t>
  </si>
  <si>
    <t xml:space="preserve">Smoky Valley Virtual Charter School                         </t>
  </si>
  <si>
    <t xml:space="preserve">Soderstrom Elem                                             </t>
  </si>
  <si>
    <t xml:space="preserve">Smoky Valley Middle School                                  </t>
  </si>
  <si>
    <t xml:space="preserve">Smoky Valley High                                           </t>
  </si>
  <si>
    <t xml:space="preserve">Chase Elem                                                  </t>
  </si>
  <si>
    <t xml:space="preserve">Chase High                                                  </t>
  </si>
  <si>
    <t xml:space="preserve">Raymond Jr High                                             </t>
  </si>
  <si>
    <t xml:space="preserve">Ewalt Elementary                                            </t>
  </si>
  <si>
    <t xml:space="preserve">Robinson Elem                                               </t>
  </si>
  <si>
    <t xml:space="preserve">Augusta Middle School                                       </t>
  </si>
  <si>
    <t xml:space="preserve">Augusta Sr High                                             </t>
  </si>
  <si>
    <t xml:space="preserve">SouthWinds Academy                                          </t>
  </si>
  <si>
    <t xml:space="preserve">Otis-Bison Elementary                                       </t>
  </si>
  <si>
    <t xml:space="preserve">Riverton Elem                                               </t>
  </si>
  <si>
    <t xml:space="preserve">Riverton Middle                                             </t>
  </si>
  <si>
    <t xml:space="preserve">Riverton High                                               </t>
  </si>
  <si>
    <t xml:space="preserve">Lyons Central Elementary                                    </t>
  </si>
  <si>
    <t xml:space="preserve">Lyons Park Elementary                                       </t>
  </si>
  <si>
    <t xml:space="preserve">Lyons Middle School                                         </t>
  </si>
  <si>
    <t xml:space="preserve">Lyons High School                                           </t>
  </si>
  <si>
    <t xml:space="preserve">Bickerdyke Elem                                             </t>
  </si>
  <si>
    <t xml:space="preserve">Simpson Elem                                                </t>
  </si>
  <si>
    <t xml:space="preserve">Ruppenthal Middle                                           </t>
  </si>
  <si>
    <t xml:space="preserve">Russell High                                                </t>
  </si>
  <si>
    <t xml:space="preserve">Marion Middle                                               </t>
  </si>
  <si>
    <t xml:space="preserve">Marion High                                                 </t>
  </si>
  <si>
    <t xml:space="preserve">Marion Elem                                                 </t>
  </si>
  <si>
    <t xml:space="preserve">Atchison Elementary School                                  </t>
  </si>
  <si>
    <t xml:space="preserve">Atchison High  School                                       </t>
  </si>
  <si>
    <t xml:space="preserve">Central School                                              </t>
  </si>
  <si>
    <t xml:space="preserve">Atchison Middle School                                      </t>
  </si>
  <si>
    <t xml:space="preserve">Hillsboro Elem                                              </t>
  </si>
  <si>
    <t xml:space="preserve">Hillsboro Middle/High School                                </t>
  </si>
  <si>
    <t xml:space="preserve">Goessel Elem                                                </t>
  </si>
  <si>
    <t xml:space="preserve">Goessel High                                                </t>
  </si>
  <si>
    <t xml:space="preserve">Hoxie Elem                                                  </t>
  </si>
  <si>
    <t xml:space="preserve">Hoxie High                                                  </t>
  </si>
  <si>
    <t xml:space="preserve">Chanute Elementary School                                   </t>
  </si>
  <si>
    <t xml:space="preserve">Royster Middle School                                       </t>
  </si>
  <si>
    <t xml:space="preserve">Chanute High                                                </t>
  </si>
  <si>
    <t xml:space="preserve">Hiawatha Elem                                               </t>
  </si>
  <si>
    <t xml:space="preserve">Hiawatha Sr High                                            </t>
  </si>
  <si>
    <t xml:space="preserve">Hiawatha Middle School                                      </t>
  </si>
  <si>
    <t xml:space="preserve">Broadmoor Elementary                                        </t>
  </si>
  <si>
    <t xml:space="preserve">Louisburg High                                              </t>
  </si>
  <si>
    <t xml:space="preserve">Louisburg Middle                                            </t>
  </si>
  <si>
    <t xml:space="preserve">Rockville Elementary School                                 </t>
  </si>
  <si>
    <t xml:space="preserve">Prairie Heights Elementary School                           </t>
  </si>
  <si>
    <t xml:space="preserve">Council Grove Elementary School                             </t>
  </si>
  <si>
    <t xml:space="preserve">Eisenhower Elementary                                       </t>
  </si>
  <si>
    <t xml:space="preserve">Roosevelt Elem                                              </t>
  </si>
  <si>
    <t xml:space="preserve">McPherson Middle School                                     </t>
  </si>
  <si>
    <t xml:space="preserve">McPherson High                                              </t>
  </si>
  <si>
    <t xml:space="preserve">Canton-Galva Jr./Sr. High                                   </t>
  </si>
  <si>
    <t xml:space="preserve">Canton-Galva Elementary                                     </t>
  </si>
  <si>
    <t xml:space="preserve">Osage City Elem                                             </t>
  </si>
  <si>
    <t xml:space="preserve">Osage City High                                             </t>
  </si>
  <si>
    <t xml:space="preserve">Osage City Middle School                                    </t>
  </si>
  <si>
    <t xml:space="preserve">Lyndon Elem                                                 </t>
  </si>
  <si>
    <t xml:space="preserve">Lyndon High                                                 </t>
  </si>
  <si>
    <t xml:space="preserve">Kiowa County Elem/Jr. High                                  </t>
  </si>
  <si>
    <t xml:space="preserve">Kiowa County High School                                    </t>
  </si>
  <si>
    <t xml:space="preserve">Moundridge Elem                                             </t>
  </si>
  <si>
    <t xml:space="preserve">Moundridge High                                             </t>
  </si>
  <si>
    <t xml:space="preserve">Moundridge Middle                                           </t>
  </si>
  <si>
    <t xml:space="preserve">Pike Valley Elem                                            </t>
  </si>
  <si>
    <t xml:space="preserve">Pike Valley Jr High                                         </t>
  </si>
  <si>
    <t xml:space="preserve">Pike Valley High                                            </t>
  </si>
  <si>
    <t xml:space="preserve">Park Elem                                                   </t>
  </si>
  <si>
    <t xml:space="preserve">Riley Elem                                                  </t>
  </si>
  <si>
    <t xml:space="preserve">Great Bend Middle School                                    </t>
  </si>
  <si>
    <t xml:space="preserve">Great Bend High School                                      </t>
  </si>
  <si>
    <t xml:space="preserve">Troy Elem                                                   </t>
  </si>
  <si>
    <t xml:space="preserve">Troy High and Middle School                                 </t>
  </si>
  <si>
    <t xml:space="preserve">Everest Middle                                              </t>
  </si>
  <si>
    <t xml:space="preserve">Horton Elem                                                 </t>
  </si>
  <si>
    <t xml:space="preserve">Horton High                                                 </t>
  </si>
  <si>
    <t xml:space="preserve">Lincoln Elementary                                          </t>
  </si>
  <si>
    <t xml:space="preserve">Roosevelt Elementary                                        </t>
  </si>
  <si>
    <t xml:space="preserve">Hoisington Middle                                           </t>
  </si>
  <si>
    <t xml:space="preserve">Hoisington High                                             </t>
  </si>
  <si>
    <t xml:space="preserve">Victoria Elementary                                         </t>
  </si>
  <si>
    <t xml:space="preserve">Victoria Junior-Senior High School                          </t>
  </si>
  <si>
    <t xml:space="preserve">Carbondale Attendance Center                                </t>
  </si>
  <si>
    <t xml:space="preserve">Overbrook Attendance Center                                 </t>
  </si>
  <si>
    <t xml:space="preserve">Santa Fe Trail High                                         </t>
  </si>
  <si>
    <t xml:space="preserve">Dwight D. Eisenhower Elementary                             </t>
  </si>
  <si>
    <t xml:space="preserve">Abilene Middle School                                       </t>
  </si>
  <si>
    <t xml:space="preserve">Abilene High School                                         </t>
  </si>
  <si>
    <t xml:space="preserve">Lincoln Memorial Elem                                       </t>
  </si>
  <si>
    <t xml:space="preserve">Caney Valley Charter Academy                                </t>
  </si>
  <si>
    <t xml:space="preserve">Caney Valley High                                           </t>
  </si>
  <si>
    <t xml:space="preserve">Auburn Elementary                                           </t>
  </si>
  <si>
    <t xml:space="preserve">Farley Elementary                                           </t>
  </si>
  <si>
    <t xml:space="preserve">Indian Hills Elementary                                     </t>
  </si>
  <si>
    <t xml:space="preserve">Pauline Central Primary                                     </t>
  </si>
  <si>
    <t xml:space="preserve">Pauline South Intermediate                                  </t>
  </si>
  <si>
    <t xml:space="preserve">Washburn Rural Middle School                                </t>
  </si>
  <si>
    <t xml:space="preserve">Wanamaker Elem                                              </t>
  </si>
  <si>
    <t xml:space="preserve">Jay Shideler Elementary                                     </t>
  </si>
  <si>
    <t xml:space="preserve">Washburn Rural High                                         </t>
  </si>
  <si>
    <t xml:space="preserve">Skyline Elem                                                </t>
  </si>
  <si>
    <t xml:space="preserve">Skyline High                                                </t>
  </si>
  <si>
    <t xml:space="preserve">R L Wright  Elem                                            </t>
  </si>
  <si>
    <t xml:space="preserve">Sedgwick High                                               </t>
  </si>
  <si>
    <t xml:space="preserve">Bentley Primary School                                      </t>
  </si>
  <si>
    <t xml:space="preserve">Halstead Middle School                                      </t>
  </si>
  <si>
    <t xml:space="preserve">Halstead High                                               </t>
  </si>
  <si>
    <t xml:space="preserve">Miller Elem                                                 </t>
  </si>
  <si>
    <t xml:space="preserve">Northwest Elem                                              </t>
  </si>
  <si>
    <t xml:space="preserve">Sunnyside Elem                                              </t>
  </si>
  <si>
    <t xml:space="preserve">Dodge City Middle School                                    </t>
  </si>
  <si>
    <t xml:space="preserve">Ross Elementary School                                      </t>
  </si>
  <si>
    <t xml:space="preserve">Dodge City High School                                      </t>
  </si>
  <si>
    <t xml:space="preserve">Beeson Elementary                                           </t>
  </si>
  <si>
    <t xml:space="preserve">Linn Elementary                                             </t>
  </si>
  <si>
    <t xml:space="preserve">Soule Elementary School                                     </t>
  </si>
  <si>
    <t xml:space="preserve">Wilroads Gardens Elem                                       </t>
  </si>
  <si>
    <t xml:space="preserve">Comanche Middle School                                      </t>
  </si>
  <si>
    <t xml:space="preserve">Little River Junior High                                    </t>
  </si>
  <si>
    <t xml:space="preserve">Little River High                                           </t>
  </si>
  <si>
    <t xml:space="preserve">Windom Elem                                                 </t>
  </si>
  <si>
    <t xml:space="preserve">Community Elementary                                        </t>
  </si>
  <si>
    <t xml:space="preserve">Roosevelt Middle                                            </t>
  </si>
  <si>
    <t xml:space="preserve">Field Kindley High                                          </t>
  </si>
  <si>
    <t xml:space="preserve">Jefferson School                                            </t>
  </si>
  <si>
    <t xml:space="preserve">Independence Middle                                         </t>
  </si>
  <si>
    <t xml:space="preserve">Independence Sr High                                        </t>
  </si>
  <si>
    <t xml:space="preserve">Lincoln Central Elem                                        </t>
  </si>
  <si>
    <t xml:space="preserve">Thayer Schools                                              </t>
  </si>
  <si>
    <t xml:space="preserve">Cherryvale Sr / Middle School                               </t>
  </si>
  <si>
    <t xml:space="preserve">Inman Elem                                                  </t>
  </si>
  <si>
    <t xml:space="preserve">Inman Jr/Sr High School                                     </t>
  </si>
  <si>
    <t xml:space="preserve">Pleasant Ridge High                                         </t>
  </si>
  <si>
    <t xml:space="preserve">Pleasant Ridge Elementary                                   </t>
  </si>
  <si>
    <t xml:space="preserve">Berryton Elem                                               </t>
  </si>
  <si>
    <t xml:space="preserve">Shawnee Heights Elem                                        </t>
  </si>
  <si>
    <t xml:space="preserve">Shawnee Heights High                                        </t>
  </si>
  <si>
    <t xml:space="preserve">Shawnee Heights Middle                                      </t>
  </si>
  <si>
    <t xml:space="preserve">Tecumseh North Elem                                         </t>
  </si>
  <si>
    <t xml:space="preserve">Tecumseh South Elem                                         </t>
  </si>
  <si>
    <t xml:space="preserve">Stanton County Elementary                                   </t>
  </si>
  <si>
    <t xml:space="preserve">Stanton County Jr./Sr. High School                          </t>
  </si>
  <si>
    <t xml:space="preserve">Leavenworth Sr High                                         </t>
  </si>
  <si>
    <t xml:space="preserve">Leavenworth Virtual School                                  </t>
  </si>
  <si>
    <t xml:space="preserve">Henry Leavenworth                                           </t>
  </si>
  <si>
    <t xml:space="preserve">Anthony Elementary                                          </t>
  </si>
  <si>
    <t xml:space="preserve">David Brewer Elementary                                     </t>
  </si>
  <si>
    <t xml:space="preserve">Richard Warren Middle School                                </t>
  </si>
  <si>
    <t xml:space="preserve">Burlingame Elementary                                       </t>
  </si>
  <si>
    <t xml:space="preserve">Burlingame Junior/Senior High                               </t>
  </si>
  <si>
    <t xml:space="preserve">Marais Des Cygnes Valley Elem                               </t>
  </si>
  <si>
    <t xml:space="preserve">Marais Des Cygnes Valley High                               </t>
  </si>
  <si>
    <t xml:space="preserve">Marais Des Cygnes Valley Middle                             </t>
  </si>
  <si>
    <t xml:space="preserve">Edith Scheuerman Elem                                       </t>
  </si>
  <si>
    <t xml:space="preserve">Alta Brown Elem                                             </t>
  </si>
  <si>
    <t xml:space="preserve">Florence Wilson Elem                                        </t>
  </si>
  <si>
    <t xml:space="preserve">Abe Hubert Elementary School                                </t>
  </si>
  <si>
    <t xml:space="preserve">Buffalo Jones Elem                                          </t>
  </si>
  <si>
    <t xml:space="preserve">Georgia Matthews Elem                                       </t>
  </si>
  <si>
    <t xml:space="preserve">Horace J. Good Middle School                                </t>
  </si>
  <si>
    <t xml:space="preserve">Garden City High School                                     </t>
  </si>
  <si>
    <t xml:space="preserve">Gertrude Walker Elem                                        </t>
  </si>
  <si>
    <t xml:space="preserve">Jennie Barker Elem                                          </t>
  </si>
  <si>
    <t xml:space="preserve">Jennie Wilson Elem                                          </t>
  </si>
  <si>
    <t xml:space="preserve">Kenneth Henderson Middle                                    </t>
  </si>
  <si>
    <t xml:space="preserve">Plymell Elementary                                          </t>
  </si>
  <si>
    <t xml:space="preserve">Victor Ornelas Elem                                         </t>
  </si>
  <si>
    <t xml:space="preserve">Bernadine Sitts Intermediate Ctr                            </t>
  </si>
  <si>
    <t xml:space="preserve">Charles O Stones Intermediate Ctr                           </t>
  </si>
  <si>
    <t xml:space="preserve">Basehor Elementary School                                   </t>
  </si>
  <si>
    <t xml:space="preserve">Basehor-Linwood High School                                 </t>
  </si>
  <si>
    <t xml:space="preserve">Linwood Elementary School                                   </t>
  </si>
  <si>
    <t xml:space="preserve">Basehor-Linwood Middle School                               </t>
  </si>
  <si>
    <t xml:space="preserve">Bucklin Elem                                                </t>
  </si>
  <si>
    <t xml:space="preserve">Bucklin High                                                </t>
  </si>
  <si>
    <t xml:space="preserve">Hesston Elem                                                </t>
  </si>
  <si>
    <t xml:space="preserve">Hesston Middle                                              </t>
  </si>
  <si>
    <t xml:space="preserve">Hesston High                                                </t>
  </si>
  <si>
    <t xml:space="preserve">Heller Elem                                                 </t>
  </si>
  <si>
    <t xml:space="preserve">North Lawn Elem                                             </t>
  </si>
  <si>
    <t xml:space="preserve">Neodesha High                                               </t>
  </si>
  <si>
    <t xml:space="preserve">Central Jr-Sr High                                          </t>
  </si>
  <si>
    <t xml:space="preserve">Udall Elem                                                  </t>
  </si>
  <si>
    <t xml:space="preserve">Udall Middle School                                         </t>
  </si>
  <si>
    <t xml:space="preserve">Udall High                                                  </t>
  </si>
  <si>
    <t xml:space="preserve">Tonganoxie High                                             </t>
  </si>
  <si>
    <t xml:space="preserve">Tonganoxie Middle School                                    </t>
  </si>
  <si>
    <t xml:space="preserve">Tonganoxie Elem                                             </t>
  </si>
  <si>
    <t xml:space="preserve">Country View Elem                                           </t>
  </si>
  <si>
    <t xml:space="preserve">Irving Elem                                                 </t>
  </si>
  <si>
    <t xml:space="preserve">Lowell Elem                                                 </t>
  </si>
  <si>
    <t xml:space="preserve">Whittier Elem                                               </t>
  </si>
  <si>
    <t xml:space="preserve">Winfield High                                               </t>
  </si>
  <si>
    <t xml:space="preserve">Winfield Middle School                                      </t>
  </si>
  <si>
    <t xml:space="preserve">Scott City Lower Elem                                       </t>
  </si>
  <si>
    <t xml:space="preserve">Scott City Middle                                           </t>
  </si>
  <si>
    <t xml:space="preserve">Scott City High                                             </t>
  </si>
  <si>
    <t xml:space="preserve">Wichita County Elementary                                   </t>
  </si>
  <si>
    <t xml:space="preserve">Healy Elem                                                  </t>
  </si>
  <si>
    <t xml:space="preserve">Healy High                                                  </t>
  </si>
  <si>
    <t xml:space="preserve">Lansing Middle 6-8                                          </t>
  </si>
  <si>
    <t xml:space="preserve">Lansing Elementary School                                   </t>
  </si>
  <si>
    <t xml:space="preserve">Lansing High 9-12                                           </t>
  </si>
  <si>
    <t xml:space="preserve">Frances Willard Elem                                        </t>
  </si>
  <si>
    <t xml:space="preserve">Arkansas City Middle Sch                                    </t>
  </si>
  <si>
    <t xml:space="preserve">Arkansas City High                                          </t>
  </si>
  <si>
    <t xml:space="preserve">C 4 Elem                                                    </t>
  </si>
  <si>
    <t xml:space="preserve">I X L Elem                                                  </t>
  </si>
  <si>
    <t xml:space="preserve">Dexter Elem                                                 </t>
  </si>
  <si>
    <t xml:space="preserve">Dexter High                                                 </t>
  </si>
  <si>
    <t xml:space="preserve">Blue Ridge Elem                                             </t>
  </si>
  <si>
    <t xml:space="preserve">Chapman Elem                                                </t>
  </si>
  <si>
    <t xml:space="preserve">Chapman Middle School                                       </t>
  </si>
  <si>
    <t xml:space="preserve">Chapman High                                                </t>
  </si>
  <si>
    <t xml:space="preserve">Rural Center Elem                                           </t>
  </si>
  <si>
    <t xml:space="preserve">Haviland Elem                                               </t>
  </si>
  <si>
    <t xml:space="preserve">Grandview Elem                                              </t>
  </si>
  <si>
    <t xml:space="preserve">Spring Valley Elementary                                    </t>
  </si>
  <si>
    <t xml:space="preserve">Fort Riley Elem                                             </t>
  </si>
  <si>
    <t xml:space="preserve">LTG Richard J. Seitz Elementary                             </t>
  </si>
  <si>
    <t xml:space="preserve">Morris Hill Elem                                            </t>
  </si>
  <si>
    <t xml:space="preserve">Sheridan Elem                                               </t>
  </si>
  <si>
    <t xml:space="preserve">Westwood Elem                                               </t>
  </si>
  <si>
    <t xml:space="preserve">Fort Riley Middle School                                    </t>
  </si>
  <si>
    <t xml:space="preserve">Junction City Middle School                                 </t>
  </si>
  <si>
    <t xml:space="preserve">Junction City Sr High                                       </t>
  </si>
  <si>
    <t xml:space="preserve">Milford Elem                                                </t>
  </si>
  <si>
    <t xml:space="preserve">Ware Elem                                                   </t>
  </si>
  <si>
    <t xml:space="preserve">Copeland Elem                                               </t>
  </si>
  <si>
    <t xml:space="preserve">South Gray Jr High                                          </t>
  </si>
  <si>
    <t xml:space="preserve">Ingalls Elem                                                </t>
  </si>
  <si>
    <t xml:space="preserve">Ingalls High School/Junior High                             </t>
  </si>
  <si>
    <t xml:space="preserve">Crest Elementary                                            </t>
  </si>
  <si>
    <t xml:space="preserve">Crest High                                                  </t>
  </si>
  <si>
    <t xml:space="preserve">Liberal Sr High                                             </t>
  </si>
  <si>
    <t xml:space="preserve">Eisenhower Middle School                                    </t>
  </si>
  <si>
    <t xml:space="preserve">Prairie View Elementary School                              </t>
  </si>
  <si>
    <t xml:space="preserve">Hope Elem                                                   </t>
  </si>
  <si>
    <t xml:space="preserve">Hope High                                                   </t>
  </si>
  <si>
    <t xml:space="preserve">White City Elem                                             </t>
  </si>
  <si>
    <t xml:space="preserve">White City High                                             </t>
  </si>
  <si>
    <t xml:space="preserve">Dighton Elem                                                </t>
  </si>
  <si>
    <t xml:space="preserve">Dighton High                                                </t>
  </si>
  <si>
    <t xml:space="preserve">Kismet Elem                                                 </t>
  </si>
  <si>
    <t xml:space="preserve">Plains Elem                                                 </t>
  </si>
  <si>
    <t xml:space="preserve">Southwestern Heights Jr/Sr High                             </t>
  </si>
  <si>
    <t xml:space="preserve">Fredonia Jr./Sr. High School                                </t>
  </si>
  <si>
    <t xml:space="preserve">Herington Elem                                              </t>
  </si>
  <si>
    <t xml:space="preserve">Herington Middle Sch                                        </t>
  </si>
  <si>
    <t xml:space="preserve">Herington High                                              </t>
  </si>
  <si>
    <t xml:space="preserve">Hays Middle School                                          </t>
  </si>
  <si>
    <t xml:space="preserve">Hays High                                                   </t>
  </si>
  <si>
    <t xml:space="preserve">Kathryn O'Loughlin McCarthy Elem                            </t>
  </si>
  <si>
    <t xml:space="preserve">El Dorado Middle                                            </t>
  </si>
  <si>
    <t xml:space="preserve">El Dorado High                                              </t>
  </si>
  <si>
    <t xml:space="preserve">Skelly Elementary School                                    </t>
  </si>
  <si>
    <t xml:space="preserve">Eudora Elementary School                                    </t>
  </si>
  <si>
    <t xml:space="preserve">Eudora High  School                                         </t>
  </si>
  <si>
    <t xml:space="preserve">Eudora Middle School                                        </t>
  </si>
  <si>
    <t xml:space="preserve">Flinthills Primary School                                   </t>
  </si>
  <si>
    <t xml:space="preserve">Flinthills Intermediate School                              </t>
  </si>
  <si>
    <t xml:space="preserve">Flinthills Middle School                                    </t>
  </si>
  <si>
    <t xml:space="preserve">Flinthills High School                                      </t>
  </si>
  <si>
    <t xml:space="preserve">Highland Elem                                               </t>
  </si>
  <si>
    <t xml:space="preserve">Columbus High                                               </t>
  </si>
  <si>
    <t xml:space="preserve">Syracuse Elem                                               </t>
  </si>
  <si>
    <t xml:space="preserve">Syracuse High                                               </t>
  </si>
  <si>
    <t xml:space="preserve">Larned Middle School                                        </t>
  </si>
  <si>
    <t xml:space="preserve">Larned Sr High                                              </t>
  </si>
  <si>
    <t xml:space="preserve">Pawnee Heights                                              </t>
  </si>
  <si>
    <t xml:space="preserve">Lawrence Virtual School                                     </t>
  </si>
  <si>
    <t xml:space="preserve">Prairie Park Elem                                           </t>
  </si>
  <si>
    <t xml:space="preserve">Broken Arrow Elem                                           </t>
  </si>
  <si>
    <t xml:space="preserve">Cordley Elem                                                </t>
  </si>
  <si>
    <t xml:space="preserve">Hillcrest Elem                                              </t>
  </si>
  <si>
    <t xml:space="preserve">Quail Run Elementary                                        </t>
  </si>
  <si>
    <t xml:space="preserve">New York Elem                                               </t>
  </si>
  <si>
    <t xml:space="preserve">Pinckney Elem                                               </t>
  </si>
  <si>
    <t xml:space="preserve">Schwegler Elem                                              </t>
  </si>
  <si>
    <t xml:space="preserve">Sunset Hill Elem                                            </t>
  </si>
  <si>
    <t xml:space="preserve">Woodlawn Elem                                               </t>
  </si>
  <si>
    <t xml:space="preserve">Langston Hughes Elem                                        </t>
  </si>
  <si>
    <t xml:space="preserve">Lawrence Liberty Memorial Central Mid School                </t>
  </si>
  <si>
    <t xml:space="preserve">Lawrence West Middle School                                 </t>
  </si>
  <si>
    <t xml:space="preserve">Lawrence Southwest Middle School                            </t>
  </si>
  <si>
    <t xml:space="preserve">Lawrence High                                               </t>
  </si>
  <si>
    <t xml:space="preserve">Lawrence Free State High                                    </t>
  </si>
  <si>
    <t xml:space="preserve">Valley Heights Elem                                         </t>
  </si>
  <si>
    <t xml:space="preserve">Valley Heights Jr/Sr High                                   </t>
  </si>
  <si>
    <t xml:space="preserve">Liberty Elem                                                </t>
  </si>
  <si>
    <t xml:space="preserve">Spring Grove Primary Center                                 </t>
  </si>
  <si>
    <t xml:space="preserve">Galena Middle School                                        </t>
  </si>
  <si>
    <t xml:space="preserve">Galena High                                                 </t>
  </si>
  <si>
    <t xml:space="preserve">Banneker Elem                                               </t>
  </si>
  <si>
    <t xml:space="preserve">McKinley Elementary School                                  </t>
  </si>
  <si>
    <t xml:space="preserve">Silver City Elem                                            </t>
  </si>
  <si>
    <t xml:space="preserve">Chelsea Elem                                                </t>
  </si>
  <si>
    <t xml:space="preserve">Douglass Elem                                               </t>
  </si>
  <si>
    <t xml:space="preserve">Thomas A Edison Elem                                        </t>
  </si>
  <si>
    <t xml:space="preserve">Emerson Elem                                                </t>
  </si>
  <si>
    <t xml:space="preserve">John Fiske Elem                                             </t>
  </si>
  <si>
    <t xml:space="preserve">Grant Elem                                                  </t>
  </si>
  <si>
    <t xml:space="preserve">Bertram Caruthers Elem                                      </t>
  </si>
  <si>
    <t xml:space="preserve">Mark Twain Elem                                             </t>
  </si>
  <si>
    <t xml:space="preserve">Noble Prentis Elem                                          </t>
  </si>
  <si>
    <t xml:space="preserve">Quindaro Elem                                               </t>
  </si>
  <si>
    <t xml:space="preserve">Frank Rushton Elem                                          </t>
  </si>
  <si>
    <t xml:space="preserve">New Stanley Elem                                            </t>
  </si>
  <si>
    <t xml:space="preserve">Central Middle                                              </t>
  </si>
  <si>
    <t xml:space="preserve">Argentine Middle                                            </t>
  </si>
  <si>
    <t xml:space="preserve">Rosedale Middle                                             </t>
  </si>
  <si>
    <t xml:space="preserve">Sumner Academy of Arts &amp; Science                            </t>
  </si>
  <si>
    <t xml:space="preserve">Wyandotte High                                              </t>
  </si>
  <si>
    <t xml:space="preserve">Arrowhead Middle                                            </t>
  </si>
  <si>
    <t xml:space="preserve">J C Harmon High                                             </t>
  </si>
  <si>
    <t xml:space="preserve">F L Schlagle High                                           </t>
  </si>
  <si>
    <t xml:space="preserve">Claude A Huyck Elem                                         </t>
  </si>
  <si>
    <t xml:space="preserve">D D Eisenhower Middle                                       </t>
  </si>
  <si>
    <t xml:space="preserve">Hazel Grove Elem                                            </t>
  </si>
  <si>
    <t xml:space="preserve">John F Kennedy Elem                                         </t>
  </si>
  <si>
    <t xml:space="preserve">Lindbergh Elem                                              </t>
  </si>
  <si>
    <t xml:space="preserve">Stony Point South                                           </t>
  </si>
  <si>
    <t xml:space="preserve">Stony Point North                                           </t>
  </si>
  <si>
    <t xml:space="preserve">Washington High                                             </t>
  </si>
  <si>
    <t xml:space="preserve">Welborn Elem                                                </t>
  </si>
  <si>
    <t xml:space="preserve">M E Pearson Elem                                            </t>
  </si>
  <si>
    <t xml:space="preserve">Chase Middle School                                         </t>
  </si>
  <si>
    <t xml:space="preserve">Highland Park Central                                       </t>
  </si>
  <si>
    <t xml:space="preserve">Ross Elementary                                             </t>
  </si>
  <si>
    <t xml:space="preserve">Hope Street Charter Academy                                 </t>
  </si>
  <si>
    <t xml:space="preserve">Lowman Hill Elem                                            </t>
  </si>
  <si>
    <t xml:space="preserve">McCarter Elem                                               </t>
  </si>
  <si>
    <t xml:space="preserve">McClure Elem                                                </t>
  </si>
  <si>
    <t xml:space="preserve">McEachron Elem                                              </t>
  </si>
  <si>
    <t xml:space="preserve">Meadows Elementary                                          </t>
  </si>
  <si>
    <t xml:space="preserve">Quincy Elem                                                 </t>
  </si>
  <si>
    <t xml:space="preserve">Randolph Elem                                               </t>
  </si>
  <si>
    <t xml:space="preserve">Scott Dual Language Magnet                                  </t>
  </si>
  <si>
    <t xml:space="preserve">State Street Elem                                           </t>
  </si>
  <si>
    <t xml:space="preserve">Stout Elem                                                  </t>
  </si>
  <si>
    <t xml:space="preserve">Whitson Elem                                                </t>
  </si>
  <si>
    <t xml:space="preserve">Jardine Middle School                                       </t>
  </si>
  <si>
    <t xml:space="preserve">Landon Middle School                                        </t>
  </si>
  <si>
    <t xml:space="preserve">Marjorie French Middle School                               </t>
  </si>
  <si>
    <t xml:space="preserve">Highland Park High                                          </t>
  </si>
  <si>
    <t xml:space="preserve">Topeka High                                                 </t>
  </si>
  <si>
    <t xml:space="preserve">Topeka West High                                            </t>
  </si>
  <si>
    <t xml:space="preserve">Capital City                                                </t>
  </si>
  <si>
    <t xml:space="preserve">Lewis Elem                                                  </t>
  </si>
  <si>
    <t xml:space="preserve">Parsons Middle School                                       </t>
  </si>
  <si>
    <t xml:space="preserve">Parsons Sr High                                             </t>
  </si>
  <si>
    <t xml:space="preserve">Garfield School                                             </t>
  </si>
  <si>
    <t xml:space="preserve">Guthridge School                                            </t>
  </si>
  <si>
    <t xml:space="preserve">Lincoln School                                              </t>
  </si>
  <si>
    <t xml:space="preserve">Oswego Neosho Hgts Elem                                     </t>
  </si>
  <si>
    <t xml:space="preserve">Service Valley Charter Academy                              </t>
  </si>
  <si>
    <t xml:space="preserve">Oswego Junior-Senior High School                            </t>
  </si>
  <si>
    <t xml:space="preserve">St. Paul Elementary School                                  </t>
  </si>
  <si>
    <t xml:space="preserve">St. Paul High School                                        </t>
  </si>
  <si>
    <t xml:space="preserve">St. Paul Middle School                                      </t>
  </si>
  <si>
    <t xml:space="preserve">Chetopa Elem                                                </t>
  </si>
  <si>
    <t xml:space="preserve">Chetopa High                                                </t>
  </si>
  <si>
    <t xml:space="preserve">Altamont Elem                                               </t>
  </si>
  <si>
    <t xml:space="preserve">Labette County High School                                  </t>
  </si>
  <si>
    <t xml:space="preserve">Bartlett Elem                                               </t>
  </si>
  <si>
    <t xml:space="preserve">Edna Elem                                                   </t>
  </si>
  <si>
    <t xml:space="preserve">Meadowview Elem                                             </t>
  </si>
  <si>
    <t xml:space="preserve">Mound Valley Elem                                           </t>
  </si>
  <si>
    <t xml:space="preserve">Satanta Elem                                                </t>
  </si>
  <si>
    <t xml:space="preserve">Satanta Jr-Sr High                                          </t>
  </si>
  <si>
    <t xml:space="preserve">Baxter Springs High                                         </t>
  </si>
  <si>
    <t xml:space="preserve">South Haven Elem                                            </t>
  </si>
  <si>
    <t xml:space="preserve">South Haven High                                            </t>
  </si>
  <si>
    <t xml:space="preserve">Puls Elem                                                   </t>
  </si>
  <si>
    <t xml:space="preserve">Attica High                                                 </t>
  </si>
  <si>
    <t xml:space="preserve">East Antioch Elem                                           </t>
  </si>
  <si>
    <t xml:space="preserve">Apache Elem                                                 </t>
  </si>
  <si>
    <t xml:space="preserve">Belinder Elem                                               </t>
  </si>
  <si>
    <t xml:space="preserve">Bluejacket-Flint                                            </t>
  </si>
  <si>
    <t xml:space="preserve">Brookridge Elem                                             </t>
  </si>
  <si>
    <t xml:space="preserve">Brookwood Elem                                              </t>
  </si>
  <si>
    <t xml:space="preserve">Christa McAuliffe Elem                                      </t>
  </si>
  <si>
    <t xml:space="preserve">Comanche Elem                                               </t>
  </si>
  <si>
    <t xml:space="preserve">Corinth Elem                                                </t>
  </si>
  <si>
    <t xml:space="preserve">Crestview Elem                                              </t>
  </si>
  <si>
    <t xml:space="preserve">Highlands Elem                                              </t>
  </si>
  <si>
    <t xml:space="preserve">John Diemer Elem                                            </t>
  </si>
  <si>
    <t xml:space="preserve">Shawanoe Elem                                               </t>
  </si>
  <si>
    <t xml:space="preserve">Merriam Park Elementary                                     </t>
  </si>
  <si>
    <t xml:space="preserve">Ray Marsh Elem                                              </t>
  </si>
  <si>
    <t xml:space="preserve">Mill Creek Elem                                             </t>
  </si>
  <si>
    <t xml:space="preserve">Nieman Elem                                                 </t>
  </si>
  <si>
    <t xml:space="preserve">Oak Park-Carpenter Elementary                               </t>
  </si>
  <si>
    <t xml:space="preserve">Overland Park Elem                                          </t>
  </si>
  <si>
    <t xml:space="preserve">Pawnee Elem                                                 </t>
  </si>
  <si>
    <t xml:space="preserve">Prairie Elem                                                </t>
  </si>
  <si>
    <t xml:space="preserve">Rhein Benninghoven Elem                                     </t>
  </si>
  <si>
    <t xml:space="preserve">Rising Star Elem                                            </t>
  </si>
  <si>
    <t xml:space="preserve">Roesland Elem                                               </t>
  </si>
  <si>
    <t xml:space="preserve">Rosehill Elem                                               </t>
  </si>
  <si>
    <t xml:space="preserve">Rushton Elem                                                </t>
  </si>
  <si>
    <t xml:space="preserve">Santa Fe Trail Elem                                         </t>
  </si>
  <si>
    <t xml:space="preserve">Trailwood Elem                                              </t>
  </si>
  <si>
    <t xml:space="preserve">Westwood View Elem                                          </t>
  </si>
  <si>
    <t xml:space="preserve">Westridge Middle                                            </t>
  </si>
  <si>
    <t xml:space="preserve">Hocker Grove Middle                                         </t>
  </si>
  <si>
    <t xml:space="preserve">Indian Hills Middle                                         </t>
  </si>
  <si>
    <t xml:space="preserve">Indian Woods Middle                                         </t>
  </si>
  <si>
    <t xml:space="preserve">Trailridge Middle                                           </t>
  </si>
  <si>
    <t xml:space="preserve">Shawnee Mission East High                                   </t>
  </si>
  <si>
    <t xml:space="preserve">Shawnee Mission North High                                  </t>
  </si>
  <si>
    <t xml:space="preserve">Shawnee Mission Northwest High                              </t>
  </si>
  <si>
    <t xml:space="preserve">Shawnee Mission South High                                  </t>
  </si>
  <si>
    <t xml:space="preserve">Shawnee Mission West High                                   </t>
  </si>
  <si>
    <t>Career and Postsecondary Education</t>
  </si>
  <si>
    <t>Calculation of the Cost of Living amount</t>
  </si>
  <si>
    <t>A.  Cost of Living Percent Authorized</t>
  </si>
  <si>
    <t>B.  Cost of Living Percent Utilized</t>
  </si>
  <si>
    <t>C.  Est. General Fund (exclude Cost of Living)</t>
  </si>
  <si>
    <t>D.  Amount District will use (B x C)</t>
  </si>
  <si>
    <t>E.  Amount district said they would use on the Form 150</t>
  </si>
  <si>
    <t>Not used</t>
  </si>
  <si>
    <t>Will the Board levy a tax for Cost of Living weighting?</t>
  </si>
  <si>
    <t>F150 Transportation Factors - needed for BDGT2018 again</t>
  </si>
  <si>
    <t>1.  Did the district receive Federal Impact Aid?</t>
  </si>
  <si>
    <t>Qualifying for Military Provision for 2/20 weightings</t>
  </si>
  <si>
    <t>(line 10)</t>
  </si>
  <si>
    <t>11.  3 YR AVG FTE*: (</t>
  </si>
  <si>
    <t>USD  113</t>
  </si>
  <si>
    <t xml:space="preserve">      safety pupils completing program)</t>
  </si>
  <si>
    <t xml:space="preserve">      pupils completing program)</t>
  </si>
  <si>
    <t>(goes to line 11)</t>
  </si>
  <si>
    <t>Amount in budget per Form 150-Est. Legal Maximum General Fund Budget</t>
  </si>
  <si>
    <t>4.  Max LOB percent authority (Max of Lines 1, 2 or 3) (Max 33%)</t>
  </si>
  <si>
    <t>Administrators (Cert./Non-Cert.)</t>
  </si>
  <si>
    <t>Other Certified (Lic.) Personnel</t>
  </si>
  <si>
    <t>other</t>
  </si>
  <si>
    <t>n/a on bdgt2018</t>
  </si>
  <si>
    <t>After 6/1/2016 bonds-district have different % on form-not prorated afterall</t>
  </si>
  <si>
    <t xml:space="preserve">  1975 Revenue From Career and Postsecondary Ed.</t>
  </si>
  <si>
    <t>USD 113 (488 bonds pd off by Bdgt2020)</t>
  </si>
  <si>
    <t>USD  113 (441 bonds pd off by Bdgt2029)</t>
  </si>
  <si>
    <t>Cell below is used when linking to Budget at a Glance.doc</t>
  </si>
  <si>
    <t>Not used (may need to do lookup)</t>
  </si>
  <si>
    <t>Bdgt2019</t>
  </si>
  <si>
    <t>3.  As authorized by KSA 72-5143, the Board adopted a resolution with no protest to increase LOB authority. (Max 33%)</t>
  </si>
  <si>
    <t>(Bond Elections After July 1, 2017)</t>
  </si>
  <si>
    <t>%  =</t>
  </si>
  <si>
    <t>ProRation</t>
  </si>
  <si>
    <t>74-32,259</t>
  </si>
  <si>
    <t>74-32,261</t>
  </si>
  <si>
    <t>72-3613</t>
  </si>
  <si>
    <t>72-5163</t>
  </si>
  <si>
    <t>72-3239</t>
  </si>
  <si>
    <t>72-5164</t>
  </si>
  <si>
    <t>72-2552</t>
  </si>
  <si>
    <t>72-4165</t>
  </si>
  <si>
    <t>72-3238</t>
  </si>
  <si>
    <t>72-3422</t>
  </si>
  <si>
    <t>72-5162</t>
  </si>
  <si>
    <t>72-1179</t>
  </si>
  <si>
    <t>72-2661</t>
  </si>
  <si>
    <t>72-5158</t>
  </si>
  <si>
    <t>72-1180</t>
  </si>
  <si>
    <t>72-1142</t>
  </si>
  <si>
    <t>72-5165</t>
  </si>
  <si>
    <t>72-3355</t>
  </si>
  <si>
    <t>72-5154</t>
  </si>
  <si>
    <t>72-5153</t>
  </si>
  <si>
    <t>72-5159</t>
  </si>
  <si>
    <t>72-1178</t>
  </si>
  <si>
    <t>72-5457</t>
  </si>
  <si>
    <t>72-3412</t>
  </si>
  <si>
    <t>72-1420</t>
  </si>
  <si>
    <t>13.  Estimated FHSU Math &amp; Science Academy FTE enrollment</t>
  </si>
  <si>
    <t xml:space="preserve">(c)  FTE is computed by taking the total clock hours of career and technical education students who are enrolled and attending </t>
  </si>
  <si>
    <t>(d)  In order to access new facilities weighting, a USD must have adopted at least a 25% LOB.  Only eligible to schools that passed a bond election</t>
  </si>
  <si>
    <t xml:space="preserve">      on a military reservation located on USD 207 and USD 475.</t>
  </si>
  <si>
    <t>(f)   Comes from form 118 (line 20).</t>
  </si>
  <si>
    <t>Populated values to the left in case they are accidentally deleted</t>
  </si>
  <si>
    <t xml:space="preserve"> 3217 State Aid (after 7/1/15 and prior 6/30/17)</t>
  </si>
  <si>
    <t xml:space="preserve"> 3217 State Aid (after July 1, 2017)</t>
  </si>
  <si>
    <t xml:space="preserve">  3217 State Aid (after 7/1/15 and prior 6/30/17)</t>
  </si>
  <si>
    <t xml:space="preserve">  3217 State Aid (after July 1, 2017)</t>
  </si>
  <si>
    <t>4700 Building Improvements</t>
  </si>
  <si>
    <t xml:space="preserve">      120 NonCertified</t>
  </si>
  <si>
    <t xml:space="preserve">      210 Insurance                  </t>
  </si>
  <si>
    <t xml:space="preserve">      220 Social Security </t>
  </si>
  <si>
    <t xml:space="preserve">      290 Other</t>
  </si>
  <si>
    <t>4900 Other</t>
  </si>
  <si>
    <t xml:space="preserve">0111                </t>
  </si>
  <si>
    <t xml:space="preserve">0112                </t>
  </si>
  <si>
    <t xml:space="preserve">0113                </t>
  </si>
  <si>
    <t xml:space="preserve">0124                </t>
  </si>
  <si>
    <t xml:space="preserve">0125                </t>
  </si>
  <si>
    <t xml:space="preserve">2780                </t>
  </si>
  <si>
    <t xml:space="preserve">3374                </t>
  </si>
  <si>
    <t xml:space="preserve">3348                </t>
  </si>
  <si>
    <t xml:space="preserve">3350                </t>
  </si>
  <si>
    <t xml:space="preserve">2926                </t>
  </si>
  <si>
    <t xml:space="preserve">2928                </t>
  </si>
  <si>
    <t xml:space="preserve">2966                </t>
  </si>
  <si>
    <t xml:space="preserve">2976                </t>
  </si>
  <si>
    <t xml:space="preserve">2977                </t>
  </si>
  <si>
    <t xml:space="preserve">2981                </t>
  </si>
  <si>
    <t xml:space="preserve">2983                </t>
  </si>
  <si>
    <t xml:space="preserve">2972                </t>
  </si>
  <si>
    <t xml:space="preserve">3070                </t>
  </si>
  <si>
    <t xml:space="preserve">0192                </t>
  </si>
  <si>
    <t xml:space="preserve">0193                </t>
  </si>
  <si>
    <t xml:space="preserve">0194                </t>
  </si>
  <si>
    <t xml:space="preserve">0200                </t>
  </si>
  <si>
    <t xml:space="preserve">0201                </t>
  </si>
  <si>
    <t xml:space="preserve">0393                </t>
  </si>
  <si>
    <t xml:space="preserve">0415                </t>
  </si>
  <si>
    <t xml:space="preserve">0416                </t>
  </si>
  <si>
    <t xml:space="preserve">0417                </t>
  </si>
  <si>
    <t xml:space="preserve">0399                </t>
  </si>
  <si>
    <t xml:space="preserve">0409                </t>
  </si>
  <si>
    <t xml:space="preserve">0410                </t>
  </si>
  <si>
    <t xml:space="preserve">0411                </t>
  </si>
  <si>
    <t xml:space="preserve">0413                </t>
  </si>
  <si>
    <t xml:space="preserve">0414                </t>
  </si>
  <si>
    <t xml:space="preserve">0462                </t>
  </si>
  <si>
    <t xml:space="preserve">0433                </t>
  </si>
  <si>
    <t xml:space="preserve">0434                </t>
  </si>
  <si>
    <t xml:space="preserve">0435                </t>
  </si>
  <si>
    <t xml:space="preserve">0436                </t>
  </si>
  <si>
    <t xml:space="preserve">0437                </t>
  </si>
  <si>
    <t xml:space="preserve">0280                </t>
  </si>
  <si>
    <t xml:space="preserve">0281                </t>
  </si>
  <si>
    <t xml:space="preserve">0132                </t>
  </si>
  <si>
    <t xml:space="preserve">0134                </t>
  </si>
  <si>
    <t xml:space="preserve">0154                </t>
  </si>
  <si>
    <t xml:space="preserve">0155                </t>
  </si>
  <si>
    <t xml:space="preserve">0157                </t>
  </si>
  <si>
    <t xml:space="preserve">0160                </t>
  </si>
  <si>
    <t xml:space="preserve">0164                </t>
  </si>
  <si>
    <t xml:space="preserve">0167                </t>
  </si>
  <si>
    <t xml:space="preserve">0168                </t>
  </si>
  <si>
    <t xml:space="preserve">0181                </t>
  </si>
  <si>
    <t xml:space="preserve">0187                </t>
  </si>
  <si>
    <t xml:space="preserve">0189                </t>
  </si>
  <si>
    <t xml:space="preserve">0190                </t>
  </si>
  <si>
    <t xml:space="preserve">0210                </t>
  </si>
  <si>
    <t xml:space="preserve">0214                </t>
  </si>
  <si>
    <t xml:space="preserve">0216                </t>
  </si>
  <si>
    <t xml:space="preserve">0221                </t>
  </si>
  <si>
    <t xml:space="preserve">0228                </t>
  </si>
  <si>
    <t xml:space="preserve">0238                </t>
  </si>
  <si>
    <t xml:space="preserve">0240                </t>
  </si>
  <si>
    <t xml:space="preserve">0260                </t>
  </si>
  <si>
    <t xml:space="preserve">0272                </t>
  </si>
  <si>
    <t xml:space="preserve">0274                </t>
  </si>
  <si>
    <t xml:space="preserve">0286                </t>
  </si>
  <si>
    <t xml:space="preserve">0288                </t>
  </si>
  <si>
    <t xml:space="preserve">0290                </t>
  </si>
  <si>
    <t xml:space="preserve">0294                </t>
  </si>
  <si>
    <t xml:space="preserve">0306                </t>
  </si>
  <si>
    <t xml:space="preserve">0308                </t>
  </si>
  <si>
    <t xml:space="preserve">0342                </t>
  </si>
  <si>
    <t xml:space="preserve">0344                </t>
  </si>
  <si>
    <t xml:space="preserve">0356                </t>
  </si>
  <si>
    <t xml:space="preserve">0357                </t>
  </si>
  <si>
    <t xml:space="preserve">0358                </t>
  </si>
  <si>
    <t xml:space="preserve">0367                </t>
  </si>
  <si>
    <t xml:space="preserve">0374                </t>
  </si>
  <si>
    <t xml:space="preserve">0378                </t>
  </si>
  <si>
    <t xml:space="preserve">0380                </t>
  </si>
  <si>
    <t xml:space="preserve">0404                </t>
  </si>
  <si>
    <t xml:space="preserve">0406                </t>
  </si>
  <si>
    <t xml:space="preserve">0408                </t>
  </si>
  <si>
    <t xml:space="preserve">0443                </t>
  </si>
  <si>
    <t xml:space="preserve">0444                </t>
  </si>
  <si>
    <t xml:space="preserve">0446                </t>
  </si>
  <si>
    <t xml:space="preserve">0450                </t>
  </si>
  <si>
    <t xml:space="preserve">0466                </t>
  </si>
  <si>
    <t xml:space="preserve">0467                </t>
  </si>
  <si>
    <t xml:space="preserve">0468                </t>
  </si>
  <si>
    <t xml:space="preserve">0482                </t>
  </si>
  <si>
    <t xml:space="preserve">0483                </t>
  </si>
  <si>
    <t xml:space="preserve">0484                </t>
  </si>
  <si>
    <t xml:space="preserve">0496                </t>
  </si>
  <si>
    <t xml:space="preserve">0498                </t>
  </si>
  <si>
    <t xml:space="preserve">0514                </t>
  </si>
  <si>
    <t xml:space="preserve">0516                </t>
  </si>
  <si>
    <t xml:space="preserve">0520                </t>
  </si>
  <si>
    <t xml:space="preserve">0523                </t>
  </si>
  <si>
    <t xml:space="preserve">0525                </t>
  </si>
  <si>
    <t xml:space="preserve">0536                </t>
  </si>
  <si>
    <t xml:space="preserve">0538                </t>
  </si>
  <si>
    <t xml:space="preserve">0552                </t>
  </si>
  <si>
    <t xml:space="preserve">0553                </t>
  </si>
  <si>
    <t xml:space="preserve">0554                </t>
  </si>
  <si>
    <t xml:space="preserve">0620                </t>
  </si>
  <si>
    <t xml:space="preserve">0622                </t>
  </si>
  <si>
    <t xml:space="preserve">0628                </t>
  </si>
  <si>
    <t xml:space="preserve">0630                </t>
  </si>
  <si>
    <t xml:space="preserve">0658                </t>
  </si>
  <si>
    <t xml:space="preserve">0660                </t>
  </si>
  <si>
    <t xml:space="preserve">0668                </t>
  </si>
  <si>
    <t xml:space="preserve">0684                </t>
  </si>
  <si>
    <t xml:space="preserve">0686                </t>
  </si>
  <si>
    <t xml:space="preserve">0700                </t>
  </si>
  <si>
    <t xml:space="preserve">0702                </t>
  </si>
  <si>
    <t xml:space="preserve">0722                </t>
  </si>
  <si>
    <t xml:space="preserve">0724                </t>
  </si>
  <si>
    <t xml:space="preserve">0756                </t>
  </si>
  <si>
    <t xml:space="preserve">0757                </t>
  </si>
  <si>
    <t xml:space="preserve">0758                </t>
  </si>
  <si>
    <t xml:space="preserve">0759                </t>
  </si>
  <si>
    <t xml:space="preserve">0765                </t>
  </si>
  <si>
    <t xml:space="preserve">0767                </t>
  </si>
  <si>
    <t xml:space="preserve">0768                </t>
  </si>
  <si>
    <t xml:space="preserve">0769                </t>
  </si>
  <si>
    <t xml:space="preserve">0770                </t>
  </si>
  <si>
    <t xml:space="preserve">0771                </t>
  </si>
  <si>
    <t xml:space="preserve">0772                </t>
  </si>
  <si>
    <t xml:space="preserve">0773                </t>
  </si>
  <si>
    <t xml:space="preserve">0774                </t>
  </si>
  <si>
    <t xml:space="preserve">0776                </t>
  </si>
  <si>
    <t xml:space="preserve">0777                </t>
  </si>
  <si>
    <t xml:space="preserve">0778                </t>
  </si>
  <si>
    <t xml:space="preserve">0779                </t>
  </si>
  <si>
    <t xml:space="preserve">0780                </t>
  </si>
  <si>
    <t xml:space="preserve">0781                </t>
  </si>
  <si>
    <t xml:space="preserve">0782                </t>
  </si>
  <si>
    <t xml:space="preserve">0783                </t>
  </si>
  <si>
    <t xml:space="preserve">0784                </t>
  </si>
  <si>
    <t xml:space="preserve">0785                </t>
  </si>
  <si>
    <t xml:space="preserve">0820                </t>
  </si>
  <si>
    <t xml:space="preserve">0823                </t>
  </si>
  <si>
    <t xml:space="preserve">0937                </t>
  </si>
  <si>
    <t xml:space="preserve">Wolf Springs Elementary School                              </t>
  </si>
  <si>
    <t xml:space="preserve">7773                </t>
  </si>
  <si>
    <t xml:space="preserve">7774                </t>
  </si>
  <si>
    <t xml:space="preserve">7775                </t>
  </si>
  <si>
    <t xml:space="preserve">7776                </t>
  </si>
  <si>
    <t xml:space="preserve">7777                </t>
  </si>
  <si>
    <t xml:space="preserve">7786                </t>
  </si>
  <si>
    <t xml:space="preserve">7787                </t>
  </si>
  <si>
    <t xml:space="preserve">7788                </t>
  </si>
  <si>
    <t xml:space="preserve">7790                </t>
  </si>
  <si>
    <t xml:space="preserve">0787                </t>
  </si>
  <si>
    <t xml:space="preserve">0790                </t>
  </si>
  <si>
    <t xml:space="preserve">0792                </t>
  </si>
  <si>
    <t xml:space="preserve">0793                </t>
  </si>
  <si>
    <t xml:space="preserve">0794                </t>
  </si>
  <si>
    <t xml:space="preserve">0929                </t>
  </si>
  <si>
    <t xml:space="preserve">0931                </t>
  </si>
  <si>
    <t xml:space="preserve">0804                </t>
  </si>
  <si>
    <t xml:space="preserve">0808                </t>
  </si>
  <si>
    <t xml:space="preserve">0812                </t>
  </si>
  <si>
    <t xml:space="preserve">0814                </t>
  </si>
  <si>
    <t xml:space="preserve">0815                </t>
  </si>
  <si>
    <t xml:space="preserve">0816                </t>
  </si>
  <si>
    <t xml:space="preserve">0817                </t>
  </si>
  <si>
    <t xml:space="preserve">0818                </t>
  </si>
  <si>
    <t xml:space="preserve">0819                </t>
  </si>
  <si>
    <t xml:space="preserve">0927                </t>
  </si>
  <si>
    <t xml:space="preserve">0936                </t>
  </si>
  <si>
    <t xml:space="preserve">0825                </t>
  </si>
  <si>
    <t xml:space="preserve">0829                </t>
  </si>
  <si>
    <t xml:space="preserve">0832                </t>
  </si>
  <si>
    <t xml:space="preserve">0833                </t>
  </si>
  <si>
    <t xml:space="preserve">0835                </t>
  </si>
  <si>
    <t xml:space="preserve">0836                </t>
  </si>
  <si>
    <t xml:space="preserve">0837                </t>
  </si>
  <si>
    <t xml:space="preserve">0841                </t>
  </si>
  <si>
    <t xml:space="preserve">0842                </t>
  </si>
  <si>
    <t xml:space="preserve">0843                </t>
  </si>
  <si>
    <t xml:space="preserve">0844                </t>
  </si>
  <si>
    <t xml:space="preserve">0912                </t>
  </si>
  <si>
    <t xml:space="preserve">0845                </t>
  </si>
  <si>
    <t xml:space="preserve">0846                </t>
  </si>
  <si>
    <t xml:space="preserve">0847                </t>
  </si>
  <si>
    <t xml:space="preserve">0849                </t>
  </si>
  <si>
    <t xml:space="preserve">0850                </t>
  </si>
  <si>
    <t xml:space="preserve">0851                </t>
  </si>
  <si>
    <t xml:space="preserve">0852                </t>
  </si>
  <si>
    <t xml:space="preserve">0853                </t>
  </si>
  <si>
    <t xml:space="preserve">0854                </t>
  </si>
  <si>
    <t xml:space="preserve">0855                </t>
  </si>
  <si>
    <t xml:space="preserve">0856                </t>
  </si>
  <si>
    <t xml:space="preserve">0857                </t>
  </si>
  <si>
    <t xml:space="preserve">0858                </t>
  </si>
  <si>
    <t xml:space="preserve">0859                </t>
  </si>
  <si>
    <t xml:space="preserve">0860                </t>
  </si>
  <si>
    <t xml:space="preserve">0861                </t>
  </si>
  <si>
    <t xml:space="preserve">0862                </t>
  </si>
  <si>
    <t xml:space="preserve">0863                </t>
  </si>
  <si>
    <t xml:space="preserve">0864                </t>
  </si>
  <si>
    <t xml:space="preserve">0865                </t>
  </si>
  <si>
    <t xml:space="preserve">0868                </t>
  </si>
  <si>
    <t xml:space="preserve">0870                </t>
  </si>
  <si>
    <t xml:space="preserve">0871                </t>
  </si>
  <si>
    <t xml:space="preserve">0872                </t>
  </si>
  <si>
    <t xml:space="preserve">0874                </t>
  </si>
  <si>
    <t xml:space="preserve">0875                </t>
  </si>
  <si>
    <t xml:space="preserve">0876                </t>
  </si>
  <si>
    <t xml:space="preserve">0877                </t>
  </si>
  <si>
    <t xml:space="preserve">0885                </t>
  </si>
  <si>
    <t xml:space="preserve">0913                </t>
  </si>
  <si>
    <t xml:space="preserve">0934                </t>
  </si>
  <si>
    <t xml:space="preserve">0939                </t>
  </si>
  <si>
    <t xml:space="preserve">Olathe West High School                                     </t>
  </si>
  <si>
    <t xml:space="preserve">2781                </t>
  </si>
  <si>
    <t xml:space="preserve">2782                </t>
  </si>
  <si>
    <t xml:space="preserve">2783                </t>
  </si>
  <si>
    <t xml:space="preserve">2784                </t>
  </si>
  <si>
    <t xml:space="preserve">2785                </t>
  </si>
  <si>
    <t xml:space="preserve">2786                </t>
  </si>
  <si>
    <t xml:space="preserve">2787                </t>
  </si>
  <si>
    <t xml:space="preserve">2789                </t>
  </si>
  <si>
    <t xml:space="preserve">2790                </t>
  </si>
  <si>
    <t xml:space="preserve">9300                </t>
  </si>
  <si>
    <t xml:space="preserve">9301                </t>
  </si>
  <si>
    <t xml:space="preserve">9302                </t>
  </si>
  <si>
    <t xml:space="preserve">9304                </t>
  </si>
  <si>
    <t xml:space="preserve">9305                </t>
  </si>
  <si>
    <t xml:space="preserve">9306                </t>
  </si>
  <si>
    <t xml:space="preserve">9307                </t>
  </si>
  <si>
    <t xml:space="preserve">9311                </t>
  </si>
  <si>
    <t xml:space="preserve">0898                </t>
  </si>
  <si>
    <t xml:space="preserve">0900                </t>
  </si>
  <si>
    <t xml:space="preserve">0902                </t>
  </si>
  <si>
    <t xml:space="preserve">0904                </t>
  </si>
  <si>
    <t xml:space="preserve">0964                </t>
  </si>
  <si>
    <t xml:space="preserve">0966                </t>
  </si>
  <si>
    <t xml:space="preserve">1010                </t>
  </si>
  <si>
    <t xml:space="preserve">1012                </t>
  </si>
  <si>
    <t xml:space="preserve">1060                </t>
  </si>
  <si>
    <t xml:space="preserve">1064                </t>
  </si>
  <si>
    <t xml:space="preserve">1078                </t>
  </si>
  <si>
    <t xml:space="preserve">1080                </t>
  </si>
  <si>
    <t xml:space="preserve">1088                </t>
  </si>
  <si>
    <t xml:space="preserve">1090                </t>
  </si>
  <si>
    <t xml:space="preserve">1104                </t>
  </si>
  <si>
    <t xml:space="preserve">1106                </t>
  </si>
  <si>
    <t xml:space="preserve">1120                </t>
  </si>
  <si>
    <t xml:space="preserve">1122                </t>
  </si>
  <si>
    <t xml:space="preserve">1134                </t>
  </si>
  <si>
    <t xml:space="preserve">1136                </t>
  </si>
  <si>
    <t xml:space="preserve">1138                </t>
  </si>
  <si>
    <t xml:space="preserve">1140                </t>
  </si>
  <si>
    <t xml:space="preserve">1154                </t>
  </si>
  <si>
    <t xml:space="preserve">1163                </t>
  </si>
  <si>
    <t xml:space="preserve">1165                </t>
  </si>
  <si>
    <t xml:space="preserve">1176                </t>
  </si>
  <si>
    <t xml:space="preserve">1178                </t>
  </si>
  <si>
    <t xml:space="preserve">1182                </t>
  </si>
  <si>
    <t xml:space="preserve">1194                </t>
  </si>
  <si>
    <t xml:space="preserve">1198                </t>
  </si>
  <si>
    <t xml:space="preserve">1220                </t>
  </si>
  <si>
    <t xml:space="preserve">1230                </t>
  </si>
  <si>
    <t xml:space="preserve">1232                </t>
  </si>
  <si>
    <t xml:space="preserve">1258                </t>
  </si>
  <si>
    <t xml:space="preserve">1260                </t>
  </si>
  <si>
    <t xml:space="preserve">1262                </t>
  </si>
  <si>
    <t xml:space="preserve">1287                </t>
  </si>
  <si>
    <t xml:space="preserve">1291                </t>
  </si>
  <si>
    <t xml:space="preserve">1293                </t>
  </si>
  <si>
    <t xml:space="preserve">1302                </t>
  </si>
  <si>
    <t xml:space="preserve">1304                </t>
  </si>
  <si>
    <t xml:space="preserve">1307                </t>
  </si>
  <si>
    <t xml:space="preserve">1310                </t>
  </si>
  <si>
    <t xml:space="preserve">1314                </t>
  </si>
  <si>
    <t xml:space="preserve">1316                </t>
  </si>
  <si>
    <t xml:space="preserve">1350                </t>
  </si>
  <si>
    <t xml:space="preserve">1358                </t>
  </si>
  <si>
    <t xml:space="preserve">1382                </t>
  </si>
  <si>
    <t xml:space="preserve">1388                </t>
  </si>
  <si>
    <t xml:space="preserve">1392                </t>
  </si>
  <si>
    <t xml:space="preserve">1394                </t>
  </si>
  <si>
    <t xml:space="preserve">1414                </t>
  </si>
  <si>
    <t xml:space="preserve">1416                </t>
  </si>
  <si>
    <t xml:space="preserve">1418                </t>
  </si>
  <si>
    <t xml:space="preserve">1422                </t>
  </si>
  <si>
    <t xml:space="preserve">1424                </t>
  </si>
  <si>
    <t xml:space="preserve">1428                </t>
  </si>
  <si>
    <t xml:space="preserve">1429                </t>
  </si>
  <si>
    <t xml:space="preserve">1430                </t>
  </si>
  <si>
    <t xml:space="preserve">1472                </t>
  </si>
  <si>
    <t xml:space="preserve">1475                </t>
  </si>
  <si>
    <t xml:space="preserve">1503                </t>
  </si>
  <si>
    <t xml:space="preserve">1504                </t>
  </si>
  <si>
    <t xml:space="preserve">1536                </t>
  </si>
  <si>
    <t xml:space="preserve">1538                </t>
  </si>
  <si>
    <t xml:space="preserve">1556                </t>
  </si>
  <si>
    <t xml:space="preserve">1558                </t>
  </si>
  <si>
    <t xml:space="preserve">1560                </t>
  </si>
  <si>
    <t xml:space="preserve">1562                </t>
  </si>
  <si>
    <t xml:space="preserve">1564                </t>
  </si>
  <si>
    <t xml:space="preserve">1592                </t>
  </si>
  <si>
    <t xml:space="preserve">1596                </t>
  </si>
  <si>
    <t xml:space="preserve">1600                </t>
  </si>
  <si>
    <t xml:space="preserve">1613                </t>
  </si>
  <si>
    <t xml:space="preserve">1614                </t>
  </si>
  <si>
    <t xml:space="preserve">1617                </t>
  </si>
  <si>
    <t xml:space="preserve">1618                </t>
  </si>
  <si>
    <t xml:space="preserve">1622                </t>
  </si>
  <si>
    <t xml:space="preserve">1623                </t>
  </si>
  <si>
    <t xml:space="preserve">1624                </t>
  </si>
  <si>
    <t xml:space="preserve">1625                </t>
  </si>
  <si>
    <t xml:space="preserve">1627                </t>
  </si>
  <si>
    <t xml:space="preserve">1628                </t>
  </si>
  <si>
    <t xml:space="preserve">1634                </t>
  </si>
  <si>
    <t xml:space="preserve">1636                </t>
  </si>
  <si>
    <t xml:space="preserve">1640                </t>
  </si>
  <si>
    <t xml:space="preserve">1644                </t>
  </si>
  <si>
    <t xml:space="preserve">1646                </t>
  </si>
  <si>
    <t xml:space="preserve">1648                </t>
  </si>
  <si>
    <t xml:space="preserve">1649                </t>
  </si>
  <si>
    <t xml:space="preserve">1650                </t>
  </si>
  <si>
    <t xml:space="preserve">1652                </t>
  </si>
  <si>
    <t xml:space="preserve">1653                </t>
  </si>
  <si>
    <t xml:space="preserve">1658                </t>
  </si>
  <si>
    <t xml:space="preserve">1660                </t>
  </si>
  <si>
    <t xml:space="preserve">1662                </t>
  </si>
  <si>
    <t xml:space="preserve">1663                </t>
  </si>
  <si>
    <t xml:space="preserve">1664                </t>
  </si>
  <si>
    <t xml:space="preserve">1674                </t>
  </si>
  <si>
    <t xml:space="preserve">1677                </t>
  </si>
  <si>
    <t xml:space="preserve">1678                </t>
  </si>
  <si>
    <t xml:space="preserve">1682                </t>
  </si>
  <si>
    <t xml:space="preserve">1684                </t>
  </si>
  <si>
    <t xml:space="preserve">1686                </t>
  </si>
  <si>
    <t xml:space="preserve">1688                </t>
  </si>
  <si>
    <t xml:space="preserve">1690                </t>
  </si>
  <si>
    <t xml:space="preserve">1693                </t>
  </si>
  <si>
    <t xml:space="preserve">1694                </t>
  </si>
  <si>
    <t xml:space="preserve">1695                </t>
  </si>
  <si>
    <t xml:space="preserve">1698                </t>
  </si>
  <si>
    <t xml:space="preserve">1704                </t>
  </si>
  <si>
    <t xml:space="preserve">1706                </t>
  </si>
  <si>
    <t xml:space="preserve">1708                </t>
  </si>
  <si>
    <t xml:space="preserve">1710                </t>
  </si>
  <si>
    <t xml:space="preserve">1712                </t>
  </si>
  <si>
    <t xml:space="preserve">1715                </t>
  </si>
  <si>
    <t xml:space="preserve">1718                </t>
  </si>
  <si>
    <t xml:space="preserve">1724                </t>
  </si>
  <si>
    <t xml:space="preserve">1736                </t>
  </si>
  <si>
    <t xml:space="preserve">1740                </t>
  </si>
  <si>
    <t xml:space="preserve">1744                </t>
  </si>
  <si>
    <t xml:space="preserve">1746                </t>
  </si>
  <si>
    <t xml:space="preserve">1754                </t>
  </si>
  <si>
    <t xml:space="preserve">1756                </t>
  </si>
  <si>
    <t xml:space="preserve">1758                </t>
  </si>
  <si>
    <t xml:space="preserve">1760                </t>
  </si>
  <si>
    <t xml:space="preserve">1766                </t>
  </si>
  <si>
    <t xml:space="preserve">1772                </t>
  </si>
  <si>
    <t xml:space="preserve">1778                </t>
  </si>
  <si>
    <t xml:space="preserve">1780                </t>
  </si>
  <si>
    <t xml:space="preserve">1782                </t>
  </si>
  <si>
    <t xml:space="preserve">1785                </t>
  </si>
  <si>
    <t xml:space="preserve">1790                </t>
  </si>
  <si>
    <t xml:space="preserve">1792                </t>
  </si>
  <si>
    <t xml:space="preserve">1796                </t>
  </si>
  <si>
    <t xml:space="preserve">1798                </t>
  </si>
  <si>
    <t xml:space="preserve">1800                </t>
  </si>
  <si>
    <t xml:space="preserve">1802                </t>
  </si>
  <si>
    <t xml:space="preserve">1804                </t>
  </si>
  <si>
    <t xml:space="preserve">1806                </t>
  </si>
  <si>
    <t xml:space="preserve">1808                </t>
  </si>
  <si>
    <t xml:space="preserve">1810                </t>
  </si>
  <si>
    <t xml:space="preserve">1812                </t>
  </si>
  <si>
    <t xml:space="preserve">1814                </t>
  </si>
  <si>
    <t xml:space="preserve">1817                </t>
  </si>
  <si>
    <t xml:space="preserve">1818                </t>
  </si>
  <si>
    <t xml:space="preserve">1823                </t>
  </si>
  <si>
    <t xml:space="preserve">1824                </t>
  </si>
  <si>
    <t xml:space="preserve">1828                </t>
  </si>
  <si>
    <t xml:space="preserve">1830                </t>
  </si>
  <si>
    <t xml:space="preserve">1833                </t>
  </si>
  <si>
    <t xml:space="preserve">1834                </t>
  </si>
  <si>
    <t xml:space="preserve">1836                </t>
  </si>
  <si>
    <t xml:space="preserve">1837                </t>
  </si>
  <si>
    <t xml:space="preserve">1838                </t>
  </si>
  <si>
    <t xml:space="preserve">1840                </t>
  </si>
  <si>
    <t xml:space="preserve">1842                </t>
  </si>
  <si>
    <t xml:space="preserve">1844                </t>
  </si>
  <si>
    <t xml:space="preserve">1846                </t>
  </si>
  <si>
    <t xml:space="preserve">1847                </t>
  </si>
  <si>
    <t xml:space="preserve">1948                </t>
  </si>
  <si>
    <t xml:space="preserve">1926                </t>
  </si>
  <si>
    <t xml:space="preserve">1927                </t>
  </si>
  <si>
    <t xml:space="preserve">1928                </t>
  </si>
  <si>
    <t xml:space="preserve">1930                </t>
  </si>
  <si>
    <t xml:space="preserve">1934                </t>
  </si>
  <si>
    <t xml:space="preserve">1936                </t>
  </si>
  <si>
    <t xml:space="preserve">1941                </t>
  </si>
  <si>
    <t xml:space="preserve">1942                </t>
  </si>
  <si>
    <t xml:space="preserve">1944                </t>
  </si>
  <si>
    <t xml:space="preserve">1945                </t>
  </si>
  <si>
    <t xml:space="preserve">1976                </t>
  </si>
  <si>
    <t xml:space="preserve">1955                </t>
  </si>
  <si>
    <t xml:space="preserve">1956                </t>
  </si>
  <si>
    <t xml:space="preserve">1958                </t>
  </si>
  <si>
    <t xml:space="preserve">1960                </t>
  </si>
  <si>
    <t xml:space="preserve">1961                </t>
  </si>
  <si>
    <t xml:space="preserve">1964                </t>
  </si>
  <si>
    <t xml:space="preserve">1965                </t>
  </si>
  <si>
    <t xml:space="preserve">1966                </t>
  </si>
  <si>
    <t xml:space="preserve">1968                </t>
  </si>
  <si>
    <t xml:space="preserve">1977                </t>
  </si>
  <si>
    <t xml:space="preserve">1980                </t>
  </si>
  <si>
    <t xml:space="preserve">1981                </t>
  </si>
  <si>
    <t xml:space="preserve">1984                </t>
  </si>
  <si>
    <t xml:space="preserve">1985                </t>
  </si>
  <si>
    <t xml:space="preserve">1986                </t>
  </si>
  <si>
    <t xml:space="preserve">2007                </t>
  </si>
  <si>
    <t xml:space="preserve">1992                </t>
  </si>
  <si>
    <t xml:space="preserve">1996                </t>
  </si>
  <si>
    <t xml:space="preserve">1997                </t>
  </si>
  <si>
    <t xml:space="preserve">1998                </t>
  </si>
  <si>
    <t xml:space="preserve">2011                </t>
  </si>
  <si>
    <t xml:space="preserve">2012                </t>
  </si>
  <si>
    <t xml:space="preserve">2014                </t>
  </si>
  <si>
    <t xml:space="preserve">2025                </t>
  </si>
  <si>
    <t xml:space="preserve">2026                </t>
  </si>
  <si>
    <t xml:space="preserve">2027                </t>
  </si>
  <si>
    <t xml:space="preserve">2028                </t>
  </si>
  <si>
    <t xml:space="preserve">2029                </t>
  </si>
  <si>
    <t xml:space="preserve">2030                </t>
  </si>
  <si>
    <t xml:space="preserve">2033                </t>
  </si>
  <si>
    <t xml:space="preserve">2034                </t>
  </si>
  <si>
    <t xml:space="preserve">2035                </t>
  </si>
  <si>
    <t xml:space="preserve">2069                </t>
  </si>
  <si>
    <t xml:space="preserve">2073                </t>
  </si>
  <si>
    <t xml:space="preserve">2043                </t>
  </si>
  <si>
    <t xml:space="preserve">2044                </t>
  </si>
  <si>
    <t xml:space="preserve">2045                </t>
  </si>
  <si>
    <t xml:space="preserve">2046                </t>
  </si>
  <si>
    <t xml:space="preserve">2047                </t>
  </si>
  <si>
    <t xml:space="preserve">2050                </t>
  </si>
  <si>
    <t xml:space="preserve">2051                </t>
  </si>
  <si>
    <t xml:space="preserve">2052                </t>
  </si>
  <si>
    <t xml:space="preserve">2075                </t>
  </si>
  <si>
    <t xml:space="preserve">2076                </t>
  </si>
  <si>
    <t xml:space="preserve">2062                </t>
  </si>
  <si>
    <t xml:space="preserve">2064                </t>
  </si>
  <si>
    <t xml:space="preserve">2066                </t>
  </si>
  <si>
    <t xml:space="preserve">2068                </t>
  </si>
  <si>
    <t xml:space="preserve">2070                </t>
  </si>
  <si>
    <t xml:space="preserve">2071                </t>
  </si>
  <si>
    <t xml:space="preserve">2090                </t>
  </si>
  <si>
    <t xml:space="preserve">2091                </t>
  </si>
  <si>
    <t xml:space="preserve">2092                </t>
  </si>
  <si>
    <t xml:space="preserve">2110                </t>
  </si>
  <si>
    <t xml:space="preserve">2115                </t>
  </si>
  <si>
    <t xml:space="preserve">2116                </t>
  </si>
  <si>
    <t xml:space="preserve">2136                </t>
  </si>
  <si>
    <t xml:space="preserve">2138                </t>
  </si>
  <si>
    <t xml:space="preserve">2156                </t>
  </si>
  <si>
    <t xml:space="preserve">2158                </t>
  </si>
  <si>
    <t xml:space="preserve">2171                </t>
  </si>
  <si>
    <t xml:space="preserve">2176                </t>
  </si>
  <si>
    <t xml:space="preserve">2179                </t>
  </si>
  <si>
    <t xml:space="preserve">2214                </t>
  </si>
  <si>
    <t xml:space="preserve">2218                </t>
  </si>
  <si>
    <t xml:space="preserve">2262                </t>
  </si>
  <si>
    <t xml:space="preserve">2266                </t>
  </si>
  <si>
    <t xml:space="preserve">2268                </t>
  </si>
  <si>
    <t xml:space="preserve">2286                </t>
  </si>
  <si>
    <t xml:space="preserve">2288                </t>
  </si>
  <si>
    <t xml:space="preserve">2407                </t>
  </si>
  <si>
    <t xml:space="preserve">2412                </t>
  </si>
  <si>
    <t xml:space="preserve">2436                </t>
  </si>
  <si>
    <t xml:space="preserve">2470                </t>
  </si>
  <si>
    <t xml:space="preserve">2472                </t>
  </si>
  <si>
    <t xml:space="preserve">2489                </t>
  </si>
  <si>
    <t xml:space="preserve">2491                </t>
  </si>
  <si>
    <t xml:space="preserve">2518                </t>
  </si>
  <si>
    <t xml:space="preserve">2520                </t>
  </si>
  <si>
    <t xml:space="preserve">2544                </t>
  </si>
  <si>
    <t xml:space="preserve">2546                </t>
  </si>
  <si>
    <t xml:space="preserve">2559                </t>
  </si>
  <si>
    <t xml:space="preserve">2563                </t>
  </si>
  <si>
    <t xml:space="preserve">2564                </t>
  </si>
  <si>
    <t xml:space="preserve">2569                </t>
  </si>
  <si>
    <t xml:space="preserve">2584                </t>
  </si>
  <si>
    <t xml:space="preserve">2585                </t>
  </si>
  <si>
    <t xml:space="preserve">2620                </t>
  </si>
  <si>
    <t xml:space="preserve">2621                </t>
  </si>
  <si>
    <t xml:space="preserve">2622                </t>
  </si>
  <si>
    <t xml:space="preserve">2644                </t>
  </si>
  <si>
    <t xml:space="preserve">2648                </t>
  </si>
  <si>
    <t xml:space="preserve">2650                </t>
  </si>
  <si>
    <t xml:space="preserve">2652                </t>
  </si>
  <si>
    <t xml:space="preserve">2658                </t>
  </si>
  <si>
    <t xml:space="preserve">2666                </t>
  </si>
  <si>
    <t xml:space="preserve">2671                </t>
  </si>
  <si>
    <t xml:space="preserve">2689                </t>
  </si>
  <si>
    <t xml:space="preserve">2691                </t>
  </si>
  <si>
    <t xml:space="preserve">2710                </t>
  </si>
  <si>
    <t xml:space="preserve">2712                </t>
  </si>
  <si>
    <t xml:space="preserve">2738                </t>
  </si>
  <si>
    <t xml:space="preserve">2740                </t>
  </si>
  <si>
    <t xml:space="preserve">2812                </t>
  </si>
  <si>
    <t xml:space="preserve">2816                </t>
  </si>
  <si>
    <t xml:space="preserve">2840                </t>
  </si>
  <si>
    <t xml:space="preserve">2842                </t>
  </si>
  <si>
    <t xml:space="preserve">2860                </t>
  </si>
  <si>
    <t xml:space="preserve">2861                </t>
  </si>
  <si>
    <t xml:space="preserve">2890                </t>
  </si>
  <si>
    <t xml:space="preserve">2892                </t>
  </si>
  <si>
    <t xml:space="preserve">2894                </t>
  </si>
  <si>
    <t xml:space="preserve">2948                </t>
  </si>
  <si>
    <t xml:space="preserve">2952                </t>
  </si>
  <si>
    <t xml:space="preserve">2985                </t>
  </si>
  <si>
    <t xml:space="preserve">2994                </t>
  </si>
  <si>
    <t xml:space="preserve">3000                </t>
  </si>
  <si>
    <t xml:space="preserve">3002                </t>
  </si>
  <si>
    <t xml:space="preserve">3008                </t>
  </si>
  <si>
    <t xml:space="preserve">3014                </t>
  </si>
  <si>
    <t xml:space="preserve">3018                </t>
  </si>
  <si>
    <t xml:space="preserve">3020                </t>
  </si>
  <si>
    <t xml:space="preserve">Cottonwood Elementary School                                </t>
  </si>
  <si>
    <t xml:space="preserve">3022                </t>
  </si>
  <si>
    <t xml:space="preserve">3024                </t>
  </si>
  <si>
    <t xml:space="preserve">3026                </t>
  </si>
  <si>
    <t xml:space="preserve">3027                </t>
  </si>
  <si>
    <t xml:space="preserve">3052                </t>
  </si>
  <si>
    <t xml:space="preserve">3056                </t>
  </si>
  <si>
    <t xml:space="preserve">3080                </t>
  </si>
  <si>
    <t xml:space="preserve">3082                </t>
  </si>
  <si>
    <t xml:space="preserve">3101                </t>
  </si>
  <si>
    <t xml:space="preserve">3106                </t>
  </si>
  <si>
    <t xml:space="preserve">3108                </t>
  </si>
  <si>
    <t xml:space="preserve">3114                </t>
  </si>
  <si>
    <t xml:space="preserve">3116                </t>
  </si>
  <si>
    <t xml:space="preserve">3118                </t>
  </si>
  <si>
    <t xml:space="preserve">3124                </t>
  </si>
  <si>
    <t xml:space="preserve">3130                </t>
  </si>
  <si>
    <t xml:space="preserve">3134                </t>
  </si>
  <si>
    <t xml:space="preserve">3139                </t>
  </si>
  <si>
    <t xml:space="preserve">3164                </t>
  </si>
  <si>
    <t xml:space="preserve">3166                </t>
  </si>
  <si>
    <t xml:space="preserve">3168                </t>
  </si>
  <si>
    <t xml:space="preserve">3170                </t>
  </si>
  <si>
    <t xml:space="preserve">3171                </t>
  </si>
  <si>
    <t xml:space="preserve">Central State Academy                                       </t>
  </si>
  <si>
    <t xml:space="preserve">3191                </t>
  </si>
  <si>
    <t xml:space="preserve">3218                </t>
  </si>
  <si>
    <t xml:space="preserve">3220                </t>
  </si>
  <si>
    <t xml:space="preserve">3222                </t>
  </si>
  <si>
    <t xml:space="preserve">3232                </t>
  </si>
  <si>
    <t xml:space="preserve">3233                </t>
  </si>
  <si>
    <t xml:space="preserve">3234                </t>
  </si>
  <si>
    <t xml:space="preserve">3238                </t>
  </si>
  <si>
    <t xml:space="preserve">3263                </t>
  </si>
  <si>
    <t xml:space="preserve">3252                </t>
  </si>
  <si>
    <t xml:space="preserve">3254                </t>
  </si>
  <si>
    <t xml:space="preserve">3261                </t>
  </si>
  <si>
    <t xml:space="preserve">3262                </t>
  </si>
  <si>
    <t xml:space="preserve">3264                </t>
  </si>
  <si>
    <t xml:space="preserve">3276                </t>
  </si>
  <si>
    <t xml:space="preserve">3278                </t>
  </si>
  <si>
    <t xml:space="preserve">3290                </t>
  </si>
  <si>
    <t xml:space="preserve">3292                </t>
  </si>
  <si>
    <t xml:space="preserve">3294                </t>
  </si>
  <si>
    <t xml:space="preserve">3314                </t>
  </si>
  <si>
    <t xml:space="preserve">3316                </t>
  </si>
  <si>
    <t xml:space="preserve">3318                </t>
  </si>
  <si>
    <t xml:space="preserve">3388                </t>
  </si>
  <si>
    <t xml:space="preserve">3396                </t>
  </si>
  <si>
    <t xml:space="preserve">3398                </t>
  </si>
  <si>
    <t xml:space="preserve">3399                </t>
  </si>
  <si>
    <t xml:space="preserve">3426                </t>
  </si>
  <si>
    <t xml:space="preserve">3428                </t>
  </si>
  <si>
    <t xml:space="preserve">3430                </t>
  </si>
  <si>
    <t xml:space="preserve">3432                </t>
  </si>
  <si>
    <t xml:space="preserve">3456                </t>
  </si>
  <si>
    <t xml:space="preserve">3458                </t>
  </si>
  <si>
    <t xml:space="preserve">3488                </t>
  </si>
  <si>
    <t xml:space="preserve">3492                </t>
  </si>
  <si>
    <t xml:space="preserve">3495                </t>
  </si>
  <si>
    <t xml:space="preserve">3538                </t>
  </si>
  <si>
    <t xml:space="preserve">3540                </t>
  </si>
  <si>
    <t xml:space="preserve">3542                </t>
  </si>
  <si>
    <t xml:space="preserve">3562                </t>
  </si>
  <si>
    <t xml:space="preserve">3564                </t>
  </si>
  <si>
    <t xml:space="preserve">3594                </t>
  </si>
  <si>
    <t xml:space="preserve">3598                </t>
  </si>
  <si>
    <t xml:space="preserve">3600                </t>
  </si>
  <si>
    <t xml:space="preserve">3650                </t>
  </si>
  <si>
    <t xml:space="preserve">3652                </t>
  </si>
  <si>
    <t xml:space="preserve">3664                </t>
  </si>
  <si>
    <t xml:space="preserve">3665                </t>
  </si>
  <si>
    <t xml:space="preserve">3667                </t>
  </si>
  <si>
    <t xml:space="preserve">3686                </t>
  </si>
  <si>
    <t xml:space="preserve">3687                </t>
  </si>
  <si>
    <t xml:space="preserve">3709                </t>
  </si>
  <si>
    <t xml:space="preserve">3710                </t>
  </si>
  <si>
    <t xml:space="preserve">3711                </t>
  </si>
  <si>
    <t xml:space="preserve">3712                </t>
  </si>
  <si>
    <t xml:space="preserve">3713                </t>
  </si>
  <si>
    <t xml:space="preserve">3716                </t>
  </si>
  <si>
    <t xml:space="preserve">3724                </t>
  </si>
  <si>
    <t xml:space="preserve">3748                </t>
  </si>
  <si>
    <t xml:space="preserve">3750                </t>
  </si>
  <si>
    <t xml:space="preserve">3780                </t>
  </si>
  <si>
    <t xml:space="preserve">3793                </t>
  </si>
  <si>
    <t xml:space="preserve">3794                </t>
  </si>
  <si>
    <t xml:space="preserve">3832                </t>
  </si>
  <si>
    <t xml:space="preserve">3834                </t>
  </si>
  <si>
    <t xml:space="preserve">3836                </t>
  </si>
  <si>
    <t xml:space="preserve">3838                </t>
  </si>
  <si>
    <t xml:space="preserve">3871                </t>
  </si>
  <si>
    <t xml:space="preserve">3872                </t>
  </si>
  <si>
    <t xml:space="preserve">3887                </t>
  </si>
  <si>
    <t xml:space="preserve">3890                </t>
  </si>
  <si>
    <t xml:space="preserve">3892                </t>
  </si>
  <si>
    <t xml:space="preserve">3916                </t>
  </si>
  <si>
    <t xml:space="preserve">3918                </t>
  </si>
  <si>
    <t xml:space="preserve">3921                </t>
  </si>
  <si>
    <t xml:space="preserve">3936                </t>
  </si>
  <si>
    <t xml:space="preserve">3938                </t>
  </si>
  <si>
    <t xml:space="preserve">3948                </t>
  </si>
  <si>
    <t xml:space="preserve">3950                </t>
  </si>
  <si>
    <t xml:space="preserve">3970                </t>
  </si>
  <si>
    <t xml:space="preserve">3972                </t>
  </si>
  <si>
    <t xml:space="preserve">3975                </t>
  </si>
  <si>
    <t xml:space="preserve">3988                </t>
  </si>
  <si>
    <t xml:space="preserve">3991                </t>
  </si>
  <si>
    <t xml:space="preserve">4006                </t>
  </si>
  <si>
    <t xml:space="preserve">4007                </t>
  </si>
  <si>
    <t xml:space="preserve">4008                </t>
  </si>
  <si>
    <t xml:space="preserve">4022                </t>
  </si>
  <si>
    <t xml:space="preserve">4029                </t>
  </si>
  <si>
    <t xml:space="preserve">4030                </t>
  </si>
  <si>
    <t xml:space="preserve">4038                </t>
  </si>
  <si>
    <t xml:space="preserve">4040                </t>
  </si>
  <si>
    <t xml:space="preserve">4054                </t>
  </si>
  <si>
    <t xml:space="preserve">4055                </t>
  </si>
  <si>
    <t xml:space="preserve">4058                </t>
  </si>
  <si>
    <t xml:space="preserve">4069                </t>
  </si>
  <si>
    <t xml:space="preserve">4072                </t>
  </si>
  <si>
    <t xml:space="preserve">4075                </t>
  </si>
  <si>
    <t xml:space="preserve">4076                </t>
  </si>
  <si>
    <t xml:space="preserve">4092                </t>
  </si>
  <si>
    <t xml:space="preserve">4094                </t>
  </si>
  <si>
    <t xml:space="preserve">4117                </t>
  </si>
  <si>
    <t xml:space="preserve">4120                </t>
  </si>
  <si>
    <t xml:space="preserve">4141                </t>
  </si>
  <si>
    <t xml:space="preserve">4142                </t>
  </si>
  <si>
    <t xml:space="preserve">4150                </t>
  </si>
  <si>
    <t xml:space="preserve">4151                </t>
  </si>
  <si>
    <t xml:space="preserve">4158                </t>
  </si>
  <si>
    <t xml:space="preserve">4164                </t>
  </si>
  <si>
    <t xml:space="preserve">4180                </t>
  </si>
  <si>
    <t xml:space="preserve">4182                </t>
  </si>
  <si>
    <t xml:space="preserve">4196                </t>
  </si>
  <si>
    <t xml:space="preserve">4200                </t>
  </si>
  <si>
    <t xml:space="preserve">4228                </t>
  </si>
  <si>
    <t xml:space="preserve">4230                </t>
  </si>
  <si>
    <t xml:space="preserve">4239                </t>
  </si>
  <si>
    <t xml:space="preserve">4260                </t>
  </si>
  <si>
    <t xml:space="preserve">4265                </t>
  </si>
  <si>
    <t xml:space="preserve">4266                </t>
  </si>
  <si>
    <t xml:space="preserve">4274                </t>
  </si>
  <si>
    <t xml:space="preserve">4276                </t>
  </si>
  <si>
    <t xml:space="preserve">4280                </t>
  </si>
  <si>
    <t xml:space="preserve">4318                </t>
  </si>
  <si>
    <t xml:space="preserve">4320                </t>
  </si>
  <si>
    <t xml:space="preserve">4322                </t>
  </si>
  <si>
    <t xml:space="preserve">4340                </t>
  </si>
  <si>
    <t xml:space="preserve">4341                </t>
  </si>
  <si>
    <t xml:space="preserve">4342                </t>
  </si>
  <si>
    <t xml:space="preserve">4362                </t>
  </si>
  <si>
    <t xml:space="preserve">4363                </t>
  </si>
  <si>
    <t xml:space="preserve">4364                </t>
  </si>
  <si>
    <t xml:space="preserve">4388                </t>
  </si>
  <si>
    <t xml:space="preserve">4390                </t>
  </si>
  <si>
    <t xml:space="preserve">4404                </t>
  </si>
  <si>
    <t xml:space="preserve">4406                </t>
  </si>
  <si>
    <t xml:space="preserve">4420                </t>
  </si>
  <si>
    <t xml:space="preserve">4422                </t>
  </si>
  <si>
    <t xml:space="preserve">4438                </t>
  </si>
  <si>
    <t xml:space="preserve">4442                </t>
  </si>
  <si>
    <t xml:space="preserve">4458                </t>
  </si>
  <si>
    <t xml:space="preserve">4496                </t>
  </si>
  <si>
    <t xml:space="preserve">4502                </t>
  </si>
  <si>
    <t xml:space="preserve">4504                </t>
  </si>
  <si>
    <t xml:space="preserve">4505                </t>
  </si>
  <si>
    <t xml:space="preserve">4516                </t>
  </si>
  <si>
    <t xml:space="preserve">4517                </t>
  </si>
  <si>
    <t xml:space="preserve">4518                </t>
  </si>
  <si>
    <t xml:space="preserve">4519                </t>
  </si>
  <si>
    <t xml:space="preserve">4545                </t>
  </si>
  <si>
    <t xml:space="preserve">4548                </t>
  </si>
  <si>
    <t xml:space="preserve">4580                </t>
  </si>
  <si>
    <t xml:space="preserve">4592                </t>
  </si>
  <si>
    <t xml:space="preserve">4610                </t>
  </si>
  <si>
    <t xml:space="preserve">4612                </t>
  </si>
  <si>
    <t xml:space="preserve">4639                </t>
  </si>
  <si>
    <t xml:space="preserve">4646                </t>
  </si>
  <si>
    <t xml:space="preserve">4662                </t>
  </si>
  <si>
    <t xml:space="preserve">4664                </t>
  </si>
  <si>
    <t xml:space="preserve">4665                </t>
  </si>
  <si>
    <t xml:space="preserve">4666                </t>
  </si>
  <si>
    <t xml:space="preserve">4690                </t>
  </si>
  <si>
    <t xml:space="preserve">4694                </t>
  </si>
  <si>
    <t xml:space="preserve">4700                </t>
  </si>
  <si>
    <t xml:space="preserve">4701                </t>
  </si>
  <si>
    <t xml:space="preserve">4734                </t>
  </si>
  <si>
    <t xml:space="preserve">4736                </t>
  </si>
  <si>
    <t xml:space="preserve">4762                </t>
  </si>
  <si>
    <t xml:space="preserve">4764                </t>
  </si>
  <si>
    <t xml:space="preserve">4776                </t>
  </si>
  <si>
    <t xml:space="preserve">4778                </t>
  </si>
  <si>
    <t xml:space="preserve">4810                </t>
  </si>
  <si>
    <t xml:space="preserve">4821                </t>
  </si>
  <si>
    <t xml:space="preserve">4823                </t>
  </si>
  <si>
    <t xml:space="preserve">4824                </t>
  </si>
  <si>
    <t xml:space="preserve">4827                </t>
  </si>
  <si>
    <t xml:space="preserve">4831                </t>
  </si>
  <si>
    <t xml:space="preserve">4842                </t>
  </si>
  <si>
    <t xml:space="preserve">4843                </t>
  </si>
  <si>
    <t xml:space="preserve">4834                </t>
  </si>
  <si>
    <t xml:space="preserve">4836                </t>
  </si>
  <si>
    <t xml:space="preserve">4838                </t>
  </si>
  <si>
    <t xml:space="preserve">4850                </t>
  </si>
  <si>
    <t xml:space="preserve">4852                </t>
  </si>
  <si>
    <t xml:space="preserve">4854                </t>
  </si>
  <si>
    <t xml:space="preserve">4856                </t>
  </si>
  <si>
    <t xml:space="preserve">4859                </t>
  </si>
  <si>
    <t xml:space="preserve">4876                </t>
  </si>
  <si>
    <t xml:space="preserve">4864                </t>
  </si>
  <si>
    <t xml:space="preserve">4866                </t>
  </si>
  <si>
    <t xml:space="preserve">4889                </t>
  </si>
  <si>
    <t xml:space="preserve">4891                </t>
  </si>
  <si>
    <t xml:space="preserve">4950                </t>
  </si>
  <si>
    <t xml:space="preserve">4952                </t>
  </si>
  <si>
    <t xml:space="preserve">4970                </t>
  </si>
  <si>
    <t xml:space="preserve">4972                </t>
  </si>
  <si>
    <t xml:space="preserve">4974                </t>
  </si>
  <si>
    <t xml:space="preserve">4976                </t>
  </si>
  <si>
    <t xml:space="preserve">5014                </t>
  </si>
  <si>
    <t xml:space="preserve">5016                </t>
  </si>
  <si>
    <t xml:space="preserve">5032                </t>
  </si>
  <si>
    <t xml:space="preserve">5034                </t>
  </si>
  <si>
    <t xml:space="preserve">5036                </t>
  </si>
  <si>
    <t xml:space="preserve">5038                </t>
  </si>
  <si>
    <t xml:space="preserve">5058                </t>
  </si>
  <si>
    <t xml:space="preserve">5060                </t>
  </si>
  <si>
    <t xml:space="preserve">5088                </t>
  </si>
  <si>
    <t xml:space="preserve">5090                </t>
  </si>
  <si>
    <t xml:space="preserve">5092                </t>
  </si>
  <si>
    <t xml:space="preserve">5112                </t>
  </si>
  <si>
    <t xml:space="preserve">5113                </t>
  </si>
  <si>
    <t xml:space="preserve">5114                </t>
  </si>
  <si>
    <t xml:space="preserve">5124                </t>
  </si>
  <si>
    <t xml:space="preserve">5126                </t>
  </si>
  <si>
    <t xml:space="preserve">5128                </t>
  </si>
  <si>
    <t xml:space="preserve">5130                </t>
  </si>
  <si>
    <t xml:space="preserve">5132                </t>
  </si>
  <si>
    <t xml:space="preserve">5135                </t>
  </si>
  <si>
    <t xml:space="preserve">5136                </t>
  </si>
  <si>
    <t xml:space="preserve">5137                </t>
  </si>
  <si>
    <t xml:space="preserve">5138                </t>
  </si>
  <si>
    <t xml:space="preserve">5160                </t>
  </si>
  <si>
    <t xml:space="preserve">5164                </t>
  </si>
  <si>
    <t xml:space="preserve">5166                </t>
  </si>
  <si>
    <t xml:space="preserve">5177                </t>
  </si>
  <si>
    <t xml:space="preserve">5179                </t>
  </si>
  <si>
    <t xml:space="preserve">5180                </t>
  </si>
  <si>
    <t xml:space="preserve">5181                </t>
  </si>
  <si>
    <t xml:space="preserve">5182                </t>
  </si>
  <si>
    <t xml:space="preserve">5183                </t>
  </si>
  <si>
    <t xml:space="preserve">5184                </t>
  </si>
  <si>
    <t xml:space="preserve">5185                </t>
  </si>
  <si>
    <t xml:space="preserve">5186                </t>
  </si>
  <si>
    <t xml:space="preserve">5187                </t>
  </si>
  <si>
    <t xml:space="preserve">5204                </t>
  </si>
  <si>
    <t xml:space="preserve">5198                </t>
  </si>
  <si>
    <t xml:space="preserve">5202                </t>
  </si>
  <si>
    <t xml:space="preserve">5215                </t>
  </si>
  <si>
    <t xml:space="preserve">5223                </t>
  </si>
  <si>
    <t xml:space="preserve">5236                </t>
  </si>
  <si>
    <t xml:space="preserve">5238                </t>
  </si>
  <si>
    <t xml:space="preserve">5268                </t>
  </si>
  <si>
    <t xml:space="preserve">5287                </t>
  </si>
  <si>
    <t xml:space="preserve">5296                </t>
  </si>
  <si>
    <t xml:space="preserve">5298                </t>
  </si>
  <si>
    <t xml:space="preserve">5332                </t>
  </si>
  <si>
    <t xml:space="preserve">5334                </t>
  </si>
  <si>
    <t xml:space="preserve">5354                </t>
  </si>
  <si>
    <t xml:space="preserve">5356                </t>
  </si>
  <si>
    <t xml:space="preserve">5370                </t>
  </si>
  <si>
    <t xml:space="preserve">5371                </t>
  </si>
  <si>
    <t xml:space="preserve">5372                </t>
  </si>
  <si>
    <t xml:space="preserve">5374                </t>
  </si>
  <si>
    <t xml:space="preserve">5389                </t>
  </si>
  <si>
    <t xml:space="preserve">5390                </t>
  </si>
  <si>
    <t xml:space="preserve">5396                </t>
  </si>
  <si>
    <t xml:space="preserve">5411                </t>
  </si>
  <si>
    <t xml:space="preserve">5413                </t>
  </si>
  <si>
    <t xml:space="preserve">5414                </t>
  </si>
  <si>
    <t xml:space="preserve">5435                </t>
  </si>
  <si>
    <t xml:space="preserve">5460                </t>
  </si>
  <si>
    <t xml:space="preserve">5462                </t>
  </si>
  <si>
    <t xml:space="preserve">5486                </t>
  </si>
  <si>
    <t xml:space="preserve">5488                </t>
  </si>
  <si>
    <t xml:space="preserve">5498                </t>
  </si>
  <si>
    <t xml:space="preserve">5504                </t>
  </si>
  <si>
    <t xml:space="preserve">5505                </t>
  </si>
  <si>
    <t xml:space="preserve">5506                </t>
  </si>
  <si>
    <t xml:space="preserve">5534                </t>
  </si>
  <si>
    <t xml:space="preserve">5536                </t>
  </si>
  <si>
    <t xml:space="preserve">5538                </t>
  </si>
  <si>
    <t xml:space="preserve">5554                </t>
  </si>
  <si>
    <t xml:space="preserve">5555                </t>
  </si>
  <si>
    <t xml:space="preserve">5556                </t>
  </si>
  <si>
    <t xml:space="preserve">5558                </t>
  </si>
  <si>
    <t xml:space="preserve">5560                </t>
  </si>
  <si>
    <t xml:space="preserve">5562                </t>
  </si>
  <si>
    <t xml:space="preserve">5587                </t>
  </si>
  <si>
    <t xml:space="preserve">5598                </t>
  </si>
  <si>
    <t xml:space="preserve">5600                </t>
  </si>
  <si>
    <t xml:space="preserve">5620                </t>
  </si>
  <si>
    <t xml:space="preserve">5621                </t>
  </si>
  <si>
    <t xml:space="preserve">5622                </t>
  </si>
  <si>
    <t xml:space="preserve">5636                </t>
  </si>
  <si>
    <t xml:space="preserve">5638                </t>
  </si>
  <si>
    <t xml:space="preserve">5640                </t>
  </si>
  <si>
    <t xml:space="preserve">5642                </t>
  </si>
  <si>
    <t xml:space="preserve">5718                </t>
  </si>
  <si>
    <t xml:space="preserve">5720                </t>
  </si>
  <si>
    <t xml:space="preserve">5722                </t>
  </si>
  <si>
    <t xml:space="preserve">5724                </t>
  </si>
  <si>
    <t xml:space="preserve">5746                </t>
  </si>
  <si>
    <t xml:space="preserve">5748                </t>
  </si>
  <si>
    <t xml:space="preserve">5750                </t>
  </si>
  <si>
    <t xml:space="preserve">5761                </t>
  </si>
  <si>
    <t xml:space="preserve">5770                </t>
  </si>
  <si>
    <t xml:space="preserve">5775                </t>
  </si>
  <si>
    <t xml:space="preserve">5776                </t>
  </si>
  <si>
    <t xml:space="preserve">5812                </t>
  </si>
  <si>
    <t xml:space="preserve">5814                </t>
  </si>
  <si>
    <t xml:space="preserve">5834                </t>
  </si>
  <si>
    <t xml:space="preserve">5836                </t>
  </si>
  <si>
    <t xml:space="preserve">5852                </t>
  </si>
  <si>
    <t xml:space="preserve">5854                </t>
  </si>
  <si>
    <t xml:space="preserve">5871                </t>
  </si>
  <si>
    <t xml:space="preserve">5880                </t>
  </si>
  <si>
    <t xml:space="preserve">5882                </t>
  </si>
  <si>
    <t xml:space="preserve">5936                </t>
  </si>
  <si>
    <t xml:space="preserve">5940                </t>
  </si>
  <si>
    <t xml:space="preserve">5950                </t>
  </si>
  <si>
    <t xml:space="preserve">5970                </t>
  </si>
  <si>
    <t xml:space="preserve">5972                </t>
  </si>
  <si>
    <t xml:space="preserve">5978                </t>
  </si>
  <si>
    <t xml:space="preserve">5980                </t>
  </si>
  <si>
    <t xml:space="preserve">5987                </t>
  </si>
  <si>
    <t xml:space="preserve">5990                </t>
  </si>
  <si>
    <t xml:space="preserve">5994                </t>
  </si>
  <si>
    <t xml:space="preserve">6028                </t>
  </si>
  <si>
    <t xml:space="preserve">6030                </t>
  </si>
  <si>
    <t xml:space="preserve">6032                </t>
  </si>
  <si>
    <t xml:space="preserve">6034                </t>
  </si>
  <si>
    <t xml:space="preserve">6038                </t>
  </si>
  <si>
    <t xml:space="preserve">6040                </t>
  </si>
  <si>
    <t xml:space="preserve">6066                </t>
  </si>
  <si>
    <t xml:space="preserve">6070                </t>
  </si>
  <si>
    <t xml:space="preserve">6088                </t>
  </si>
  <si>
    <t xml:space="preserve">6090                </t>
  </si>
  <si>
    <t xml:space="preserve">6091                </t>
  </si>
  <si>
    <t xml:space="preserve">6102                </t>
  </si>
  <si>
    <t xml:space="preserve">6104                </t>
  </si>
  <si>
    <t xml:space="preserve">6118                </t>
  </si>
  <si>
    <t xml:space="preserve">6121                </t>
  </si>
  <si>
    <t xml:space="preserve">6122                </t>
  </si>
  <si>
    <t xml:space="preserve">6140                </t>
  </si>
  <si>
    <t xml:space="preserve">6142                </t>
  </si>
  <si>
    <t xml:space="preserve">6146                </t>
  </si>
  <si>
    <t xml:space="preserve">6192                </t>
  </si>
  <si>
    <t xml:space="preserve">6194                </t>
  </si>
  <si>
    <t xml:space="preserve">6206                </t>
  </si>
  <si>
    <t xml:space="preserve">6256                </t>
  </si>
  <si>
    <t xml:space="preserve">6268                </t>
  </si>
  <si>
    <t xml:space="preserve">6270                </t>
  </si>
  <si>
    <t xml:space="preserve">6274                </t>
  </si>
  <si>
    <t xml:space="preserve">6276                </t>
  </si>
  <si>
    <t xml:space="preserve">6280                </t>
  </si>
  <si>
    <t xml:space="preserve">6284                </t>
  </si>
  <si>
    <t xml:space="preserve">6324                </t>
  </si>
  <si>
    <t xml:space="preserve">6326                </t>
  </si>
  <si>
    <t xml:space="preserve">6344                </t>
  </si>
  <si>
    <t xml:space="preserve">6348                </t>
  </si>
  <si>
    <t xml:space="preserve">6350                </t>
  </si>
  <si>
    <t xml:space="preserve">6375                </t>
  </si>
  <si>
    <t xml:space="preserve">6377                </t>
  </si>
  <si>
    <t xml:space="preserve">6378                </t>
  </si>
  <si>
    <t xml:space="preserve">6380                </t>
  </si>
  <si>
    <t xml:space="preserve">6399                </t>
  </si>
  <si>
    <t xml:space="preserve">6403                </t>
  </si>
  <si>
    <t xml:space="preserve">6440                </t>
  </si>
  <si>
    <t xml:space="preserve">6444                </t>
  </si>
  <si>
    <t xml:space="preserve">6446                </t>
  </si>
  <si>
    <t xml:space="preserve">6464                </t>
  </si>
  <si>
    <t xml:space="preserve">6466                </t>
  </si>
  <si>
    <t xml:space="preserve">6470                </t>
  </si>
  <si>
    <t xml:space="preserve">6475                </t>
  </si>
  <si>
    <t xml:space="preserve">6476                </t>
  </si>
  <si>
    <t xml:space="preserve">6490                </t>
  </si>
  <si>
    <t xml:space="preserve">6491                </t>
  </si>
  <si>
    <t xml:space="preserve">6492                </t>
  </si>
  <si>
    <t xml:space="preserve">6512                </t>
  </si>
  <si>
    <t xml:space="preserve">6513                </t>
  </si>
  <si>
    <t xml:space="preserve">6517                </t>
  </si>
  <si>
    <t xml:space="preserve">6518                </t>
  </si>
  <si>
    <t xml:space="preserve">6522                </t>
  </si>
  <si>
    <t xml:space="preserve">6527                </t>
  </si>
  <si>
    <t xml:space="preserve">6528                </t>
  </si>
  <si>
    <t xml:space="preserve">6530                </t>
  </si>
  <si>
    <t xml:space="preserve">6532                </t>
  </si>
  <si>
    <t xml:space="preserve">6559                </t>
  </si>
  <si>
    <t xml:space="preserve">6560                </t>
  </si>
  <si>
    <t xml:space="preserve">6572                </t>
  </si>
  <si>
    <t xml:space="preserve">6574                </t>
  </si>
  <si>
    <t xml:space="preserve">6586                </t>
  </si>
  <si>
    <t xml:space="preserve">6592                </t>
  </si>
  <si>
    <t xml:space="preserve">6594                </t>
  </si>
  <si>
    <t xml:space="preserve">6674                </t>
  </si>
  <si>
    <t xml:space="preserve">6678                </t>
  </si>
  <si>
    <t xml:space="preserve">6680                </t>
  </si>
  <si>
    <t xml:space="preserve">6682                </t>
  </si>
  <si>
    <t xml:space="preserve">6684                </t>
  </si>
  <si>
    <t xml:space="preserve">6685                </t>
  </si>
  <si>
    <t xml:space="preserve">6686                </t>
  </si>
  <si>
    <t xml:space="preserve">6687                </t>
  </si>
  <si>
    <t xml:space="preserve">6688                </t>
  </si>
  <si>
    <t xml:space="preserve">6689                </t>
  </si>
  <si>
    <t xml:space="preserve">6702                </t>
  </si>
  <si>
    <t xml:space="preserve">6707                </t>
  </si>
  <si>
    <t xml:space="preserve">6726                </t>
  </si>
  <si>
    <t xml:space="preserve">6728                </t>
  </si>
  <si>
    <t xml:space="preserve">6734                </t>
  </si>
  <si>
    <t xml:space="preserve">6756                </t>
  </si>
  <si>
    <t xml:space="preserve">6770                </t>
  </si>
  <si>
    <t xml:space="preserve">6772                </t>
  </si>
  <si>
    <t xml:space="preserve">6821                </t>
  </si>
  <si>
    <t xml:space="preserve">6825                </t>
  </si>
  <si>
    <t xml:space="preserve">6828                </t>
  </si>
  <si>
    <t xml:space="preserve">6830                </t>
  </si>
  <si>
    <t xml:space="preserve">6870                </t>
  </si>
  <si>
    <t xml:space="preserve">6871                </t>
  </si>
  <si>
    <t xml:space="preserve">6876                </t>
  </si>
  <si>
    <t xml:space="preserve">6896                </t>
  </si>
  <si>
    <t xml:space="preserve">6898                </t>
  </si>
  <si>
    <t xml:space="preserve">6917                </t>
  </si>
  <si>
    <t xml:space="preserve">6918                </t>
  </si>
  <si>
    <t xml:space="preserve">6919                </t>
  </si>
  <si>
    <t xml:space="preserve">6938                </t>
  </si>
  <si>
    <t xml:space="preserve">6940                </t>
  </si>
  <si>
    <t xml:space="preserve">6944                </t>
  </si>
  <si>
    <t xml:space="preserve">6945                </t>
  </si>
  <si>
    <t xml:space="preserve">6946                </t>
  </si>
  <si>
    <t xml:space="preserve">6948                </t>
  </si>
  <si>
    <t xml:space="preserve">6982                </t>
  </si>
  <si>
    <t xml:space="preserve">6984                </t>
  </si>
  <si>
    <t xml:space="preserve">7020                </t>
  </si>
  <si>
    <t xml:space="preserve">7026                </t>
  </si>
  <si>
    <t xml:space="preserve">7028                </t>
  </si>
  <si>
    <t xml:space="preserve">7029                </t>
  </si>
  <si>
    <t xml:space="preserve">7031                </t>
  </si>
  <si>
    <t xml:space="preserve">7033                </t>
  </si>
  <si>
    <t xml:space="preserve">7057                </t>
  </si>
  <si>
    <t xml:space="preserve">7058                </t>
  </si>
  <si>
    <t xml:space="preserve">7094                </t>
  </si>
  <si>
    <t xml:space="preserve">7096                </t>
  </si>
  <si>
    <t xml:space="preserve">7104                </t>
  </si>
  <si>
    <t xml:space="preserve">7115                </t>
  </si>
  <si>
    <t xml:space="preserve">7118                </t>
  </si>
  <si>
    <t xml:space="preserve">7119                </t>
  </si>
  <si>
    <t xml:space="preserve">7120                </t>
  </si>
  <si>
    <t xml:space="preserve">7124                </t>
  </si>
  <si>
    <t xml:space="preserve">7126                </t>
  </si>
  <si>
    <t xml:space="preserve">7128                </t>
  </si>
  <si>
    <t xml:space="preserve">7130                </t>
  </si>
  <si>
    <t xml:space="preserve">7131                </t>
  </si>
  <si>
    <t xml:space="preserve">7132                </t>
  </si>
  <si>
    <t xml:space="preserve">7133                </t>
  </si>
  <si>
    <t xml:space="preserve">7138                </t>
  </si>
  <si>
    <t xml:space="preserve">7140                </t>
  </si>
  <si>
    <t xml:space="preserve">7143                </t>
  </si>
  <si>
    <t xml:space="preserve">7147                </t>
  </si>
  <si>
    <t xml:space="preserve">7148                </t>
  </si>
  <si>
    <t xml:space="preserve">7177                </t>
  </si>
  <si>
    <t xml:space="preserve">7160                </t>
  </si>
  <si>
    <t xml:space="preserve">7164                </t>
  </si>
  <si>
    <t xml:space="preserve">7170                </t>
  </si>
  <si>
    <t xml:space="preserve">7172                </t>
  </si>
  <si>
    <t xml:space="preserve">7175                </t>
  </si>
  <si>
    <t xml:space="preserve">7184                </t>
  </si>
  <si>
    <t xml:space="preserve">7186                </t>
  </si>
  <si>
    <t xml:space="preserve">7206                </t>
  </si>
  <si>
    <t xml:space="preserve">7208                </t>
  </si>
  <si>
    <t xml:space="preserve">7210                </t>
  </si>
  <si>
    <t xml:space="preserve">7226                </t>
  </si>
  <si>
    <t xml:space="preserve">7228                </t>
  </si>
  <si>
    <t xml:space="preserve">7232                </t>
  </si>
  <si>
    <t xml:space="preserve">7246                </t>
  </si>
  <si>
    <t xml:space="preserve">7254                </t>
  </si>
  <si>
    <t xml:space="preserve">7270                </t>
  </si>
  <si>
    <t xml:space="preserve">7271                </t>
  </si>
  <si>
    <t xml:space="preserve">7272                </t>
  </si>
  <si>
    <t xml:space="preserve">7298                </t>
  </si>
  <si>
    <t xml:space="preserve">7299                </t>
  </si>
  <si>
    <t xml:space="preserve">7300                </t>
  </si>
  <si>
    <t xml:space="preserve">7310                </t>
  </si>
  <si>
    <t xml:space="preserve">7324                </t>
  </si>
  <si>
    <t xml:space="preserve">7326                </t>
  </si>
  <si>
    <t xml:space="preserve">7330                </t>
  </si>
  <si>
    <t xml:space="preserve">7332                </t>
  </si>
  <si>
    <t xml:space="preserve">7333                </t>
  </si>
  <si>
    <t xml:space="preserve">7356                </t>
  </si>
  <si>
    <t xml:space="preserve">7358                </t>
  </si>
  <si>
    <t xml:space="preserve">7360                </t>
  </si>
  <si>
    <t xml:space="preserve">7382                </t>
  </si>
  <si>
    <t xml:space="preserve">7385                </t>
  </si>
  <si>
    <t xml:space="preserve">7402                </t>
  </si>
  <si>
    <t xml:space="preserve">7404                </t>
  </si>
  <si>
    <t xml:space="preserve">7420                </t>
  </si>
  <si>
    <t xml:space="preserve">7423                </t>
  </si>
  <si>
    <t xml:space="preserve">7426                </t>
  </si>
  <si>
    <t xml:space="preserve">7440                </t>
  </si>
  <si>
    <t xml:space="preserve">7442                </t>
  </si>
  <si>
    <t xml:space="preserve">7443                </t>
  </si>
  <si>
    <t xml:space="preserve">7448                </t>
  </si>
  <si>
    <t xml:space="preserve">7454                </t>
  </si>
  <si>
    <t xml:space="preserve">7456                </t>
  </si>
  <si>
    <t xml:space="preserve">7458                </t>
  </si>
  <si>
    <t xml:space="preserve">7466                </t>
  </si>
  <si>
    <t xml:space="preserve">7492                </t>
  </si>
  <si>
    <t xml:space="preserve">7494                </t>
  </si>
  <si>
    <t xml:space="preserve">7534                </t>
  </si>
  <si>
    <t xml:space="preserve">7540                </t>
  </si>
  <si>
    <t xml:space="preserve">7541                </t>
  </si>
  <si>
    <t xml:space="preserve">7542                </t>
  </si>
  <si>
    <t xml:space="preserve">7546                </t>
  </si>
  <si>
    <t xml:space="preserve">7552                </t>
  </si>
  <si>
    <t xml:space="preserve">7574                </t>
  </si>
  <si>
    <t xml:space="preserve">7592                </t>
  </si>
  <si>
    <t xml:space="preserve">7593                </t>
  </si>
  <si>
    <t xml:space="preserve">7598                </t>
  </si>
  <si>
    <t xml:space="preserve">7600                </t>
  </si>
  <si>
    <t xml:space="preserve">7601                </t>
  </si>
  <si>
    <t xml:space="preserve">7602                </t>
  </si>
  <si>
    <t xml:space="preserve">7606                </t>
  </si>
  <si>
    <t xml:space="preserve">7608                </t>
  </si>
  <si>
    <t xml:space="preserve">7610                </t>
  </si>
  <si>
    <t xml:space="preserve">7612                </t>
  </si>
  <si>
    <t xml:space="preserve">7614                </t>
  </si>
  <si>
    <t xml:space="preserve">7616                </t>
  </si>
  <si>
    <t xml:space="preserve">7618                </t>
  </si>
  <si>
    <t xml:space="preserve">7620                </t>
  </si>
  <si>
    <t xml:space="preserve">7624                </t>
  </si>
  <si>
    <t xml:space="preserve">7630                </t>
  </si>
  <si>
    <t xml:space="preserve">7648                </t>
  </si>
  <si>
    <t xml:space="preserve">7651                </t>
  </si>
  <si>
    <t xml:space="preserve">7664                </t>
  </si>
  <si>
    <t xml:space="preserve">7666                </t>
  </si>
  <si>
    <t xml:space="preserve">7692                </t>
  </si>
  <si>
    <t xml:space="preserve">7694                </t>
  </si>
  <si>
    <t xml:space="preserve">7715                </t>
  </si>
  <si>
    <t xml:space="preserve">7718                </t>
  </si>
  <si>
    <t xml:space="preserve">MacArthur Elementary School                                 </t>
  </si>
  <si>
    <t xml:space="preserve">7725                </t>
  </si>
  <si>
    <t xml:space="preserve">7732                </t>
  </si>
  <si>
    <t xml:space="preserve">7736                </t>
  </si>
  <si>
    <t xml:space="preserve">7737                </t>
  </si>
  <si>
    <t xml:space="preserve">7738                </t>
  </si>
  <si>
    <t xml:space="preserve">Meadowlark Elementary School                                </t>
  </si>
  <si>
    <t xml:space="preserve">7739                </t>
  </si>
  <si>
    <t xml:space="preserve">Seymour Rogers Middle School                                </t>
  </si>
  <si>
    <t xml:space="preserve">7750                </t>
  </si>
  <si>
    <t xml:space="preserve">7752                </t>
  </si>
  <si>
    <t xml:space="preserve">7758                </t>
  </si>
  <si>
    <t xml:space="preserve">7760                </t>
  </si>
  <si>
    <t xml:space="preserve">7778                </t>
  </si>
  <si>
    <t xml:space="preserve">7782                </t>
  </si>
  <si>
    <t xml:space="preserve">7798                </t>
  </si>
  <si>
    <t xml:space="preserve">7800                </t>
  </si>
  <si>
    <t xml:space="preserve">7804                </t>
  </si>
  <si>
    <t xml:space="preserve">7821                </t>
  </si>
  <si>
    <t xml:space="preserve">Fredonia Early Learning Center                              </t>
  </si>
  <si>
    <t xml:space="preserve">7832                </t>
  </si>
  <si>
    <t xml:space="preserve">7838                </t>
  </si>
  <si>
    <t xml:space="preserve">7888                </t>
  </si>
  <si>
    <t xml:space="preserve">7890                </t>
  </si>
  <si>
    <t xml:space="preserve">7892                </t>
  </si>
  <si>
    <t xml:space="preserve">7946                </t>
  </si>
  <si>
    <t xml:space="preserve">7950                </t>
  </si>
  <si>
    <t xml:space="preserve">7952                </t>
  </si>
  <si>
    <t xml:space="preserve">7954                </t>
  </si>
  <si>
    <t xml:space="preserve">7956                </t>
  </si>
  <si>
    <t xml:space="preserve">7959                </t>
  </si>
  <si>
    <t xml:space="preserve">7990                </t>
  </si>
  <si>
    <t xml:space="preserve">8000                </t>
  </si>
  <si>
    <t xml:space="preserve">8002                </t>
  </si>
  <si>
    <t xml:space="preserve">8009                </t>
  </si>
  <si>
    <t xml:space="preserve">8022                </t>
  </si>
  <si>
    <t xml:space="preserve">8023                </t>
  </si>
  <si>
    <t xml:space="preserve">8029                </t>
  </si>
  <si>
    <t xml:space="preserve">8038                </t>
  </si>
  <si>
    <t xml:space="preserve">8046                </t>
  </si>
  <si>
    <t xml:space="preserve">8050                </t>
  </si>
  <si>
    <t xml:space="preserve">8051                </t>
  </si>
  <si>
    <t xml:space="preserve">8064                </t>
  </si>
  <si>
    <t xml:space="preserve">8066                </t>
  </si>
  <si>
    <t xml:space="preserve">8068                </t>
  </si>
  <si>
    <t xml:space="preserve">8070                </t>
  </si>
  <si>
    <t xml:space="preserve">8110                </t>
  </si>
  <si>
    <t xml:space="preserve">8114                </t>
  </si>
  <si>
    <t xml:space="preserve">8133                </t>
  </si>
  <si>
    <t xml:space="preserve">Fort Larned Elementary School                               </t>
  </si>
  <si>
    <t xml:space="preserve">8140                </t>
  </si>
  <si>
    <t xml:space="preserve">8142                </t>
  </si>
  <si>
    <t xml:space="preserve">8167                </t>
  </si>
  <si>
    <t xml:space="preserve">8185                </t>
  </si>
  <si>
    <t xml:space="preserve">8189                </t>
  </si>
  <si>
    <t xml:space="preserve">8190                </t>
  </si>
  <si>
    <t xml:space="preserve">8191                </t>
  </si>
  <si>
    <t xml:space="preserve">8194                </t>
  </si>
  <si>
    <t xml:space="preserve">8195                </t>
  </si>
  <si>
    <t xml:space="preserve">8198                </t>
  </si>
  <si>
    <t xml:space="preserve">8200                </t>
  </si>
  <si>
    <t xml:space="preserve">8202                </t>
  </si>
  <si>
    <t xml:space="preserve">8204                </t>
  </si>
  <si>
    <t xml:space="preserve">8206                </t>
  </si>
  <si>
    <t xml:space="preserve">8208                </t>
  </si>
  <si>
    <t xml:space="preserve">8210                </t>
  </si>
  <si>
    <t xml:space="preserve">8212                </t>
  </si>
  <si>
    <t xml:space="preserve">8213                </t>
  </si>
  <si>
    <t xml:space="preserve">8214                </t>
  </si>
  <si>
    <t xml:space="preserve">8215                </t>
  </si>
  <si>
    <t xml:space="preserve">8216                </t>
  </si>
  <si>
    <t xml:space="preserve">8217                </t>
  </si>
  <si>
    <t xml:space="preserve">8218                </t>
  </si>
  <si>
    <t xml:space="preserve">8224                </t>
  </si>
  <si>
    <t xml:space="preserve">8238                </t>
  </si>
  <si>
    <t xml:space="preserve">8246                </t>
  </si>
  <si>
    <t xml:space="preserve">8252                </t>
  </si>
  <si>
    <t xml:space="preserve">8264                </t>
  </si>
  <si>
    <t xml:space="preserve">8268                </t>
  </si>
  <si>
    <t xml:space="preserve">8270                </t>
  </si>
  <si>
    <t xml:space="preserve">8274                </t>
  </si>
  <si>
    <t xml:space="preserve">8279                </t>
  </si>
  <si>
    <t xml:space="preserve">8281                </t>
  </si>
  <si>
    <t xml:space="preserve">8282                </t>
  </si>
  <si>
    <t xml:space="preserve">8284                </t>
  </si>
  <si>
    <t xml:space="preserve">8285                </t>
  </si>
  <si>
    <t xml:space="preserve">8287                </t>
  </si>
  <si>
    <t xml:space="preserve">8288                </t>
  </si>
  <si>
    <t xml:space="preserve">8290                </t>
  </si>
  <si>
    <t xml:space="preserve">8292                </t>
  </si>
  <si>
    <t xml:space="preserve">8293                </t>
  </si>
  <si>
    <t xml:space="preserve">8298                </t>
  </si>
  <si>
    <t xml:space="preserve">8303                </t>
  </si>
  <si>
    <t xml:space="preserve">8305                </t>
  </si>
  <si>
    <t xml:space="preserve">8308                </t>
  </si>
  <si>
    <t xml:space="preserve">8309                </t>
  </si>
  <si>
    <t xml:space="preserve">8311                </t>
  </si>
  <si>
    <t xml:space="preserve">8313                </t>
  </si>
  <si>
    <t xml:space="preserve">8315                </t>
  </si>
  <si>
    <t xml:space="preserve">8316                </t>
  </si>
  <si>
    <t xml:space="preserve">8317                </t>
  </si>
  <si>
    <t xml:space="preserve">8320                </t>
  </si>
  <si>
    <t xml:space="preserve">8321                </t>
  </si>
  <si>
    <t xml:space="preserve">8322                </t>
  </si>
  <si>
    <t xml:space="preserve">8323                </t>
  </si>
  <si>
    <t xml:space="preserve">8324                </t>
  </si>
  <si>
    <t xml:space="preserve">8327                </t>
  </si>
  <si>
    <t xml:space="preserve">8329                </t>
  </si>
  <si>
    <t xml:space="preserve">8330                </t>
  </si>
  <si>
    <t xml:space="preserve">8331                </t>
  </si>
  <si>
    <t xml:space="preserve">8332                </t>
  </si>
  <si>
    <t xml:space="preserve">8340                </t>
  </si>
  <si>
    <t xml:space="preserve">8342                </t>
  </si>
  <si>
    <t xml:space="preserve">8346                </t>
  </si>
  <si>
    <t xml:space="preserve">8348                </t>
  </si>
  <si>
    <t xml:space="preserve">8350                </t>
  </si>
  <si>
    <t xml:space="preserve">8352                </t>
  </si>
  <si>
    <t xml:space="preserve">8358                </t>
  </si>
  <si>
    <t xml:space="preserve">8402                </t>
  </si>
  <si>
    <t xml:space="preserve">Fairfax Learning Center                                     </t>
  </si>
  <si>
    <t xml:space="preserve">8403                </t>
  </si>
  <si>
    <t xml:space="preserve">500 Reach                                                   </t>
  </si>
  <si>
    <t xml:space="preserve">8406                </t>
  </si>
  <si>
    <t xml:space="preserve">Bridges/Wyandot Academy                                     </t>
  </si>
  <si>
    <t xml:space="preserve">8446                </t>
  </si>
  <si>
    <t xml:space="preserve">8452                </t>
  </si>
  <si>
    <t xml:space="preserve">8453                </t>
  </si>
  <si>
    <t xml:space="preserve">Jardine Elementary                                          </t>
  </si>
  <si>
    <t xml:space="preserve">8462                </t>
  </si>
  <si>
    <t xml:space="preserve">8465                </t>
  </si>
  <si>
    <t xml:space="preserve">8467                </t>
  </si>
  <si>
    <t xml:space="preserve">8472                </t>
  </si>
  <si>
    <t xml:space="preserve">8480                </t>
  </si>
  <si>
    <t xml:space="preserve">8482                </t>
  </si>
  <si>
    <t xml:space="preserve">8484                </t>
  </si>
  <si>
    <t xml:space="preserve">8486                </t>
  </si>
  <si>
    <t xml:space="preserve">8494                </t>
  </si>
  <si>
    <t xml:space="preserve">8498                </t>
  </si>
  <si>
    <t xml:space="preserve">8499                </t>
  </si>
  <si>
    <t xml:space="preserve">8501                </t>
  </si>
  <si>
    <t xml:space="preserve">8504                </t>
  </si>
  <si>
    <t xml:space="preserve">8506                </t>
  </si>
  <si>
    <t xml:space="preserve">8512                </t>
  </si>
  <si>
    <t xml:space="preserve">8513                </t>
  </si>
  <si>
    <t xml:space="preserve">8524                </t>
  </si>
  <si>
    <t xml:space="preserve">8530                </t>
  </si>
  <si>
    <t xml:space="preserve">8532                </t>
  </si>
  <si>
    <t xml:space="preserve">8533                </t>
  </si>
  <si>
    <t xml:space="preserve">8536                </t>
  </si>
  <si>
    <t xml:space="preserve">8538                </t>
  </si>
  <si>
    <t xml:space="preserve">8540                </t>
  </si>
  <si>
    <t xml:space="preserve">8552                </t>
  </si>
  <si>
    <t xml:space="preserve">8580                </t>
  </si>
  <si>
    <t xml:space="preserve">8594                </t>
  </si>
  <si>
    <t xml:space="preserve">8596                </t>
  </si>
  <si>
    <t xml:space="preserve">8602                </t>
  </si>
  <si>
    <t xml:space="preserve">8603                </t>
  </si>
  <si>
    <t xml:space="preserve">8604                </t>
  </si>
  <si>
    <t xml:space="preserve">8622                </t>
  </si>
  <si>
    <t xml:space="preserve">8623                </t>
  </si>
  <si>
    <t xml:space="preserve">8624                </t>
  </si>
  <si>
    <t xml:space="preserve">8370                </t>
  </si>
  <si>
    <t xml:space="preserve">8372                </t>
  </si>
  <si>
    <t xml:space="preserve">8373                </t>
  </si>
  <si>
    <t xml:space="preserve">8636                </t>
  </si>
  <si>
    <t xml:space="preserve">8638                </t>
  </si>
  <si>
    <t xml:space="preserve">8652                </t>
  </si>
  <si>
    <t xml:space="preserve">8654                </t>
  </si>
  <si>
    <t xml:space="preserve">8658                </t>
  </si>
  <si>
    <t xml:space="preserve">8666                </t>
  </si>
  <si>
    <t xml:space="preserve">8680                </t>
  </si>
  <si>
    <t xml:space="preserve">8684                </t>
  </si>
  <si>
    <t xml:space="preserve">8694                </t>
  </si>
  <si>
    <t xml:space="preserve">8696                </t>
  </si>
  <si>
    <t xml:space="preserve">8702                </t>
  </si>
  <si>
    <t xml:space="preserve">8704                </t>
  </si>
  <si>
    <t xml:space="preserve">8710                </t>
  </si>
  <si>
    <t xml:space="preserve">8742                </t>
  </si>
  <si>
    <t xml:space="preserve">8744                </t>
  </si>
  <si>
    <t xml:space="preserve">8762                </t>
  </si>
  <si>
    <t xml:space="preserve">8764                </t>
  </si>
  <si>
    <t xml:space="preserve">8774                </t>
  </si>
  <si>
    <t xml:space="preserve">8776                </t>
  </si>
  <si>
    <t xml:space="preserve">8782                </t>
  </si>
  <si>
    <t xml:space="preserve">8784                </t>
  </si>
  <si>
    <t xml:space="preserve">8786                </t>
  </si>
  <si>
    <t xml:space="preserve">8787                </t>
  </si>
  <si>
    <t xml:space="preserve">8788                </t>
  </si>
  <si>
    <t xml:space="preserve">8790                </t>
  </si>
  <si>
    <t xml:space="preserve">8791                </t>
  </si>
  <si>
    <t xml:space="preserve">8793                </t>
  </si>
  <si>
    <t xml:space="preserve">8794                </t>
  </si>
  <si>
    <t xml:space="preserve">8796                </t>
  </si>
  <si>
    <t xml:space="preserve">8806                </t>
  </si>
  <si>
    <t xml:space="preserve">8808                </t>
  </si>
  <si>
    <t xml:space="preserve">8812                </t>
  </si>
  <si>
    <t xml:space="preserve">8815                </t>
  </si>
  <si>
    <t xml:space="preserve">8816                </t>
  </si>
  <si>
    <t xml:space="preserve">8819                </t>
  </si>
  <si>
    <t xml:space="preserve">8822                </t>
  </si>
  <si>
    <t xml:space="preserve">8824                </t>
  </si>
  <si>
    <t xml:space="preserve">8826                </t>
  </si>
  <si>
    <t xml:space="preserve">8828                </t>
  </si>
  <si>
    <t xml:space="preserve">8832                </t>
  </si>
  <si>
    <t xml:space="preserve">8834                </t>
  </si>
  <si>
    <t xml:space="preserve">8836                </t>
  </si>
  <si>
    <t xml:space="preserve">8838                </t>
  </si>
  <si>
    <t xml:space="preserve">8842                </t>
  </si>
  <si>
    <t xml:space="preserve">8844                </t>
  </si>
  <si>
    <t xml:space="preserve">8846                </t>
  </si>
  <si>
    <t xml:space="preserve">8857                </t>
  </si>
  <si>
    <t xml:space="preserve">8858                </t>
  </si>
  <si>
    <t xml:space="preserve">8860                </t>
  </si>
  <si>
    <t xml:space="preserve">8864                </t>
  </si>
  <si>
    <t xml:space="preserve">8868                </t>
  </si>
  <si>
    <t xml:space="preserve">8870                </t>
  </si>
  <si>
    <t xml:space="preserve">8874                </t>
  </si>
  <si>
    <t xml:space="preserve">8880                </t>
  </si>
  <si>
    <t xml:space="preserve">8884                </t>
  </si>
  <si>
    <t xml:space="preserve">8886                </t>
  </si>
  <si>
    <t xml:space="preserve">8888                </t>
  </si>
  <si>
    <t xml:space="preserve">8890                </t>
  </si>
  <si>
    <t xml:space="preserve">8892                </t>
  </si>
  <si>
    <t xml:space="preserve">8894                </t>
  </si>
  <si>
    <t>4.  Using index of density (Line 3), determine Per Capita Allowance.</t>
  </si>
  <si>
    <t>USD Order ID=</t>
  </si>
  <si>
    <t>2018 Substitute for SENATE BILL No. 423</t>
  </si>
  <si>
    <t>Order ID</t>
  </si>
  <si>
    <t>Per Capita Allowance</t>
  </si>
  <si>
    <t>Factor A [BASE Change]</t>
  </si>
  <si>
    <t>Factor B [Transported Students times Per Capita Allowance]</t>
  </si>
  <si>
    <t>Factor D [Factor C times Factor A]</t>
  </si>
  <si>
    <t>General Fund Budget – Lines 1 through 18</t>
  </si>
  <si>
    <t>After 6/1/2016 bonds-district enter % on form-not prorated afterall for bdgt2018</t>
  </si>
  <si>
    <t>C016 - C35</t>
  </si>
  <si>
    <t>C08 - C27</t>
  </si>
  <si>
    <t>2017-18 Funded FTE</t>
  </si>
  <si>
    <t>2017-18 FTE incl 4YrAR</t>
  </si>
  <si>
    <t>Amount of 2017 Tax to be Levied</t>
  </si>
  <si>
    <t>Minimum met?</t>
  </si>
  <si>
    <t xml:space="preserve">Minimum met?  </t>
  </si>
  <si>
    <t>4.  Estimated state aid (lower of Lines 2 or 3)</t>
  </si>
  <si>
    <t>Minimum LOB transfers to Bilingual and At Risk (K-12) met?</t>
  </si>
  <si>
    <t>Percent of at-risk weighting to total adjusted (weighted) enrollment:</t>
  </si>
  <si>
    <t xml:space="preserve">Amount required to transfer from Supplemental General Fund to K-12 At-Risk Fund: </t>
  </si>
  <si>
    <t>Percent of bilingual weighting to total adjusted (weighted) enrollment:</t>
  </si>
  <si>
    <t xml:space="preserve">Amount required to transfer from Supplemental General Fund to Bilingual Fund: </t>
  </si>
  <si>
    <t>&lt;--LOB Transfer to Bilingual cannot be less than:</t>
  </si>
  <si>
    <t>&lt;--LOB Transfer to At Risk (K-12) cannot be less than:</t>
  </si>
  <si>
    <t>C028 - C17</t>
  </si>
  <si>
    <t>C028 - D17</t>
  </si>
  <si>
    <t>Bond After ProRate</t>
  </si>
  <si>
    <t>&lt;-- 3YR AVG is determined by answers to three questions found on the bottom of the Form 150.</t>
  </si>
  <si>
    <t>Factor C [Factor B times Constant]</t>
  </si>
  <si>
    <t>C026 - C16</t>
  </si>
  <si>
    <t>C026 - D16</t>
  </si>
  <si>
    <t>Adopted LOB calculated on this Form 155</t>
  </si>
  <si>
    <t>Date the Board Adopted LOB Resolution as authorized by 72-5143.</t>
  </si>
  <si>
    <t>3230 Safe &amp; Secure Schools Grant</t>
  </si>
  <si>
    <t>72-3715</t>
  </si>
  <si>
    <t>72-53, 113</t>
  </si>
  <si>
    <t>Constant=</t>
  </si>
  <si>
    <t>Current Year BASE=</t>
  </si>
  <si>
    <t>2018-19 BASE=</t>
  </si>
  <si>
    <t>F150 Transportation Factors - changed for Bdgt2019</t>
  </si>
  <si>
    <t>stays hardcoded</t>
  </si>
  <si>
    <t>Linked to above</t>
  </si>
  <si>
    <t>72-5142</t>
  </si>
  <si>
    <t>72-5147</t>
  </si>
  <si>
    <t>Bdgt2020</t>
  </si>
  <si>
    <t>&lt;--Total transfers &amp; expenditures entered in C08</t>
  </si>
  <si>
    <t>SCHOOL NUTRITION PROGRAMS</t>
  </si>
  <si>
    <t xml:space="preserve">       LUNCH</t>
  </si>
  <si>
    <t xml:space="preserve">            Paid     Elem</t>
  </si>
  <si>
    <t xml:space="preserve">                         Jr. High</t>
  </si>
  <si>
    <t xml:space="preserve">                         Sr. High</t>
  </si>
  <si>
    <t xml:space="preserve">            Free</t>
  </si>
  <si>
    <t xml:space="preserve">            Reduced</t>
  </si>
  <si>
    <t xml:space="preserve">            Adult</t>
  </si>
  <si>
    <t xml:space="preserve">       BREAKFAST</t>
  </si>
  <si>
    <t xml:space="preserve">       SNACKS</t>
  </si>
  <si>
    <t>SPECIAL MILK PROGRAM</t>
  </si>
  <si>
    <t xml:space="preserve">       MILK</t>
  </si>
  <si>
    <t xml:space="preserve">            Paid</t>
  </si>
  <si>
    <t xml:space="preserve">            Free-Avg Dealer Cost</t>
  </si>
  <si>
    <t xml:space="preserve">       SUPPER</t>
  </si>
  <si>
    <t xml:space="preserve">            Adult (if charge)</t>
  </si>
  <si>
    <t>xxxxxxxxxx</t>
  </si>
  <si>
    <t>County sources from F194:</t>
  </si>
  <si>
    <t>Computing Transportation</t>
  </si>
  <si>
    <t>Extraordinary Gowth Facility</t>
  </si>
  <si>
    <t>as miscellaneous revenue and placed in a fund designated under K.S.A. 72-5166 (categorical aid funds, capital</t>
  </si>
  <si>
    <t>outlay, or program weighted funds.)</t>
  </si>
  <si>
    <t>Public Library Board Emp Bnfts</t>
  </si>
  <si>
    <t xml:space="preserve">Public Library Board Emp Bnfts </t>
  </si>
  <si>
    <t>The determination of weighting will be based upon the number of full-time equivalent (FTE) students that are enrolled and attending in the new</t>
  </si>
  <si>
    <t>facility September 20 (and February 20 for districts qualifying under K.S.A. 72-5139).  In the case of school districts that have constructed</t>
  </si>
  <si>
    <t xml:space="preserve">an addition to existing facilities, the number of students that are enrolled and attending in the new classroom facility will be counted on </t>
  </si>
  <si>
    <t>a full-time equivalent basis (see example 2.)  The additional weighting for this provision of the law is applicable for two years only.  For a new</t>
  </si>
  <si>
    <t>facility, the FTE is for the entire building (see example 1).  For additions to an existing facility, the following calculation would be utilized.</t>
  </si>
  <si>
    <t>"Virtual School" means any school or educational program that: (1) Is offered for credit; (2) uses distance-learning technologies which predominately</t>
  </si>
  <si>
    <t>use internet-based methods to deliver instruction; (3) involves instruction that occurs asynchronously with the teacher and pupil in separate locations;</t>
  </si>
  <si>
    <t>(4) requires the pupil to make academic progress toward the next grade level and matriculation from kindergarten through high school graduation;</t>
  </si>
  <si>
    <t>(5) requires the pupil to demonstrate competence in subject matter for each class or subject in which the pupil is enrolled as part of the virtual school;</t>
  </si>
  <si>
    <t>and (6) requires age-appropriate pupils to complete state assessment tests.</t>
  </si>
  <si>
    <t>Exceptions on budget 2018-19</t>
  </si>
  <si>
    <t>2019-20 BASE=</t>
  </si>
  <si>
    <t>Should be changed</t>
  </si>
  <si>
    <t>Changed by Formula</t>
  </si>
  <si>
    <t>(see Footnote (a) and (b))</t>
  </si>
  <si>
    <t>TABLE II - Low and High Enrollment Weighting (KSA 72-5149)</t>
  </si>
  <si>
    <t>TABLE III - Transportation Weighting (KSA 72-5148)</t>
  </si>
  <si>
    <t>TABLE I - KSA 72-5132</t>
  </si>
  <si>
    <t>High At-Risk Weighting Calculation (KSA 72-5151)</t>
  </si>
  <si>
    <t>Page 1 Footnotes:</t>
  </si>
  <si>
    <t>Qualifying for the 3yr Average (Goes to Table I)</t>
  </si>
  <si>
    <t xml:space="preserve">  1730 Student Organization Membership Dues</t>
  </si>
  <si>
    <t>Assessed Valuation - Capital Outlay</t>
  </si>
  <si>
    <t>Goes to C08 and Form 239 as the adopted LOB (must be &gt;=15% else it is zero)</t>
  </si>
  <si>
    <t xml:space="preserve">Doniphan West Elementary School                             </t>
  </si>
  <si>
    <t xml:space="preserve">Central Plains Elementary School - Holyrood                 </t>
  </si>
  <si>
    <t xml:space="preserve">Nemaha Central Elementary and Middle School                 </t>
  </si>
  <si>
    <t xml:space="preserve">0951                </t>
  </si>
  <si>
    <t xml:space="preserve">Timber Sage Elementary School                               </t>
  </si>
  <si>
    <t xml:space="preserve">0950                </t>
  </si>
  <si>
    <t xml:space="preserve">Summit Trail Middle School                                  </t>
  </si>
  <si>
    <t xml:space="preserve">Bennington Junior High/High School                          </t>
  </si>
  <si>
    <t xml:space="preserve">NLC Elementary School                                       </t>
  </si>
  <si>
    <t xml:space="preserve">Buckner Performing Arts Magnet Elem                         </t>
  </si>
  <si>
    <t xml:space="preserve">Cleaveland Traditional Magnet Elementary                    </t>
  </si>
  <si>
    <t xml:space="preserve">1669                </t>
  </si>
  <si>
    <t xml:space="preserve">Bryant Opportunity Academy                                  </t>
  </si>
  <si>
    <t xml:space="preserve">Price-Harris Communications Magnet                          </t>
  </si>
  <si>
    <t xml:space="preserve">Hyde Intl Studies/Commun Elem Magnet                        </t>
  </si>
  <si>
    <t xml:space="preserve">L'Ouverture Computer Technology Magnet                      </t>
  </si>
  <si>
    <t xml:space="preserve">McLean Science/Tech Magnet Elem                             </t>
  </si>
  <si>
    <t xml:space="preserve">Mueller Aerospace/Engineering Discovery Magne               </t>
  </si>
  <si>
    <t xml:space="preserve">Riverside Leadership Magnet Elementary                      </t>
  </si>
  <si>
    <t xml:space="preserve">Washington Accelerated Learning Elem                        </t>
  </si>
  <si>
    <t xml:space="preserve">Woodland Health / Wellness Magnet Elem                      </t>
  </si>
  <si>
    <t xml:space="preserve">Jardine Technology Middle Magnet                            </t>
  </si>
  <si>
    <t xml:space="preserve">Horace Mann Dual Language Magnet                            </t>
  </si>
  <si>
    <t xml:space="preserve">Mayberry Cultural and Fine Arts Magnet Middle               </t>
  </si>
  <si>
    <t xml:space="preserve">Clearwater Intermediate - Middle School                     </t>
  </si>
  <si>
    <t xml:space="preserve">Dwight D. Eisenhower Middle School                          </t>
  </si>
  <si>
    <t xml:space="preserve">Mission Valley Junior and Senior High School                </t>
  </si>
  <si>
    <t xml:space="preserve">Jackson Heights High School and Middle School               </t>
  </si>
  <si>
    <t xml:space="preserve">Jefferson County North Elem/Middle                          </t>
  </si>
  <si>
    <t xml:space="preserve">Kinsley-Offerle Elementary Pre-K-5                          </t>
  </si>
  <si>
    <t xml:space="preserve">Baldwin Elementary Primary Center                           </t>
  </si>
  <si>
    <t xml:space="preserve">Baldwin Elementary Intermediate Center                      </t>
  </si>
  <si>
    <t xml:space="preserve">Swenson Early Childhood Education Center                    </t>
  </si>
  <si>
    <t xml:space="preserve">4847                </t>
  </si>
  <si>
    <t xml:space="preserve">Opportunity Academy                                         </t>
  </si>
  <si>
    <t xml:space="preserve">Atchison County Community Elementary School                 </t>
  </si>
  <si>
    <t xml:space="preserve">Atchison County Community JR/SR High                        </t>
  </si>
  <si>
    <t xml:space="preserve">Dwight D Eisenhower Middle School                           </t>
  </si>
  <si>
    <t xml:space="preserve">Altoona-Midway Middle/High School                           </t>
  </si>
  <si>
    <t xml:space="preserve">Otis-Bison Junior/Senior High School                        </t>
  </si>
  <si>
    <t xml:space="preserve">Council Grove Junior Senior High School                     </t>
  </si>
  <si>
    <t xml:space="preserve">21st Century Learning Academy/Kiowa County                  </t>
  </si>
  <si>
    <t xml:space="preserve">Garden City Alternate Education Center                      </t>
  </si>
  <si>
    <t xml:space="preserve">Glenwood Ridge Elementary School                            </t>
  </si>
  <si>
    <t xml:space="preserve">Wichita County Junior-Senior High School                    </t>
  </si>
  <si>
    <t xml:space="preserve">7435                </t>
  </si>
  <si>
    <t xml:space="preserve">Lansing Intermediate School                                 </t>
  </si>
  <si>
    <t xml:space="preserve">8011                </t>
  </si>
  <si>
    <t xml:space="preserve">Blackmore Elementary                                        </t>
  </si>
  <si>
    <t xml:space="preserve">Billy Mills Middle School                                   </t>
  </si>
  <si>
    <t xml:space="preserve">Williams Science and Fine Arts Magnet School                </t>
  </si>
  <si>
    <t xml:space="preserve">8805                </t>
  </si>
  <si>
    <t xml:space="preserve">Lenexa Hills Elementary                                     </t>
  </si>
  <si>
    <t>5.  Percent certified on April as provided by KSA 72-5143</t>
  </si>
  <si>
    <t>X Lower of Line 4 or Line 5 ...........................</t>
  </si>
  <si>
    <t>KSA 72-5143</t>
  </si>
  <si>
    <t>F195</t>
  </si>
  <si>
    <t>Preschool-Aged At-Risk</t>
  </si>
  <si>
    <t>C011-Preschool-Aged At-Risk</t>
  </si>
  <si>
    <t xml:space="preserve">  976 Preschool-Aged At-Risk</t>
  </si>
  <si>
    <t xml:space="preserve">  1980 Revenue From Preschool-Aged At-Risk</t>
  </si>
  <si>
    <t>13.  Total FTE adjusted enrollment. (Goes to page 1, line 1)</t>
  </si>
  <si>
    <t>TABLE IV</t>
  </si>
  <si>
    <t>Edit</t>
  </si>
  <si>
    <t>2018-19 Funded FTE</t>
  </si>
  <si>
    <t>2018-19 FTE incl 4YrAR</t>
  </si>
  <si>
    <t>9/20/18 FTE (ex 4YrAR)</t>
  </si>
  <si>
    <t>2/20/19 FTE (excl 4YR)</t>
  </si>
  <si>
    <t xml:space="preserve">&lt;--Adopted Local Option Budget, Line 6 or 7 of F155 </t>
  </si>
  <si>
    <t>Open - A9</t>
  </si>
  <si>
    <t>Open - A150</t>
  </si>
  <si>
    <t>Open - A151</t>
  </si>
  <si>
    <t>C06 - C27</t>
  </si>
  <si>
    <t>C06 - D27</t>
  </si>
  <si>
    <t>Form 150 - E56</t>
  </si>
  <si>
    <t>F150 - D48</t>
  </si>
  <si>
    <t>F150 - G249</t>
  </si>
  <si>
    <t>C06 - C25</t>
  </si>
  <si>
    <t>F246 - G61</t>
  </si>
  <si>
    <t>C06-D25</t>
  </si>
  <si>
    <t>F155 - J18</t>
  </si>
  <si>
    <t>Open - A14</t>
  </si>
  <si>
    <t>LOB% Cert</t>
  </si>
  <si>
    <t>5200 TRANSFER TO:</t>
  </si>
  <si>
    <t>(e)  Preschool-Aged At-Risk (4 yr old) students are counted as .5 FTE.  USD must be approved by the Kansas State Department</t>
  </si>
  <si>
    <t xml:space="preserve">Central Plains Jr. Sr. High School                          </t>
  </si>
  <si>
    <t xml:space="preserve">Long Island Middle School                                   </t>
  </si>
  <si>
    <t xml:space="preserve">0954                </t>
  </si>
  <si>
    <t xml:space="preserve">Woodland Spring Middle School                               </t>
  </si>
  <si>
    <t xml:space="preserve">0953                </t>
  </si>
  <si>
    <t xml:space="preserve">Canyon Creek Elementary                                     </t>
  </si>
  <si>
    <t xml:space="preserve">Minneapolis Jr-Sr High School                               </t>
  </si>
  <si>
    <t xml:space="preserve">Enders STEM and Leadership Magnet                           </t>
  </si>
  <si>
    <t xml:space="preserve">Natoma High (6-12)                                          </t>
  </si>
  <si>
    <t xml:space="preserve">Valley Heights Elementary - Waterville                      </t>
  </si>
  <si>
    <t xml:space="preserve">8407                </t>
  </si>
  <si>
    <t xml:space="preserve">Gloria Willis Middle School                                 </t>
  </si>
  <si>
    <t>C028 -  C17</t>
  </si>
  <si>
    <t>2019-20 Gen</t>
  </si>
  <si>
    <t>2019-20 Supp Gen</t>
  </si>
  <si>
    <t>2019-20 Adult Ed</t>
  </si>
  <si>
    <t>2019-20 Cap Out</t>
  </si>
  <si>
    <t>2019-20 Spec Liab</t>
  </si>
  <si>
    <t>2019-20 Sch Ret</t>
  </si>
  <si>
    <t>2019-20 B&amp;I #1</t>
  </si>
  <si>
    <t>2019-20 B&amp;I #2</t>
  </si>
  <si>
    <t>2019-20 No Fund Warr</t>
  </si>
  <si>
    <t>2019-20 Spec Ass</t>
  </si>
  <si>
    <t>2019-20 Temp Note</t>
  </si>
  <si>
    <t>2019-20 Hist Museum</t>
  </si>
  <si>
    <t>2019-20 Pub Lib Bd</t>
  </si>
  <si>
    <t>2019-20 Pub Lib Emp Ben</t>
  </si>
  <si>
    <t>2019-20 Rec Comm</t>
  </si>
  <si>
    <t>2019-20 Rec Comm Emp Ben</t>
  </si>
  <si>
    <t>2019-20 Extra Growth</t>
  </si>
  <si>
    <t>2019-20 Decl Enr</t>
  </si>
  <si>
    <t>2019-20 COL</t>
  </si>
  <si>
    <t xml:space="preserve">     610 General Supplies</t>
  </si>
  <si>
    <t>School Bus - Type A</t>
  </si>
  <si>
    <t>Passenger Vehicles*</t>
  </si>
  <si>
    <t>72-5160</t>
  </si>
  <si>
    <t>Average Salary-(OPTIONAL)</t>
  </si>
  <si>
    <t>E is the Adjusted FTE Enrollment (from Page 1, line 3)</t>
  </si>
  <si>
    <r>
      <t xml:space="preserve">(year, for example: </t>
    </r>
    <r>
      <rPr>
        <sz val="10"/>
        <color indexed="10"/>
        <rFont val="Arial"/>
        <family val="2"/>
      </rPr>
      <t>2021</t>
    </r>
    <r>
      <rPr>
        <sz val="10"/>
        <rFont val="Arial"/>
        <family val="2"/>
      </rPr>
      <t>)</t>
    </r>
  </si>
  <si>
    <r>
      <t xml:space="preserve">date that the Superintendent certifies the budget on the Certify page, example: </t>
    </r>
    <r>
      <rPr>
        <sz val="10"/>
        <color rgb="FFFF0000"/>
        <rFont val="Arial"/>
        <family val="2"/>
      </rPr>
      <t>8/1/2021</t>
    </r>
  </si>
  <si>
    <t>Open - A43</t>
  </si>
  <si>
    <t>Open - A44</t>
  </si>
  <si>
    <t>Open - A97</t>
  </si>
  <si>
    <t>Open - A119</t>
  </si>
  <si>
    <t>Open - A148</t>
  </si>
  <si>
    <t>Open - A149</t>
  </si>
  <si>
    <t>F242 - E39, E61</t>
  </si>
  <si>
    <t>F150 - G250</t>
  </si>
  <si>
    <t>Open - A68</t>
  </si>
  <si>
    <t>Open - A69</t>
  </si>
  <si>
    <t>Open - A70</t>
  </si>
  <si>
    <t>2019 Total Val</t>
  </si>
  <si>
    <t>2019 GF Val</t>
  </si>
  <si>
    <t>2019-20 Funded FTE</t>
  </si>
  <si>
    <t>2019-20 Sped</t>
  </si>
  <si>
    <t>2019-20 CTE Trans Aid</t>
  </si>
  <si>
    <t>CO Aid Rate</t>
  </si>
  <si>
    <t>2019-20 KPERS</t>
  </si>
  <si>
    <t>2019-20 FTE incl 4YrAR</t>
  </si>
  <si>
    <t>9/20/19 FTE (ex 4YrAR)</t>
  </si>
  <si>
    <t>2/20/20 FTE (excl 4YR)</t>
  </si>
  <si>
    <t>FY20 CO Aid</t>
  </si>
  <si>
    <t>FY20 PAT Aid</t>
  </si>
  <si>
    <t>FY20 GSA</t>
  </si>
  <si>
    <t>2020 PD Aid</t>
  </si>
  <si>
    <t>2019 CO Val</t>
  </si>
  <si>
    <t>60%</t>
  </si>
  <si>
    <t>Helps to determine the FTE and salary totals to enter on the Salaries worksheet.</t>
  </si>
  <si>
    <t>12.  Estimated Special Education Weighting.  Amount of Sp. Ed. Funding (f)</t>
  </si>
  <si>
    <t>State of Kansas</t>
  </si>
  <si>
    <t>Code 01 Line</t>
  </si>
  <si>
    <t>TABLE OF CONTENTS</t>
  </si>
  <si>
    <t>Special Liability Expense Fund</t>
  </si>
  <si>
    <t>Extraordinary Growth Facility</t>
  </si>
  <si>
    <t>Special Reserve Fund</t>
  </si>
  <si>
    <t>Gifts and Grants</t>
  </si>
  <si>
    <t>KPERS Special Retirement Contribution</t>
  </si>
  <si>
    <t>Textbook &amp; Student Material Revolving</t>
  </si>
  <si>
    <t>Activity Funds</t>
  </si>
  <si>
    <t xml:space="preserve">Total USD </t>
  </si>
  <si>
    <t>Total Other</t>
  </si>
  <si>
    <t>Final Assessed Valuation</t>
  </si>
  <si>
    <t>Received _____________________________________________________</t>
  </si>
  <si>
    <t>Reviewed by _________________________________________________</t>
  </si>
  <si>
    <t>Follow-up:    Yes ____________________  No ____________________</t>
  </si>
  <si>
    <t>Board President</t>
  </si>
  <si>
    <t>Resolutions of Levy Limits for Tax Funds</t>
  </si>
  <si>
    <t>2.  Adult Education</t>
  </si>
  <si>
    <t>(limit 5 years)</t>
  </si>
  <si>
    <t xml:space="preserve">3.  Historical Museum:  </t>
  </si>
  <si>
    <t>Tax Rate authorized by a petition dated</t>
  </si>
  <si>
    <t>4.  Public Library:</t>
  </si>
  <si>
    <t>5.  Recreation Commission:</t>
  </si>
  <si>
    <t>1.  Capital Outlay</t>
  </si>
  <si>
    <t>(Columns 1 through 5 must match Form 110)</t>
  </si>
  <si>
    <t>Code 04 Line</t>
  </si>
  <si>
    <t>Recreational Vehicle Tax</t>
  </si>
  <si>
    <t>Commercial Vehicle</t>
  </si>
  <si>
    <t>Adult Education Mill Levy</t>
  </si>
  <si>
    <t>Adult Education Computation</t>
  </si>
  <si>
    <t>Capital Outlay Mill Levy</t>
  </si>
  <si>
    <t>Capital Outlay Computation</t>
  </si>
  <si>
    <t>Date of Issue</t>
  </si>
  <si>
    <t>Interest Rate</t>
  </si>
  <si>
    <t>Amount of Bonds Issued</t>
  </si>
  <si>
    <t>Grand Total</t>
  </si>
  <si>
    <t>Bond Elections</t>
  </si>
  <si>
    <t>prior to July 1, 2015</t>
  </si>
  <si>
    <t>after July 1, 2015 &amp;
prior to June 30, 2017</t>
  </si>
  <si>
    <t>after July 1, 2017</t>
  </si>
  <si>
    <t>STATEMENT OF CONDITIONAL LEASE, LEASE–PURCHASE &amp; CERTIFICATE OF PARTICIPATION</t>
  </si>
  <si>
    <t>Date of Contract</t>
  </si>
  <si>
    <t>Other Charges in Contract</t>
  </si>
  <si>
    <t>1300 Tuition</t>
  </si>
  <si>
    <t>1980 Reimbursements</t>
  </si>
  <si>
    <t>1990 Miscellaneous</t>
  </si>
  <si>
    <t>3110 State Foundation Aid</t>
  </si>
  <si>
    <t>3130 Mineral Production Tax</t>
  </si>
  <si>
    <t>3205 Special Education Aid</t>
  </si>
  <si>
    <t>Total Expenditures &amp; Transfers</t>
  </si>
  <si>
    <t>USD Notes</t>
  </si>
  <si>
    <t>1000 Instruction</t>
  </si>
  <si>
    <t>100 Salaries</t>
  </si>
  <si>
    <t>110 Certified</t>
  </si>
  <si>
    <t>200 Employee Benefits</t>
  </si>
  <si>
    <t>220 Social Security</t>
  </si>
  <si>
    <t>290 Other</t>
  </si>
  <si>
    <t>400 Purchased Property Services</t>
  </si>
  <si>
    <t>500 Other Purchased Services</t>
  </si>
  <si>
    <t>560 Tuition</t>
  </si>
  <si>
    <t>590 Other</t>
  </si>
  <si>
    <t>600 Supplies</t>
  </si>
  <si>
    <t>644 Textbooks</t>
  </si>
  <si>
    <t>680 Miscellaneous Supplies</t>
  </si>
  <si>
    <t>800 Other</t>
  </si>
  <si>
    <t>2000 Support Services</t>
  </si>
  <si>
    <t>2100 Student Support Services</t>
  </si>
  <si>
    <t>2200 Instr Support Staff</t>
  </si>
  <si>
    <t>650 Technology Supplies</t>
  </si>
  <si>
    <t>2300 General Administration</t>
  </si>
  <si>
    <t>520 Insurance</t>
  </si>
  <si>
    <t>2400 School Administration</t>
  </si>
  <si>
    <t>210 Insurance</t>
  </si>
  <si>
    <t>411 Water/Sewer</t>
  </si>
  <si>
    <t>420 Cleaning</t>
  </si>
  <si>
    <t>430 Repairs &amp; Maintenance</t>
  </si>
  <si>
    <t>440 Rentals</t>
  </si>
  <si>
    <t>460 Repair of Buildings</t>
  </si>
  <si>
    <t>490 Other</t>
  </si>
  <si>
    <t>610 General Supplies</t>
  </si>
  <si>
    <t>620 Energy</t>
  </si>
  <si>
    <t>621 Heating</t>
  </si>
  <si>
    <t>622 Electricity</t>
  </si>
  <si>
    <t>629 Other</t>
  </si>
  <si>
    <t>2720 Supervision</t>
  </si>
  <si>
    <t>730 Equipment</t>
  </si>
  <si>
    <t>513 Contracting of Bus Services</t>
  </si>
  <si>
    <t>519 Mileage in Lieu of Trans</t>
  </si>
  <si>
    <t>626 Motor Fuel</t>
  </si>
  <si>
    <t>2790 Other Student Transportation Services</t>
  </si>
  <si>
    <t>4300 Architectural &amp; Engineering Services</t>
  </si>
  <si>
    <t>932 Adult Education</t>
  </si>
  <si>
    <t>936 Bilingual Education</t>
  </si>
  <si>
    <t>937 Virtual Education</t>
  </si>
  <si>
    <t>938 Capital Outlay</t>
  </si>
  <si>
    <t>940 Driver Training</t>
  </si>
  <si>
    <t>944 Food Service</t>
  </si>
  <si>
    <t>946 Professional Development</t>
  </si>
  <si>
    <t>948 Parent Education Program</t>
  </si>
  <si>
    <t>949 Summer School</t>
  </si>
  <si>
    <t>950 Special Education</t>
  </si>
  <si>
    <t>960 Special Reserve Fund</t>
  </si>
  <si>
    <t>963 Special Liability Expense Fund</t>
  </si>
  <si>
    <t>972 Contingency Reserve</t>
  </si>
  <si>
    <t>976 Preschool-Aged At-Risk</t>
  </si>
  <si>
    <t>978 At Risk (K-12)</t>
  </si>
  <si>
    <t>954 Career &amp; Postsecondary Education</t>
  </si>
  <si>
    <t>1900 Other Revenue from Local Source</t>
  </si>
  <si>
    <t>4000 Federal Sources</t>
  </si>
  <si>
    <t>3000 State Sources</t>
  </si>
  <si>
    <t>1000 Local Sources</t>
  </si>
  <si>
    <t>561 Tuition/Other State LEA's</t>
  </si>
  <si>
    <t>562 Tuition/Other Out-of-State LEA's</t>
  </si>
  <si>
    <t>Revenue vs. Expenditures/Transfers</t>
  </si>
  <si>
    <t>Special Ed Aid vs. Special Ed Transfer</t>
  </si>
  <si>
    <t xml:space="preserve"> Transfer to Special Ed must be greater than or equal to Special Education Aid</t>
  </si>
  <si>
    <t>120 Non-Certified</t>
  </si>
  <si>
    <t>934 Adult Supplemental Education</t>
  </si>
  <si>
    <t>943 Extraordinary School Program</t>
  </si>
  <si>
    <t xml:space="preserve">REVENUES              </t>
  </si>
  <si>
    <t>REVENUES</t>
  </si>
  <si>
    <t xml:space="preserve">4000 FEDERAL SOURCES - GRANTS             </t>
  </si>
  <si>
    <t xml:space="preserve">REVENUES      </t>
  </si>
  <si>
    <t>FEDERAL FUNDS</t>
  </si>
  <si>
    <t>PRESCHOOL-AGED AT-RISK</t>
  </si>
  <si>
    <t>AT-RISK (K-12)</t>
  </si>
  <si>
    <t>EXTRAORDINARY SCHOOL PROGRAM</t>
  </si>
  <si>
    <t>*All local resources should be accurately recorded in columns 1, 2, and 3.</t>
  </si>
  <si>
    <t>CAREER &amp; POSTSECONDARY EDUCATION</t>
  </si>
  <si>
    <t>GIFTS &amp; GRANTS</t>
  </si>
  <si>
    <t>Examples of funds to include:</t>
  </si>
  <si>
    <t>- Drug prevention grants from cities or counties</t>
  </si>
  <si>
    <t>- Gifts from booster clubs</t>
  </si>
  <si>
    <t>- Gifts from individuals</t>
  </si>
  <si>
    <t>- Gifts from foundations</t>
  </si>
  <si>
    <t>- Gifts/grants from other governmental units not included in the budget.</t>
  </si>
  <si>
    <t>- Gifts from businesses (includes money from pop sales)</t>
  </si>
  <si>
    <t>SPECIAL RESERVE</t>
  </si>
  <si>
    <t>KPERS SPECIAL RETIREMENT CONTRIBUTION</t>
  </si>
  <si>
    <t>TEXTBOOK &amp; STUDENT MATERIAL REVOLVING</t>
  </si>
  <si>
    <t>4591  Title I</t>
  </si>
  <si>
    <t>2014  $</t>
  </si>
  <si>
    <r>
      <rPr>
        <i/>
        <u/>
        <sz val="8"/>
        <rFont val="Arial"/>
        <family val="2"/>
      </rPr>
      <t>Note:</t>
    </r>
    <r>
      <rPr>
        <i/>
        <sz val="8"/>
        <rFont val="Arial"/>
        <family val="2"/>
      </rPr>
      <t xml:space="preserve"> The only monies reported on this form are funds administered at the district level.</t>
    </r>
  </si>
  <si>
    <t>*Include monetary gifts, private grants, and state grants that are administered by the Central Office.
Exclude activity funds administered at the building level or federal grants received by the school districts.</t>
  </si>
  <si>
    <r>
      <t xml:space="preserve">In accordance with 72-1178, all monies received from the sale of admissions to activities which the school district sponsors shall be credited to school activity funds in accordance with policies and procedures adopted by the board of education.  Such monies shall not be considered to be monies of the school district for the purposes of K.S.A. 72-1136, and amendments thereto.
The term "activities" means activities, events, and competitions in such fields as athletics, music, forensics, and dramatics, and other interschool or intraschool extracurricular activities in which pupils may participate directly or indirectly.
</t>
    </r>
    <r>
      <rPr>
        <b/>
        <i/>
        <sz val="8"/>
        <rFont val="Arial"/>
        <family val="2"/>
      </rPr>
      <t xml:space="preserve">This does not include student organizations or clubs. </t>
    </r>
  </si>
  <si>
    <r>
      <rPr>
        <b/>
        <i/>
        <u/>
        <sz val="8"/>
        <rFont val="Arial"/>
        <family val="2"/>
      </rPr>
      <t>Note:</t>
    </r>
    <r>
      <rPr>
        <b/>
        <i/>
        <sz val="8"/>
        <rFont val="Arial"/>
        <family val="2"/>
      </rPr>
      <t xml:space="preserve"> Use this form only if bond issues have levies based on different assessed valuations.</t>
    </r>
  </si>
  <si>
    <t xml:space="preserve">  4560 Aid, Regular (Restricted)</t>
  </si>
  <si>
    <t>BOND &amp; INTEREST #1</t>
  </si>
  <si>
    <t>Line 205/2020 Assessed Valuation (open Page) x 1000</t>
  </si>
  <si>
    <t>ß</t>
  </si>
  <si>
    <t>BOND &amp; INTEREST #2</t>
  </si>
  <si>
    <t>SPECIAL EDUCATION COOP</t>
  </si>
  <si>
    <t>(sponsoring district only)</t>
  </si>
  <si>
    <t>(only USD 446 &amp; 500)</t>
  </si>
  <si>
    <t>Est. tax rate for C062</t>
  </si>
  <si>
    <t>Est. tax rate for C063</t>
  </si>
  <si>
    <t>561 Tuition/other State LEA's</t>
  </si>
  <si>
    <t>565 Payment to Spec Education
      Coop/Interlocal (Flowthrough)</t>
  </si>
  <si>
    <r>
      <t xml:space="preserve">    530 Communications </t>
    </r>
    <r>
      <rPr>
        <sz val="8"/>
        <rFont val="Arial"/>
        <family val="2"/>
      </rPr>
      <t xml:space="preserve">(Telephone, postage, etc.)      </t>
    </r>
    <r>
      <rPr>
        <sz val="10"/>
        <rFont val="Arial"/>
        <family val="2"/>
      </rPr>
      <t xml:space="preserve">   </t>
    </r>
  </si>
  <si>
    <t>1620 Adult &amp; Student Sales
        (Non-Reimbursable Prog)</t>
  </si>
  <si>
    <t>1614 Student Sales (Snacks/Supper)</t>
  </si>
  <si>
    <t>1611 Student Sales (Lunch)</t>
  </si>
  <si>
    <t>1612 Student Sales (Breakfast)</t>
  </si>
  <si>
    <t>1613 Student Sales (Spec Milk)</t>
  </si>
  <si>
    <t>(Local Option)</t>
  </si>
  <si>
    <t>4593  Title II</t>
  </si>
  <si>
    <t>4602  Title IV</t>
  </si>
  <si>
    <t>2650 Vehicle Operations, Maintenance Services (Not Student Transportation)</t>
  </si>
  <si>
    <t xml:space="preserve">  2400 Motor Vehicle Tax (includes 16/20M Tax)</t>
  </si>
  <si>
    <t xml:space="preserve">  1700 Student Activities (reimbursement)</t>
  </si>
  <si>
    <t>PERCENT OF COLLECTION</t>
  </si>
  <si>
    <t xml:space="preserve">  300 Purchased Professional &amp; Technical Serv</t>
  </si>
  <si>
    <r>
      <t xml:space="preserve">    530 Communications </t>
    </r>
    <r>
      <rPr>
        <sz val="8"/>
        <rFont val="Arial"/>
        <family val="2"/>
      </rPr>
      <t>(telephone, postage, etc.)</t>
    </r>
  </si>
  <si>
    <t xml:space="preserve">Amount of </t>
  </si>
  <si>
    <t>2.  The General Fund levy must be 20 mills.  County clerks can't change this levy.</t>
  </si>
  <si>
    <t xml:space="preserve"> Date the Board adopted resolution</t>
  </si>
  <si>
    <t>2601 Operations &amp; Maintenance (Transportation)</t>
  </si>
  <si>
    <t>2. General Fund Assessed Valuation excludes $20,000 of appraised value on residential property.</t>
  </si>
  <si>
    <t>1. Exclude Assessed Valuation due to neighborhood revitalization act (KSA 12-1770, et sec.) and Tax Increment Financing.</t>
  </si>
  <si>
    <t>4595 ESSER I (CARES Act)</t>
  </si>
  <si>
    <t>3.  Date election was held to exceed 31%</t>
  </si>
  <si>
    <t>minus</t>
  </si>
  <si>
    <t>563 Tuition/Private Sources</t>
  </si>
  <si>
    <t>Interest Rate %</t>
  </si>
  <si>
    <t>Total Outright Purchase Price</t>
  </si>
  <si>
    <t>AM or PM</t>
  </si>
  <si>
    <t>City</t>
  </si>
  <si>
    <t>State</t>
  </si>
  <si>
    <t>Zip</t>
  </si>
  <si>
    <t>KS</t>
  </si>
  <si>
    <t>(City, State &amp; Zip)</t>
  </si>
  <si>
    <t>Time</t>
  </si>
  <si>
    <t>Location of Hearing</t>
  </si>
  <si>
    <t>Time of Hearing</t>
  </si>
  <si>
    <t>Month of Hearing</t>
  </si>
  <si>
    <t>Day of the Month of Hearing</t>
  </si>
  <si>
    <t>budget information is available at</t>
  </si>
  <si>
    <r>
      <t xml:space="preserve">(location budget information can be found on any day, for example: </t>
    </r>
    <r>
      <rPr>
        <sz val="10"/>
        <color indexed="10"/>
        <rFont val="Arial"/>
        <family val="2"/>
      </rPr>
      <t>district office</t>
    </r>
    <r>
      <rPr>
        <sz val="10"/>
        <rFont val="Arial"/>
        <family val="2"/>
      </rPr>
      <t>)</t>
    </r>
  </si>
  <si>
    <r>
      <t xml:space="preserve">(street address for location of meeting, for example: </t>
    </r>
    <r>
      <rPr>
        <sz val="10"/>
        <color indexed="10"/>
        <rFont val="Arial"/>
        <family val="2"/>
      </rPr>
      <t>131 East Commercial</t>
    </r>
    <r>
      <rPr>
        <sz val="10"/>
        <rFont val="Arial"/>
        <family val="2"/>
      </rPr>
      <t>)</t>
    </r>
  </si>
  <si>
    <r>
      <t xml:space="preserve">(time, for example: </t>
    </r>
    <r>
      <rPr>
        <sz val="10"/>
        <color indexed="10"/>
        <rFont val="Arial"/>
        <family val="2"/>
      </rPr>
      <t>8:30</t>
    </r>
    <r>
      <rPr>
        <sz val="10"/>
        <rFont val="Arial"/>
        <family val="2"/>
      </rPr>
      <t>)</t>
    </r>
  </si>
  <si>
    <r>
      <t xml:space="preserve">(Month spelled out, for example: </t>
    </r>
    <r>
      <rPr>
        <sz val="10"/>
        <color indexed="10"/>
        <rFont val="Arial"/>
        <family val="2"/>
      </rPr>
      <t>August</t>
    </r>
    <r>
      <rPr>
        <sz val="10"/>
        <rFont val="Arial"/>
        <family val="2"/>
      </rPr>
      <t>)</t>
    </r>
  </si>
  <si>
    <t>Fill out the Yellow cells in this box in order to populate the paragraph at the top of the Notice of Hearing (cell A4).</t>
  </si>
  <si>
    <t>Revenue Neutral Tax Rate</t>
  </si>
  <si>
    <t>Actual Tax Levied</t>
  </si>
  <si>
    <t>Actual Tax Rate</t>
  </si>
  <si>
    <t>Neutral Tax Rate</t>
  </si>
  <si>
    <t>Estimated Tax Levied</t>
  </si>
  <si>
    <t>Fill out the Yellow cells in this box in order to populate the paragraph at the top of the Property Tax Review (cell A91).</t>
  </si>
  <si>
    <t>(numerical day of month, for example: 7th)</t>
  </si>
  <si>
    <t>(Month spelled out, for example: August)</t>
  </si>
  <si>
    <t>(time, for example: 8:30)</t>
  </si>
  <si>
    <t>(street address for location of meeting, for example: 131 East Commercial)</t>
  </si>
  <si>
    <t>(location budget information can be found on any day, for example: district office)</t>
  </si>
  <si>
    <t>Approved by Board of Education on</t>
  </si>
  <si>
    <t>(date)</t>
  </si>
  <si>
    <t>NEW! for 2021-2022</t>
  </si>
  <si>
    <r>
      <t>COOPERATIVES</t>
    </r>
    <r>
      <rPr>
        <b/>
        <vertAlign val="superscript"/>
        <sz val="10"/>
        <rFont val="Arial"/>
        <family val="2"/>
      </rPr>
      <t>1</t>
    </r>
  </si>
  <si>
    <t>1. Sponsoring District Only</t>
  </si>
  <si>
    <t>*Tax Rates are expressed in Mills</t>
  </si>
  <si>
    <t>Form 195</t>
  </si>
  <si>
    <t>Form 239</t>
  </si>
  <si>
    <t>Form 243</t>
  </si>
  <si>
    <t>FORM 244</t>
  </si>
  <si>
    <t>FORM 246</t>
  </si>
  <si>
    <t>County Clerk's Use</t>
  </si>
  <si>
    <t>Certified Mill Rate</t>
  </si>
  <si>
    <t>5.  Estimated bond and interest fund state aid (Goes to Code 62)</t>
  </si>
  <si>
    <t>5.  Estimated bond and interest fund state aid (Goes to Code 63)</t>
  </si>
  <si>
    <t>(County Clerk's Use Only)</t>
  </si>
  <si>
    <t>Motor Vehicle Tax</t>
  </si>
  <si>
    <t>(includes 16/20M Tax)</t>
  </si>
  <si>
    <t>(total to spend or transfer)</t>
  </si>
  <si>
    <t xml:space="preserve">      563 Tuition/Private Sources</t>
  </si>
  <si>
    <t>2021-2022</t>
  </si>
  <si>
    <t>2019-2020</t>
  </si>
  <si>
    <t xml:space="preserve">    2018 $</t>
  </si>
  <si>
    <t>2019-20 Actual</t>
  </si>
  <si>
    <t>2019-20</t>
  </si>
  <si>
    <t>2021-22</t>
  </si>
  <si>
    <t>Jan. 20, 2022</t>
  </si>
  <si>
    <t>Mar. 20, 2022</t>
  </si>
  <si>
    <t>Sept. 20, 2022</t>
  </si>
  <si>
    <t>Oct. 31, 2022</t>
  </si>
  <si>
    <t>(July 2021 and October 2021)</t>
  </si>
  <si>
    <t xml:space="preserve">   Number of mills.  (Cannot exceed 8 mills.)</t>
  </si>
  <si>
    <t>TRANSPORTATION COSTS FOR SPECIAL EDUCATION</t>
  </si>
  <si>
    <t>FOR GENERAL FUND PURPOSES</t>
  </si>
  <si>
    <t>TOTAL USD EXPENDITURES</t>
  </si>
  <si>
    <t>NET USD EXPENDITURES</t>
  </si>
  <si>
    <t>TOTAL USD TAXES LEVIED</t>
  </si>
  <si>
    <t>Supplemental General (LOB)</t>
  </si>
  <si>
    <t>Public Library Board Employee Benefits</t>
  </si>
  <si>
    <t>TOTAL OTHER</t>
  </si>
  <si>
    <t>TOTAL USD DEBT</t>
  </si>
  <si>
    <t>Revenue Neutral (County Certification)</t>
  </si>
  <si>
    <t xml:space="preserve">State of Kansas </t>
  </si>
  <si>
    <t>Sub Total - All Other Funds</t>
  </si>
  <si>
    <t>ALL OTHER FUNDS</t>
  </si>
  <si>
    <t>~~~~~~~~~~</t>
  </si>
  <si>
    <t>~~~</t>
  </si>
  <si>
    <t>(KSA 72-5457)</t>
  </si>
  <si>
    <t>TEMPORARY NOTE</t>
  </si>
  <si>
    <t>*July - December estimate must be entered manually.</t>
  </si>
  <si>
    <t xml:space="preserve">    July - December Estimate *</t>
  </si>
  <si>
    <t>*Goes to Budget Line 175.</t>
  </si>
  <si>
    <t>Total Obj 100</t>
  </si>
  <si>
    <t>By Category</t>
  </si>
  <si>
    <t>EXTRAORDINARY GROWTH FACILITIES</t>
  </si>
  <si>
    <t>(Monies Not Included in Other Funds)</t>
  </si>
  <si>
    <t>TOTAL EXPENDITURES</t>
  </si>
  <si>
    <t>4000 Facility Acquisition &amp; Construction Serv</t>
  </si>
  <si>
    <t>Est. Tax Rate for C010:</t>
  </si>
  <si>
    <t>4605 ESSER II (CRRSA)</t>
  </si>
  <si>
    <t xml:space="preserve">     650 Supplies - Technology Software</t>
  </si>
  <si>
    <r>
      <t xml:space="preserve">1312 Individuals </t>
    </r>
    <r>
      <rPr>
        <sz val="8"/>
        <rFont val="Arial"/>
        <family val="2"/>
      </rPr>
      <t>(out of district)</t>
    </r>
  </si>
  <si>
    <r>
      <t xml:space="preserve">1410 Transportation Fees </t>
    </r>
    <r>
      <rPr>
        <sz val="8"/>
        <rFont val="Arial"/>
        <family val="2"/>
      </rPr>
      <t>(reimbursement)</t>
    </r>
  </si>
  <si>
    <r>
      <t xml:space="preserve">1700 Student Activities </t>
    </r>
    <r>
      <rPr>
        <sz val="8"/>
        <rFont val="Arial"/>
        <family val="2"/>
      </rPr>
      <t>(reimbursement)</t>
    </r>
  </si>
  <si>
    <r>
      <t xml:space="preserve">1910 User Charges </t>
    </r>
    <r>
      <rPr>
        <sz val="8"/>
        <rFont val="Arial"/>
        <family val="2"/>
      </rPr>
      <t>(reimbursement)</t>
    </r>
  </si>
  <si>
    <r>
      <t xml:space="preserve">C06, Line 175 </t>
    </r>
    <r>
      <rPr>
        <sz val="8"/>
        <rFont val="Arial"/>
        <family val="2"/>
      </rPr>
      <t>(total expenditures &amp; transfers entered for C06)</t>
    </r>
  </si>
  <si>
    <r>
      <t>Unencumbered Cash Balance</t>
    </r>
    <r>
      <rPr>
        <sz val="8"/>
        <rFont val="Arial"/>
        <family val="2"/>
      </rPr>
      <t xml:space="preserve"> (June 30)</t>
    </r>
  </si>
  <si>
    <r>
      <t>Line 120</t>
    </r>
    <r>
      <rPr>
        <sz val="8"/>
        <rFont val="Arial"/>
        <family val="2"/>
      </rPr>
      <t xml:space="preserve"> </t>
    </r>
  </si>
  <si>
    <r>
      <t xml:space="preserve">210 Insurance </t>
    </r>
    <r>
      <rPr>
        <sz val="8"/>
        <rFont val="Arial"/>
        <family val="2"/>
      </rPr>
      <t>(employee)</t>
    </r>
  </si>
  <si>
    <r>
      <t xml:space="preserve">610 General Supplemental </t>
    </r>
    <r>
      <rPr>
        <sz val="8"/>
        <rFont val="Arial"/>
        <family val="2"/>
      </rPr>
      <t>(teaching)</t>
    </r>
  </si>
  <si>
    <r>
      <t xml:space="preserve">650 Supplies </t>
    </r>
    <r>
      <rPr>
        <sz val="8"/>
        <rFont val="Arial"/>
        <family val="2"/>
      </rPr>
      <t>(technology related)</t>
    </r>
  </si>
  <si>
    <r>
      <t xml:space="preserve">700 Property </t>
    </r>
    <r>
      <rPr>
        <sz val="8"/>
        <rFont val="Arial"/>
        <family val="2"/>
      </rPr>
      <t>(equipment &amp; furnishings)</t>
    </r>
  </si>
  <si>
    <r>
      <t xml:space="preserve">640 Books </t>
    </r>
    <r>
      <rPr>
        <sz val="8"/>
        <rFont val="Arial"/>
        <family val="2"/>
      </rPr>
      <t>(not textbooks)</t>
    </r>
    <r>
      <rPr>
        <sz val="10"/>
        <rFont val="Arial"/>
        <family val="2"/>
      </rPr>
      <t xml:space="preserve"> &amp; Periodicals</t>
    </r>
  </si>
  <si>
    <r>
      <t xml:space="preserve">626 Motor Fuel </t>
    </r>
    <r>
      <rPr>
        <sz val="8"/>
        <rFont val="Arial"/>
        <family val="2"/>
      </rPr>
      <t>(not school bus)</t>
    </r>
  </si>
  <si>
    <r>
      <t xml:space="preserve">2601 Operations &amp; Maintenance </t>
    </r>
    <r>
      <rPr>
        <sz val="8"/>
        <rFont val="Arial"/>
        <family val="2"/>
      </rPr>
      <t>(transportation)</t>
    </r>
  </si>
  <si>
    <r>
      <t xml:space="preserve">442 Rent of Vehicles </t>
    </r>
    <r>
      <rPr>
        <sz val="8"/>
        <rFont val="Arial"/>
        <family val="2"/>
      </rPr>
      <t>(lease)</t>
    </r>
  </si>
  <si>
    <r>
      <t xml:space="preserve">730 Equipment </t>
    </r>
    <r>
      <rPr>
        <sz val="8"/>
        <rFont val="Arial"/>
        <family val="2"/>
      </rPr>
      <t>(including buses)</t>
    </r>
  </si>
  <si>
    <r>
      <rPr>
        <i/>
        <u/>
        <sz val="8"/>
        <rFont val="Arial"/>
        <family val="2"/>
      </rPr>
      <t>Budget Line 010:</t>
    </r>
    <r>
      <rPr>
        <i/>
        <sz val="8"/>
        <rFont val="Arial"/>
        <family val="2"/>
      </rPr>
      <t xml:space="preserve"> Includes programs such as, but not limited to, Migrant and/or Neglected/Delinquent as well as regular allocations.</t>
    </r>
  </si>
  <si>
    <r>
      <rPr>
        <i/>
        <u/>
        <sz val="8"/>
        <rFont val="Arial"/>
        <family val="2"/>
      </rPr>
      <t>Budget Line 015:</t>
    </r>
    <r>
      <rPr>
        <i/>
        <sz val="8"/>
        <rFont val="Arial"/>
        <family val="2"/>
      </rPr>
      <t xml:space="preserve"> Includes programs such as, but not limited to, Title II-A Supporting Effective Instruction and/or Title II-D Education Technology as well as regular allocations.</t>
    </r>
  </si>
  <si>
    <r>
      <rPr>
        <i/>
        <u/>
        <sz val="8"/>
        <rFont val="Arial"/>
        <family val="2"/>
      </rPr>
      <t>Budget Line 022:</t>
    </r>
    <r>
      <rPr>
        <i/>
        <sz val="8"/>
        <rFont val="Arial"/>
        <family val="2"/>
      </rPr>
      <t xml:space="preserve"> Includes Title IV, Part A (Student Support and Academic Grants) and Title VI, Part B (21st Century Community Learning Centers).</t>
    </r>
  </si>
  <si>
    <t>Cancellation of Prior Year Encumbrances</t>
  </si>
  <si>
    <t>~~~~~~~~~</t>
  </si>
  <si>
    <r>
      <rPr>
        <u/>
        <sz val="8"/>
        <rFont val="Arial"/>
        <family val="2"/>
      </rPr>
      <t>Budget Line 190:</t>
    </r>
    <r>
      <rPr>
        <sz val="8"/>
        <rFont val="Arial"/>
        <family val="2"/>
      </rPr>
      <t xml:space="preserve"> Line 170 minus Line 175</t>
    </r>
  </si>
  <si>
    <r>
      <rPr>
        <u/>
        <sz val="8"/>
        <rFont val="Arial"/>
        <family val="2"/>
      </rPr>
      <t>Budget Line 65:</t>
    </r>
    <r>
      <rPr>
        <sz val="8"/>
        <rFont val="Arial"/>
        <family val="2"/>
      </rPr>
      <t xml:space="preserve"> Include Psychiatric Residential Treatment Centers (PRTF)/Juvenile Detention Centers (JDC)/Flint Hills Job Corps payments, Teacher Mentoring Program payments, National Board Certified Teacher payments, Career &amp; Technical Education state aid (for students earning an industry recognized credential in a high-need occupation) and Evidence-Based Reading (PK-3) state aid.</t>
    </r>
  </si>
  <si>
    <r>
      <rPr>
        <u/>
        <sz val="8"/>
        <rFont val="Arial"/>
        <family val="2"/>
      </rPr>
      <t>Budget Line 145:</t>
    </r>
    <r>
      <rPr>
        <sz val="8"/>
        <rFont val="Arial"/>
        <family val="2"/>
      </rPr>
      <t xml:space="preserve"> Impact Aid should reflect 70% after deducts for special education, Indian, low-rent housing, heavily impacted and construction.</t>
    </r>
  </si>
  <si>
    <t xml:space="preserve">   4820 Impact Aid PL 382</t>
  </si>
  <si>
    <t>30,085</t>
  </si>
  <si>
    <t>LOB Election max % check</t>
  </si>
  <si>
    <t xml:space="preserve"> LOB Resolution max % check</t>
  </si>
  <si>
    <t>Form 0-135-118</t>
  </si>
  <si>
    <t>Form 0-135-148</t>
  </si>
  <si>
    <t xml:space="preserve">THUNDER RIDGE ELEMENTARY                                    </t>
  </si>
  <si>
    <t xml:space="preserve">THUNDER RIDGE HIGH SCHOOL                                   </t>
  </si>
  <si>
    <t xml:space="preserve">THUNDER RIDGE MIDDLE SCHOOL                                 </t>
  </si>
  <si>
    <t xml:space="preserve">Piper Prairie Elementary                                    </t>
  </si>
  <si>
    <t xml:space="preserve">Piper Creek Elementary                                      </t>
  </si>
  <si>
    <t xml:space="preserve">Southern Coffey County Elementary                           </t>
  </si>
  <si>
    <t xml:space="preserve">Southern Coffey County Middle School                        </t>
  </si>
  <si>
    <t xml:space="preserve">Southeast Middle School                                     </t>
  </si>
  <si>
    <t xml:space="preserve">Education Imagine Academy                                   </t>
  </si>
  <si>
    <t xml:space="preserve">2106                </t>
  </si>
  <si>
    <t xml:space="preserve">Stone Creek Elementary                                      </t>
  </si>
  <si>
    <t xml:space="preserve">3485                </t>
  </si>
  <si>
    <t xml:space="preserve">Rock Creek Middle School                                    </t>
  </si>
  <si>
    <t xml:space="preserve">Rock Creek High School                                      </t>
  </si>
  <si>
    <t xml:space="preserve">7046                </t>
  </si>
  <si>
    <t xml:space="preserve">Richard Warren Intermediate School                          </t>
  </si>
  <si>
    <t xml:space="preserve">Carl B. Bruce Middle School                                 </t>
  </si>
  <si>
    <t xml:space="preserve">8408                </t>
  </si>
  <si>
    <t xml:space="preserve">Lowell Brune Elementary School                              </t>
  </si>
  <si>
    <t xml:space="preserve">8409                </t>
  </si>
  <si>
    <t xml:space="preserve">West Park Elementary School                                 </t>
  </si>
  <si>
    <t xml:space="preserve">Avondale Academy                                            </t>
  </si>
  <si>
    <t>Form 0-135-155</t>
  </si>
  <si>
    <t>Form 0-135-162</t>
  </si>
  <si>
    <t>Total Income</t>
  </si>
  <si>
    <t>&lt;== This is an edit to confirm Total Annual Income.</t>
  </si>
  <si>
    <t>Form 0-135-194</t>
  </si>
  <si>
    <t>D.  Professional Development Aid (Approved Programs Only) - - Not Funded FY2022</t>
  </si>
  <si>
    <t>Form 0-135-242</t>
  </si>
  <si>
    <t>factor (from Table II)</t>
  </si>
  <si>
    <t>total general fund without spec ed =</t>
  </si>
  <si>
    <t>2. Estimated 2021-22 At-Risk (High Density) Weighted FTE [Form 150 Line 8)  =</t>
  </si>
  <si>
    <t>Form 0-135-242A</t>
  </si>
  <si>
    <r>
      <t xml:space="preserve">    1320 Other School District/Govt Sources </t>
    </r>
    <r>
      <rPr>
        <sz val="8"/>
        <rFont val="Arial"/>
        <family val="2"/>
      </rPr>
      <t>(</t>
    </r>
    <r>
      <rPr>
        <sz val="10"/>
        <rFont val="Arial"/>
        <family val="2"/>
      </rPr>
      <t>in-state</t>
    </r>
    <r>
      <rPr>
        <sz val="8"/>
        <rFont val="Arial"/>
        <family val="2"/>
      </rPr>
      <t>)</t>
    </r>
  </si>
  <si>
    <t xml:space="preserve">    Less: Transfers</t>
  </si>
  <si>
    <t>As required by Senate Bill 13 and Senate Sub for HB 2104, a resolution of the Revenue Neutral Tax Rate must be adopted by the board of education and posted on the home page of the school district's website.</t>
  </si>
  <si>
    <t>Virtual State Aid (KSA 72-3715)</t>
  </si>
  <si>
    <t>From General Fund to At-Risk K-12 Fund (2021 House Bill 2134)</t>
  </si>
  <si>
    <t>At-Risk and High Density At-Risk State Foundation Aid - Required Transfer</t>
  </si>
  <si>
    <t>3.  Estimated Virtual Credits* (20 years and older).</t>
  </si>
  <si>
    <t>4606 ESSER III (ARP)</t>
  </si>
  <si>
    <t>&lt;-- Student Activities "Admissions" should be reported in Code 56.</t>
  </si>
  <si>
    <t>&lt;-- Student Activities "Other Student Activity Income" should be reported in Code 56.</t>
  </si>
  <si>
    <t xml:space="preserve">  1790 Other Student Activity Income</t>
  </si>
  <si>
    <t>Line 840</t>
  </si>
  <si>
    <t>(transfer to Special Ed)</t>
  </si>
  <si>
    <t>Required Transfer to At-Risk (K-12) Fund</t>
  </si>
  <si>
    <t xml:space="preserve"> Transfer to At-Risk (K-12) must be greater than or equal to At-Risk State Aid</t>
  </si>
  <si>
    <t>Line 893</t>
  </si>
  <si>
    <t>(transfer to At-Risk [K-12])</t>
  </si>
  <si>
    <t>Form 150</t>
  </si>
  <si>
    <t>5.  See K.S.A. 79-2939, order #_____________________________ dated ___________/___________/___________.</t>
  </si>
  <si>
    <t>4.  Date the Board adopted Cost of Living Resolution authorized by 72-5159</t>
  </si>
  <si>
    <t>3240 Other State Grant</t>
  </si>
  <si>
    <t>Est. Tax Rate for C08:</t>
  </si>
  <si>
    <t xml:space="preserve">     from the form 150, Line 16</t>
  </si>
  <si>
    <t>(If D and E do not match, then either change Form 150, line 17 or change percent above.)</t>
  </si>
  <si>
    <t>Cell E17 can be overwritten if needed</t>
  </si>
  <si>
    <t>Cell E18 should be zero</t>
  </si>
  <si>
    <t>Cell E30 can be overwritten to ensure taxes received will be adequate for State Payment</t>
  </si>
  <si>
    <t>Form 195-Estimated State Aids for Drivers Ed, Motorcycle Safety and KPERS</t>
  </si>
  <si>
    <t>Amend Form</t>
  </si>
  <si>
    <t>Board Clerk</t>
  </si>
  <si>
    <t>Amount of Tax to be Levied</t>
  </si>
  <si>
    <t>Expenditures &amp; Transfers</t>
  </si>
  <si>
    <t>2.   Hold the hearing on amending the budget as scheduled in Step 1.</t>
  </si>
  <si>
    <t>- Certificate page (Code 01)</t>
  </si>
  <si>
    <t>- Proof of Publication</t>
  </si>
  <si>
    <t>- Individual fund budget for each fund being amended</t>
  </si>
  <si>
    <t>- Amend Form</t>
  </si>
  <si>
    <t>- Notice of Hearing (Code 99)</t>
  </si>
  <si>
    <t>Before amending the budget, be sure it is necessary.  Certain revenue is exempt from the budget law.  Also, remember that a budget cannot be amended after the year is completed.   An explanation may be included with the Notice of Hearing so taxpayers will understand why the Amendment is necessary.</t>
  </si>
  <si>
    <t>Fill out the Yellow cells in this box in order to populate the paragraph at the top of the Notice of Hearing (cell A5).</t>
  </si>
  <si>
    <t>January</t>
  </si>
  <si>
    <t>February</t>
  </si>
  <si>
    <t>March</t>
  </si>
  <si>
    <t>April</t>
  </si>
  <si>
    <t>May</t>
  </si>
  <si>
    <t>June</t>
  </si>
  <si>
    <t>July</t>
  </si>
  <si>
    <t>August</t>
  </si>
  <si>
    <t>September</t>
  </si>
  <si>
    <t>October</t>
  </si>
  <si>
    <t>November</t>
  </si>
  <si>
    <t>December</t>
  </si>
  <si>
    <t xml:space="preserve">1st </t>
  </si>
  <si>
    <t xml:space="preserve">2nd </t>
  </si>
  <si>
    <t xml:space="preserve">3rd </t>
  </si>
  <si>
    <t xml:space="preserve">4th </t>
  </si>
  <si>
    <t xml:space="preserve">5th </t>
  </si>
  <si>
    <t xml:space="preserve">6th </t>
  </si>
  <si>
    <t xml:space="preserve">7th </t>
  </si>
  <si>
    <t xml:space="preserve">8th </t>
  </si>
  <si>
    <t xml:space="preserve">9th </t>
  </si>
  <si>
    <t xml:space="preserve">10th </t>
  </si>
  <si>
    <t xml:space="preserve">11th </t>
  </si>
  <si>
    <t xml:space="preserve">12th </t>
  </si>
  <si>
    <t xml:space="preserve">13th </t>
  </si>
  <si>
    <t xml:space="preserve">14th </t>
  </si>
  <si>
    <t xml:space="preserve">15th </t>
  </si>
  <si>
    <t xml:space="preserve">16th </t>
  </si>
  <si>
    <t xml:space="preserve">17th </t>
  </si>
  <si>
    <t xml:space="preserve">18th </t>
  </si>
  <si>
    <t xml:space="preserve">19th </t>
  </si>
  <si>
    <t xml:space="preserve">20th </t>
  </si>
  <si>
    <t xml:space="preserve">21st </t>
  </si>
  <si>
    <t xml:space="preserve">22nd </t>
  </si>
  <si>
    <t xml:space="preserve">23rd </t>
  </si>
  <si>
    <t xml:space="preserve">24th </t>
  </si>
  <si>
    <t xml:space="preserve">25th </t>
  </si>
  <si>
    <t xml:space="preserve">26th </t>
  </si>
  <si>
    <t xml:space="preserve">27th </t>
  </si>
  <si>
    <t xml:space="preserve">28th </t>
  </si>
  <si>
    <t xml:space="preserve">29th </t>
  </si>
  <si>
    <t xml:space="preserve">30th </t>
  </si>
  <si>
    <t xml:space="preserve">31st </t>
  </si>
  <si>
    <t>1st</t>
  </si>
  <si>
    <t>2nd</t>
  </si>
  <si>
    <t>3rd</t>
  </si>
  <si>
    <t>4th</t>
  </si>
  <si>
    <t>5th</t>
  </si>
  <si>
    <t>6th</t>
  </si>
  <si>
    <t>7th</t>
  </si>
  <si>
    <t>8th</t>
  </si>
  <si>
    <t>9th</t>
  </si>
  <si>
    <t>10th</t>
  </si>
  <si>
    <t>11th</t>
  </si>
  <si>
    <t>12th</t>
  </si>
  <si>
    <t>13th</t>
  </si>
  <si>
    <t>14th</t>
  </si>
  <si>
    <t>15th</t>
  </si>
  <si>
    <t>16th</t>
  </si>
  <si>
    <t>17th</t>
  </si>
  <si>
    <t>18th</t>
  </si>
  <si>
    <t>19th</t>
  </si>
  <si>
    <t>20th</t>
  </si>
  <si>
    <t>21st</t>
  </si>
  <si>
    <t>22nd</t>
  </si>
  <si>
    <t>23rd</t>
  </si>
  <si>
    <t>24th</t>
  </si>
  <si>
    <t>25th</t>
  </si>
  <si>
    <t>26th</t>
  </si>
  <si>
    <t>27th</t>
  </si>
  <si>
    <t>28th</t>
  </si>
  <si>
    <t>29th</t>
  </si>
  <si>
    <t>(numerical day of month)</t>
  </si>
  <si>
    <t>(Month spelled out)</t>
  </si>
  <si>
    <t>(Year)</t>
  </si>
  <si>
    <t>(time)</t>
  </si>
  <si>
    <t>(street address for location of meeting)</t>
  </si>
  <si>
    <r>
      <t xml:space="preserve">Example: </t>
    </r>
    <r>
      <rPr>
        <sz val="10"/>
        <color rgb="FFFF0000"/>
        <rFont val="Arial"/>
        <family val="2"/>
      </rPr>
      <t>district office</t>
    </r>
  </si>
  <si>
    <t>(location budget information may be found on any day)</t>
  </si>
  <si>
    <t>- Include only funds being amended.  At least 10 days must elapse between Steps 1 and 2.</t>
  </si>
  <si>
    <t>Kansas State Department of Education:</t>
  </si>
  <si>
    <r>
      <t xml:space="preserve">3.   File one </t>
    </r>
    <r>
      <rPr>
        <b/>
        <u/>
        <sz val="10"/>
        <rFont val="Arial"/>
        <family val="2"/>
      </rPr>
      <t>electronic</t>
    </r>
    <r>
      <rPr>
        <sz val="10"/>
        <rFont val="Arial"/>
        <family val="2"/>
      </rPr>
      <t xml:space="preserve"> copy of the following with the County Clerk and one </t>
    </r>
    <r>
      <rPr>
        <b/>
        <u/>
        <sz val="10"/>
        <rFont val="Arial"/>
        <family val="2"/>
      </rPr>
      <t>paper</t>
    </r>
    <r>
      <rPr>
        <sz val="10"/>
        <rFont val="Arial"/>
        <family val="2"/>
      </rPr>
      <t xml:space="preserve"> copy of the following forms with School Finance at the </t>
    </r>
  </si>
  <si>
    <t>If you need more lines, unprotect sheet using password</t>
  </si>
  <si>
    <t>and insert extra lines needed.</t>
  </si>
  <si>
    <t xml:space="preserve">If yes, will the Board adopt at least a 31% Local Option Budget? </t>
  </si>
  <si>
    <t>Date the Board adopted Resolution as authorized by 72-5159.</t>
  </si>
  <si>
    <t xml:space="preserve">  4595 ESSER I</t>
  </si>
  <si>
    <t xml:space="preserve">  4605 ESSER II</t>
  </si>
  <si>
    <t>1985 State Aid Reimbursements</t>
  </si>
  <si>
    <t>16.  Estimated Cost of Living weighting (Must have 31% LOB)</t>
  </si>
  <si>
    <t>&lt;--Includes Virtual State Aid; Excludes Cost of Living</t>
  </si>
  <si>
    <t>&lt;--Includes Virtual State Aid and Cost of Living; Goes to Form 148 and C06</t>
  </si>
  <si>
    <t>In no event shall the transportation weighting of the school district result in the portion of such school district's state foundation aid attributable to the transportation</t>
  </si>
  <si>
    <t>weighting being in excess of 110% of such school district's total expenditures from all funds for transporting students for the immediately preceding school year.</t>
  </si>
  <si>
    <t>GENERAL FUND</t>
  </si>
  <si>
    <t>1.  Does the district qualify for the 3 yr Average?  (Due to military dependent children.)</t>
  </si>
  <si>
    <t>If you do not have a bond this year but have leftover money from last year, enter the negative amount in Budget Line 195 as a positive number on Budget Line 120 (Cash Basis Reserve).</t>
  </si>
  <si>
    <t>Budget amendments as authorized by K.S.A. 79-2929a are permitted to increase the original budget for previously unbudgeted increases in revenue other than ad valorem property taxes.
K.S.A. 79-2929a(b)… "All such budget information shall be filed electronically with the county clerk."</t>
  </si>
  <si>
    <t>10.00</t>
  </si>
  <si>
    <t>EMPLOYEE BENEFITS</t>
  </si>
  <si>
    <t>(Bond Elections After July 1, 2015 and Before June 30, 2017)</t>
  </si>
  <si>
    <r>
      <t xml:space="preserve">1330 Other School District/Govt Sources
        </t>
    </r>
    <r>
      <rPr>
        <sz val="8"/>
        <rFont val="Arial"/>
        <family val="2"/>
      </rPr>
      <t>(out-of-state)</t>
    </r>
  </si>
  <si>
    <r>
      <rPr>
        <b/>
        <i/>
        <u/>
        <sz val="8"/>
        <rFont val="Arial"/>
        <family val="2"/>
      </rPr>
      <t>Budget Line 20:</t>
    </r>
    <r>
      <rPr>
        <i/>
        <sz val="8"/>
        <rFont val="Arial"/>
        <family val="2"/>
      </rPr>
      <t xml:space="preserve"> If the USD levies for a Recreation Commission you must have a copy of the adopted Recreation Commission budget.</t>
    </r>
  </si>
  <si>
    <r>
      <rPr>
        <b/>
        <i/>
        <u/>
        <sz val="8"/>
        <rFont val="Arial"/>
        <family val="2"/>
      </rPr>
      <t>Budget Line 55:</t>
    </r>
    <r>
      <rPr>
        <i/>
        <sz val="8"/>
        <rFont val="Arial"/>
        <family val="2"/>
      </rPr>
      <t xml:space="preserve"> This would include regular allocations.</t>
    </r>
  </si>
  <si>
    <r>
      <rPr>
        <b/>
        <i/>
        <u/>
        <sz val="8"/>
        <rFont val="Arial"/>
        <family val="2"/>
      </rPr>
      <t>Budget Line 30:</t>
    </r>
    <r>
      <rPr>
        <i/>
        <sz val="8"/>
        <rFont val="Arial"/>
        <family val="2"/>
      </rPr>
      <t xml:space="preserve"> Interest on temporary notes only.</t>
    </r>
  </si>
  <si>
    <r>
      <rPr>
        <b/>
        <i/>
        <u/>
        <sz val="8"/>
        <rFont val="Arial"/>
        <family val="2"/>
      </rPr>
      <t>Budget Line 30</t>
    </r>
    <r>
      <rPr>
        <b/>
        <i/>
        <sz val="8"/>
        <rFont val="Arial"/>
        <family val="2"/>
      </rPr>
      <t>:</t>
    </r>
    <r>
      <rPr>
        <i/>
        <sz val="8"/>
        <rFont val="Arial"/>
        <family val="2"/>
      </rPr>
      <t xml:space="preserve"> Interest on Bond Proceeds only. Interest earned from the ad valorem must be deposited to any categorical fund.</t>
    </r>
  </si>
  <si>
    <r>
      <t xml:space="preserve">    530 Communications </t>
    </r>
    <r>
      <rPr>
        <sz val="8"/>
        <rFont val="Arial"/>
        <family val="2"/>
      </rPr>
      <t>(Telephone, postage, etc.)</t>
    </r>
  </si>
  <si>
    <t xml:space="preserve">  1964 Revenue From Adult Supplemental
          Education </t>
  </si>
  <si>
    <r>
      <rPr>
        <b/>
        <i/>
        <u/>
        <sz val="8"/>
        <rFont val="Arial"/>
        <family val="2"/>
      </rPr>
      <t>Budget Line 175:</t>
    </r>
    <r>
      <rPr>
        <i/>
        <sz val="8"/>
        <rFont val="Arial"/>
        <family val="2"/>
      </rPr>
      <t xml:space="preserve"> should be the amount the USD is utilizing from the State Board of Tax Appeals approved for Ancillary New Facilities weighting per KSA 72-5158.</t>
    </r>
  </si>
  <si>
    <t>(monies not included in other funds)</t>
  </si>
  <si>
    <r>
      <t xml:space="preserve">3228 Mental Health </t>
    </r>
    <r>
      <rPr>
        <sz val="8"/>
        <rFont val="Arial"/>
        <family val="2"/>
      </rPr>
      <t>(Community Mental Health)</t>
    </r>
  </si>
  <si>
    <r>
      <t xml:space="preserve">3229 Mental Health </t>
    </r>
    <r>
      <rPr>
        <sz val="8"/>
        <rFont val="Arial"/>
        <family val="2"/>
      </rPr>
      <t>(KS Dept of Health &amp; Env.)</t>
    </r>
  </si>
  <si>
    <r>
      <t xml:space="preserve">3227 Mental Health </t>
    </r>
    <r>
      <rPr>
        <sz val="8"/>
        <rFont val="Arial"/>
        <family val="2"/>
      </rPr>
      <t>(School Liaison)</t>
    </r>
  </si>
  <si>
    <r>
      <t xml:space="preserve">3231 Pre-K Pilot Grant </t>
    </r>
    <r>
      <rPr>
        <sz val="8"/>
        <rFont val="Arial"/>
        <family val="2"/>
      </rPr>
      <t>(CIF)</t>
    </r>
  </si>
  <si>
    <r>
      <t xml:space="preserve">4585 Pre-K Pilot Grant </t>
    </r>
    <r>
      <rPr>
        <sz val="8"/>
        <rFont val="Arial"/>
        <family val="2"/>
      </rPr>
      <t>(TANF)</t>
    </r>
  </si>
  <si>
    <r>
      <t xml:space="preserve">    1320 Other School District/Govt Sources
</t>
    </r>
    <r>
      <rPr>
        <sz val="8"/>
        <rFont val="Arial"/>
        <family val="2"/>
      </rPr>
      <t xml:space="preserve">                (in-state)</t>
    </r>
  </si>
  <si>
    <t xml:space="preserve">    640 Books (not textbooks) &amp; Periodicals </t>
  </si>
  <si>
    <r>
      <rPr>
        <b/>
        <i/>
        <u/>
        <sz val="8"/>
        <rFont val="Arial"/>
        <family val="2"/>
      </rPr>
      <t>Budget Line 175:</t>
    </r>
    <r>
      <rPr>
        <i/>
        <sz val="8"/>
        <rFont val="Arial"/>
        <family val="2"/>
      </rPr>
      <t xml:space="preserve"> should be the amount the USD is utilizing for Cost of Living weighting per KSA 72-5159.</t>
    </r>
  </si>
  <si>
    <r>
      <t xml:space="preserve">TAX REQUIRED </t>
    </r>
    <r>
      <rPr>
        <sz val="8"/>
        <rFont val="Arial"/>
        <family val="2"/>
      </rPr>
      <t>(Line 175 - Line 70)</t>
    </r>
  </si>
  <si>
    <r>
      <t xml:space="preserve">TAX REQUIRED </t>
    </r>
    <r>
      <rPr>
        <sz val="8"/>
        <rFont val="Arial"/>
        <family val="2"/>
      </rPr>
      <t>(Line 175-Line 70)</t>
    </r>
  </si>
  <si>
    <r>
      <rPr>
        <b/>
        <i/>
        <u/>
        <sz val="8"/>
        <rFont val="Arial"/>
        <family val="2"/>
      </rPr>
      <t>Budget Line 55:</t>
    </r>
    <r>
      <rPr>
        <i/>
        <sz val="8"/>
        <rFont val="Arial"/>
        <family val="2"/>
      </rPr>
      <t xml:space="preserve"> Includes regular allocations.</t>
    </r>
  </si>
  <si>
    <t>564 Payment to Spec Education
      Coop/Interlocal (Assessments)</t>
  </si>
  <si>
    <t xml:space="preserve">    640 Books (not textbooks) &amp; Periodicals   </t>
  </si>
  <si>
    <t xml:space="preserve">2730 Vehicle Services &amp; Maintenance Services </t>
  </si>
  <si>
    <t xml:space="preserve">  730 Equip (including buses)   </t>
  </si>
  <si>
    <t xml:space="preserve">      626 Motor Fuel  (not school bus)</t>
  </si>
  <si>
    <t xml:space="preserve">    640 Books (not textbooks) &amp; Periodicals</t>
  </si>
  <si>
    <t xml:space="preserve">    640 Books (not textbooks) &amp; Periodicals  </t>
  </si>
  <si>
    <t>1000 LOCAL SOURCES*</t>
  </si>
  <si>
    <t>TOTAL EXPENDITURES*</t>
  </si>
  <si>
    <t xml:space="preserve">    640 Books (not textbooks) &amp; Periodicals          </t>
  </si>
  <si>
    <r>
      <rPr>
        <b/>
        <i/>
        <u/>
        <sz val="8"/>
        <rFont val="Arial"/>
        <family val="2"/>
      </rPr>
      <t>Note:</t>
    </r>
    <r>
      <rPr>
        <i/>
        <sz val="8"/>
        <rFont val="Arial"/>
        <family val="2"/>
      </rPr>
      <t xml:space="preserve"> KSA 72-5160 removes authority to levy taxes effective July 1, 2018.</t>
    </r>
  </si>
  <si>
    <t xml:space="preserve">  626 Motor Fuel (not school bus)</t>
  </si>
  <si>
    <r>
      <t xml:space="preserve">    1320 Other School District/Govt Sources
            </t>
    </r>
    <r>
      <rPr>
        <sz val="8"/>
        <rFont val="Arial"/>
        <family val="2"/>
      </rPr>
      <t>(in-state)</t>
    </r>
  </si>
  <si>
    <r>
      <rPr>
        <b/>
        <i/>
        <u/>
        <sz val="8"/>
        <rFont val="Arial"/>
        <family val="2"/>
      </rPr>
      <t>Budget Line 196:</t>
    </r>
    <r>
      <rPr>
        <i/>
        <sz val="8"/>
        <rFont val="Arial"/>
        <family val="2"/>
      </rPr>
      <t xml:space="preserve"> pulls from Form 110, Table I, Line 2.</t>
    </r>
  </si>
  <si>
    <t xml:space="preserve">  730 Equipment (including buses)   </t>
  </si>
  <si>
    <t xml:space="preserve">  930 General (not ending balance)</t>
  </si>
  <si>
    <t>TOTAL EXPENDITURES &amp; TRANSFERS*</t>
  </si>
  <si>
    <t xml:space="preserve">  943 Extraordinary School Program</t>
  </si>
  <si>
    <r>
      <t xml:space="preserve">1320 Other School District/Govt Sources
        </t>
    </r>
    <r>
      <rPr>
        <sz val="8"/>
        <rFont val="Arial"/>
        <family val="2"/>
      </rPr>
      <t>(in-state)</t>
    </r>
  </si>
  <si>
    <t>300 Purchased Professional &amp; Tech Serv</t>
  </si>
  <si>
    <r>
      <t xml:space="preserve">530 Communications
      </t>
    </r>
    <r>
      <rPr>
        <sz val="8"/>
        <rFont val="Arial"/>
        <family val="2"/>
      </rPr>
      <t>(telephone, postage, etc.)</t>
    </r>
  </si>
  <si>
    <t>974 Textbook &amp; Student Materials
      Revolving Fund</t>
  </si>
  <si>
    <t>Est. Tax Rate</t>
  </si>
  <si>
    <t>~~~~~~</t>
  </si>
  <si>
    <t>Average Salaries</t>
  </si>
  <si>
    <t>*Certified (Licensed) - Superintendent; Assistant Superintendent; Administrative Assistants; Principals/ Assistant Principals; Directors/Supervisors Special Education; Directors/Supervisors of Health; Directors/Supervisors of VocEd; Instructional Coordinators/Supervisors; All Other Directors/Supervisors.</t>
  </si>
  <si>
    <t>** Non-Certified - Assistant Superintendents; Business Managers; Business Services (Directors/Coordinators/Supervisors); Food Service (Directors/Coordinators/Supervisors); Transportation (Directors/Coordinators/Supervisors); Custodial Maintenance (Directors/Coordinators/Supervisors); Other (Directors/Coordinators/Supervisors).</t>
  </si>
  <si>
    <t>*Practical Arts/Vocational Teachers; Special Education Teachers; Prekindergarten Teachers; Kindergarten Teachers; Reading Specialists/Teachers; All Other Teachers.</t>
  </si>
  <si>
    <t>Part-Time Teachers; Library Media Specialists; School Counselors; Clinical or School Psychologists; Speech Pathologists; Audiologists; Nurses (RN); Social Workers.</t>
  </si>
  <si>
    <t>**Attendance Services Staff; Library Media Aides; Security Officers; Regular Education Teacher Aides; Secretarial/Clerical; Special Education Paraprofessionals; Nurses (LPN); Food Service Workers; Custodians; Bus Drivers.</t>
  </si>
  <si>
    <t>Report total salary including employee reduction plans***,  supplemental, extra pay for summer school, and board paid fringe benefits (employer paid)****.</t>
  </si>
  <si>
    <r>
      <t xml:space="preserve">*FTE for Certified Administrators, Teachers and Other Certified (Licensed) Personnel is defined by the local school board.  </t>
    </r>
    <r>
      <rPr>
        <b/>
        <i/>
        <sz val="10"/>
        <rFont val="Arial Narrow"/>
        <family val="2"/>
      </rPr>
      <t>Generally</t>
    </r>
    <r>
      <rPr>
        <sz val="10"/>
        <rFont val="Arial Narrow"/>
        <family val="2"/>
      </rPr>
      <t xml:space="preserve"> FTE for teachers with a 9-10 month contract should be reported as 1.0; FTE for Principals with a 10-12 month contract should be reported as 1.0; FTE for Superintendents with a 12 month contract should be reported as 1.0.</t>
    </r>
  </si>
  <si>
    <t>***Employee reduction plans include benefits received by employees under a Section 125 Salary Reduction Agreement.  Does not include social security, workers' compensation, and unemployment insurance.</t>
  </si>
  <si>
    <t>****Board paid fringe benefits (employer paid) include group life, group health, disability income, accidental death and dismemberment, and hospital surgical, and/or medical expense insurance.  Does not include social security, workers' compensation, and unemployment insurance.</t>
  </si>
  <si>
    <t>~~~~~</t>
  </si>
  <si>
    <r>
      <rPr>
        <i/>
        <u/>
        <sz val="8"/>
        <rFont val="Arial"/>
        <family val="2"/>
      </rPr>
      <t>Fund 35:</t>
    </r>
    <r>
      <rPr>
        <i/>
        <sz val="8"/>
        <rFont val="Arial"/>
        <family val="2"/>
      </rPr>
      <t xml:space="preserve">  Includes private grants and grants from nonfederal sources.</t>
    </r>
  </si>
  <si>
    <r>
      <t>Enrollment (FTE)</t>
    </r>
    <r>
      <rPr>
        <vertAlign val="superscript"/>
        <sz val="10"/>
        <rFont val="Arial"/>
        <family val="2"/>
      </rPr>
      <t>1</t>
    </r>
  </si>
  <si>
    <r>
      <t>Amount per Pupil</t>
    </r>
    <r>
      <rPr>
        <vertAlign val="superscript"/>
        <sz val="10"/>
        <rFont val="Arial"/>
        <family val="2"/>
      </rPr>
      <t>2</t>
    </r>
  </si>
  <si>
    <t>1. FTE Enrollment is based on 9/20 and 2/20; including Preschool-Aged At-Risk (4 yr old) and Virtual.</t>
  </si>
  <si>
    <t>2. Amount per pupil excludes the following funds:  Special Assessment, Historical Museum, Public Library, Public Lib. Emp. Benefits, Recreation Commission and Rec. Comm. Emp. Benefits.</t>
  </si>
  <si>
    <t>Districts must send BASE to FHSU for students enrolled in their district and attending FHSU Math &amp; Science Academy.]</t>
  </si>
  <si>
    <t>**FTE Enrollment is based on 9/20 &amp; 2/20 and includes Preschool-Aged At-Risk (4 yr Old).  Beginning in 2017-2018, full-day kindergarten was funded as 1.0 FTE.  Includes virtual enrollment.</t>
  </si>
  <si>
    <t xml:space="preserve">*Amounts are available from the County Treasurer and are for all levy funds. </t>
  </si>
  <si>
    <t>(official levies from County Clerk)</t>
  </si>
  <si>
    <t>(in dollars from F110 prior year Budget)</t>
  </si>
  <si>
    <t>3.  TOTAL (2a + 2b + 2c + 2d + 2e + 2f)</t>
  </si>
  <si>
    <t>FOOD PROGRAM</t>
  </si>
  <si>
    <t xml:space="preserve">CHILD &amp; ADULT CARE </t>
  </si>
  <si>
    <t>7-1-21 to 6-30-22</t>
  </si>
  <si>
    <t>SERVICE PROGRAM</t>
  </si>
  <si>
    <t xml:space="preserve">SUMMER FOOD </t>
  </si>
  <si>
    <t xml:space="preserve">  1320 Payment from Other Districts/Govt
          Sources   </t>
  </si>
  <si>
    <t>School Year</t>
  </si>
  <si>
    <t>) ➗ 3 =</t>
  </si>
  <si>
    <t>F239 - E30</t>
  </si>
  <si>
    <t>Sumexpen C1648</t>
  </si>
  <si>
    <t>Sumexpen E1648</t>
  </si>
  <si>
    <t>Sumexpen H1648</t>
  </si>
  <si>
    <t>Sumexpen C1650</t>
  </si>
  <si>
    <t>Sumexpen E1650</t>
  </si>
  <si>
    <t>Sumexpen H1650</t>
  </si>
  <si>
    <t>2020 Total Val</t>
  </si>
  <si>
    <t>2020 GF Val</t>
  </si>
  <si>
    <t>2020-21 Gen Fund</t>
  </si>
  <si>
    <t>2020-21 Funded FTE</t>
  </si>
  <si>
    <t>2020-21 Sped</t>
  </si>
  <si>
    <t>2020-21 LOB Aid</t>
  </si>
  <si>
    <t>2020-21 CTE Trans Aid</t>
  </si>
  <si>
    <t>FY21 Free Meal</t>
  </si>
  <si>
    <t>FY21 Red Meal</t>
  </si>
  <si>
    <t>2020-21 KPERS</t>
  </si>
  <si>
    <t>FY21 KPERS Pmt</t>
  </si>
  <si>
    <t>2020-21 FTE incl 4YrAR</t>
  </si>
  <si>
    <t>FY22 COLA</t>
  </si>
  <si>
    <t>2020-21 Milt Dependent</t>
  </si>
  <si>
    <t>2020-21 Impact Aid</t>
  </si>
  <si>
    <t>9/20/20 FTE (ex 4YrAR)</t>
  </si>
  <si>
    <t>2/20/21 FTE (excl 4YR)</t>
  </si>
  <si>
    <t>FY21 CO Aid</t>
  </si>
  <si>
    <t>FY20 LOB Aid</t>
  </si>
  <si>
    <t>FY21 PAT Aid</t>
  </si>
  <si>
    <t>FY21 GSA</t>
  </si>
  <si>
    <t>2021 PD Aid</t>
  </si>
  <si>
    <t>2020 CO Val</t>
  </si>
  <si>
    <t>2020 PAT</t>
  </si>
  <si>
    <t>2018 Free Meals</t>
  </si>
  <si>
    <t>2019 Free Meals</t>
  </si>
  <si>
    <t>2020 Free Meals</t>
  </si>
  <si>
    <t>2018 Reduced</t>
  </si>
  <si>
    <t>2019 Reduced</t>
  </si>
  <si>
    <t>2020 Reduced</t>
  </si>
  <si>
    <t>331 - Kingman-Norwich</t>
  </si>
  <si>
    <t>2020-21 Gen</t>
  </si>
  <si>
    <t>2020-21 Supp Gen</t>
  </si>
  <si>
    <t>2020-21 Adult Ed</t>
  </si>
  <si>
    <t>2020-21 Cap Out</t>
  </si>
  <si>
    <t>2020-21 Spec Liab</t>
  </si>
  <si>
    <t>2020-21 Sch Ret</t>
  </si>
  <si>
    <t>2020-21 B&amp;I #1</t>
  </si>
  <si>
    <t>2020-21 B&amp;I #2</t>
  </si>
  <si>
    <t>2020-21 No Fund Warr</t>
  </si>
  <si>
    <t>2020-21 Spec Ass</t>
  </si>
  <si>
    <t>2020-21 Temp Note</t>
  </si>
  <si>
    <t>2020-21 Hist Museum</t>
  </si>
  <si>
    <t>2020-21 Pub Lib Bd</t>
  </si>
  <si>
    <t>2020-21 Pub Lib Emp Ben</t>
  </si>
  <si>
    <t>2020-21 Rec Comm</t>
  </si>
  <si>
    <t>2020-21 Rec Comm Emp Ben</t>
  </si>
  <si>
    <t>2020-21 Extra Growth</t>
  </si>
  <si>
    <t>2020-21 Decl Enr</t>
  </si>
  <si>
    <t>2020-21 COL</t>
  </si>
  <si>
    <t>&lt; Total revenue without State Foundation Aid</t>
  </si>
  <si>
    <t>&lt; Total State Foundation Aid</t>
  </si>
  <si>
    <t>5200 Transfers</t>
  </si>
  <si>
    <t>FTE Enrollment for All Students** (for information purposes only)</t>
  </si>
  <si>
    <t>SumExp - D1311</t>
  </si>
  <si>
    <t>SumExp - E1311</t>
  </si>
  <si>
    <t>SumExp - G1311</t>
  </si>
  <si>
    <t>SumExp - I1311</t>
  </si>
  <si>
    <t>Sum Exp - I1313</t>
  </si>
  <si>
    <t>Sum Exp -I1314</t>
  </si>
  <si>
    <t>cataid amount</t>
  </si>
  <si>
    <t>(Not applicable FY2022 forward until further notice - sjb)</t>
  </si>
  <si>
    <t>Comma separated amount in text (put comma in the text figure)</t>
  </si>
  <si>
    <t>For BDYR2023, I believe these can be deleted to clean up.  Needs confirmed.  Sjb</t>
  </si>
  <si>
    <t>(Table VI Line 3)</t>
  </si>
  <si>
    <r>
      <rPr>
        <sz val="14"/>
        <color theme="0"/>
        <rFont val="Arial"/>
        <family val="2"/>
      </rPr>
      <t>Budget Contents</t>
    </r>
    <r>
      <rPr>
        <b/>
        <sz val="14"/>
        <color theme="0"/>
        <rFont val="Arial"/>
        <family val="2"/>
      </rPr>
      <t xml:space="preserve">
</t>
    </r>
    <r>
      <rPr>
        <b/>
        <sz val="10"/>
        <color theme="0"/>
        <rFont val="Arial"/>
        <family val="2"/>
      </rPr>
      <t>(clicking on a link will take you directly to the worksheet)</t>
    </r>
  </si>
  <si>
    <r>
      <rPr>
        <b/>
        <sz val="10"/>
        <rFont val="Arial"/>
        <family val="2"/>
      </rPr>
      <t>Enrollment Data for Form 150</t>
    </r>
    <r>
      <rPr>
        <b/>
        <sz val="10"/>
        <color theme="0"/>
        <rFont val="Arial"/>
        <family val="2"/>
      </rPr>
      <t xml:space="preserve">           </t>
    </r>
    <r>
      <rPr>
        <b/>
        <sz val="9"/>
        <color rgb="FFFF0000"/>
        <rFont val="Arial"/>
        <family val="2"/>
      </rPr>
      <t>(excludes Virtual)</t>
    </r>
  </si>
  <si>
    <r>
      <t xml:space="preserve">[Cannot be used to generate general fund weightings other than BASE </t>
    </r>
    <r>
      <rPr>
        <b/>
        <i/>
        <u/>
        <sz val="9"/>
        <rFont val="Arial"/>
        <family val="2"/>
      </rPr>
      <t>and</t>
    </r>
    <r>
      <rPr>
        <i/>
        <sz val="9"/>
        <rFont val="Arial"/>
        <family val="2"/>
      </rPr>
      <t xml:space="preserve"> cannot be used for LOB authority.  </t>
    </r>
  </si>
  <si>
    <r>
      <t xml:space="preserve">Date the ELECTION was held to increase LOB authority. </t>
    </r>
    <r>
      <rPr>
        <b/>
        <sz val="9"/>
        <color rgb="FF0070C0"/>
        <rFont val="Arial"/>
        <family val="2"/>
      </rPr>
      <t xml:space="preserve"> (Goes to Code 01.)</t>
    </r>
  </si>
  <si>
    <r>
      <t xml:space="preserve">   Percent authorized. (Cannot Exceed 33%)</t>
    </r>
    <r>
      <rPr>
        <b/>
        <sz val="9"/>
        <color rgb="FF0070C0"/>
        <rFont val="Arial"/>
        <family val="2"/>
      </rPr>
      <t xml:space="preserve"> (Goes to Form 155, Line 2)</t>
    </r>
  </si>
  <si>
    <r>
      <t xml:space="preserve">   Expires (Enter </t>
    </r>
    <r>
      <rPr>
        <b/>
        <sz val="9"/>
        <color rgb="FF0070C0"/>
        <rFont val="Arial"/>
        <family val="2"/>
      </rPr>
      <t>year</t>
    </r>
    <r>
      <rPr>
        <sz val="9"/>
        <color rgb="FF0070C0"/>
        <rFont val="Arial"/>
        <family val="2"/>
      </rPr>
      <t xml:space="preserve"> it expires or 9999 for continuous and permanent.) </t>
    </r>
    <r>
      <rPr>
        <b/>
        <sz val="9"/>
        <color rgb="FF0070C0"/>
        <rFont val="Arial"/>
        <family val="2"/>
      </rPr>
      <t>(Goes to Form 155)</t>
    </r>
  </si>
  <si>
    <r>
      <t xml:space="preserve">   Percent authorized (cannot exceed 33%) </t>
    </r>
    <r>
      <rPr>
        <b/>
        <sz val="9"/>
        <color rgb="FF0070C0"/>
        <rFont val="Arial"/>
        <family val="2"/>
      </rPr>
      <t>(Goes to Form 155, Line 3)</t>
    </r>
  </si>
  <si>
    <r>
      <t xml:space="preserve">   Expires (Enter</t>
    </r>
    <r>
      <rPr>
        <b/>
        <sz val="9"/>
        <color rgb="FF0070C0"/>
        <rFont val="Arial"/>
        <family val="2"/>
      </rPr>
      <t xml:space="preserve"> year</t>
    </r>
    <r>
      <rPr>
        <sz val="9"/>
        <color rgb="FF0070C0"/>
        <rFont val="Arial"/>
        <family val="2"/>
      </rPr>
      <t xml:space="preserve"> it expires or 9999 for continuous and permanent.) </t>
    </r>
    <r>
      <rPr>
        <b/>
        <sz val="9"/>
        <color rgb="FF0070C0"/>
        <rFont val="Arial"/>
        <family val="2"/>
      </rPr>
      <t>(Goes to Form 155)</t>
    </r>
  </si>
  <si>
    <r>
      <t xml:space="preserve">&lt;-- Enter amount of Cost of Living to be utilized in  </t>
    </r>
    <r>
      <rPr>
        <b/>
        <sz val="10"/>
        <color rgb="FF0070C0"/>
        <rFont val="Arial"/>
        <family val="2"/>
      </rPr>
      <t>Cell E50</t>
    </r>
    <r>
      <rPr>
        <sz val="10"/>
        <color rgb="FF0070C0"/>
        <rFont val="Arial"/>
        <family val="2"/>
      </rPr>
      <t xml:space="preserve">.  USD </t>
    </r>
    <r>
      <rPr>
        <u/>
        <sz val="10"/>
        <color rgb="FF0070C0"/>
        <rFont val="Arial"/>
        <family val="2"/>
      </rPr>
      <t>must</t>
    </r>
    <r>
      <rPr>
        <sz val="10"/>
        <color rgb="FF0070C0"/>
        <rFont val="Arial"/>
        <family val="2"/>
      </rPr>
      <t xml:space="preserve"> have a Resolution approved by the Board.</t>
    </r>
  </si>
  <si>
    <r>
      <t xml:space="preserve">       </t>
    </r>
    <r>
      <rPr>
        <u/>
        <sz val="10"/>
        <rFont val="Arial"/>
        <family val="2"/>
      </rPr>
      <t>Density Figure Range</t>
    </r>
  </si>
  <si>
    <r>
      <t xml:space="preserve">4.  </t>
    </r>
    <r>
      <rPr>
        <b/>
        <sz val="10"/>
        <rFont val="Arial"/>
        <family val="2"/>
      </rPr>
      <t>Estimated Virtual State Aid (Lines 1 plus 2 plus 3)</t>
    </r>
  </si>
  <si>
    <r>
      <t xml:space="preserve">TABLE VI  </t>
    </r>
    <r>
      <rPr>
        <b/>
        <sz val="10"/>
        <color rgb="FFC00000"/>
        <rFont val="Arial"/>
        <family val="2"/>
      </rPr>
      <t>** (NEW) **</t>
    </r>
  </si>
  <si>
    <r>
      <t xml:space="preserve">      prior to </t>
    </r>
    <r>
      <rPr>
        <b/>
        <sz val="10"/>
        <rFont val="Arial"/>
        <family val="2"/>
      </rPr>
      <t>July 1, 2015</t>
    </r>
    <r>
      <rPr>
        <sz val="10"/>
        <rFont val="Arial"/>
        <family val="2"/>
      </rPr>
      <t xml:space="preserve"> and bond money was used for construction of new facilities or new schools that were built primarily with federal funds</t>
    </r>
  </si>
  <si>
    <r>
      <rPr>
        <b/>
        <i/>
        <u/>
        <sz val="8"/>
        <rFont val="Arial"/>
        <family val="2"/>
      </rPr>
      <t>Note:</t>
    </r>
    <r>
      <rPr>
        <i/>
        <sz val="8"/>
        <rFont val="Arial"/>
        <family val="2"/>
      </rPr>
      <t xml:space="preserve"> Minimum adopted LOB must be 15% of LOB Base General Fund.</t>
    </r>
  </si>
  <si>
    <r>
      <t xml:space="preserve">(2)(A) The amount that is proportional to that amount of such school district's total foundation aid </t>
    </r>
    <r>
      <rPr>
        <i/>
        <u/>
        <sz val="10"/>
        <rFont val="Arial"/>
        <family val="2"/>
      </rPr>
      <t>attributable to the</t>
    </r>
    <r>
      <rPr>
        <i/>
        <sz val="10"/>
        <rFont val="Arial"/>
        <family val="2"/>
      </rPr>
      <t xml:space="preserve"> </t>
    </r>
  </si>
  <si>
    <r>
      <rPr>
        <i/>
        <u/>
        <sz val="10"/>
        <rFont val="Arial"/>
        <family val="2"/>
      </rPr>
      <t>at-risk weighting</t>
    </r>
    <r>
      <rPr>
        <i/>
        <sz val="10"/>
        <rFont val="Arial"/>
        <family val="2"/>
      </rPr>
      <t xml:space="preserve"> as compared to such district's total foundation aid shall be transferred </t>
    </r>
    <r>
      <rPr>
        <i/>
        <u/>
        <sz val="10"/>
        <rFont val="Arial"/>
        <family val="2"/>
      </rPr>
      <t>from</t>
    </r>
    <r>
      <rPr>
        <i/>
        <sz val="10"/>
        <rFont val="Arial"/>
        <family val="2"/>
      </rPr>
      <t xml:space="preserve"> the supplemental</t>
    </r>
  </si>
  <si>
    <r>
      <t xml:space="preserve">general fund </t>
    </r>
    <r>
      <rPr>
        <i/>
        <u/>
        <sz val="10"/>
        <rFont val="Arial"/>
        <family val="2"/>
      </rPr>
      <t>to</t>
    </r>
    <r>
      <rPr>
        <i/>
        <sz val="10"/>
        <rFont val="Arial"/>
        <family val="2"/>
      </rPr>
      <t xml:space="preserve"> the K-12 At-Risk fund of such school district.</t>
    </r>
  </si>
  <si>
    <r>
      <t xml:space="preserve">(2)(B) The amount that is proportional to that amount of such school district's total foundation aid </t>
    </r>
    <r>
      <rPr>
        <i/>
        <u/>
        <sz val="10"/>
        <rFont val="Arial"/>
        <family val="2"/>
      </rPr>
      <t>attributable to the</t>
    </r>
  </si>
  <si>
    <r>
      <rPr>
        <i/>
        <u/>
        <sz val="10"/>
        <rFont val="Arial"/>
        <family val="2"/>
      </rPr>
      <t>bilingual weighting</t>
    </r>
    <r>
      <rPr>
        <i/>
        <sz val="10"/>
        <rFont val="Arial"/>
        <family val="2"/>
      </rPr>
      <t xml:space="preserve"> as compared to such district's total foundation aid shall be transferred </t>
    </r>
    <r>
      <rPr>
        <i/>
        <u/>
        <sz val="10"/>
        <rFont val="Arial"/>
        <family val="2"/>
      </rPr>
      <t>from</t>
    </r>
    <r>
      <rPr>
        <i/>
        <sz val="10"/>
        <rFont val="Arial"/>
        <family val="2"/>
      </rPr>
      <t xml:space="preserve"> the supplemental</t>
    </r>
  </si>
  <si>
    <r>
      <t xml:space="preserve">general fund </t>
    </r>
    <r>
      <rPr>
        <i/>
        <u/>
        <sz val="10"/>
        <rFont val="Arial"/>
        <family val="2"/>
      </rPr>
      <t>to</t>
    </r>
    <r>
      <rPr>
        <i/>
        <sz val="10"/>
        <rFont val="Arial"/>
        <family val="2"/>
      </rPr>
      <t xml:space="preserve"> the bilingual education fund of such school district.</t>
    </r>
  </si>
  <si>
    <r>
      <t>General</t>
    </r>
    <r>
      <rPr>
        <vertAlign val="superscript"/>
        <sz val="10"/>
        <rFont val="Arial"/>
        <family val="2"/>
      </rPr>
      <t>1</t>
    </r>
  </si>
  <si>
    <r>
      <t>20.000</t>
    </r>
    <r>
      <rPr>
        <vertAlign val="superscript"/>
        <sz val="10"/>
        <rFont val="Arial"/>
        <family val="2"/>
      </rPr>
      <t>2</t>
    </r>
  </si>
  <si>
    <r>
      <t>Supplemental General (LOB)</t>
    </r>
    <r>
      <rPr>
        <vertAlign val="superscript"/>
        <sz val="10"/>
        <rFont val="Arial"/>
        <family val="2"/>
      </rPr>
      <t>3</t>
    </r>
  </si>
  <si>
    <r>
      <t>Cost of Living</t>
    </r>
    <r>
      <rPr>
        <vertAlign val="superscript"/>
        <sz val="10"/>
        <rFont val="Arial"/>
        <family val="2"/>
      </rPr>
      <t>4</t>
    </r>
  </si>
  <si>
    <r>
      <t>No Fund Warrant</t>
    </r>
    <r>
      <rPr>
        <vertAlign val="superscript"/>
        <sz val="10"/>
        <rFont val="Arial"/>
        <family val="2"/>
      </rPr>
      <t>5</t>
    </r>
  </si>
  <si>
    <r>
      <t>General Fund</t>
    </r>
    <r>
      <rPr>
        <vertAlign val="superscript"/>
        <sz val="10"/>
        <rFont val="Arial"/>
        <family val="2"/>
      </rPr>
      <t>2</t>
    </r>
  </si>
  <si>
    <r>
      <t>Other Funds</t>
    </r>
    <r>
      <rPr>
        <vertAlign val="superscript"/>
        <sz val="10"/>
        <rFont val="Arial"/>
        <family val="2"/>
      </rPr>
      <t>1</t>
    </r>
  </si>
  <si>
    <r>
      <rPr>
        <i/>
        <u/>
        <sz val="8"/>
        <rFont val="Arial"/>
        <family val="2"/>
      </rPr>
      <t>Note:</t>
    </r>
    <r>
      <rPr>
        <i/>
        <sz val="8"/>
        <rFont val="Arial"/>
        <family val="2"/>
      </rPr>
      <t xml:space="preserve"> For any new resolutions dated 7-1-2005 and after, the mill rate may not exceed 8 mills in total.</t>
    </r>
  </si>
  <si>
    <r>
      <rPr>
        <i/>
        <u/>
        <sz val="8"/>
        <rFont val="Arial"/>
        <family val="2"/>
      </rPr>
      <t>Note:</t>
    </r>
    <r>
      <rPr>
        <i/>
        <sz val="8"/>
        <rFont val="Arial"/>
        <family val="2"/>
      </rPr>
      <t xml:space="preserve"> The USD must have a copy of the separate recreation commission budget before making this levy.</t>
    </r>
  </si>
  <si>
    <r>
      <rPr>
        <u/>
        <sz val="8"/>
        <rFont val="Arial"/>
        <family val="2"/>
      </rPr>
      <t>Note:</t>
    </r>
    <r>
      <rPr>
        <sz val="8"/>
        <rFont val="Arial"/>
        <family val="2"/>
      </rPr>
      <t xml:space="preserve"> If Bond and Interest levies are based on different assessed valuations due to territory changes, show such bond issues as a separate group.  Use Bond and Interest #2 (C063) for these bond issues.</t>
    </r>
  </si>
  <si>
    <r>
      <rPr>
        <u/>
        <sz val="10"/>
        <color rgb="FF000000"/>
        <rFont val="Arial"/>
        <family val="2"/>
      </rPr>
      <t>Notes:</t>
    </r>
    <r>
      <rPr>
        <sz val="10"/>
        <color rgb="FF000000"/>
        <rFont val="Arial"/>
        <family val="2"/>
      </rPr>
      <t xml:space="preserve">
The Grand Total of Principal Outstanding on 7/1 (column 4) should equal what is entered on the Open page for </t>
    </r>
    <r>
      <rPr>
        <b/>
        <sz val="10"/>
        <color rgb="FF000000"/>
        <rFont val="Arial"/>
        <family val="2"/>
      </rPr>
      <t>Bonded Indebtedness - General Obligation Bonds</t>
    </r>
    <r>
      <rPr>
        <sz val="10"/>
        <color rgb="FF000000"/>
        <rFont val="Arial"/>
        <family val="2"/>
      </rPr>
      <t>.  If not, an error message will appear below.  To correct, edit the amount entered on the Open page or the data entered on Code 05.</t>
    </r>
  </si>
  <si>
    <r>
      <t xml:space="preserve">C05 Grand Total </t>
    </r>
    <r>
      <rPr>
        <sz val="8"/>
        <rFont val="Arial"/>
        <family val="2"/>
      </rPr>
      <t>(column 4)</t>
    </r>
  </si>
  <si>
    <r>
      <t xml:space="preserve">OPEN Page </t>
    </r>
    <r>
      <rPr>
        <sz val="8"/>
        <rFont val="Arial"/>
        <family val="2"/>
      </rPr>
      <t>(General Obligation Bonds)</t>
    </r>
  </si>
  <si>
    <r>
      <rPr>
        <u/>
        <sz val="10"/>
        <rFont val="Arial"/>
        <family val="2"/>
      </rPr>
      <t>Note:</t>
    </r>
    <r>
      <rPr>
        <sz val="10"/>
        <rFont val="Arial"/>
        <family val="2"/>
      </rPr>
      <t xml:space="preserve"> If you are merely leasing/renting with no intent to purchase, do not list as those types of transactions as they are not considered lease-purchases.</t>
    </r>
  </si>
  <si>
    <r>
      <t xml:space="preserve">Term of Contract
</t>
    </r>
    <r>
      <rPr>
        <sz val="8"/>
        <rFont val="Arial"/>
        <family val="2"/>
      </rPr>
      <t>(Months)</t>
    </r>
  </si>
  <si>
    <r>
      <t xml:space="preserve">Total Amount Financed
</t>
    </r>
    <r>
      <rPr>
        <sz val="8"/>
        <rFont val="Arial"/>
        <family val="2"/>
      </rPr>
      <t>(Beginning Principal)</t>
    </r>
  </si>
  <si>
    <t>No</t>
  </si>
  <si>
    <t>PM</t>
  </si>
  <si>
    <t>Smith Center</t>
  </si>
  <si>
    <t>216 S. Jefferson</t>
  </si>
  <si>
    <t>District Office</t>
  </si>
  <si>
    <t>6:50</t>
  </si>
  <si>
    <t>6:40</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</si>
</sst>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5" formatCode="&quot;$&quot;#,##0_);\(&quot;$&quot;#,##0\)"/>
    <numFmt numFmtId="6" formatCode="&quot;$&quot;#,##0_);[Red]\(&quot;$&quot;#,##0\)"/>
    <numFmt numFmtId="7" formatCode="&quot;$&quot;#,##0.00_);\(&quot;$&quot;#,##0.00\)"/>
    <numFmt numFmtId="8" formatCode="&quot;$&quot;#,##0.00_);[Red]\(&quot;$&quot;#,##0.00\)"/>
    <numFmt numFmtId="43" formatCode="_(* #,##0.00_);_(* \(#,##0.00\);_(* &quot;-&quot;??_);_(@_)"/>
    <numFmt numFmtId="164" formatCode="000"/>
    <numFmt numFmtId="165" formatCode="#################"/>
    <numFmt numFmtId="166" formatCode="0.0"/>
    <numFmt numFmtId="167" formatCode="#,##0.0"/>
    <numFmt numFmtId="168" formatCode="&quot;$&quot;#,##0"/>
    <numFmt numFmtId="169" formatCode="0.000"/>
    <numFmt numFmtId="170" formatCode="m/yyyy"/>
    <numFmt numFmtId="171" formatCode="\(0\)"/>
    <numFmt numFmtId="172" formatCode="00"/>
    <numFmt numFmtId="173" formatCode="0.0000"/>
    <numFmt numFmtId="174" formatCode="[$-409]mmmm\ d\,\ yyyy;@"/>
    <numFmt numFmtId="175" formatCode="#,##0.0_);\(#,##0.0\)"/>
    <numFmt numFmtId="176" formatCode="0.#0"/>
    <numFmt numFmtId="177" formatCode="[$-10409]##.000"/>
    <numFmt numFmtId="178" formatCode="0.00000"/>
    <numFmt numFmtId="179" formatCode="0.000000"/>
    <numFmt numFmtId="180" formatCode="m/yy"/>
    <numFmt numFmtId="181" formatCode="\(##\)"/>
    <numFmt numFmtId="182" formatCode="\ \(##\)"/>
    <numFmt numFmtId="183" formatCode="0_);\(0\)"/>
    <numFmt numFmtId="184" formatCode="0."/>
    <numFmt numFmtId="185" formatCode=".0000"/>
    <numFmt numFmtId="186" formatCode=".00"/>
    <numFmt numFmtId="187" formatCode="m/d/yyyy;@"/>
    <numFmt numFmtId="188" formatCode="#,##0.0000"/>
    <numFmt numFmtId="189" formatCode="###0.0"/>
    <numFmt numFmtId="190" formatCode="####.#"/>
    <numFmt numFmtId="191" formatCode="#,##0.#"/>
    <numFmt numFmtId="192" formatCode="0000"/>
    <numFmt numFmtId="193" formatCode="#,##0.000"/>
    <numFmt numFmtId="194" formatCode="#,##0.000000"/>
    <numFmt numFmtId="195" formatCode="0.000_);\(0.000\)"/>
    <numFmt numFmtId="196" formatCode="[$-10409]#0.00"/>
  </numFmts>
  <fonts count="23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Geneva"/>
      <family val="2"/>
    </font>
    <font>
      <b/>
      <sz val="12"/>
      <name val="Arial"/>
      <family val="2"/>
    </font>
    <font>
      <b/>
      <sz val="10"/>
      <name val="Arial"/>
      <family val="2"/>
    </font>
    <font>
      <sz val="10"/>
      <color indexed="8"/>
      <name val="Arial"/>
      <family val="2"/>
    </font>
    <font>
      <sz val="9"/>
      <name val="Arial"/>
      <family val="2"/>
    </font>
    <font>
      <sz val="10"/>
      <name val="Arial"/>
      <family val="2"/>
    </font>
    <font>
      <i/>
      <sz val="10"/>
      <name val="Arial"/>
      <family val="2"/>
    </font>
    <font>
      <sz val="10"/>
      <color indexed="10"/>
      <name val="Arial"/>
      <family val="2"/>
    </font>
    <font>
      <sz val="10"/>
      <color indexed="10"/>
      <name val="Arial"/>
      <family val="2"/>
    </font>
    <font>
      <sz val="11"/>
      <name val="Arial"/>
      <family val="2"/>
    </font>
    <font>
      <sz val="8"/>
      <color indexed="81"/>
      <name val="Tahoma"/>
      <family val="2"/>
    </font>
    <font>
      <sz val="12"/>
      <name val="Arial"/>
      <family val="2"/>
    </font>
    <font>
      <i/>
      <sz val="11"/>
      <name val="Arial"/>
      <family val="2"/>
    </font>
    <font>
      <b/>
      <sz val="10"/>
      <name val="Arial"/>
      <family val="2"/>
    </font>
    <font>
      <sz val="10"/>
      <color indexed="81"/>
      <name val="Geneva"/>
      <family val="2"/>
    </font>
    <font>
      <sz val="9"/>
      <color indexed="81"/>
      <name val="Geneva"/>
      <family val="2"/>
    </font>
    <font>
      <b/>
      <sz val="10"/>
      <color indexed="81"/>
      <name val="Geneva"/>
      <family val="2"/>
    </font>
    <font>
      <sz val="11"/>
      <name val="Arial"/>
      <family val="2"/>
    </font>
    <font>
      <b/>
      <sz val="10"/>
      <color indexed="10"/>
      <name val="Arial"/>
      <family val="2"/>
    </font>
    <font>
      <i/>
      <sz val="10"/>
      <name val="Arial"/>
      <family val="2"/>
    </font>
    <font>
      <b/>
      <sz val="11"/>
      <color indexed="10"/>
      <name val="Arial"/>
      <family val="2"/>
    </font>
    <font>
      <b/>
      <sz val="11"/>
      <name val="Arial"/>
      <family val="2"/>
    </font>
    <font>
      <u/>
      <sz val="10"/>
      <color indexed="12"/>
      <name val="Geneva"/>
      <family val="2"/>
    </font>
    <font>
      <sz val="10"/>
      <name val="Times"/>
      <family val="1"/>
    </font>
    <font>
      <sz val="5"/>
      <name val="Arial"/>
      <family val="2"/>
    </font>
    <font>
      <sz val="11"/>
      <color indexed="10"/>
      <name val="Arial"/>
      <family val="2"/>
    </font>
    <font>
      <i/>
      <sz val="10"/>
      <color indexed="10"/>
      <name val="Arial"/>
      <family val="2"/>
    </font>
    <font>
      <b/>
      <sz val="11"/>
      <color indexed="17"/>
      <name val="Arial"/>
      <family val="2"/>
    </font>
    <font>
      <sz val="10"/>
      <color indexed="9"/>
      <name val="Arial"/>
      <family val="2"/>
    </font>
    <font>
      <b/>
      <sz val="10"/>
      <color indexed="17"/>
      <name val="Arial"/>
      <family val="2"/>
    </font>
    <font>
      <sz val="10"/>
      <name val="Arial"/>
      <family val="2"/>
    </font>
    <font>
      <sz val="10"/>
      <color indexed="17"/>
      <name val="Arial"/>
      <family val="2"/>
    </font>
    <font>
      <sz val="10"/>
      <color indexed="81"/>
      <name val="Arial"/>
      <family val="2"/>
    </font>
    <font>
      <sz val="10"/>
      <color indexed="12"/>
      <name val="Arial"/>
      <family val="2"/>
    </font>
    <font>
      <b/>
      <u/>
      <sz val="10"/>
      <color indexed="17"/>
      <name val="Arial"/>
      <family val="2"/>
    </font>
    <font>
      <i/>
      <sz val="10"/>
      <color indexed="17"/>
      <name val="Arial"/>
      <family val="2"/>
    </font>
    <font>
      <sz val="26"/>
      <name val="Century Gothic"/>
      <family val="2"/>
    </font>
    <font>
      <sz val="10"/>
      <color indexed="81"/>
      <name val="Tahoma"/>
      <family val="2"/>
    </font>
    <font>
      <b/>
      <sz val="9"/>
      <color indexed="81"/>
      <name val="Arial"/>
      <family val="2"/>
    </font>
    <font>
      <sz val="9"/>
      <color indexed="81"/>
      <name val="Arial"/>
      <family val="2"/>
    </font>
    <font>
      <sz val="10"/>
      <name val="Calibri"/>
      <family val="2"/>
    </font>
    <font>
      <sz val="10"/>
      <name val="Arial Narrow"/>
      <family val="2"/>
    </font>
    <font>
      <sz val="10"/>
      <color indexed="10"/>
      <name val="Arial"/>
      <family val="2"/>
    </font>
    <font>
      <sz val="10"/>
      <color indexed="17"/>
      <name val="Arial"/>
      <family val="2"/>
    </font>
    <font>
      <b/>
      <i/>
      <sz val="10"/>
      <color indexed="10"/>
      <name val="Arial"/>
      <family val="2"/>
    </font>
    <font>
      <i/>
      <sz val="10"/>
      <color indexed="10"/>
      <name val="Arial"/>
      <family val="2"/>
    </font>
    <font>
      <u/>
      <sz val="11"/>
      <color indexed="10"/>
      <name val="Arial"/>
      <family val="2"/>
    </font>
    <font>
      <sz val="10"/>
      <color indexed="9"/>
      <name val="Arial"/>
      <family val="2"/>
    </font>
    <font>
      <sz val="10"/>
      <name val="Arial"/>
      <family val="2"/>
    </font>
    <font>
      <sz val="11"/>
      <color indexed="8"/>
      <name val="Calibri"/>
      <family val="2"/>
    </font>
    <font>
      <sz val="10"/>
      <color indexed="10"/>
      <name val="Arial"/>
      <family val="2"/>
    </font>
    <font>
      <sz val="11"/>
      <color indexed="10"/>
      <name val="Arial"/>
      <family val="2"/>
    </font>
    <font>
      <i/>
      <sz val="10"/>
      <color indexed="10"/>
      <name val="Arial"/>
      <family val="2"/>
    </font>
    <font>
      <sz val="9"/>
      <color indexed="81"/>
      <name val="Tahoma"/>
      <family val="2"/>
    </font>
    <font>
      <sz val="10"/>
      <color indexed="10"/>
      <name val="Arial"/>
      <family val="2"/>
    </font>
    <font>
      <sz val="10"/>
      <name val="MS Sans Serif"/>
      <family val="2"/>
    </font>
    <font>
      <sz val="10"/>
      <color indexed="10"/>
      <name val="Arial"/>
      <family val="2"/>
    </font>
    <font>
      <b/>
      <sz val="10"/>
      <color indexed="30"/>
      <name val="Arial"/>
      <family val="2"/>
    </font>
    <font>
      <sz val="11"/>
      <color theme="1"/>
      <name val="Times New Roman"/>
      <family val="2"/>
    </font>
    <font>
      <sz val="10"/>
      <color rgb="FFFF0000"/>
      <name val="Arial"/>
      <family val="2"/>
    </font>
    <font>
      <sz val="10"/>
      <color rgb="FF00B050"/>
      <name val="Arial"/>
      <family val="2"/>
    </font>
    <font>
      <sz val="10"/>
      <color theme="0"/>
      <name val="Arial"/>
      <family val="2"/>
    </font>
    <font>
      <sz val="10"/>
      <color rgb="FF92D050"/>
      <name val="Arial"/>
      <family val="2"/>
    </font>
    <font>
      <b/>
      <sz val="14"/>
      <color theme="0"/>
      <name val="Arial"/>
      <family val="2"/>
    </font>
    <font>
      <sz val="10"/>
      <color theme="1"/>
      <name val="Arial"/>
      <family val="2"/>
    </font>
    <font>
      <sz val="11"/>
      <color rgb="FFFF0000"/>
      <name val="Arial"/>
      <family val="2"/>
    </font>
    <font>
      <b/>
      <sz val="10"/>
      <color rgb="FF00B050"/>
      <name val="Arial"/>
      <family val="2"/>
    </font>
    <font>
      <b/>
      <sz val="10"/>
      <color rgb="FFFF0000"/>
      <name val="Arial"/>
      <family val="2"/>
    </font>
    <font>
      <sz val="10"/>
      <color rgb="FF0070C0"/>
      <name val="Arial"/>
      <family val="2"/>
    </font>
    <font>
      <sz val="10"/>
      <color theme="0" tint="-0.499984740745262"/>
      <name val="Arial"/>
      <family val="2"/>
    </font>
    <font>
      <b/>
      <sz val="10"/>
      <color theme="0" tint="-0.499984740745262"/>
      <name val="Times New Roman"/>
      <family val="1"/>
    </font>
    <font>
      <b/>
      <sz val="10"/>
      <color theme="0" tint="-0.499984740745262"/>
      <name val="Arial"/>
      <family val="2"/>
    </font>
    <font>
      <u/>
      <sz val="10"/>
      <color theme="0" tint="-0.499984740745262"/>
      <name val="Arial"/>
      <family val="2"/>
    </font>
    <font>
      <sz val="10"/>
      <color rgb="FF7030A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Times New Roman"/>
      <family val="2"/>
    </font>
    <font>
      <u/>
      <sz val="10"/>
      <color indexed="12"/>
      <name val="Arial"/>
      <family val="2"/>
    </font>
    <font>
      <sz val="10"/>
      <name val="Times New Roman"/>
      <family val="1"/>
    </font>
    <font>
      <u/>
      <sz val="11"/>
      <color theme="10"/>
      <name val="Times New Roman"/>
      <family val="2"/>
    </font>
    <font>
      <sz val="10"/>
      <color theme="0" tint="-0.34998626667073579"/>
      <name val="Arial"/>
      <family val="2"/>
    </font>
    <font>
      <b/>
      <sz val="10"/>
      <color rgb="FF0070C0"/>
      <name val="Arial"/>
      <family val="2"/>
    </font>
    <font>
      <sz val="10"/>
      <color theme="5"/>
      <name val="Arial"/>
      <family val="2"/>
    </font>
    <font>
      <sz val="10"/>
      <color rgb="FF000000"/>
      <name val="Calibri"/>
      <family val="2"/>
    </font>
    <font>
      <b/>
      <sz val="9"/>
      <color indexed="81"/>
      <name val="Tahoma"/>
      <family val="2"/>
    </font>
    <font>
      <sz val="10"/>
      <color theme="0" tint="-0.249977111117893"/>
      <name val="Arial"/>
      <family val="2"/>
    </font>
    <font>
      <sz val="11"/>
      <color rgb="FF00B050"/>
      <name val="Arial"/>
      <family val="2"/>
    </font>
    <font>
      <sz val="10"/>
      <color theme="6" tint="-0.249977111117893"/>
      <name val="Arial"/>
      <family val="2"/>
    </font>
    <font>
      <sz val="11"/>
      <color theme="0" tint="-0.249977111117893"/>
      <name val="Arial"/>
      <family val="2"/>
    </font>
    <font>
      <b/>
      <sz val="9"/>
      <color rgb="FF000000"/>
      <name val="Tahoma"/>
      <family val="2"/>
    </font>
    <font>
      <sz val="9"/>
      <color rgb="FF000000"/>
      <name val="Tahoma"/>
      <family val="2"/>
    </font>
    <font>
      <i/>
      <sz val="13"/>
      <name val="Times New Roman"/>
      <family val="1"/>
    </font>
    <font>
      <sz val="16"/>
      <name val="Arial"/>
      <family val="2"/>
    </font>
    <font>
      <sz val="12"/>
      <name val="Times"/>
      <family val="1"/>
    </font>
    <font>
      <b/>
      <u/>
      <sz val="10"/>
      <name val="Arial"/>
      <family val="2"/>
    </font>
    <font>
      <b/>
      <sz val="10"/>
      <color indexed="9"/>
      <name val="Arial"/>
      <family val="2"/>
    </font>
    <font>
      <sz val="9"/>
      <color theme="1"/>
      <name val="Calibri"/>
      <family val="2"/>
      <scheme val="minor"/>
    </font>
    <font>
      <sz val="9"/>
      <color rgb="FFC00000"/>
      <name val="Calibri"/>
      <family val="2"/>
      <scheme val="minor"/>
    </font>
    <font>
      <sz val="12"/>
      <color rgb="FFC00000"/>
      <name val="Calibri"/>
      <family val="2"/>
      <scheme val="minor"/>
    </font>
    <font>
      <sz val="12"/>
      <color rgb="FF0070C0"/>
      <name val="Calibri"/>
      <family val="2"/>
      <scheme val="minor"/>
    </font>
    <font>
      <sz val="9"/>
      <color rgb="FF7030A0"/>
      <name val="Calibri"/>
      <family val="2"/>
      <scheme val="minor"/>
    </font>
    <font>
      <b/>
      <sz val="12"/>
      <color theme="1"/>
      <name val="Calibri"/>
      <family val="2"/>
      <scheme val="minor"/>
    </font>
    <font>
      <sz val="9"/>
      <color theme="1"/>
      <name val="Arial"/>
      <family val="2"/>
    </font>
    <font>
      <b/>
      <sz val="9"/>
      <name val="Arial"/>
      <family val="2"/>
    </font>
    <font>
      <sz val="14"/>
      <color rgb="FFC00000"/>
      <name val="Calibri"/>
      <family val="2"/>
      <scheme val="minor"/>
    </font>
    <font>
      <b/>
      <u/>
      <sz val="10"/>
      <color rgb="FF0070C0"/>
      <name val="Arial"/>
      <family val="2"/>
    </font>
    <font>
      <b/>
      <sz val="11"/>
      <color rgb="FFFF0000"/>
      <name val="Arial"/>
      <family val="2"/>
    </font>
    <font>
      <sz val="10"/>
      <color theme="1"/>
      <name val="Calibri"/>
      <family val="2"/>
    </font>
    <font>
      <sz val="10"/>
      <color theme="1"/>
      <name val="Calibri"/>
      <family val="2"/>
      <scheme val="minor"/>
    </font>
    <font>
      <sz val="10"/>
      <name val="Arial"/>
      <family val="2"/>
    </font>
    <font>
      <i/>
      <sz val="10"/>
      <color theme="0" tint="-0.499984740745262"/>
      <name val="Arial"/>
      <family val="2"/>
    </font>
    <font>
      <u/>
      <sz val="10"/>
      <color theme="0" tint="-0.34998626667073579"/>
      <name val="Arial"/>
      <family val="2"/>
    </font>
    <font>
      <u/>
      <sz val="8"/>
      <name val="Arial"/>
      <family val="2"/>
    </font>
    <font>
      <sz val="10"/>
      <name val="Calibri"/>
      <family val="2"/>
      <scheme val="minor"/>
    </font>
    <font>
      <b/>
      <sz val="10"/>
      <color theme="0" tint="-0.34998626667073579"/>
      <name val="Arial"/>
      <family val="2"/>
    </font>
    <font>
      <i/>
      <sz val="10"/>
      <color theme="0"/>
      <name val="Arial"/>
      <family val="2"/>
    </font>
    <font>
      <b/>
      <sz val="10"/>
      <color theme="8" tint="-0.499984740745262"/>
      <name val="Arial"/>
      <family val="2"/>
    </font>
    <font>
      <u/>
      <sz val="10"/>
      <color indexed="81"/>
      <name val="Tahoma"/>
      <family val="2"/>
    </font>
    <font>
      <u/>
      <sz val="11"/>
      <color theme="10"/>
      <name val="Calibri"/>
      <family val="2"/>
      <scheme val="minor"/>
    </font>
    <font>
      <b/>
      <sz val="36"/>
      <color theme="3" tint="0.59996337778862885"/>
      <name val="Cambria"/>
      <family val="1"/>
    </font>
    <font>
      <sz val="10"/>
      <color theme="3" tint="0.59996337778862885"/>
      <name val="Cambria"/>
      <family val="1"/>
    </font>
    <font>
      <b/>
      <sz val="9"/>
      <color indexed="81"/>
      <name val="Calibri"/>
      <family val="2"/>
      <scheme val="minor"/>
    </font>
    <font>
      <sz val="9"/>
      <color indexed="81"/>
      <name val="Calibri"/>
      <family val="2"/>
      <scheme val="minor"/>
    </font>
    <font>
      <sz val="10"/>
      <name val="Open Sans Light"/>
      <family val="2"/>
    </font>
    <font>
      <u/>
      <sz val="10"/>
      <color indexed="12"/>
      <name val="Open Sans Light"/>
      <family val="2"/>
    </font>
    <font>
      <b/>
      <sz val="10"/>
      <name val="Open Sans Light"/>
      <family val="2"/>
    </font>
    <font>
      <sz val="10"/>
      <color indexed="81"/>
      <name val="Open Sans Light"/>
      <family val="2"/>
    </font>
    <font>
      <i/>
      <sz val="8"/>
      <name val="Arial"/>
      <family val="2"/>
    </font>
    <font>
      <i/>
      <u/>
      <sz val="8"/>
      <name val="Arial"/>
      <family val="2"/>
    </font>
    <font>
      <b/>
      <i/>
      <sz val="8"/>
      <name val="Arial"/>
      <family val="2"/>
    </font>
    <font>
      <b/>
      <i/>
      <u/>
      <sz val="8"/>
      <name val="Arial"/>
      <family val="2"/>
    </font>
    <font>
      <i/>
      <sz val="10"/>
      <color rgb="FFB7312C"/>
      <name val="Arial"/>
      <family val="2"/>
    </font>
    <font>
      <sz val="11"/>
      <name val="Wingdings"/>
      <charset val="2"/>
    </font>
    <font>
      <sz val="11"/>
      <color rgb="FF00B796"/>
      <name val="Wingdings"/>
      <charset val="2"/>
    </font>
    <font>
      <b/>
      <sz val="10"/>
      <color rgb="FF00B796"/>
      <name val="Arial"/>
      <family val="2"/>
    </font>
    <font>
      <sz val="11"/>
      <color theme="0"/>
      <name val="Wingdings"/>
      <charset val="2"/>
    </font>
    <font>
      <sz val="8"/>
      <color indexed="81"/>
      <name val="Open Sans Light"/>
      <family val="2"/>
    </font>
    <font>
      <b/>
      <u/>
      <sz val="10"/>
      <color theme="0"/>
      <name val="Arial"/>
      <family val="2"/>
    </font>
    <font>
      <sz val="8"/>
      <color theme="0"/>
      <name val="Arial"/>
      <family val="2"/>
    </font>
    <font>
      <b/>
      <vertAlign val="superscript"/>
      <sz val="10"/>
      <name val="Arial"/>
      <family val="2"/>
    </font>
    <font>
      <sz val="10"/>
      <color indexed="10"/>
      <name val="Open Sans Light"/>
      <family val="2"/>
    </font>
    <font>
      <b/>
      <u/>
      <sz val="10"/>
      <name val="Open Sans Light"/>
      <family val="2"/>
    </font>
    <font>
      <sz val="9"/>
      <color indexed="81"/>
      <name val="Open Sans Light"/>
      <family val="2"/>
    </font>
    <font>
      <u/>
      <sz val="10"/>
      <color theme="11"/>
      <name val="Open Sans Light"/>
      <family val="2"/>
    </font>
    <font>
      <b/>
      <sz val="10"/>
      <color indexed="56"/>
      <name val="Open Sans Light"/>
      <family val="2"/>
    </font>
    <font>
      <sz val="10"/>
      <color indexed="56"/>
      <name val="Open Sans Light"/>
      <family val="2"/>
    </font>
    <font>
      <i/>
      <sz val="9"/>
      <name val="Arial"/>
      <family val="2"/>
    </font>
    <font>
      <sz val="10"/>
      <color theme="8" tint="-0.249977111117893"/>
      <name val="Arial"/>
      <family val="2"/>
    </font>
    <font>
      <sz val="9"/>
      <color rgb="FF00B796"/>
      <name val="Arial"/>
      <family val="2"/>
    </font>
    <font>
      <b/>
      <sz val="10"/>
      <color theme="0"/>
      <name val="Arial"/>
      <family val="2"/>
    </font>
    <font>
      <b/>
      <sz val="10"/>
      <name val="Arial Narrow"/>
      <family val="2"/>
    </font>
    <font>
      <b/>
      <i/>
      <sz val="10"/>
      <name val="Arial Narrow"/>
      <family val="2"/>
    </font>
    <font>
      <vertAlign val="superscript"/>
      <sz val="10"/>
      <name val="Arial"/>
      <family val="2"/>
    </font>
    <font>
      <sz val="36"/>
      <color rgb="FF0000FF"/>
      <name val="Arial"/>
      <family val="2"/>
    </font>
    <font>
      <sz val="10"/>
      <color rgb="FF000000"/>
      <name val="Arial"/>
      <family val="2"/>
    </font>
    <font>
      <sz val="10"/>
      <color rgb="FF000000"/>
      <name val="Calibri"/>
      <family val="2"/>
      <scheme val="minor"/>
    </font>
    <font>
      <sz val="10"/>
      <color rgb="FFB7312C"/>
      <name val="Arial"/>
      <family val="2"/>
    </font>
    <font>
      <sz val="14"/>
      <color theme="0"/>
      <name val="Arial"/>
      <family val="2"/>
    </font>
    <font>
      <sz val="14"/>
      <name val="Arial"/>
      <family val="2"/>
    </font>
    <font>
      <u/>
      <sz val="10"/>
      <color rgb="FFFFFFCC"/>
      <name val="Arial"/>
      <family val="2"/>
    </font>
    <font>
      <u/>
      <sz val="9"/>
      <color indexed="12"/>
      <name val="Arial"/>
      <family val="2"/>
    </font>
    <font>
      <sz val="9"/>
      <color theme="0"/>
      <name val="Arial"/>
      <family val="2"/>
    </font>
    <font>
      <sz val="9"/>
      <color indexed="10"/>
      <name val="Arial"/>
      <family val="2"/>
    </font>
    <font>
      <b/>
      <sz val="9"/>
      <color theme="0"/>
      <name val="Arial"/>
      <family val="2"/>
    </font>
    <font>
      <sz val="9"/>
      <color rgb="FFFF0000"/>
      <name val="Arial"/>
      <family val="2"/>
    </font>
    <font>
      <sz val="9"/>
      <color rgb="FF00B050"/>
      <name val="Arial"/>
      <family val="2"/>
    </font>
    <font>
      <i/>
      <sz val="9"/>
      <color theme="0"/>
      <name val="Arial"/>
      <family val="2"/>
    </font>
    <font>
      <b/>
      <sz val="9"/>
      <color rgb="FFFF0000"/>
      <name val="Arial"/>
      <family val="2"/>
    </font>
    <font>
      <u/>
      <sz val="9"/>
      <color theme="0"/>
      <name val="Arial"/>
      <family val="2"/>
    </font>
    <font>
      <b/>
      <sz val="9"/>
      <color indexed="18"/>
      <name val="Arial"/>
      <family val="2"/>
    </font>
    <font>
      <b/>
      <i/>
      <u/>
      <sz val="9"/>
      <name val="Arial"/>
      <family val="2"/>
    </font>
    <font>
      <sz val="9"/>
      <color rgb="FFFF5050"/>
      <name val="Arial"/>
      <family val="2"/>
    </font>
    <font>
      <b/>
      <sz val="9"/>
      <color rgb="FF0070C0"/>
      <name val="Arial"/>
      <family val="2"/>
    </font>
    <font>
      <sz val="9"/>
      <color indexed="18"/>
      <name val="Arial"/>
      <family val="2"/>
    </font>
    <font>
      <sz val="9"/>
      <color theme="0" tint="-0.499984740745262"/>
      <name val="Arial"/>
      <family val="2"/>
    </font>
    <font>
      <b/>
      <sz val="9"/>
      <color indexed="17"/>
      <name val="Arial"/>
      <family val="2"/>
    </font>
    <font>
      <i/>
      <sz val="9"/>
      <color indexed="10"/>
      <name val="Arial"/>
      <family val="2"/>
    </font>
    <font>
      <sz val="9"/>
      <color rgb="FF0070C0"/>
      <name val="Arial"/>
      <family val="2"/>
    </font>
    <font>
      <sz val="9"/>
      <color theme="0" tint="-0.34998626667073579"/>
      <name val="Arial"/>
      <family val="2"/>
    </font>
    <font>
      <i/>
      <sz val="9"/>
      <color rgb="FFFF0000"/>
      <name val="Arial"/>
      <family val="2"/>
    </font>
    <font>
      <sz val="9"/>
      <color rgb="FF7030A0"/>
      <name val="Arial"/>
      <family val="2"/>
    </font>
    <font>
      <sz val="9"/>
      <color indexed="30"/>
      <name val="Arial"/>
      <family val="2"/>
    </font>
    <font>
      <b/>
      <i/>
      <sz val="9"/>
      <name val="Arial"/>
      <family val="2"/>
    </font>
    <font>
      <sz val="9"/>
      <color rgb="FFC00000"/>
      <name val="Arial"/>
      <family val="2"/>
    </font>
    <font>
      <b/>
      <sz val="9"/>
      <color indexed="10"/>
      <name val="Arial"/>
      <family val="2"/>
    </font>
    <font>
      <b/>
      <i/>
      <sz val="10"/>
      <name val="Arial"/>
      <family val="2"/>
    </font>
    <font>
      <i/>
      <sz val="10"/>
      <color rgb="FF00B050"/>
      <name val="Arial"/>
      <family val="2"/>
    </font>
    <font>
      <sz val="12"/>
      <color indexed="10"/>
      <name val="Arial"/>
      <family val="2"/>
    </font>
    <font>
      <sz val="12"/>
      <color indexed="18"/>
      <name val="Arial"/>
      <family val="2"/>
    </font>
    <font>
      <u/>
      <sz val="10"/>
      <name val="Arial"/>
      <family val="2"/>
    </font>
    <font>
      <u/>
      <sz val="10"/>
      <color rgb="FF0070C0"/>
      <name val="Arial"/>
      <family val="2"/>
    </font>
    <font>
      <sz val="10"/>
      <color indexed="62"/>
      <name val="Arial"/>
      <family val="2"/>
    </font>
    <font>
      <u/>
      <sz val="10"/>
      <color rgb="FFFF0000"/>
      <name val="Arial"/>
      <family val="2"/>
    </font>
    <font>
      <b/>
      <sz val="10"/>
      <color rgb="FFC00000"/>
      <name val="Arial"/>
      <family val="2"/>
    </font>
    <font>
      <b/>
      <u/>
      <sz val="10"/>
      <color rgb="FF7030A0"/>
      <name val="Arial"/>
      <family val="2"/>
    </font>
    <font>
      <sz val="10"/>
      <color indexed="18"/>
      <name val="Arial"/>
      <family val="2"/>
    </font>
    <font>
      <b/>
      <sz val="10"/>
      <color theme="1"/>
      <name val="Arial"/>
      <family val="2"/>
    </font>
    <font>
      <i/>
      <sz val="10"/>
      <color rgb="FFFF0000"/>
      <name val="Arial"/>
      <family val="2"/>
    </font>
    <font>
      <i/>
      <u/>
      <sz val="10"/>
      <name val="Arial"/>
      <family val="2"/>
    </font>
    <font>
      <sz val="10"/>
      <color theme="3" tint="0.39997558519241921"/>
      <name val="Arial"/>
      <family val="2"/>
    </font>
    <font>
      <sz val="10"/>
      <color rgb="FF00B0F0"/>
      <name val="Arial"/>
      <family val="2"/>
    </font>
    <font>
      <sz val="8.5"/>
      <name val="Arial"/>
      <family val="2"/>
    </font>
    <font>
      <b/>
      <sz val="12"/>
      <color rgb="FF00B796"/>
      <name val="Arial"/>
      <family val="2"/>
    </font>
    <font>
      <u/>
      <sz val="10"/>
      <color rgb="FF000000"/>
      <name val="Arial"/>
      <family val="2"/>
    </font>
    <font>
      <b/>
      <sz val="10"/>
      <color rgb="FF000000"/>
      <name val="Arial"/>
      <family val="2"/>
    </font>
    <font>
      <sz val="10"/>
      <color rgb="FFD50032"/>
      <name val="Arial"/>
      <family val="2"/>
    </font>
  </fonts>
  <fills count="86">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1"/>
        <bgColor indexed="64"/>
      </patternFill>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indexed="50"/>
        <bgColor indexed="64"/>
      </patternFill>
    </fill>
    <fill>
      <patternFill patternType="solid">
        <fgColor indexed="22"/>
        <bgColor indexed="8"/>
      </patternFill>
    </fill>
    <fill>
      <patternFill patternType="solid">
        <fgColor rgb="FFFFFF99"/>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CC"/>
        <bgColor indexed="64"/>
      </patternFill>
    </fill>
    <fill>
      <patternFill patternType="solid">
        <fgColor rgb="FFFFFF99"/>
        <bgColor indexed="8"/>
      </patternFill>
    </fill>
    <fill>
      <patternFill patternType="solid">
        <fgColor theme="0" tint="-0.14999847407452621"/>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59999389629810485"/>
        <bgColor indexed="64"/>
      </patternFill>
    </fill>
    <fill>
      <patternFill patternType="solid">
        <fgColor theme="8" tint="0.79998168889431442"/>
        <bgColor indexed="64"/>
      </patternFill>
    </fill>
    <fill>
      <patternFill patternType="solid">
        <fgColor rgb="FFC0C0C0"/>
        <bgColor rgb="FF000000"/>
      </patternFill>
    </fill>
    <fill>
      <patternFill patternType="solid">
        <fgColor indexed="27"/>
        <bgColor indexed="64"/>
      </patternFill>
    </fill>
    <fill>
      <patternFill patternType="solid">
        <fgColor rgb="FFF3FCD2"/>
        <bgColor indexed="64"/>
      </patternFill>
    </fill>
    <fill>
      <patternFill patternType="solid">
        <fgColor rgb="FF0070C0"/>
        <bgColor indexed="64"/>
      </patternFill>
    </fill>
    <fill>
      <patternFill patternType="solid">
        <fgColor theme="4" tint="0.39997558519241921"/>
        <bgColor indexed="64"/>
      </patternFill>
    </fill>
    <fill>
      <patternFill patternType="solid">
        <fgColor rgb="FFFFFF00"/>
        <bgColor rgb="FF000000"/>
      </patternFill>
    </fill>
    <fill>
      <patternFill patternType="solid">
        <fgColor theme="8" tint="0.79998168889431442"/>
        <bgColor indexed="0"/>
      </patternFill>
    </fill>
    <fill>
      <patternFill patternType="solid">
        <fgColor rgb="FFFFFFCC"/>
        <bgColor indexed="0"/>
      </patternFill>
    </fill>
    <fill>
      <patternFill patternType="solid">
        <fgColor indexed="22"/>
        <bgColor indexed="0"/>
      </patternFill>
    </fill>
    <fill>
      <patternFill patternType="solid">
        <fgColor theme="6" tint="0.59999389629810485"/>
        <bgColor indexed="64"/>
      </patternFill>
    </fill>
    <fill>
      <patternFill patternType="solid">
        <fgColor theme="8" tint="0.39997558519241921"/>
        <bgColor indexed="64"/>
      </patternFill>
    </fill>
    <fill>
      <patternFill patternType="mediumGray">
        <bgColor theme="2" tint="-0.249977111117893"/>
      </patternFill>
    </fill>
    <fill>
      <patternFill patternType="solid">
        <fgColor indexed="65"/>
        <bgColor indexed="64"/>
      </patternFill>
    </fill>
    <fill>
      <patternFill patternType="solid">
        <fgColor rgb="FFFFFF00"/>
        <bgColor indexed="64"/>
      </patternFill>
    </fill>
    <fill>
      <patternFill patternType="solid">
        <fgColor theme="0" tint="-0.24994659260841701"/>
        <bgColor indexed="64"/>
      </patternFill>
    </fill>
    <fill>
      <patternFill patternType="solid">
        <fgColor theme="0" tint="-0.24994659260841701"/>
        <bgColor auto="1"/>
      </patternFill>
    </fill>
    <fill>
      <patternFill patternType="solid">
        <fgColor theme="9" tint="0.79998168889431442"/>
        <bgColor indexed="64"/>
      </patternFill>
    </fill>
    <fill>
      <patternFill patternType="solid">
        <fgColor rgb="FF92D050"/>
        <bgColor indexed="64"/>
      </patternFill>
    </fill>
    <fill>
      <patternFill patternType="solid">
        <fgColor theme="5" tint="0.79998168889431442"/>
        <bgColor indexed="64"/>
      </patternFill>
    </fill>
    <fill>
      <patternFill patternType="solid">
        <fgColor rgb="FFDDF2FF"/>
        <bgColor indexed="64"/>
      </patternFill>
    </fill>
    <fill>
      <patternFill patternType="gray0625">
        <bgColor theme="0"/>
      </patternFill>
    </fill>
    <fill>
      <patternFill patternType="solid">
        <fgColor rgb="FFC0C0C0"/>
        <bgColor indexed="64"/>
      </patternFill>
    </fill>
    <fill>
      <patternFill patternType="solid">
        <fgColor rgb="FFB7312C"/>
        <bgColor indexed="64"/>
      </patternFill>
    </fill>
    <fill>
      <patternFill patternType="solid">
        <fgColor rgb="FF005587"/>
        <bgColor indexed="64"/>
      </patternFill>
    </fill>
    <fill>
      <patternFill patternType="solid">
        <fgColor rgb="FF53565A"/>
        <bgColor indexed="64"/>
      </patternFill>
    </fill>
    <fill>
      <patternFill patternType="solid">
        <fgColor indexed="45"/>
        <bgColor indexed="64"/>
      </patternFill>
    </fill>
    <fill>
      <patternFill patternType="solid">
        <fgColor indexed="49"/>
        <bgColor indexed="64"/>
      </patternFill>
    </fill>
    <fill>
      <patternFill patternType="solid">
        <fgColor theme="6" tint="0.39997558519241921"/>
        <bgColor indexed="64"/>
      </patternFill>
    </fill>
    <fill>
      <patternFill patternType="solid">
        <fgColor rgb="FFCDCFD1"/>
        <bgColor indexed="64"/>
      </patternFill>
    </fill>
    <fill>
      <patternFill patternType="solid">
        <fgColor rgb="FFFFA3B9"/>
        <bgColor indexed="64"/>
      </patternFill>
    </fill>
  </fills>
  <borders count="143">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double">
        <color indexed="64"/>
      </bottom>
      <diagonal/>
    </border>
    <border>
      <left/>
      <right/>
      <top/>
      <bottom style="thin">
        <color indexed="10"/>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style="thin">
        <color indexed="10"/>
      </left>
      <right style="thin">
        <color indexed="64"/>
      </right>
      <top style="thin">
        <color indexed="64"/>
      </top>
      <bottom style="thin">
        <color indexed="64"/>
      </bottom>
      <diagonal/>
    </border>
    <border>
      <left/>
      <right style="thin">
        <color indexed="10"/>
      </right>
      <top/>
      <bottom/>
      <diagonal/>
    </border>
    <border>
      <left style="thin">
        <color indexed="10"/>
      </left>
      <right/>
      <top/>
      <bottom/>
      <diagonal/>
    </border>
    <border>
      <left style="thin">
        <color indexed="10"/>
      </left>
      <right/>
      <top/>
      <bottom style="thin">
        <color indexed="10"/>
      </bottom>
      <diagonal/>
    </border>
    <border>
      <left/>
      <right style="thin">
        <color indexed="10"/>
      </right>
      <top/>
      <bottom style="thin">
        <color indexed="10"/>
      </bottom>
      <diagonal/>
    </border>
    <border>
      <left/>
      <right style="thick">
        <color indexed="64"/>
      </right>
      <top/>
      <bottom/>
      <diagonal/>
    </border>
    <border>
      <left style="thick">
        <color indexed="64"/>
      </left>
      <right/>
      <top/>
      <bottom/>
      <diagonal/>
    </border>
    <border>
      <left/>
      <right/>
      <top/>
      <bottom style="medium">
        <color indexed="64"/>
      </bottom>
      <diagonal/>
    </border>
    <border>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dotted">
        <color indexed="64"/>
      </bottom>
      <diagonal/>
    </border>
    <border>
      <left/>
      <right/>
      <top style="thick">
        <color indexed="64"/>
      </top>
      <bottom/>
      <diagonal/>
    </border>
    <border>
      <left style="thin">
        <color indexed="64"/>
      </left>
      <right/>
      <top style="thick">
        <color indexed="64"/>
      </top>
      <bottom/>
      <diagonal/>
    </border>
    <border>
      <left style="thin">
        <color indexed="64"/>
      </left>
      <right style="thin">
        <color indexed="64"/>
      </right>
      <top/>
      <bottom style="thick">
        <color indexed="64"/>
      </bottom>
      <diagonal/>
    </border>
    <border>
      <left/>
      <right/>
      <top style="dotted">
        <color indexed="64"/>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10"/>
      </left>
      <right/>
      <top style="thin">
        <color indexed="64"/>
      </top>
      <bottom style="double">
        <color indexed="64"/>
      </bottom>
      <diagonal/>
    </border>
    <border>
      <left/>
      <right/>
      <top/>
      <bottom style="thick">
        <color indexed="64"/>
      </bottom>
      <diagonal/>
    </border>
    <border>
      <left/>
      <right style="thin">
        <color indexed="64"/>
      </right>
      <top/>
      <bottom style="thick">
        <color indexed="64"/>
      </bottom>
      <diagonal/>
    </border>
    <border>
      <left style="thin">
        <color indexed="64"/>
      </left>
      <right/>
      <top/>
      <bottom style="thick">
        <color indexed="64"/>
      </bottom>
      <diagonal/>
    </border>
    <border>
      <left/>
      <right style="thin">
        <color indexed="64"/>
      </right>
      <top style="thick">
        <color indexed="64"/>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right/>
      <top/>
      <bottom style="thin">
        <color auto="1"/>
      </bottom>
      <diagonal/>
    </border>
    <border>
      <left/>
      <right style="thin">
        <color indexed="64"/>
      </right>
      <top style="thin">
        <color indexed="64"/>
      </top>
      <bottom/>
      <diagonal/>
    </border>
    <border>
      <left style="thin">
        <color auto="1"/>
      </left>
      <right style="thin">
        <color indexed="64"/>
      </right>
      <top/>
      <bottom style="thin">
        <color auto="1"/>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64"/>
      </bottom>
      <diagonal/>
    </border>
    <border>
      <left/>
      <right style="thin">
        <color indexed="8"/>
      </right>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auto="1"/>
      </top>
      <bottom/>
      <diagonal/>
    </border>
    <border>
      <left/>
      <right style="thin">
        <color auto="1"/>
      </right>
      <top/>
      <bottom/>
      <diagonal/>
    </border>
    <border>
      <left/>
      <right style="thin">
        <color indexed="64"/>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bottom style="thin">
        <color auto="1"/>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double">
        <color auto="1"/>
      </left>
      <right style="double">
        <color auto="1"/>
      </right>
      <top style="double">
        <color auto="1"/>
      </top>
      <bottom/>
      <diagonal/>
    </border>
    <border>
      <left style="double">
        <color auto="1"/>
      </left>
      <right style="double">
        <color auto="1"/>
      </right>
      <top/>
      <bottom style="double">
        <color auto="1"/>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auto="1"/>
      </left>
      <right style="double">
        <color auto="1"/>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auto="1"/>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double">
        <color auto="1"/>
      </top>
      <bottom style="thin">
        <color auto="1"/>
      </bottom>
      <diagonal/>
    </border>
    <border>
      <left style="thin">
        <color theme="0"/>
      </left>
      <right/>
      <top style="thin">
        <color auto="1"/>
      </top>
      <bottom style="thin">
        <color theme="0"/>
      </bottom>
      <diagonal/>
    </border>
    <border>
      <left style="thin">
        <color theme="0"/>
      </left>
      <right/>
      <top style="thin">
        <color theme="0"/>
      </top>
      <bottom style="thin">
        <color auto="1"/>
      </bottom>
      <diagonal/>
    </border>
    <border>
      <left style="thin">
        <color theme="0"/>
      </left>
      <right style="thin">
        <color auto="1"/>
      </right>
      <top style="thin">
        <color theme="0"/>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theme="0"/>
      </right>
      <top style="thin">
        <color theme="0"/>
      </top>
      <bottom style="thin">
        <color auto="1"/>
      </bottom>
      <diagonal/>
    </border>
    <border>
      <left/>
      <right/>
      <top style="thin">
        <color auto="1"/>
      </top>
      <bottom style="thin">
        <color theme="0"/>
      </bottom>
      <diagonal/>
    </border>
    <border>
      <left/>
      <right style="medium">
        <color theme="0"/>
      </right>
      <top style="thin">
        <color auto="1"/>
      </top>
      <bottom style="thin">
        <color theme="0"/>
      </bottom>
      <diagonal/>
    </border>
    <border>
      <left/>
      <right style="thin">
        <color auto="1"/>
      </right>
      <top style="thin">
        <color indexed="64"/>
      </top>
      <bottom style="thin">
        <color theme="0"/>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auto="1"/>
      </top>
      <bottom style="thin">
        <color auto="1"/>
      </bottom>
      <diagonal/>
    </border>
    <border>
      <left/>
      <right style="medium">
        <color indexed="64"/>
      </right>
      <top style="thin">
        <color auto="1"/>
      </top>
      <bottom style="thin">
        <color auto="1"/>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medium">
        <color theme="0"/>
      </right>
      <top style="thin">
        <color theme="0"/>
      </top>
      <bottom style="thin">
        <color auto="1"/>
      </bottom>
      <diagonal/>
    </border>
    <border>
      <left style="thin">
        <color indexed="64"/>
      </left>
      <right style="thin">
        <color theme="0"/>
      </right>
      <top style="thin">
        <color indexed="64"/>
      </top>
      <bottom/>
      <diagonal/>
    </border>
    <border>
      <left/>
      <right style="medium">
        <color indexed="64"/>
      </right>
      <top style="double">
        <color indexed="64"/>
      </top>
      <bottom style="thin">
        <color indexed="64"/>
      </bottom>
      <diagonal/>
    </border>
    <border>
      <left/>
      <right/>
      <top style="thin">
        <color theme="0"/>
      </top>
      <bottom style="thin">
        <color auto="1"/>
      </bottom>
      <diagonal/>
    </border>
    <border>
      <left style="medium">
        <color indexed="64"/>
      </left>
      <right/>
      <top/>
      <bottom style="thin">
        <color indexed="64"/>
      </bottom>
      <diagonal/>
    </border>
    <border>
      <left/>
      <right style="medium">
        <color indexed="64"/>
      </right>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medium">
        <color indexed="64"/>
      </right>
      <top style="thin">
        <color indexed="64"/>
      </top>
      <bottom/>
      <diagonal/>
    </border>
    <border>
      <left/>
      <right style="medium">
        <color indexed="64"/>
      </right>
      <top/>
      <bottom style="double">
        <color indexed="64"/>
      </bottom>
      <diagonal/>
    </border>
    <border>
      <left/>
      <right/>
      <top/>
      <bottom style="medium">
        <color auto="1"/>
      </bottom>
      <diagonal/>
    </border>
    <border>
      <left style="thick">
        <color auto="1"/>
      </left>
      <right/>
      <top/>
      <bottom style="medium">
        <color auto="1"/>
      </bottom>
      <diagonal/>
    </border>
    <border>
      <left/>
      <right style="thick">
        <color auto="1"/>
      </right>
      <top/>
      <bottom style="medium">
        <color auto="1"/>
      </bottom>
      <diagonal/>
    </border>
    <border>
      <left style="thin">
        <color rgb="FFD3D3D3"/>
      </left>
      <right style="thin">
        <color rgb="FFD3D3D3"/>
      </right>
      <top style="thin">
        <color rgb="FFD3D3D3"/>
      </top>
      <bottom style="thin">
        <color rgb="FFD3D3D3"/>
      </bottom>
      <diagonal/>
    </border>
  </borders>
  <cellStyleXfs count="201">
    <xf numFmtId="0" fontId="0" fillId="0" borderId="0" applyBorder="0"/>
    <xf numFmtId="0" fontId="151" fillId="0" borderId="0" applyNumberFormat="0" applyFill="0" applyBorder="0" applyAlignment="0" applyProtection="0">
      <alignment vertical="top"/>
      <protection locked="0"/>
    </xf>
    <xf numFmtId="0" fontId="68" fillId="0" borderId="0"/>
    <xf numFmtId="0" fontId="18" fillId="0" borderId="0"/>
    <xf numFmtId="0" fontId="71" fillId="0" borderId="0"/>
    <xf numFmtId="0" fontId="18" fillId="0" borderId="0"/>
    <xf numFmtId="0" fontId="18" fillId="0" borderId="0" applyBorder="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87" fillId="0" borderId="0" applyNumberFormat="0" applyFill="0" applyBorder="0" applyAlignment="0" applyProtection="0"/>
    <xf numFmtId="0" fontId="88" fillId="0" borderId="30" applyNumberFormat="0" applyFill="0" applyAlignment="0" applyProtection="0"/>
    <xf numFmtId="0" fontId="89" fillId="0" borderId="31" applyNumberFormat="0" applyFill="0" applyAlignment="0" applyProtection="0"/>
    <xf numFmtId="0" fontId="90" fillId="0" borderId="32" applyNumberFormat="0" applyFill="0" applyAlignment="0" applyProtection="0"/>
    <xf numFmtId="0" fontId="90" fillId="0" borderId="0" applyNumberFormat="0" applyFill="0" applyBorder="0" applyAlignment="0" applyProtection="0"/>
    <xf numFmtId="0" fontId="91" fillId="23" borderId="0" applyNumberFormat="0" applyBorder="0" applyAlignment="0" applyProtection="0"/>
    <xf numFmtId="0" fontId="92" fillId="24" borderId="0" applyNumberFormat="0" applyBorder="0" applyAlignment="0" applyProtection="0"/>
    <xf numFmtId="0" fontId="93" fillId="25" borderId="0" applyNumberFormat="0" applyBorder="0" applyAlignment="0" applyProtection="0"/>
    <xf numFmtId="0" fontId="94" fillId="26" borderId="33" applyNumberFormat="0" applyAlignment="0" applyProtection="0"/>
    <xf numFmtId="0" fontId="95" fillId="27" borderId="34" applyNumberFormat="0" applyAlignment="0" applyProtection="0"/>
    <xf numFmtId="0" fontId="96" fillId="27" borderId="33" applyNumberFormat="0" applyAlignment="0" applyProtection="0"/>
    <xf numFmtId="0" fontId="97" fillId="0" borderId="35" applyNumberFormat="0" applyFill="0" applyAlignment="0" applyProtection="0"/>
    <xf numFmtId="0" fontId="98" fillId="28" borderId="36" applyNumberFormat="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1" fillId="0" borderId="38" applyNumberFormat="0" applyFill="0" applyAlignment="0" applyProtection="0"/>
    <xf numFmtId="0" fontId="102"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2" fillId="33" borderId="0" applyNumberFormat="0" applyBorder="0" applyAlignment="0" applyProtection="0"/>
    <xf numFmtId="0" fontId="102"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2" fillId="37" borderId="0" applyNumberFormat="0" applyBorder="0" applyAlignment="0" applyProtection="0"/>
    <xf numFmtId="0" fontId="102"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2" fillId="45" borderId="0" applyNumberFormat="0" applyBorder="0" applyAlignment="0" applyProtection="0"/>
    <xf numFmtId="0" fontId="102"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2" fillId="49" borderId="0" applyNumberFormat="0" applyBorder="0" applyAlignment="0" applyProtection="0"/>
    <xf numFmtId="0" fontId="102" fillId="50"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2" fillId="53" borderId="0" applyNumberFormat="0" applyBorder="0" applyAlignment="0" applyProtection="0"/>
    <xf numFmtId="0" fontId="10" fillId="0" borderId="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43" fontId="103" fillId="0" borderId="0" applyFont="0" applyFill="0" applyBorder="0" applyAlignment="0" applyProtection="0"/>
    <xf numFmtId="40" fontId="13"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8" fontId="13" fillId="0" borderId="0" applyFont="0" applyFill="0" applyBorder="0" applyAlignment="0" applyProtection="0"/>
    <xf numFmtId="0" fontId="35"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 fillId="0" borderId="0"/>
    <xf numFmtId="0" fontId="68" fillId="0" borderId="0"/>
    <xf numFmtId="0" fontId="105" fillId="0" borderId="0"/>
    <xf numFmtId="0" fontId="11" fillId="0" borderId="0"/>
    <xf numFmtId="0" fontId="11" fillId="0" borderId="0"/>
    <xf numFmtId="0" fontId="11" fillId="0" borderId="0" applyBorder="0"/>
    <xf numFmtId="0" fontId="10" fillId="0" borderId="0"/>
    <xf numFmtId="0" fontId="62" fillId="29" borderId="37" applyNumberFormat="0" applyFont="0" applyAlignment="0" applyProtection="0"/>
    <xf numFmtId="0" fontId="62" fillId="29" borderId="37" applyNumberFormat="0" applyFont="0" applyAlignment="0" applyProtection="0"/>
    <xf numFmtId="0" fontId="62" fillId="29" borderId="37" applyNumberFormat="0" applyFont="0" applyAlignment="0" applyProtection="0"/>
    <xf numFmtId="9" fontId="13" fillId="0" borderId="0" applyFont="0" applyFill="0" applyBorder="0" applyAlignment="0" applyProtection="0"/>
    <xf numFmtId="40" fontId="13" fillId="0" borderId="0" applyFont="0" applyFill="0" applyBorder="0" applyAlignment="0" applyProtection="0"/>
    <xf numFmtId="0" fontId="106" fillId="0" borderId="0" applyNumberFormat="0" applyFill="0" applyBorder="0" applyAlignment="0" applyProtection="0"/>
    <xf numFmtId="0" fontId="10" fillId="29" borderId="37" applyNumberFormat="0" applyFont="0" applyAlignment="0" applyProtection="0"/>
    <xf numFmtId="43" fontId="71" fillId="0" borderId="0" applyFont="0" applyFill="0" applyBorder="0" applyAlignment="0" applyProtection="0"/>
    <xf numFmtId="0" fontId="10" fillId="29" borderId="37" applyNumberFormat="0" applyFont="0" applyAlignment="0" applyProtection="0"/>
    <xf numFmtId="0" fontId="10" fillId="0" borderId="0"/>
    <xf numFmtId="0" fontId="71" fillId="0" borderId="0"/>
    <xf numFmtId="0" fontId="13" fillId="0" borderId="0"/>
    <xf numFmtId="0" fontId="11" fillId="0" borderId="0" applyBorder="0"/>
    <xf numFmtId="0" fontId="10" fillId="0" borderId="0"/>
    <xf numFmtId="0" fontId="11" fillId="0" borderId="0" applyBorder="0"/>
    <xf numFmtId="0" fontId="11" fillId="0" borderId="0"/>
    <xf numFmtId="0" fontId="10" fillId="29" borderId="37" applyNumberFormat="0" applyFont="0" applyAlignment="0" applyProtection="0"/>
    <xf numFmtId="43" fontId="71" fillId="0" borderId="0" applyFont="0" applyFill="0" applyBorder="0" applyAlignment="0" applyProtection="0"/>
    <xf numFmtId="0" fontId="11" fillId="0" borderId="0"/>
    <xf numFmtId="0" fontId="11" fillId="0" borderId="0"/>
    <xf numFmtId="0" fontId="71" fillId="0" borderId="0"/>
    <xf numFmtId="0" fontId="62" fillId="29" borderId="37" applyNumberFormat="0" applyFont="0" applyAlignment="0" applyProtection="0"/>
    <xf numFmtId="0" fontId="9" fillId="0" borderId="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0" borderId="0"/>
    <xf numFmtId="0" fontId="9" fillId="0" borderId="0"/>
    <xf numFmtId="0" fontId="9" fillId="29" borderId="37" applyNumberFormat="0" applyFont="0" applyAlignment="0" applyProtection="0"/>
    <xf numFmtId="0" fontId="9" fillId="29" borderId="37" applyNumberFormat="0" applyFont="0" applyAlignment="0" applyProtection="0"/>
    <xf numFmtId="0" fontId="9" fillId="0" borderId="0"/>
    <xf numFmtId="0" fontId="9" fillId="0" borderId="0"/>
    <xf numFmtId="0" fontId="9" fillId="29" borderId="37" applyNumberFormat="0" applyFont="0" applyAlignment="0" applyProtection="0"/>
    <xf numFmtId="0" fontId="11" fillId="0" borderId="0"/>
    <xf numFmtId="0" fontId="11" fillId="0" borderId="0" applyBorder="0"/>
    <xf numFmtId="0" fontId="8" fillId="0" borderId="0"/>
    <xf numFmtId="0" fontId="13" fillId="0" borderId="0"/>
    <xf numFmtId="0" fontId="71" fillId="0" borderId="0"/>
    <xf numFmtId="0" fontId="7" fillId="0" borderId="0"/>
    <xf numFmtId="0" fontId="11" fillId="0" borderId="0"/>
    <xf numFmtId="0" fontId="11" fillId="0" borderId="0"/>
    <xf numFmtId="0" fontId="71" fillId="0" borderId="0"/>
    <xf numFmtId="0" fontId="6" fillId="0" borderId="0"/>
    <xf numFmtId="38" fontId="13" fillId="0" borderId="0" applyFont="0" applyFill="0" applyBorder="0" applyAlignment="0" applyProtection="0"/>
    <xf numFmtId="0" fontId="13" fillId="0" borderId="0"/>
    <xf numFmtId="0" fontId="12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1" fillId="0" borderId="0"/>
    <xf numFmtId="0" fontId="4" fillId="0" borderId="0"/>
    <xf numFmtId="9" fontId="136" fillId="0" borderId="0" applyFont="0" applyFill="0" applyBorder="0" applyAlignment="0" applyProtection="0"/>
    <xf numFmtId="38" fontId="13" fillId="0" borderId="0" applyFont="0" applyFill="0" applyBorder="0" applyAlignment="0" applyProtection="0"/>
    <xf numFmtId="0" fontId="3" fillId="0" borderId="0"/>
    <xf numFmtId="0" fontId="2" fillId="0" borderId="0"/>
    <xf numFmtId="0" fontId="16" fillId="0" borderId="0"/>
    <xf numFmtId="0" fontId="1" fillId="0" borderId="0"/>
    <xf numFmtId="0" fontId="145" fillId="0" borderId="0" applyNumberFormat="0" applyFill="0" applyBorder="0" applyAlignment="0" applyProtection="0"/>
    <xf numFmtId="0" fontId="170" fillId="0" borderId="0" applyNumberFormat="0" applyFill="0" applyBorder="0" applyAlignment="0" applyProtection="0"/>
  </cellStyleXfs>
  <cellXfs count="6368">
    <xf numFmtId="0" fontId="0" fillId="0" borderId="0" xfId="0"/>
    <xf numFmtId="0" fontId="11" fillId="0" borderId="0" xfId="47" applyFont="1" applyProtection="1"/>
    <xf numFmtId="0" fontId="11" fillId="0" borderId="13" xfId="33" applyFont="1" applyBorder="1" applyAlignment="1" applyProtection="1">
      <alignment vertical="top"/>
    </xf>
    <xf numFmtId="0" fontId="18" fillId="0" borderId="0" xfId="0" applyFont="1" applyProtection="1"/>
    <xf numFmtId="172" fontId="18" fillId="0" borderId="0" xfId="0" applyNumberFormat="1" applyFont="1" applyAlignment="1" applyProtection="1">
      <alignment horizontal="center"/>
    </xf>
    <xf numFmtId="0" fontId="30" fillId="0" borderId="0" xfId="0" applyFont="1" applyProtection="1">
      <protection locked="0"/>
    </xf>
    <xf numFmtId="0" fontId="18" fillId="0" borderId="0" xfId="0" applyFont="1" applyAlignment="1" applyProtection="1">
      <alignment horizontal="right"/>
    </xf>
    <xf numFmtId="0" fontId="18" fillId="0" borderId="0" xfId="0" applyFont="1" applyBorder="1" applyProtection="1"/>
    <xf numFmtId="0" fontId="30" fillId="0" borderId="0" xfId="0" applyFont="1" applyProtection="1"/>
    <xf numFmtId="0" fontId="25" fillId="0" borderId="0" xfId="0" applyFont="1" applyProtection="1"/>
    <xf numFmtId="167" fontId="30" fillId="0" borderId="0" xfId="0" applyNumberFormat="1" applyFont="1" applyProtection="1"/>
    <xf numFmtId="0" fontId="30" fillId="0" borderId="0" xfId="0" applyFont="1" applyAlignment="1" applyProtection="1">
      <alignment vertical="top"/>
      <protection locked="0"/>
    </xf>
    <xf numFmtId="0" fontId="30" fillId="0" borderId="0" xfId="0" applyFont="1" applyAlignment="1" applyProtection="1">
      <alignment vertical="top"/>
    </xf>
    <xf numFmtId="167" fontId="30" fillId="0" borderId="0" xfId="0" applyNumberFormat="1" applyFont="1" applyAlignment="1" applyProtection="1">
      <alignment vertical="top"/>
    </xf>
    <xf numFmtId="3" fontId="30" fillId="0" borderId="0" xfId="0" applyNumberFormat="1" applyFont="1" applyProtection="1"/>
    <xf numFmtId="0" fontId="18" fillId="0" borderId="0" xfId="0" applyFont="1" applyAlignment="1" applyProtection="1">
      <alignment vertical="top"/>
    </xf>
    <xf numFmtId="5" fontId="26" fillId="0" borderId="0" xfId="0" applyNumberFormat="1" applyFont="1" applyAlignment="1" applyProtection="1">
      <alignment vertical="top"/>
    </xf>
    <xf numFmtId="3" fontId="18" fillId="0" borderId="0" xfId="0" applyNumberFormat="1" applyFont="1" applyAlignment="1" applyProtection="1">
      <alignment vertical="top"/>
    </xf>
    <xf numFmtId="0" fontId="31" fillId="0" borderId="0" xfId="0" applyFont="1" applyProtection="1"/>
    <xf numFmtId="0" fontId="30" fillId="0" borderId="0" xfId="0" applyFont="1" applyBorder="1" applyProtection="1"/>
    <xf numFmtId="0" fontId="18" fillId="0" borderId="0" xfId="0" applyFont="1" applyBorder="1" applyAlignment="1" applyProtection="1">
      <alignment horizontal="left"/>
    </xf>
    <xf numFmtId="0" fontId="11" fillId="0" borderId="0" xfId="40" applyFont="1" applyAlignment="1" applyProtection="1">
      <alignment horizontal="right"/>
    </xf>
    <xf numFmtId="0" fontId="11" fillId="0" borderId="0" xfId="40" applyFont="1" applyProtection="1"/>
    <xf numFmtId="0" fontId="11" fillId="0" borderId="0" xfId="40" applyFont="1" applyProtection="1">
      <protection locked="0"/>
    </xf>
    <xf numFmtId="0" fontId="24" fillId="0" borderId="0" xfId="40" applyFont="1" applyProtection="1">
      <protection locked="0"/>
    </xf>
    <xf numFmtId="0" fontId="32" fillId="0" borderId="0" xfId="40" applyFont="1" applyProtection="1"/>
    <xf numFmtId="167" fontId="11" fillId="0" borderId="0" xfId="40" applyNumberFormat="1" applyFont="1" applyProtection="1"/>
    <xf numFmtId="3" fontId="11" fillId="0" borderId="0" xfId="40" applyNumberFormat="1" applyFont="1" applyBorder="1" applyAlignment="1" applyProtection="1"/>
    <xf numFmtId="3" fontId="11" fillId="0" borderId="0" xfId="40" applyNumberFormat="1" applyFont="1" applyProtection="1"/>
    <xf numFmtId="169" fontId="11" fillId="0" borderId="0" xfId="40" applyNumberFormat="1" applyFont="1" applyBorder="1" applyAlignment="1" applyProtection="1"/>
    <xf numFmtId="0" fontId="11" fillId="0" borderId="0" xfId="40" applyFont="1" applyAlignment="1" applyProtection="1">
      <alignment horizontal="centerContinuous"/>
    </xf>
    <xf numFmtId="0" fontId="11" fillId="0" borderId="0" xfId="40" applyFont="1" applyAlignment="1" applyProtection="1">
      <alignment vertical="top"/>
    </xf>
    <xf numFmtId="0" fontId="24" fillId="0" borderId="0" xfId="40" applyFont="1" applyAlignment="1" applyProtection="1">
      <alignment vertical="top"/>
      <protection locked="0"/>
    </xf>
    <xf numFmtId="0" fontId="24" fillId="0" borderId="0" xfId="40" applyFont="1" applyAlignment="1" applyProtection="1">
      <alignment vertical="top"/>
    </xf>
    <xf numFmtId="0" fontId="22" fillId="0" borderId="0" xfId="40" applyFont="1" applyProtection="1"/>
    <xf numFmtId="0" fontId="11" fillId="0" borderId="0" xfId="9" applyFont="1" applyProtection="1"/>
    <xf numFmtId="0" fontId="22" fillId="0" borderId="0" xfId="9" applyFont="1" applyProtection="1">
      <protection locked="0"/>
    </xf>
    <xf numFmtId="0" fontId="32" fillId="0" borderId="0" xfId="9" applyFont="1" applyProtection="1"/>
    <xf numFmtId="167" fontId="11" fillId="0" borderId="0" xfId="9" applyNumberFormat="1" applyFont="1" applyProtection="1"/>
    <xf numFmtId="3" fontId="11" fillId="0" borderId="0" xfId="9" applyNumberFormat="1" applyFont="1" applyProtection="1"/>
    <xf numFmtId="0" fontId="22" fillId="0" borderId="0" xfId="9" applyFont="1" applyProtection="1"/>
    <xf numFmtId="0" fontId="11" fillId="0" borderId="0" xfId="10" applyFont="1" applyProtection="1"/>
    <xf numFmtId="0" fontId="22" fillId="0" borderId="0" xfId="10" applyFont="1" applyProtection="1"/>
    <xf numFmtId="0" fontId="22" fillId="0" borderId="0" xfId="10" applyFont="1" applyProtection="1">
      <protection locked="0"/>
    </xf>
    <xf numFmtId="0" fontId="25" fillId="0" borderId="0" xfId="10" applyFont="1" applyProtection="1"/>
    <xf numFmtId="167" fontId="22" fillId="0" borderId="0" xfId="10" applyNumberFormat="1" applyFont="1" applyProtection="1"/>
    <xf numFmtId="0" fontId="11" fillId="0" borderId="1" xfId="10" applyFont="1" applyBorder="1" applyProtection="1"/>
    <xf numFmtId="3" fontId="22" fillId="0" borderId="0" xfId="10" applyNumberFormat="1" applyFont="1" applyProtection="1"/>
    <xf numFmtId="0" fontId="34" fillId="0" borderId="0" xfId="10" applyFont="1" applyProtection="1"/>
    <xf numFmtId="0" fontId="11" fillId="0" borderId="0" xfId="11" applyFont="1" applyProtection="1"/>
    <xf numFmtId="0" fontId="22" fillId="0" borderId="0" xfId="11" applyFont="1" applyProtection="1">
      <protection locked="0"/>
    </xf>
    <xf numFmtId="0" fontId="22" fillId="0" borderId="0" xfId="11" applyFont="1" applyProtection="1"/>
    <xf numFmtId="0" fontId="25" fillId="0" borderId="0" xfId="11" applyFont="1" applyProtection="1"/>
    <xf numFmtId="167" fontId="22" fillId="0" borderId="0" xfId="11" applyNumberFormat="1" applyFont="1" applyProtection="1"/>
    <xf numFmtId="166" fontId="22" fillId="0" borderId="0" xfId="11" applyNumberFormat="1" applyFont="1" applyProtection="1"/>
    <xf numFmtId="3" fontId="22" fillId="0" borderId="0" xfId="11" applyNumberFormat="1" applyFont="1" applyProtection="1"/>
    <xf numFmtId="0" fontId="11" fillId="0" borderId="4" xfId="11" applyFont="1" applyBorder="1" applyAlignment="1" applyProtection="1">
      <alignment horizontal="left" vertical="center"/>
    </xf>
    <xf numFmtId="0" fontId="11" fillId="0" borderId="13" xfId="11" applyFont="1" applyBorder="1" applyAlignment="1" applyProtection="1">
      <alignment horizontal="left" vertical="center"/>
    </xf>
    <xf numFmtId="0" fontId="11" fillId="0" borderId="0" xfId="11" applyFont="1" applyAlignment="1" applyProtection="1">
      <alignment horizontal="centerContinuous"/>
    </xf>
    <xf numFmtId="0" fontId="11" fillId="0" borderId="0" xfId="12" applyFont="1" applyProtection="1"/>
    <xf numFmtId="0" fontId="22" fillId="0" borderId="0" xfId="12" applyFont="1" applyProtection="1">
      <protection locked="0"/>
    </xf>
    <xf numFmtId="0" fontId="22" fillId="0" borderId="0" xfId="12" applyFont="1" applyProtection="1"/>
    <xf numFmtId="0" fontId="11" fillId="0" borderId="0" xfId="13" applyFont="1" applyProtection="1"/>
    <xf numFmtId="0" fontId="22" fillId="0" borderId="0" xfId="13" applyFont="1" applyProtection="1">
      <protection locked="0"/>
    </xf>
    <xf numFmtId="0" fontId="22" fillId="0" borderId="0" xfId="13" applyFont="1" applyProtection="1"/>
    <xf numFmtId="0" fontId="25" fillId="0" borderId="0" xfId="13" applyFont="1" applyProtection="1"/>
    <xf numFmtId="167" fontId="22" fillId="0" borderId="0" xfId="13" applyNumberFormat="1" applyFont="1" applyProtection="1"/>
    <xf numFmtId="3" fontId="22" fillId="0" borderId="0" xfId="13" applyNumberFormat="1" applyFont="1" applyProtection="1"/>
    <xf numFmtId="172" fontId="11" fillId="0" borderId="0" xfId="13" applyNumberFormat="1" applyFont="1" applyAlignment="1" applyProtection="1">
      <alignment horizontal="centerContinuous"/>
    </xf>
    <xf numFmtId="0" fontId="11" fillId="0" borderId="13" xfId="13" applyFont="1" applyBorder="1" applyAlignment="1" applyProtection="1">
      <alignment horizontal="left" vertical="center"/>
    </xf>
    <xf numFmtId="0" fontId="11" fillId="0" borderId="0" xfId="13" applyFont="1" applyAlignment="1" applyProtection="1">
      <alignment horizontal="centerContinuous"/>
    </xf>
    <xf numFmtId="0" fontId="11" fillId="0" borderId="0" xfId="15" applyFont="1" applyProtection="1"/>
    <xf numFmtId="0" fontId="22" fillId="0" borderId="0" xfId="15" applyFont="1" applyProtection="1">
      <protection locked="0"/>
    </xf>
    <xf numFmtId="0" fontId="22" fillId="0" borderId="0" xfId="15" applyFont="1" applyProtection="1"/>
    <xf numFmtId="0" fontId="25" fillId="0" borderId="0" xfId="15" applyFont="1" applyProtection="1"/>
    <xf numFmtId="167" fontId="22" fillId="0" borderId="0" xfId="15" applyNumberFormat="1" applyFont="1" applyProtection="1"/>
    <xf numFmtId="172" fontId="11" fillId="0" borderId="12" xfId="15" applyNumberFormat="1" applyFont="1" applyBorder="1" applyAlignment="1" applyProtection="1">
      <alignment horizontal="left"/>
    </xf>
    <xf numFmtId="3" fontId="22" fillId="0" borderId="0" xfId="15" applyNumberFormat="1" applyFont="1" applyProtection="1"/>
    <xf numFmtId="172" fontId="11" fillId="0" borderId="0" xfId="15" applyNumberFormat="1" applyFont="1" applyAlignment="1" applyProtection="1">
      <alignment horizontal="centerContinuous"/>
    </xf>
    <xf numFmtId="3" fontId="11" fillId="2" borderId="1" xfId="15" applyNumberFormat="1" applyFont="1" applyFill="1" applyBorder="1" applyAlignment="1" applyProtection="1">
      <alignment vertical="center"/>
      <protection locked="0"/>
    </xf>
    <xf numFmtId="0" fontId="11" fillId="0" borderId="13" xfId="15" applyFont="1" applyBorder="1" applyAlignment="1" applyProtection="1">
      <alignment horizontal="left" vertical="center"/>
    </xf>
    <xf numFmtId="0" fontId="11" fillId="0" borderId="0" xfId="15" applyFont="1" applyAlignment="1" applyProtection="1">
      <alignment horizontal="centerContinuous"/>
    </xf>
    <xf numFmtId="0" fontId="11" fillId="0" borderId="0" xfId="16" applyFont="1" applyProtection="1"/>
    <xf numFmtId="0" fontId="22" fillId="0" borderId="0" xfId="16" applyFont="1" applyProtection="1">
      <protection locked="0"/>
    </xf>
    <xf numFmtId="0" fontId="22" fillId="0" borderId="0" xfId="16" applyFont="1" applyProtection="1"/>
    <xf numFmtId="0" fontId="25" fillId="0" borderId="0" xfId="16" applyFont="1" applyProtection="1"/>
    <xf numFmtId="167" fontId="22" fillId="0" borderId="0" xfId="16" applyNumberFormat="1" applyFont="1" applyProtection="1"/>
    <xf numFmtId="3" fontId="22" fillId="0" borderId="0" xfId="16" applyNumberFormat="1" applyFont="1" applyProtection="1"/>
    <xf numFmtId="0" fontId="11" fillId="0" borderId="0" xfId="17" applyFont="1" applyProtection="1"/>
    <xf numFmtId="0" fontId="22" fillId="0" borderId="0" xfId="17" applyFont="1" applyProtection="1">
      <protection locked="0"/>
    </xf>
    <xf numFmtId="0" fontId="22" fillId="0" borderId="0" xfId="17" applyFont="1" applyProtection="1"/>
    <xf numFmtId="167" fontId="22" fillId="0" borderId="0" xfId="17" applyNumberFormat="1" applyFont="1" applyProtection="1"/>
    <xf numFmtId="3" fontId="22" fillId="0" borderId="0" xfId="17" applyNumberFormat="1" applyFont="1" applyProtection="1"/>
    <xf numFmtId="0" fontId="11" fillId="0" borderId="13" xfId="17" applyFont="1" applyBorder="1" applyAlignment="1" applyProtection="1">
      <alignment horizontal="left" vertical="top"/>
    </xf>
    <xf numFmtId="3" fontId="11" fillId="0" borderId="0" xfId="17" applyNumberFormat="1" applyFont="1" applyProtection="1"/>
    <xf numFmtId="0" fontId="11" fillId="0" borderId="0" xfId="18" applyFont="1" applyProtection="1"/>
    <xf numFmtId="0" fontId="22" fillId="0" borderId="0" xfId="18" applyFont="1" applyProtection="1"/>
    <xf numFmtId="167" fontId="22" fillId="0" borderId="0" xfId="18" applyNumberFormat="1" applyFont="1" applyProtection="1"/>
    <xf numFmtId="3" fontId="22" fillId="0" borderId="0" xfId="18" applyNumberFormat="1" applyFont="1" applyProtection="1"/>
    <xf numFmtId="0" fontId="11" fillId="0" borderId="0" xfId="19" applyFont="1" applyProtection="1"/>
    <xf numFmtId="0" fontId="22" fillId="0" borderId="0" xfId="19" applyFont="1" applyProtection="1">
      <protection locked="0"/>
    </xf>
    <xf numFmtId="0" fontId="22" fillId="0" borderId="0" xfId="19" applyFont="1" applyProtection="1"/>
    <xf numFmtId="0" fontId="25" fillId="0" borderId="0" xfId="19" applyFont="1" applyProtection="1"/>
    <xf numFmtId="167" fontId="22" fillId="0" borderId="0" xfId="19" applyNumberFormat="1" applyFont="1" applyProtection="1"/>
    <xf numFmtId="0" fontId="11" fillId="0" borderId="0" xfId="19" applyFont="1" applyProtection="1">
      <protection locked="0"/>
    </xf>
    <xf numFmtId="3" fontId="22" fillId="0" borderId="0" xfId="19" applyNumberFormat="1" applyFont="1" applyProtection="1"/>
    <xf numFmtId="0" fontId="11" fillId="0" borderId="0" xfId="19" applyFont="1" applyAlignment="1" applyProtection="1">
      <alignment vertical="top"/>
    </xf>
    <xf numFmtId="0" fontId="11" fillId="0" borderId="0" xfId="19" applyFont="1" applyAlignment="1" applyProtection="1">
      <alignment horizontal="centerContinuous" vertical="top"/>
    </xf>
    <xf numFmtId="0" fontId="11" fillId="0" borderId="0" xfId="20" applyFont="1" applyBorder="1" applyProtection="1"/>
    <xf numFmtId="0" fontId="22" fillId="0" borderId="0" xfId="20" applyFont="1" applyBorder="1" applyProtection="1">
      <protection locked="0"/>
    </xf>
    <xf numFmtId="0" fontId="22" fillId="0" borderId="0" xfId="20" applyFont="1" applyBorder="1" applyProtection="1"/>
    <xf numFmtId="167" fontId="22" fillId="0" borderId="0" xfId="20" applyNumberFormat="1" applyFont="1" applyBorder="1" applyProtection="1"/>
    <xf numFmtId="3" fontId="22" fillId="0" borderId="0" xfId="20" applyNumberFormat="1" applyFont="1" applyBorder="1" applyProtection="1"/>
    <xf numFmtId="0" fontId="11" fillId="0" borderId="0" xfId="20" applyFont="1" applyBorder="1" applyAlignment="1" applyProtection="1">
      <alignment horizontal="centerContinuous"/>
    </xf>
    <xf numFmtId="0" fontId="11" fillId="0" borderId="0" xfId="22" applyFont="1" applyProtection="1"/>
    <xf numFmtId="0" fontId="11" fillId="0" borderId="0" xfId="22" applyFont="1" applyAlignment="1" applyProtection="1">
      <alignment horizontal="right"/>
    </xf>
    <xf numFmtId="0" fontId="22" fillId="0" borderId="0" xfId="22" applyFont="1" applyProtection="1">
      <protection locked="0"/>
    </xf>
    <xf numFmtId="0" fontId="11" fillId="0" borderId="0" xfId="22" applyFont="1" applyAlignment="1" applyProtection="1">
      <alignment vertical="top"/>
    </xf>
    <xf numFmtId="0" fontId="15" fillId="0" borderId="0" xfId="22" applyFont="1" applyAlignment="1" applyProtection="1">
      <alignment horizontal="center" vertical="top"/>
    </xf>
    <xf numFmtId="0" fontId="22" fillId="0" borderId="0" xfId="22" applyFont="1" applyProtection="1"/>
    <xf numFmtId="0" fontId="25" fillId="0" borderId="0" xfId="22" applyFont="1" applyProtection="1"/>
    <xf numFmtId="167" fontId="22" fillId="0" borderId="0" xfId="22" applyNumberFormat="1" applyFont="1" applyProtection="1"/>
    <xf numFmtId="0" fontId="11" fillId="0" borderId="1" xfId="22" applyFont="1" applyBorder="1" applyAlignment="1" applyProtection="1">
      <alignment vertical="top"/>
    </xf>
    <xf numFmtId="0" fontId="22" fillId="0" borderId="0" xfId="22" applyFont="1" applyAlignment="1" applyProtection="1">
      <alignment vertical="top"/>
      <protection locked="0"/>
    </xf>
    <xf numFmtId="0" fontId="22" fillId="0" borderId="0" xfId="22" applyFont="1" applyAlignment="1" applyProtection="1">
      <alignment vertical="top"/>
    </xf>
    <xf numFmtId="167" fontId="22" fillId="0" borderId="0" xfId="22" applyNumberFormat="1" applyFont="1" applyAlignment="1" applyProtection="1">
      <alignment vertical="top"/>
    </xf>
    <xf numFmtId="0" fontId="25" fillId="0" borderId="0" xfId="22" applyFont="1" applyAlignment="1" applyProtection="1">
      <alignment vertical="top"/>
    </xf>
    <xf numFmtId="3" fontId="22" fillId="0" borderId="0" xfId="22" applyNumberFormat="1" applyFont="1" applyAlignment="1" applyProtection="1">
      <alignment vertical="top"/>
    </xf>
    <xf numFmtId="0" fontId="11" fillId="0" borderId="0" xfId="22" applyFont="1" applyAlignment="1" applyProtection="1">
      <alignment horizontal="centerContinuous"/>
    </xf>
    <xf numFmtId="0" fontId="15" fillId="0" borderId="0" xfId="22" applyFont="1" applyAlignment="1" applyProtection="1">
      <alignment horizontal="center"/>
    </xf>
    <xf numFmtId="0" fontId="11" fillId="0" borderId="0" xfId="23" applyFont="1" applyAlignment="1" applyProtection="1">
      <alignment horizontal="right"/>
    </xf>
    <xf numFmtId="0" fontId="11" fillId="0" borderId="0" xfId="23" applyFont="1" applyProtection="1"/>
    <xf numFmtId="0" fontId="15" fillId="0" borderId="0" xfId="23" applyFont="1" applyAlignment="1" applyProtection="1">
      <alignment horizontal="center"/>
    </xf>
    <xf numFmtId="0" fontId="22" fillId="0" borderId="0" xfId="23" applyFont="1" applyProtection="1"/>
    <xf numFmtId="0" fontId="25" fillId="0" borderId="0" xfId="23" applyFont="1" applyProtection="1"/>
    <xf numFmtId="167" fontId="22" fillId="0" borderId="0" xfId="23" applyNumberFormat="1" applyFont="1" applyProtection="1"/>
    <xf numFmtId="3" fontId="22" fillId="0" borderId="0" xfId="23" applyNumberFormat="1" applyFont="1" applyProtection="1"/>
    <xf numFmtId="0" fontId="11" fillId="0" borderId="13" xfId="23" applyFont="1" applyBorder="1" applyAlignment="1" applyProtection="1">
      <alignment horizontal="left"/>
    </xf>
    <xf numFmtId="0" fontId="11" fillId="0" borderId="4" xfId="23" applyFont="1" applyBorder="1" applyAlignment="1" applyProtection="1">
      <alignment horizontal="left"/>
    </xf>
    <xf numFmtId="0" fontId="11" fillId="0" borderId="12" xfId="23" applyFont="1" applyBorder="1" applyAlignment="1" applyProtection="1">
      <alignment horizontal="left"/>
    </xf>
    <xf numFmtId="0" fontId="15" fillId="3" borderId="13" xfId="23" applyFont="1" applyFill="1" applyBorder="1" applyAlignment="1" applyProtection="1">
      <alignment horizontal="left"/>
    </xf>
    <xf numFmtId="0" fontId="11" fillId="0" borderId="0" xfId="23" applyFont="1" applyAlignment="1" applyProtection="1">
      <alignment horizontal="centerContinuous"/>
    </xf>
    <xf numFmtId="0" fontId="11" fillId="0" borderId="0" xfId="25" applyFont="1" applyProtection="1"/>
    <xf numFmtId="0" fontId="22" fillId="0" borderId="0" xfId="25" applyFont="1" applyProtection="1">
      <protection locked="0"/>
    </xf>
    <xf numFmtId="0" fontId="22" fillId="0" borderId="0" xfId="25" applyFont="1" applyProtection="1"/>
    <xf numFmtId="0" fontId="11" fillId="0" borderId="0" xfId="26" applyFont="1" applyProtection="1"/>
    <xf numFmtId="172" fontId="11" fillId="0" borderId="0" xfId="26" applyNumberFormat="1" applyFont="1" applyAlignment="1" applyProtection="1">
      <alignment horizontal="right"/>
    </xf>
    <xf numFmtId="0" fontId="11" fillId="0" borderId="0" xfId="26" applyFont="1" applyAlignment="1" applyProtection="1">
      <alignment horizontal="right"/>
    </xf>
    <xf numFmtId="0" fontId="22" fillId="0" borderId="0" xfId="26" applyFont="1" applyProtection="1">
      <protection locked="0"/>
    </xf>
    <xf numFmtId="172" fontId="11" fillId="0" borderId="0" xfId="26" applyNumberFormat="1" applyFont="1" applyAlignment="1" applyProtection="1">
      <alignment horizontal="center"/>
    </xf>
    <xf numFmtId="0" fontId="11" fillId="0" borderId="0" xfId="26" applyFont="1" applyAlignment="1" applyProtection="1">
      <alignment horizontal="center"/>
    </xf>
    <xf numFmtId="0" fontId="15" fillId="0" borderId="0" xfId="26" applyFont="1" applyAlignment="1" applyProtection="1">
      <alignment horizontal="center"/>
    </xf>
    <xf numFmtId="172" fontId="11" fillId="0" borderId="4" xfId="26" applyNumberFormat="1" applyFont="1" applyBorder="1" applyAlignment="1" applyProtection="1">
      <alignment horizontal="center"/>
    </xf>
    <xf numFmtId="0" fontId="11" fillId="0" borderId="4" xfId="26" applyFont="1" applyBorder="1" applyAlignment="1" applyProtection="1">
      <alignment horizontal="center"/>
    </xf>
    <xf numFmtId="0" fontId="22" fillId="0" borderId="0" xfId="26" applyFont="1" applyProtection="1"/>
    <xf numFmtId="172" fontId="11" fillId="0" borderId="7" xfId="26" applyNumberFormat="1" applyFont="1" applyBorder="1" applyAlignment="1" applyProtection="1">
      <alignment horizontal="center"/>
    </xf>
    <xf numFmtId="0" fontId="11" fillId="0" borderId="7" xfId="26" applyFont="1" applyBorder="1" applyAlignment="1" applyProtection="1">
      <alignment horizontal="center"/>
    </xf>
    <xf numFmtId="172" fontId="11" fillId="0" borderId="12" xfId="26" applyNumberFormat="1" applyFont="1" applyBorder="1" applyAlignment="1" applyProtection="1">
      <alignment horizontal="center"/>
    </xf>
    <xf numFmtId="171" fontId="11" fillId="0" borderId="12" xfId="26" applyNumberFormat="1" applyFont="1" applyBorder="1" applyAlignment="1" applyProtection="1">
      <alignment horizontal="center"/>
    </xf>
    <xf numFmtId="3" fontId="11" fillId="2" borderId="12" xfId="26" applyNumberFormat="1" applyFont="1" applyFill="1" applyBorder="1" applyAlignment="1" applyProtection="1">
      <protection locked="0"/>
    </xf>
    <xf numFmtId="3" fontId="11" fillId="0" borderId="12" xfId="26" applyNumberFormat="1" applyFont="1" applyFill="1" applyBorder="1" applyAlignment="1" applyProtection="1"/>
    <xf numFmtId="3" fontId="11" fillId="0" borderId="13" xfId="26" applyNumberFormat="1" applyFont="1" applyFill="1" applyBorder="1" applyAlignment="1" applyProtection="1"/>
    <xf numFmtId="3" fontId="11" fillId="2" borderId="7" xfId="26" applyNumberFormat="1" applyFont="1" applyFill="1" applyBorder="1" applyAlignment="1" applyProtection="1">
      <protection locked="0"/>
    </xf>
    <xf numFmtId="3" fontId="11" fillId="2" borderId="13" xfId="26" applyNumberFormat="1" applyFont="1" applyFill="1" applyBorder="1" applyAlignment="1" applyProtection="1">
      <protection locked="0"/>
    </xf>
    <xf numFmtId="0" fontId="11" fillId="0" borderId="13" xfId="26" applyFont="1" applyBorder="1" applyAlignment="1" applyProtection="1">
      <alignment horizontal="left"/>
    </xf>
    <xf numFmtId="0" fontId="11" fillId="0" borderId="13" xfId="26" applyFont="1" applyBorder="1" applyAlignment="1" applyProtection="1">
      <alignment horizontal="center"/>
    </xf>
    <xf numFmtId="0" fontId="11" fillId="0" borderId="12" xfId="26" applyFont="1" applyBorder="1" applyAlignment="1" applyProtection="1">
      <alignment horizontal="left"/>
    </xf>
    <xf numFmtId="0" fontId="11" fillId="0" borderId="12" xfId="26" applyFont="1" applyBorder="1" applyAlignment="1" applyProtection="1">
      <alignment horizontal="center"/>
    </xf>
    <xf numFmtId="38" fontId="11" fillId="0" borderId="2" xfId="26" applyNumberFormat="1" applyFont="1" applyBorder="1" applyAlignment="1" applyProtection="1">
      <alignment horizontal="left"/>
    </xf>
    <xf numFmtId="38" fontId="11" fillId="0" borderId="14" xfId="26" applyNumberFormat="1" applyFont="1" applyBorder="1" applyAlignment="1" applyProtection="1">
      <alignment horizontal="right"/>
    </xf>
    <xf numFmtId="38" fontId="11" fillId="0" borderId="3" xfId="26" applyNumberFormat="1" applyFont="1" applyBorder="1" applyAlignment="1" applyProtection="1">
      <alignment horizontal="right"/>
    </xf>
    <xf numFmtId="0" fontId="11" fillId="0" borderId="3" xfId="26" applyFont="1" applyBorder="1" applyProtection="1"/>
    <xf numFmtId="0" fontId="11" fillId="0" borderId="0" xfId="26" applyFont="1" applyBorder="1" applyAlignment="1" applyProtection="1">
      <alignment horizontal="left"/>
    </xf>
    <xf numFmtId="0" fontId="11" fillId="0" borderId="0" xfId="26" applyFont="1" applyBorder="1" applyAlignment="1" applyProtection="1">
      <alignment horizontal="center"/>
    </xf>
    <xf numFmtId="172" fontId="22" fillId="0" borderId="0" xfId="26" applyNumberFormat="1" applyFont="1" applyAlignment="1" applyProtection="1">
      <alignment horizontal="center"/>
    </xf>
    <xf numFmtId="0" fontId="11" fillId="0" borderId="0" xfId="27" applyFont="1" applyProtection="1"/>
    <xf numFmtId="172" fontId="11" fillId="0" borderId="0" xfId="27" applyNumberFormat="1" applyFont="1" applyAlignment="1" applyProtection="1">
      <alignment horizontal="center"/>
    </xf>
    <xf numFmtId="0" fontId="11" fillId="0" borderId="0" xfId="27" applyFont="1" applyAlignment="1" applyProtection="1">
      <alignment horizontal="right"/>
    </xf>
    <xf numFmtId="0" fontId="11" fillId="0" borderId="0" xfId="27" applyFont="1"/>
    <xf numFmtId="0" fontId="11" fillId="0" borderId="0" xfId="27" applyFont="1" applyAlignment="1" applyProtection="1">
      <alignment horizontal="center"/>
    </xf>
    <xf numFmtId="0" fontId="15" fillId="0" borderId="0" xfId="27" applyFont="1" applyAlignment="1" applyProtection="1">
      <alignment horizontal="center"/>
    </xf>
    <xf numFmtId="172" fontId="11" fillId="0" borderId="4" xfId="27" applyNumberFormat="1" applyFont="1" applyBorder="1" applyAlignment="1" applyProtection="1">
      <alignment horizontal="center"/>
    </xf>
    <xf numFmtId="0" fontId="11" fillId="0" borderId="4" xfId="27" applyFont="1" applyBorder="1" applyAlignment="1" applyProtection="1">
      <alignment horizontal="center"/>
    </xf>
    <xf numFmtId="172" fontId="11" fillId="0" borderId="7" xfId="27" applyNumberFormat="1" applyFont="1" applyBorder="1" applyAlignment="1" applyProtection="1">
      <alignment horizontal="center"/>
    </xf>
    <xf numFmtId="0" fontId="11" fillId="0" borderId="7" xfId="27" applyFont="1" applyBorder="1" applyAlignment="1" applyProtection="1">
      <alignment horizontal="center"/>
    </xf>
    <xf numFmtId="0" fontId="15" fillId="0" borderId="1" xfId="27" applyFont="1" applyBorder="1" applyAlignment="1" applyProtection="1">
      <alignment horizontal="center"/>
    </xf>
    <xf numFmtId="172" fontId="11" fillId="0" borderId="12" xfId="27" applyNumberFormat="1" applyFont="1" applyBorder="1" applyAlignment="1" applyProtection="1">
      <alignment horizontal="center"/>
    </xf>
    <xf numFmtId="171" fontId="11" fillId="0" borderId="12" xfId="27" applyNumberFormat="1" applyFont="1" applyBorder="1" applyAlignment="1" applyProtection="1">
      <alignment horizontal="center"/>
    </xf>
    <xf numFmtId="172" fontId="11" fillId="0" borderId="12" xfId="27" applyNumberFormat="1" applyFont="1" applyBorder="1" applyAlignment="1" applyProtection="1">
      <alignment horizontal="left"/>
    </xf>
    <xf numFmtId="3" fontId="11" fillId="2" borderId="12" xfId="27" applyNumberFormat="1" applyFont="1" applyFill="1" applyBorder="1" applyAlignment="1" applyProtection="1">
      <protection locked="0"/>
    </xf>
    <xf numFmtId="3" fontId="11" fillId="0" borderId="12" xfId="27" applyNumberFormat="1" applyFont="1" applyFill="1" applyBorder="1" applyAlignment="1" applyProtection="1"/>
    <xf numFmtId="3" fontId="11" fillId="0" borderId="13" xfId="27" applyNumberFormat="1" applyFont="1" applyFill="1" applyBorder="1" applyAlignment="1" applyProtection="1"/>
    <xf numFmtId="172" fontId="11" fillId="0" borderId="7" xfId="27" applyNumberFormat="1" applyFont="1" applyBorder="1" applyAlignment="1" applyProtection="1">
      <alignment horizontal="left"/>
    </xf>
    <xf numFmtId="3" fontId="11" fillId="2" borderId="7" xfId="27" applyNumberFormat="1" applyFont="1" applyFill="1" applyBorder="1" applyAlignment="1" applyProtection="1">
      <protection locked="0"/>
    </xf>
    <xf numFmtId="3" fontId="11" fillId="0" borderId="7" xfId="27" applyNumberFormat="1" applyFont="1" applyBorder="1" applyAlignment="1" applyProtection="1"/>
    <xf numFmtId="172" fontId="11" fillId="0" borderId="4" xfId="27" applyNumberFormat="1" applyFont="1" applyBorder="1" applyAlignment="1" applyProtection="1">
      <alignment horizontal="left"/>
    </xf>
    <xf numFmtId="172" fontId="11" fillId="0" borderId="13" xfId="27" applyNumberFormat="1" applyFont="1" applyBorder="1" applyAlignment="1" applyProtection="1">
      <alignment horizontal="left"/>
    </xf>
    <xf numFmtId="3" fontId="11" fillId="2" borderId="13" xfId="27" applyNumberFormat="1" applyFont="1" applyFill="1" applyBorder="1" applyAlignment="1" applyProtection="1">
      <protection locked="0"/>
    </xf>
    <xf numFmtId="3" fontId="11" fillId="0" borderId="7" xfId="27" applyNumberFormat="1" applyFont="1" applyFill="1" applyBorder="1" applyAlignment="1" applyProtection="1"/>
    <xf numFmtId="0" fontId="11" fillId="0" borderId="13" xfId="27" applyFont="1" applyBorder="1" applyAlignment="1" applyProtection="1">
      <alignment horizontal="left"/>
    </xf>
    <xf numFmtId="0" fontId="11" fillId="0" borderId="13" xfId="27" applyFont="1" applyBorder="1" applyAlignment="1" applyProtection="1">
      <alignment horizontal="center"/>
    </xf>
    <xf numFmtId="0" fontId="11" fillId="0" borderId="7" xfId="27" applyFont="1" applyBorder="1" applyAlignment="1" applyProtection="1">
      <alignment horizontal="left"/>
    </xf>
    <xf numFmtId="0" fontId="11" fillId="0" borderId="12" xfId="27" applyFont="1" applyBorder="1" applyAlignment="1" applyProtection="1">
      <alignment horizontal="left"/>
    </xf>
    <xf numFmtId="0" fontId="11" fillId="0" borderId="12" xfId="27" applyFont="1" applyBorder="1" applyAlignment="1" applyProtection="1">
      <alignment horizontal="center"/>
    </xf>
    <xf numFmtId="38" fontId="11" fillId="0" borderId="2" xfId="27" applyNumberFormat="1" applyFont="1" applyBorder="1" applyAlignment="1" applyProtection="1">
      <alignment horizontal="left"/>
    </xf>
    <xf numFmtId="38" fontId="11" fillId="0" borderId="14" xfId="27" applyNumberFormat="1" applyFont="1" applyBorder="1" applyAlignment="1" applyProtection="1">
      <alignment horizontal="right"/>
    </xf>
    <xf numFmtId="0" fontId="11" fillId="0" borderId="0" xfId="27" applyFont="1" applyBorder="1" applyAlignment="1" applyProtection="1">
      <alignment horizontal="left"/>
    </xf>
    <xf numFmtId="0" fontId="11" fillId="0" borderId="0" xfId="27" applyFont="1" applyBorder="1" applyAlignment="1" applyProtection="1">
      <alignment horizontal="center"/>
    </xf>
    <xf numFmtId="0" fontId="11" fillId="0" borderId="0" xfId="28" applyFont="1" applyProtection="1"/>
    <xf numFmtId="0" fontId="22" fillId="0" borderId="0" xfId="28" applyFont="1" applyProtection="1">
      <protection locked="0"/>
    </xf>
    <xf numFmtId="0" fontId="22" fillId="0" borderId="0" xfId="28" applyFont="1" applyProtection="1"/>
    <xf numFmtId="0" fontId="11" fillId="0" borderId="0" xfId="30" applyFont="1" applyProtection="1"/>
    <xf numFmtId="0" fontId="22" fillId="0" borderId="0" xfId="30" applyFont="1" applyProtection="1">
      <protection locked="0"/>
    </xf>
    <xf numFmtId="0" fontId="22" fillId="0" borderId="0" xfId="30" applyFont="1" applyProtection="1"/>
    <xf numFmtId="0" fontId="25" fillId="0" borderId="0" xfId="30" applyFont="1" applyProtection="1"/>
    <xf numFmtId="167" fontId="22" fillId="0" borderId="0" xfId="30" applyNumberFormat="1" applyFont="1" applyProtection="1"/>
    <xf numFmtId="3" fontId="22" fillId="0" borderId="0" xfId="30" applyNumberFormat="1" applyFont="1" applyProtection="1"/>
    <xf numFmtId="0" fontId="11" fillId="0" borderId="0" xfId="30" applyFont="1" applyAlignment="1" applyProtection="1">
      <alignment vertical="top"/>
    </xf>
    <xf numFmtId="0" fontId="11" fillId="0" borderId="0" xfId="31" applyFont="1" applyProtection="1"/>
    <xf numFmtId="0" fontId="22" fillId="0" borderId="0" xfId="31" applyFont="1" applyProtection="1">
      <protection locked="0"/>
    </xf>
    <xf numFmtId="0" fontId="22" fillId="0" borderId="0" xfId="31" applyFont="1" applyProtection="1"/>
    <xf numFmtId="172" fontId="11" fillId="0" borderId="0" xfId="31" applyNumberFormat="1" applyFont="1" applyBorder="1" applyAlignment="1" applyProtection="1">
      <alignment horizontal="left"/>
    </xf>
    <xf numFmtId="0" fontId="11" fillId="0" borderId="0" xfId="34" applyFont="1" applyProtection="1"/>
    <xf numFmtId="0" fontId="22" fillId="0" borderId="0" xfId="34" applyFont="1" applyProtection="1">
      <protection locked="0"/>
    </xf>
    <xf numFmtId="0" fontId="22" fillId="0" borderId="0" xfId="34" applyFont="1" applyProtection="1"/>
    <xf numFmtId="0" fontId="11" fillId="0" borderId="0" xfId="34" applyFont="1" applyAlignment="1" applyProtection="1">
      <alignment horizontal="centerContinuous"/>
    </xf>
    <xf numFmtId="0" fontId="11" fillId="0" borderId="0" xfId="35" applyFont="1" applyProtection="1"/>
    <xf numFmtId="0" fontId="22" fillId="0" borderId="0" xfId="35" applyFont="1" applyProtection="1">
      <protection locked="0"/>
    </xf>
    <xf numFmtId="0" fontId="22" fillId="0" borderId="0" xfId="35" applyFont="1" applyProtection="1"/>
    <xf numFmtId="0" fontId="11" fillId="0" borderId="0" xfId="35" applyFont="1" applyAlignment="1" applyProtection="1">
      <alignment horizontal="centerContinuous"/>
    </xf>
    <xf numFmtId="0" fontId="11" fillId="0" borderId="0" xfId="36" applyFont="1" applyProtection="1"/>
    <xf numFmtId="0" fontId="22" fillId="0" borderId="0" xfId="36" applyFont="1" applyProtection="1">
      <protection locked="0"/>
    </xf>
    <xf numFmtId="0" fontId="22" fillId="0" borderId="0" xfId="36" applyFont="1" applyProtection="1"/>
    <xf numFmtId="0" fontId="15" fillId="0" borderId="0" xfId="36" applyFont="1" applyBorder="1" applyAlignment="1" applyProtection="1">
      <alignment horizontal="left"/>
    </xf>
    <xf numFmtId="0" fontId="11" fillId="0" borderId="0" xfId="36" applyFont="1" applyBorder="1" applyAlignment="1" applyProtection="1">
      <alignment horizontal="left"/>
    </xf>
    <xf numFmtId="0" fontId="11" fillId="0" borderId="0" xfId="37" applyFont="1" applyProtection="1"/>
    <xf numFmtId="0" fontId="22" fillId="0" borderId="0" xfId="37" applyFont="1" applyProtection="1">
      <protection locked="0"/>
    </xf>
    <xf numFmtId="0" fontId="22" fillId="0" borderId="0" xfId="37" applyFont="1" applyProtection="1"/>
    <xf numFmtId="0" fontId="15" fillId="0" borderId="0" xfId="37" applyFont="1" applyBorder="1" applyAlignment="1" applyProtection="1">
      <alignment horizontal="left"/>
    </xf>
    <xf numFmtId="0" fontId="11" fillId="0" borderId="0" xfId="37" applyFont="1" applyBorder="1" applyAlignment="1" applyProtection="1">
      <alignment horizontal="left"/>
    </xf>
    <xf numFmtId="0" fontId="11" fillId="0" borderId="0" xfId="38" applyFont="1" applyProtection="1"/>
    <xf numFmtId="0" fontId="22" fillId="0" borderId="0" xfId="38" applyFont="1" applyProtection="1">
      <protection locked="0"/>
    </xf>
    <xf numFmtId="0" fontId="22" fillId="0" borderId="0" xfId="38" applyFont="1" applyProtection="1"/>
    <xf numFmtId="0" fontId="11" fillId="0" borderId="0" xfId="39" applyFont="1" applyProtection="1"/>
    <xf numFmtId="0" fontId="22" fillId="0" borderId="0" xfId="39" applyFont="1" applyProtection="1">
      <protection locked="0"/>
    </xf>
    <xf numFmtId="0" fontId="22" fillId="0" borderId="0" xfId="39" applyFont="1" applyProtection="1"/>
    <xf numFmtId="0" fontId="25" fillId="0" borderId="0" xfId="39" applyFont="1" applyProtection="1"/>
    <xf numFmtId="167" fontId="22" fillId="0" borderId="0" xfId="39" applyNumberFormat="1" applyFont="1" applyProtection="1"/>
    <xf numFmtId="3" fontId="22" fillId="0" borderId="0" xfId="39" applyNumberFormat="1" applyFont="1" applyProtection="1"/>
    <xf numFmtId="0" fontId="11" fillId="0" borderId="0" xfId="39" applyFont="1" applyAlignment="1" applyProtection="1">
      <alignment horizontal="centerContinuous"/>
    </xf>
    <xf numFmtId="0" fontId="11" fillId="0" borderId="0" xfId="41" applyFont="1" applyProtection="1"/>
    <xf numFmtId="0" fontId="22" fillId="0" borderId="0" xfId="41" applyFont="1" applyProtection="1">
      <protection locked="0"/>
    </xf>
    <xf numFmtId="0" fontId="22" fillId="0" borderId="0" xfId="41" applyFont="1" applyProtection="1"/>
    <xf numFmtId="0" fontId="11" fillId="0" borderId="0" xfId="41" applyFont="1" applyBorder="1" applyAlignment="1" applyProtection="1">
      <alignment horizontal="left"/>
    </xf>
    <xf numFmtId="0" fontId="15" fillId="0" borderId="0" xfId="41" applyFont="1" applyBorder="1" applyAlignment="1" applyProtection="1">
      <alignment horizontal="left"/>
    </xf>
    <xf numFmtId="0" fontId="11" fillId="0" borderId="0" xfId="42" applyFont="1" applyProtection="1"/>
    <xf numFmtId="0" fontId="22" fillId="0" borderId="0" xfId="42" applyFont="1" applyProtection="1">
      <protection locked="0"/>
    </xf>
    <xf numFmtId="0" fontId="22" fillId="0" borderId="0" xfId="42" applyFont="1" applyProtection="1"/>
    <xf numFmtId="0" fontId="11" fillId="0" borderId="0" xfId="42" applyFont="1" applyBorder="1" applyAlignment="1" applyProtection="1">
      <alignment horizontal="left"/>
    </xf>
    <xf numFmtId="0" fontId="15" fillId="0" borderId="0" xfId="42" applyFont="1" applyBorder="1" applyAlignment="1" applyProtection="1">
      <alignment horizontal="left"/>
    </xf>
    <xf numFmtId="0" fontId="11" fillId="0" borderId="0" xfId="43" applyFont="1" applyProtection="1"/>
    <xf numFmtId="0" fontId="22" fillId="0" borderId="0" xfId="43" applyFont="1" applyProtection="1">
      <protection locked="0"/>
    </xf>
    <xf numFmtId="0" fontId="22" fillId="0" borderId="0" xfId="43" applyFont="1" applyProtection="1"/>
    <xf numFmtId="0" fontId="11" fillId="0" borderId="0" xfId="43" applyFont="1" applyBorder="1" applyAlignment="1" applyProtection="1">
      <alignment horizontal="left"/>
    </xf>
    <xf numFmtId="0" fontId="15" fillId="0" borderId="0" xfId="43" applyFont="1" applyBorder="1" applyAlignment="1" applyProtection="1">
      <alignment horizontal="left"/>
    </xf>
    <xf numFmtId="0" fontId="11" fillId="0" borderId="0" xfId="44" applyFont="1" applyProtection="1"/>
    <xf numFmtId="0" fontId="22" fillId="0" borderId="0" xfId="44" applyFont="1" applyProtection="1">
      <protection locked="0"/>
    </xf>
    <xf numFmtId="0" fontId="22" fillId="0" borderId="0" xfId="44" applyFont="1" applyProtection="1"/>
    <xf numFmtId="0" fontId="11" fillId="0" borderId="0" xfId="44" applyFont="1" applyBorder="1" applyAlignment="1" applyProtection="1">
      <alignment horizontal="left"/>
    </xf>
    <xf numFmtId="0" fontId="15" fillId="0" borderId="0" xfId="44" applyFont="1" applyBorder="1" applyAlignment="1" applyProtection="1">
      <alignment horizontal="left"/>
    </xf>
    <xf numFmtId="0" fontId="11" fillId="0" borderId="0" xfId="45" applyFont="1" applyProtection="1"/>
    <xf numFmtId="0" fontId="22" fillId="0" borderId="0" xfId="45" applyFont="1" applyProtection="1">
      <protection locked="0"/>
    </xf>
    <xf numFmtId="0" fontId="22" fillId="0" borderId="0" xfId="45" applyFont="1" applyProtection="1"/>
    <xf numFmtId="0" fontId="11" fillId="0" borderId="0" xfId="45" applyFont="1" applyBorder="1" applyAlignment="1" applyProtection="1">
      <alignment horizontal="left"/>
    </xf>
    <xf numFmtId="0" fontId="15" fillId="0" borderId="0" xfId="45" applyFont="1" applyBorder="1" applyAlignment="1" applyProtection="1">
      <alignment horizontal="left"/>
    </xf>
    <xf numFmtId="0" fontId="18" fillId="0" borderId="0" xfId="46" applyFont="1" applyFill="1" applyProtection="1"/>
    <xf numFmtId="0" fontId="30" fillId="0" borderId="0" xfId="46" applyFont="1" applyFill="1" applyProtection="1"/>
    <xf numFmtId="0" fontId="30" fillId="0" borderId="0" xfId="46" applyFont="1" applyFill="1" applyProtection="1">
      <protection locked="0"/>
    </xf>
    <xf numFmtId="0" fontId="37" fillId="0" borderId="0" xfId="46" applyFont="1" applyFill="1" applyProtection="1"/>
    <xf numFmtId="3" fontId="11" fillId="0" borderId="0" xfId="40" applyNumberFormat="1" applyFont="1" applyFill="1" applyBorder="1" applyAlignment="1" applyProtection="1"/>
    <xf numFmtId="3" fontId="11" fillId="2" borderId="12" xfId="15" applyNumberFormat="1" applyFont="1" applyFill="1" applyBorder="1" applyAlignment="1" applyProtection="1">
      <alignment vertical="center"/>
      <protection locked="0"/>
    </xf>
    <xf numFmtId="3" fontId="0" fillId="0" borderId="0" xfId="0" applyNumberFormat="1"/>
    <xf numFmtId="0" fontId="0" fillId="0" borderId="0" xfId="0" applyProtection="1"/>
    <xf numFmtId="0" fontId="11" fillId="0" borderId="0" xfId="40" applyFont="1" applyFill="1" applyBorder="1" applyProtection="1"/>
    <xf numFmtId="0" fontId="11" fillId="0" borderId="5" xfId="27" applyFont="1" applyBorder="1" applyAlignment="1" applyProtection="1">
      <alignment horizontal="center"/>
    </xf>
    <xf numFmtId="0" fontId="11" fillId="0" borderId="8" xfId="27" applyFont="1" applyBorder="1" applyAlignment="1" applyProtection="1">
      <alignment horizontal="center"/>
    </xf>
    <xf numFmtId="0" fontId="11" fillId="0" borderId="2" xfId="27" applyFont="1" applyBorder="1" applyAlignment="1" applyProtection="1">
      <alignment horizontal="center"/>
    </xf>
    <xf numFmtId="3" fontId="11" fillId="0" borderId="9" xfId="27" applyNumberFormat="1" applyFont="1" applyBorder="1" applyAlignment="1" applyProtection="1"/>
    <xf numFmtId="3" fontId="11" fillId="0" borderId="8" xfId="27" applyNumberFormat="1" applyFont="1" applyFill="1" applyBorder="1" applyAlignment="1" applyProtection="1"/>
    <xf numFmtId="3" fontId="11" fillId="0" borderId="3" xfId="27" applyNumberFormat="1" applyFont="1" applyFill="1" applyBorder="1" applyAlignment="1" applyProtection="1"/>
    <xf numFmtId="0" fontId="11" fillId="0" borderId="10" xfId="27" applyFont="1" applyBorder="1" applyAlignment="1" applyProtection="1">
      <alignment horizontal="center"/>
    </xf>
    <xf numFmtId="38" fontId="11" fillId="0" borderId="0" xfId="40" applyNumberFormat="1" applyFont="1" applyProtection="1"/>
    <xf numFmtId="0" fontId="11" fillId="0" borderId="0" xfId="17" applyFont="1" applyBorder="1" applyAlignment="1" applyProtection="1">
      <alignment horizontal="left" vertical="top"/>
    </xf>
    <xf numFmtId="0" fontId="41" fillId="0" borderId="0" xfId="26" applyFont="1" applyBorder="1" applyAlignment="1" applyProtection="1">
      <alignment horizontal="center"/>
    </xf>
    <xf numFmtId="0" fontId="41" fillId="0" borderId="0" xfId="27" applyFont="1" applyAlignment="1" applyProtection="1">
      <alignment horizontal="center"/>
    </xf>
    <xf numFmtId="0" fontId="39" fillId="0" borderId="0" xfId="47" applyFont="1" applyProtection="1"/>
    <xf numFmtId="0" fontId="20" fillId="0" borderId="0" xfId="22" applyFont="1" applyAlignment="1" applyProtection="1">
      <alignment vertical="top"/>
    </xf>
    <xf numFmtId="0" fontId="39" fillId="0" borderId="0" xfId="40" applyFont="1" applyProtection="1"/>
    <xf numFmtId="0" fontId="11" fillId="0" borderId="0" xfId="40" applyFont="1" applyFill="1" applyProtection="1"/>
    <xf numFmtId="0" fontId="26" fillId="0" borderId="0" xfId="0" applyFont="1" applyProtection="1"/>
    <xf numFmtId="3" fontId="15" fillId="0" borderId="7" xfId="27" applyNumberFormat="1" applyFont="1" applyBorder="1" applyAlignment="1" applyProtection="1"/>
    <xf numFmtId="0" fontId="11" fillId="0" borderId="5" xfId="27" applyFont="1" applyBorder="1" applyAlignment="1" applyProtection="1">
      <alignment horizontal="left"/>
    </xf>
    <xf numFmtId="0" fontId="11" fillId="0" borderId="10" xfId="27" applyFont="1" applyBorder="1" applyAlignment="1" applyProtection="1">
      <alignment horizontal="left"/>
    </xf>
    <xf numFmtId="0" fontId="151" fillId="0" borderId="0" xfId="1" applyAlignment="1" applyProtection="1"/>
    <xf numFmtId="0" fontId="151" fillId="0" borderId="0" xfId="1" applyFill="1" applyAlignment="1" applyProtection="1"/>
    <xf numFmtId="0" fontId="11" fillId="0" borderId="0" xfId="27" applyFont="1" applyAlignment="1" applyProtection="1">
      <alignment horizontal="left"/>
    </xf>
    <xf numFmtId="0" fontId="11" fillId="4" borderId="0" xfId="44" applyFont="1" applyFill="1" applyProtection="1"/>
    <xf numFmtId="0" fontId="22" fillId="4" borderId="0" xfId="44" applyFont="1" applyFill="1" applyProtection="1"/>
    <xf numFmtId="0" fontId="43" fillId="4" borderId="0" xfId="44" applyFont="1" applyFill="1" applyProtection="1"/>
    <xf numFmtId="168" fontId="43" fillId="4" borderId="0" xfId="44" applyNumberFormat="1" applyFont="1" applyFill="1" applyProtection="1"/>
    <xf numFmtId="171" fontId="11" fillId="0" borderId="7" xfId="27" applyNumberFormat="1" applyFont="1" applyBorder="1" applyAlignment="1" applyProtection="1">
      <alignment horizontal="center"/>
    </xf>
    <xf numFmtId="172" fontId="11" fillId="0" borderId="10" xfId="27" applyNumberFormat="1" applyFont="1" applyBorder="1" applyAlignment="1" applyProtection="1">
      <alignment horizontal="center"/>
    </xf>
    <xf numFmtId="172" fontId="11" fillId="0" borderId="8" xfId="27" applyNumberFormat="1" applyFont="1" applyBorder="1" applyAlignment="1" applyProtection="1">
      <alignment horizontal="center"/>
    </xf>
    <xf numFmtId="172" fontId="11" fillId="0" borderId="5" xfId="27" applyNumberFormat="1" applyFont="1" applyBorder="1" applyAlignment="1" applyProtection="1">
      <alignment horizontal="center"/>
    </xf>
    <xf numFmtId="172" fontId="11" fillId="0" borderId="2" xfId="27" applyNumberFormat="1" applyFont="1" applyBorder="1" applyAlignment="1" applyProtection="1">
      <alignment horizontal="center"/>
    </xf>
    <xf numFmtId="3" fontId="11" fillId="2" borderId="11" xfId="27" applyNumberFormat="1" applyFont="1" applyFill="1" applyBorder="1" applyAlignment="1" applyProtection="1">
      <protection locked="0"/>
    </xf>
    <xf numFmtId="0" fontId="11" fillId="0" borderId="0" xfId="27" applyFont="1" applyFill="1" applyProtection="1"/>
    <xf numFmtId="0" fontId="0" fillId="0" borderId="0" xfId="0" applyFill="1" applyProtection="1"/>
    <xf numFmtId="172" fontId="11" fillId="0" borderId="7" xfId="27" applyNumberFormat="1" applyFont="1" applyFill="1" applyBorder="1" applyAlignment="1" applyProtection="1">
      <alignment horizontal="center"/>
    </xf>
    <xf numFmtId="49" fontId="11" fillId="0" borderId="0" xfId="47" applyNumberFormat="1" applyFont="1" applyProtection="1"/>
    <xf numFmtId="3" fontId="21" fillId="0" borderId="0" xfId="0" applyNumberFormat="1" applyFont="1" applyAlignment="1" applyProtection="1">
      <alignment vertical="top"/>
    </xf>
    <xf numFmtId="0" fontId="21" fillId="0" borderId="0" xfId="0" applyFont="1" applyAlignment="1" applyProtection="1">
      <alignment vertical="top"/>
    </xf>
    <xf numFmtId="0" fontId="21" fillId="0" borderId="0" xfId="10" applyFont="1" applyProtection="1"/>
    <xf numFmtId="0" fontId="21" fillId="0" borderId="0" xfId="13" applyFont="1" applyProtection="1"/>
    <xf numFmtId="0" fontId="21" fillId="0" borderId="0" xfId="15" applyFont="1" applyProtection="1"/>
    <xf numFmtId="0" fontId="21" fillId="0" borderId="0" xfId="16" applyFont="1" applyProtection="1"/>
    <xf numFmtId="0" fontId="20" fillId="0" borderId="0" xfId="17" applyFont="1" applyProtection="1"/>
    <xf numFmtId="0" fontId="21" fillId="0" borderId="0" xfId="18" applyFont="1" applyProtection="1"/>
    <xf numFmtId="0" fontId="21" fillId="0" borderId="0" xfId="19" applyFont="1" applyProtection="1"/>
    <xf numFmtId="0" fontId="20" fillId="0" borderId="0" xfId="20" applyFont="1" applyBorder="1" applyProtection="1"/>
    <xf numFmtId="0" fontId="21" fillId="0" borderId="0" xfId="23" applyFont="1" applyProtection="1"/>
    <xf numFmtId="0" fontId="21" fillId="0" borderId="0" xfId="39" applyFont="1" applyProtection="1"/>
    <xf numFmtId="0" fontId="20" fillId="0" borderId="0" xfId="12" applyFont="1" applyProtection="1"/>
    <xf numFmtId="0" fontId="11" fillId="0" borderId="0" xfId="42" applyFont="1" applyBorder="1" applyProtection="1"/>
    <xf numFmtId="0" fontId="22" fillId="0" borderId="0" xfId="42" applyFont="1" applyBorder="1" applyProtection="1"/>
    <xf numFmtId="3" fontId="42" fillId="0" borderId="0" xfId="9" applyNumberFormat="1" applyFont="1" applyProtection="1"/>
    <xf numFmtId="169" fontId="44" fillId="8" borderId="0" xfId="9" applyNumberFormat="1" applyFont="1" applyFill="1" applyProtection="1"/>
    <xf numFmtId="0" fontId="39" fillId="0" borderId="0" xfId="9" applyFont="1" applyProtection="1"/>
    <xf numFmtId="169" fontId="42" fillId="8" borderId="0" xfId="40" applyNumberFormat="1" applyFont="1" applyFill="1" applyBorder="1" applyProtection="1"/>
    <xf numFmtId="0" fontId="39" fillId="0" borderId="0" xfId="40" applyFont="1" applyFill="1" applyBorder="1" applyProtection="1"/>
    <xf numFmtId="0" fontId="42" fillId="0" borderId="0" xfId="12" applyFont="1" applyProtection="1"/>
    <xf numFmtId="169" fontId="44" fillId="8" borderId="0" xfId="12" applyNumberFormat="1" applyFont="1" applyFill="1" applyProtection="1"/>
    <xf numFmtId="0" fontId="39" fillId="0" borderId="0" xfId="12" applyFont="1" applyProtection="1"/>
    <xf numFmtId="0" fontId="42" fillId="0" borderId="0" xfId="25" applyFont="1" applyProtection="1"/>
    <xf numFmtId="0" fontId="39" fillId="0" borderId="0" xfId="25" applyFont="1" applyProtection="1"/>
    <xf numFmtId="0" fontId="42" fillId="0" borderId="0" xfId="26" applyFont="1" applyProtection="1"/>
    <xf numFmtId="0" fontId="39" fillId="0" borderId="0" xfId="26" applyFont="1" applyProtection="1"/>
    <xf numFmtId="0" fontId="42" fillId="0" borderId="0" xfId="27" applyFont="1" applyProtection="1"/>
    <xf numFmtId="169" fontId="42" fillId="8" borderId="0" xfId="27" applyNumberFormat="1" applyFont="1" applyFill="1" applyProtection="1"/>
    <xf numFmtId="0" fontId="39" fillId="0" borderId="0" xfId="27" applyFont="1" applyProtection="1"/>
    <xf numFmtId="0" fontId="39" fillId="0" borderId="0" xfId="34" applyFont="1" applyProtection="1"/>
    <xf numFmtId="0" fontId="39" fillId="0" borderId="0" xfId="35" applyFont="1" applyProtection="1"/>
    <xf numFmtId="0" fontId="42" fillId="0" borderId="0" xfId="36" applyFont="1" applyProtection="1"/>
    <xf numFmtId="0" fontId="39" fillId="0" borderId="0" xfId="36" applyFont="1" applyProtection="1"/>
    <xf numFmtId="0" fontId="42" fillId="0" borderId="0" xfId="37" applyFont="1" applyProtection="1"/>
    <xf numFmtId="0" fontId="39" fillId="0" borderId="0" xfId="37" applyFont="1" applyProtection="1"/>
    <xf numFmtId="169" fontId="42" fillId="8" borderId="0" xfId="37" applyNumberFormat="1" applyFont="1" applyFill="1" applyProtection="1"/>
    <xf numFmtId="169" fontId="42" fillId="8" borderId="0" xfId="36" applyNumberFormat="1" applyFont="1" applyFill="1" applyProtection="1"/>
    <xf numFmtId="0" fontId="42" fillId="0" borderId="0" xfId="38" applyFont="1" applyProtection="1"/>
    <xf numFmtId="169" fontId="42" fillId="8" borderId="0" xfId="38" applyNumberFormat="1" applyFont="1" applyFill="1" applyProtection="1"/>
    <xf numFmtId="0" fontId="39" fillId="0" borderId="0" xfId="38" applyFont="1" applyProtection="1"/>
    <xf numFmtId="0" fontId="42" fillId="0" borderId="0" xfId="42" applyFont="1" applyProtection="1"/>
    <xf numFmtId="169" fontId="42" fillId="8" borderId="0" xfId="42" applyNumberFormat="1" applyFont="1" applyFill="1" applyProtection="1"/>
    <xf numFmtId="0" fontId="39" fillId="0" borderId="0" xfId="42" applyFont="1" applyProtection="1"/>
    <xf numFmtId="0" fontId="42" fillId="0" borderId="0" xfId="43" applyFont="1" applyProtection="1"/>
    <xf numFmtId="169" fontId="42" fillId="8" borderId="0" xfId="43" applyNumberFormat="1" applyFont="1" applyFill="1" applyProtection="1"/>
    <xf numFmtId="0" fontId="39" fillId="0" borderId="0" xfId="43" applyFont="1" applyProtection="1"/>
    <xf numFmtId="0" fontId="11" fillId="0" borderId="0" xfId="44" applyFont="1" applyFill="1" applyProtection="1"/>
    <xf numFmtId="0" fontId="22" fillId="0" borderId="0" xfId="44" applyFont="1" applyFill="1" applyProtection="1"/>
    <xf numFmtId="0" fontId="42" fillId="0" borderId="0" xfId="44" applyFont="1" applyFill="1" applyProtection="1"/>
    <xf numFmtId="168" fontId="39" fillId="0" borderId="0" xfId="44" applyNumberFormat="1" applyFont="1" applyFill="1" applyProtection="1"/>
    <xf numFmtId="169" fontId="42" fillId="8" borderId="0" xfId="44" applyNumberFormat="1" applyFont="1" applyFill="1" applyProtection="1"/>
    <xf numFmtId="0" fontId="42" fillId="0" borderId="0" xfId="45" applyFont="1" applyProtection="1"/>
    <xf numFmtId="0" fontId="39" fillId="0" borderId="0" xfId="45" applyFont="1" applyProtection="1"/>
    <xf numFmtId="169" fontId="42" fillId="8" borderId="0" xfId="45" applyNumberFormat="1" applyFont="1" applyFill="1" applyProtection="1"/>
    <xf numFmtId="169" fontId="44" fillId="8" borderId="0" xfId="25" applyNumberFormat="1" applyFont="1" applyFill="1" applyProtection="1"/>
    <xf numFmtId="169" fontId="44" fillId="8" borderId="0" xfId="26" applyNumberFormat="1" applyFont="1" applyFill="1" applyProtection="1"/>
    <xf numFmtId="0" fontId="47" fillId="0" borderId="0" xfId="0" applyFont="1" applyProtection="1"/>
    <xf numFmtId="0" fontId="44" fillId="0" borderId="0" xfId="0" applyFont="1" applyProtection="1"/>
    <xf numFmtId="3" fontId="0" fillId="0" borderId="0" xfId="0" applyNumberFormat="1" applyProtection="1"/>
    <xf numFmtId="0" fontId="44" fillId="0" borderId="0" xfId="0" applyFont="1" applyFill="1" applyProtection="1"/>
    <xf numFmtId="3" fontId="44" fillId="0" borderId="0" xfId="0" applyNumberFormat="1" applyFont="1" applyFill="1" applyProtection="1"/>
    <xf numFmtId="0" fontId="48" fillId="0" borderId="0" xfId="0" applyFont="1" applyProtection="1"/>
    <xf numFmtId="3" fontId="44" fillId="0" borderId="0" xfId="0" applyNumberFormat="1" applyFont="1" applyProtection="1"/>
    <xf numFmtId="3" fontId="44" fillId="0" borderId="1" xfId="0" applyNumberFormat="1" applyFont="1" applyBorder="1" applyProtection="1"/>
    <xf numFmtId="3" fontId="11" fillId="2" borderId="4" xfId="27" applyNumberFormat="1" applyFont="1" applyFill="1" applyBorder="1" applyAlignment="1" applyProtection="1">
      <protection locked="0"/>
    </xf>
    <xf numFmtId="0" fontId="33" fillId="0" borderId="0" xfId="23" applyFont="1" applyProtection="1"/>
    <xf numFmtId="0" fontId="57" fillId="0" borderId="0" xfId="23" applyFont="1" applyAlignment="1" applyProtection="1">
      <alignment horizontal="left"/>
    </xf>
    <xf numFmtId="3" fontId="11" fillId="0" borderId="12" xfId="27" applyNumberFormat="1" applyFont="1" applyFill="1" applyBorder="1" applyAlignment="1" applyProtection="1">
      <alignment horizontal="right"/>
    </xf>
    <xf numFmtId="0" fontId="53" fillId="0" borderId="0" xfId="0" applyFont="1" applyFill="1" applyAlignment="1">
      <alignment horizontal="center"/>
    </xf>
    <xf numFmtId="3" fontId="11" fillId="0" borderId="0" xfId="22" applyNumberFormat="1" applyFont="1" applyAlignment="1" applyProtection="1">
      <alignment horizontal="right" vertical="top"/>
    </xf>
    <xf numFmtId="3" fontId="18" fillId="0" borderId="0" xfId="11" applyNumberFormat="1" applyFont="1" applyAlignment="1" applyProtection="1">
      <alignment horizontal="right"/>
    </xf>
    <xf numFmtId="0" fontId="18" fillId="4" borderId="0" xfId="44" applyFont="1" applyFill="1" applyProtection="1"/>
    <xf numFmtId="0" fontId="18" fillId="0" borderId="0" xfId="27" applyFont="1" applyAlignment="1" applyProtection="1">
      <alignment horizontal="center"/>
    </xf>
    <xf numFmtId="0" fontId="60" fillId="0" borderId="0" xfId="27" applyFont="1" applyAlignment="1" applyProtection="1">
      <alignment horizontal="center"/>
    </xf>
    <xf numFmtId="0" fontId="61" fillId="0" borderId="0" xfId="33" applyFont="1" applyFill="1" applyBorder="1" applyProtection="1"/>
    <xf numFmtId="172" fontId="61" fillId="0" borderId="0" xfId="33" applyNumberFormat="1" applyFont="1" applyFill="1" applyBorder="1" applyAlignment="1" applyProtection="1">
      <alignment horizontal="center"/>
    </xf>
    <xf numFmtId="0" fontId="61" fillId="0" borderId="0" xfId="33" applyFont="1" applyFill="1" applyBorder="1" applyAlignment="1" applyProtection="1">
      <alignment horizontal="left"/>
    </xf>
    <xf numFmtId="0" fontId="61" fillId="0" borderId="0" xfId="33" applyFont="1" applyFill="1" applyBorder="1" applyAlignment="1" applyProtection="1">
      <alignment horizontal="right"/>
    </xf>
    <xf numFmtId="0" fontId="58" fillId="0" borderId="0" xfId="33" applyFont="1" applyFill="1" applyBorder="1" applyProtection="1"/>
    <xf numFmtId="0" fontId="61" fillId="0" borderId="0" xfId="33" applyFont="1" applyFill="1" applyBorder="1" applyAlignment="1" applyProtection="1">
      <alignment horizontal="center"/>
    </xf>
    <xf numFmtId="172" fontId="61" fillId="0" borderId="4" xfId="33" applyNumberFormat="1" applyFont="1" applyFill="1" applyBorder="1" applyAlignment="1" applyProtection="1">
      <alignment horizontal="center"/>
    </xf>
    <xf numFmtId="0" fontId="61" fillId="0" borderId="4" xfId="33" applyFont="1" applyFill="1" applyBorder="1" applyAlignment="1" applyProtection="1">
      <alignment horizontal="center"/>
    </xf>
    <xf numFmtId="0" fontId="15" fillId="0" borderId="0" xfId="33" applyFont="1" applyFill="1" applyBorder="1" applyAlignment="1" applyProtection="1">
      <alignment horizontal="center"/>
    </xf>
    <xf numFmtId="172" fontId="61" fillId="0" borderId="7" xfId="33" applyNumberFormat="1" applyFont="1" applyFill="1" applyBorder="1" applyAlignment="1" applyProtection="1">
      <alignment horizontal="center"/>
    </xf>
    <xf numFmtId="0" fontId="61" fillId="0" borderId="7" xfId="33" applyFont="1" applyFill="1" applyBorder="1" applyAlignment="1" applyProtection="1">
      <alignment horizontal="center"/>
    </xf>
    <xf numFmtId="0" fontId="61" fillId="0" borderId="1" xfId="33" applyFont="1" applyFill="1" applyBorder="1" applyProtection="1"/>
    <xf numFmtId="172" fontId="61" fillId="0" borderId="12" xfId="33" applyNumberFormat="1" applyFont="1" applyFill="1" applyBorder="1" applyAlignment="1" applyProtection="1">
      <alignment horizontal="center"/>
    </xf>
    <xf numFmtId="171" fontId="61" fillId="0" borderId="12" xfId="33" applyNumberFormat="1" applyFont="1" applyFill="1" applyBorder="1" applyAlignment="1" applyProtection="1">
      <alignment horizontal="center"/>
    </xf>
    <xf numFmtId="171" fontId="61" fillId="0" borderId="7" xfId="33" applyNumberFormat="1" applyFont="1" applyFill="1" applyBorder="1" applyAlignment="1" applyProtection="1">
      <alignment horizontal="center"/>
    </xf>
    <xf numFmtId="0" fontId="61" fillId="0" borderId="13" xfId="33" applyFont="1" applyFill="1" applyBorder="1" applyAlignment="1" applyProtection="1">
      <alignment vertical="top"/>
    </xf>
    <xf numFmtId="172" fontId="61" fillId="0" borderId="2" xfId="33" applyNumberFormat="1" applyFont="1" applyFill="1" applyBorder="1" applyAlignment="1" applyProtection="1">
      <alignment horizontal="center" vertical="top"/>
    </xf>
    <xf numFmtId="3" fontId="61" fillId="0" borderId="14" xfId="33" applyNumberFormat="1" applyFont="1" applyFill="1" applyBorder="1" applyAlignment="1" applyProtection="1">
      <alignment vertical="top"/>
    </xf>
    <xf numFmtId="0" fontId="61" fillId="0" borderId="12" xfId="21" applyFont="1" applyFill="1" applyBorder="1" applyAlignment="1" applyProtection="1">
      <alignment horizontal="left" vertical="top"/>
    </xf>
    <xf numFmtId="0" fontId="18" fillId="0" borderId="10" xfId="21" applyFont="1" applyFill="1" applyBorder="1" applyAlignment="1" applyProtection="1">
      <alignment horizontal="center" vertical="top"/>
    </xf>
    <xf numFmtId="0" fontId="61" fillId="0" borderId="13" xfId="21" applyFont="1" applyFill="1" applyBorder="1" applyAlignment="1" applyProtection="1">
      <alignment horizontal="left" vertical="top"/>
    </xf>
    <xf numFmtId="0" fontId="18" fillId="0" borderId="2" xfId="21" applyFont="1" applyFill="1" applyBorder="1" applyAlignment="1" applyProtection="1">
      <alignment horizontal="center" vertical="top"/>
    </xf>
    <xf numFmtId="0" fontId="55" fillId="0" borderId="0" xfId="23" applyFont="1" applyProtection="1"/>
    <xf numFmtId="0" fontId="39" fillId="0" borderId="0" xfId="23" applyFont="1" applyProtection="1"/>
    <xf numFmtId="0" fontId="65" fillId="0" borderId="0" xfId="22" applyFont="1" applyAlignment="1" applyProtection="1">
      <alignment vertical="top"/>
    </xf>
    <xf numFmtId="0" fontId="63" fillId="0" borderId="0" xfId="22" applyFont="1" applyProtection="1"/>
    <xf numFmtId="0" fontId="64" fillId="0" borderId="0" xfId="20" applyFont="1" applyBorder="1" applyProtection="1"/>
    <xf numFmtId="0" fontId="65" fillId="0" borderId="0" xfId="19" applyFont="1" applyProtection="1"/>
    <xf numFmtId="0" fontId="63" fillId="0" borderId="0" xfId="0" applyFont="1" applyProtection="1"/>
    <xf numFmtId="0" fontId="58" fillId="0" borderId="0" xfId="13" applyFont="1" applyProtection="1"/>
    <xf numFmtId="0" fontId="55" fillId="0" borderId="0" xfId="13" applyFont="1" applyProtection="1"/>
    <xf numFmtId="0" fontId="69" fillId="0" borderId="0" xfId="11" applyFont="1" applyProtection="1"/>
    <xf numFmtId="0" fontId="69" fillId="0" borderId="0" xfId="22" applyFont="1" applyAlignment="1" applyProtection="1">
      <alignment vertical="top"/>
    </xf>
    <xf numFmtId="0" fontId="53" fillId="0" borderId="0" xfId="0" applyFont="1" applyFill="1" applyProtection="1"/>
    <xf numFmtId="3" fontId="18" fillId="0" borderId="0" xfId="0" applyNumberFormat="1" applyFont="1" applyFill="1" applyProtection="1"/>
    <xf numFmtId="3" fontId="0" fillId="0" borderId="0" xfId="0" applyNumberFormat="1" applyFill="1" applyProtection="1"/>
    <xf numFmtId="3" fontId="18" fillId="0" borderId="1" xfId="0" applyNumberFormat="1" applyFont="1" applyFill="1" applyBorder="1" applyProtection="1"/>
    <xf numFmtId="3" fontId="0" fillId="0" borderId="1" xfId="0" applyNumberFormat="1" applyFill="1" applyBorder="1" applyProtection="1"/>
    <xf numFmtId="0" fontId="70" fillId="0" borderId="0" xfId="0" applyFont="1" applyProtection="1"/>
    <xf numFmtId="3" fontId="11" fillId="0" borderId="0" xfId="27" applyNumberFormat="1" applyFont="1" applyFill="1" applyBorder="1" applyAlignment="1" applyProtection="1"/>
    <xf numFmtId="3" fontId="11" fillId="0" borderId="0" xfId="27" applyNumberFormat="1" applyFont="1" applyFill="1" applyBorder="1" applyProtection="1"/>
    <xf numFmtId="0" fontId="11" fillId="0" borderId="0" xfId="27" applyFont="1" applyFill="1" applyBorder="1" applyAlignment="1" applyProtection="1">
      <alignment horizontal="center"/>
    </xf>
    <xf numFmtId="171" fontId="11" fillId="0" borderId="0" xfId="27" applyNumberFormat="1" applyFont="1" applyFill="1" applyBorder="1" applyAlignment="1" applyProtection="1">
      <alignment horizontal="center"/>
    </xf>
    <xf numFmtId="3" fontId="18" fillId="0" borderId="0" xfId="27" applyNumberFormat="1" applyFont="1" applyFill="1" applyBorder="1" applyAlignment="1" applyProtection="1"/>
    <xf numFmtId="3" fontId="0" fillId="0" borderId="0" xfId="27" applyNumberFormat="1" applyFont="1" applyFill="1" applyBorder="1" applyAlignment="1" applyProtection="1"/>
    <xf numFmtId="0" fontId="11" fillId="0" borderId="0" xfId="27" applyFont="1" applyBorder="1" applyProtection="1"/>
    <xf numFmtId="3" fontId="11" fillId="0" borderId="12" xfId="27" applyNumberFormat="1" applyFont="1" applyFill="1" applyBorder="1" applyAlignment="1" applyProtection="1">
      <protection locked="0"/>
    </xf>
    <xf numFmtId="3" fontId="11" fillId="0" borderId="1" xfId="27" applyNumberFormat="1" applyFont="1" applyFill="1" applyBorder="1" applyAlignment="1" applyProtection="1">
      <alignment horizontal="right"/>
    </xf>
    <xf numFmtId="0" fontId="0" fillId="13" borderId="0" xfId="0" applyFont="1" applyFill="1"/>
    <xf numFmtId="3" fontId="61" fillId="0" borderId="13" xfId="33" applyNumberFormat="1" applyFont="1" applyFill="1" applyBorder="1" applyAlignment="1" applyProtection="1">
      <alignment vertical="top"/>
    </xf>
    <xf numFmtId="3" fontId="61" fillId="0" borderId="3" xfId="33" applyNumberFormat="1" applyFont="1" applyFill="1" applyBorder="1" applyAlignment="1" applyProtection="1">
      <alignment vertical="top"/>
    </xf>
    <xf numFmtId="3" fontId="61" fillId="11" borderId="4" xfId="33" applyNumberFormat="1" applyFont="1" applyFill="1" applyBorder="1" applyAlignment="1" applyProtection="1">
      <alignment vertical="top"/>
      <protection locked="0"/>
    </xf>
    <xf numFmtId="3" fontId="61" fillId="11" borderId="13" xfId="21" applyNumberFormat="1" applyFont="1" applyFill="1" applyBorder="1" applyAlignment="1" applyProtection="1">
      <alignment vertical="top"/>
      <protection locked="0"/>
    </xf>
    <xf numFmtId="0" fontId="0" fillId="0" borderId="0" xfId="0"/>
    <xf numFmtId="0" fontId="82" fillId="0" borderId="0" xfId="47" applyFont="1" applyProtection="1"/>
    <xf numFmtId="0" fontId="82" fillId="0" borderId="0" xfId="47" applyFont="1" applyFill="1" applyProtection="1"/>
    <xf numFmtId="0" fontId="82" fillId="17" borderId="0" xfId="47" applyFont="1" applyFill="1" applyProtection="1"/>
    <xf numFmtId="0" fontId="11" fillId="21" borderId="0" xfId="47" applyFont="1" applyFill="1" applyProtection="1"/>
    <xf numFmtId="0" fontId="72" fillId="0" borderId="0" xfId="0" applyFont="1" applyProtection="1"/>
    <xf numFmtId="0" fontId="107" fillId="0" borderId="0" xfId="47" applyFont="1" applyProtection="1"/>
    <xf numFmtId="3" fontId="0" fillId="11" borderId="13" xfId="0" applyNumberFormat="1" applyFill="1" applyBorder="1" applyProtection="1">
      <protection locked="0"/>
    </xf>
    <xf numFmtId="0" fontId="110" fillId="0" borderId="0" xfId="0" applyFont="1" applyFill="1" applyBorder="1" applyAlignment="1">
      <alignment horizontal="center"/>
    </xf>
    <xf numFmtId="0" fontId="0" fillId="54" borderId="0" xfId="0" applyFill="1"/>
    <xf numFmtId="0" fontId="0" fillId="0" borderId="0" xfId="0"/>
    <xf numFmtId="0" fontId="11" fillId="0" borderId="0" xfId="0" applyFont="1" applyProtection="1"/>
    <xf numFmtId="0" fontId="18" fillId="0" borderId="0" xfId="0" applyFont="1" applyFill="1" applyProtection="1"/>
    <xf numFmtId="0" fontId="0" fillId="0" borderId="0" xfId="0"/>
    <xf numFmtId="0" fontId="0" fillId="0" borderId="13" xfId="0" applyBorder="1" applyProtection="1"/>
    <xf numFmtId="3" fontId="0" fillId="0" borderId="13" xfId="0" applyNumberFormat="1" applyBorder="1" applyProtection="1"/>
    <xf numFmtId="3" fontId="15" fillId="0" borderId="9" xfId="27" applyNumberFormat="1" applyFont="1" applyBorder="1" applyAlignment="1" applyProtection="1"/>
    <xf numFmtId="0" fontId="11" fillId="0" borderId="2" xfId="11" applyFont="1" applyFill="1" applyBorder="1" applyAlignment="1" applyProtection="1">
      <alignment horizontal="center" vertical="center"/>
    </xf>
    <xf numFmtId="0" fontId="11" fillId="0" borderId="5" xfId="11" applyFont="1" applyFill="1" applyBorder="1" applyAlignment="1" applyProtection="1">
      <alignment horizontal="center" vertical="center"/>
    </xf>
    <xf numFmtId="0" fontId="11" fillId="0" borderId="10" xfId="13" applyFont="1" applyFill="1" applyBorder="1" applyAlignment="1" applyProtection="1">
      <alignment horizontal="center" vertical="center"/>
    </xf>
    <xf numFmtId="0" fontId="11" fillId="0" borderId="2" xfId="13" applyFont="1" applyFill="1" applyBorder="1" applyAlignment="1" applyProtection="1">
      <alignment horizontal="center" vertical="center"/>
    </xf>
    <xf numFmtId="0" fontId="11" fillId="0" borderId="10" xfId="15" applyFont="1" applyFill="1" applyBorder="1" applyAlignment="1" applyProtection="1">
      <alignment horizontal="center" vertical="center"/>
    </xf>
    <xf numFmtId="0" fontId="11" fillId="0" borderId="2" xfId="15" applyFont="1" applyFill="1" applyBorder="1" applyAlignment="1" applyProtection="1">
      <alignment horizontal="center" vertical="center"/>
    </xf>
    <xf numFmtId="0" fontId="72" fillId="0" borderId="0" xfId="47" applyFont="1" applyProtection="1"/>
    <xf numFmtId="0" fontId="0" fillId="0" borderId="0" xfId="0"/>
    <xf numFmtId="3" fontId="114" fillId="0" borderId="0" xfId="40" applyNumberFormat="1" applyFont="1" applyBorder="1" applyAlignment="1" applyProtection="1"/>
    <xf numFmtId="5" fontId="114" fillId="0" borderId="0" xfId="40" applyNumberFormat="1" applyFont="1" applyProtection="1"/>
    <xf numFmtId="38" fontId="114" fillId="0" borderId="0" xfId="40" applyNumberFormat="1" applyFont="1" applyProtection="1"/>
    <xf numFmtId="0" fontId="0" fillId="0" borderId="0" xfId="0"/>
    <xf numFmtId="3" fontId="11" fillId="2" borderId="10" xfId="27" applyNumberFormat="1" applyFont="1" applyFill="1" applyBorder="1" applyAlignment="1" applyProtection="1">
      <protection locked="0"/>
    </xf>
    <xf numFmtId="3" fontId="81" fillId="0" borderId="0" xfId="22" applyNumberFormat="1" applyFont="1" applyAlignment="1" applyProtection="1">
      <alignment horizontal="right" vertical="top"/>
    </xf>
    <xf numFmtId="3" fontId="81" fillId="0" borderId="0" xfId="20" applyNumberFormat="1" applyFont="1" applyBorder="1" applyProtection="1"/>
    <xf numFmtId="0" fontId="86" fillId="0" borderId="0" xfId="47" applyFont="1" applyProtection="1"/>
    <xf numFmtId="0" fontId="81" fillId="0" borderId="0" xfId="23" applyFont="1" applyProtection="1"/>
    <xf numFmtId="3" fontId="81" fillId="0" borderId="0" xfId="23" applyNumberFormat="1" applyFont="1" applyProtection="1"/>
    <xf numFmtId="3" fontId="11" fillId="11" borderId="13" xfId="27" applyNumberFormat="1" applyFont="1" applyFill="1" applyBorder="1" applyAlignment="1" applyProtection="1">
      <protection locked="0"/>
    </xf>
    <xf numFmtId="167" fontId="53" fillId="0" borderId="0" xfId="172" applyNumberFormat="1" applyFont="1" applyFill="1" applyBorder="1" applyProtection="1"/>
    <xf numFmtId="0" fontId="11" fillId="0" borderId="0" xfId="176"/>
    <xf numFmtId="0" fontId="104" fillId="0" borderId="0" xfId="107" applyAlignment="1" applyProtection="1"/>
    <xf numFmtId="0" fontId="11" fillId="0" borderId="0" xfId="176" applyFill="1"/>
    <xf numFmtId="0" fontId="11" fillId="0" borderId="0" xfId="176" applyProtection="1"/>
    <xf numFmtId="3" fontId="11" fillId="11" borderId="13" xfId="176" applyNumberFormat="1" applyFill="1" applyBorder="1" applyProtection="1">
      <protection locked="0"/>
    </xf>
    <xf numFmtId="0" fontId="11" fillId="0" borderId="0" xfId="176" applyFont="1" applyFill="1" applyBorder="1" applyProtection="1"/>
    <xf numFmtId="0" fontId="11" fillId="0" borderId="0" xfId="176" applyFill="1" applyProtection="1"/>
    <xf numFmtId="0" fontId="11" fillId="0" borderId="0" xfId="180" applyFont="1" applyProtection="1"/>
    <xf numFmtId="0" fontId="22" fillId="0" borderId="0" xfId="180" applyFont="1" applyProtection="1"/>
    <xf numFmtId="0" fontId="11" fillId="0" borderId="0" xfId="180" applyFont="1" applyAlignment="1" applyProtection="1">
      <alignment horizontal="centerContinuous"/>
    </xf>
    <xf numFmtId="0" fontId="11" fillId="0" borderId="6" xfId="180" applyFont="1" applyBorder="1" applyAlignment="1" applyProtection="1">
      <alignment horizontal="centerContinuous"/>
    </xf>
    <xf numFmtId="0" fontId="11" fillId="2" borderId="13" xfId="180" applyFont="1" applyFill="1" applyBorder="1" applyProtection="1">
      <protection locked="0"/>
    </xf>
    <xf numFmtId="173" fontId="11" fillId="2" borderId="13" xfId="180" applyNumberFormat="1" applyFont="1" applyFill="1" applyBorder="1" applyProtection="1">
      <protection locked="0"/>
    </xf>
    <xf numFmtId="3" fontId="11" fillId="2" borderId="13" xfId="180" applyNumberFormat="1" applyFont="1" applyFill="1" applyBorder="1" applyProtection="1">
      <protection locked="0"/>
    </xf>
    <xf numFmtId="0" fontId="19" fillId="0" borderId="0" xfId="180" applyFont="1" applyProtection="1"/>
    <xf numFmtId="0" fontId="11" fillId="0" borderId="0" xfId="46" applyFont="1" applyFill="1" applyBorder="1" applyAlignment="1" applyProtection="1">
      <alignment vertical="top"/>
    </xf>
    <xf numFmtId="0" fontId="11" fillId="0" borderId="0" xfId="176" applyFont="1" applyFill="1" applyBorder="1" applyAlignment="1" applyProtection="1">
      <alignment horizontal="right"/>
    </xf>
    <xf numFmtId="49" fontId="11" fillId="0" borderId="13" xfId="176" applyNumberFormat="1" applyFont="1" applyFill="1" applyBorder="1" applyProtection="1"/>
    <xf numFmtId="3" fontId="11" fillId="0" borderId="13" xfId="176" applyNumberFormat="1" applyFont="1" applyFill="1" applyBorder="1" applyProtection="1"/>
    <xf numFmtId="3" fontId="11" fillId="0" borderId="13" xfId="176" applyNumberFormat="1" applyFont="1" applyFill="1" applyBorder="1" applyAlignment="1" applyProtection="1">
      <alignment horizontal="right"/>
    </xf>
    <xf numFmtId="0" fontId="11" fillId="0" borderId="13" xfId="176" applyFont="1" applyFill="1" applyBorder="1" applyProtection="1"/>
    <xf numFmtId="0" fontId="11" fillId="0" borderId="13" xfId="176" applyFont="1" applyFill="1" applyBorder="1" applyAlignment="1" applyProtection="1">
      <alignment horizontal="center"/>
    </xf>
    <xf numFmtId="3" fontId="11" fillId="0" borderId="0" xfId="176" applyNumberFormat="1" applyFont="1" applyFill="1" applyBorder="1" applyProtection="1"/>
    <xf numFmtId="0" fontId="11" fillId="56" borderId="13" xfId="176" applyFont="1" applyFill="1" applyBorder="1" applyProtection="1"/>
    <xf numFmtId="0" fontId="11" fillId="56" borderId="13" xfId="176" applyFont="1" applyFill="1" applyBorder="1" applyAlignment="1" applyProtection="1">
      <alignment horizontal="center"/>
    </xf>
    <xf numFmtId="0" fontId="15" fillId="0" borderId="13" xfId="176" applyFont="1" applyFill="1" applyBorder="1" applyProtection="1"/>
    <xf numFmtId="167" fontId="11" fillId="0" borderId="13" xfId="176" applyNumberFormat="1" applyFont="1" applyFill="1" applyBorder="1" applyProtection="1"/>
    <xf numFmtId="0" fontId="17" fillId="0" borderId="0" xfId="176" applyFont="1" applyFill="1" applyBorder="1" applyProtection="1"/>
    <xf numFmtId="0" fontId="12" fillId="0" borderId="0" xfId="176" applyFont="1" applyFill="1" applyBorder="1" applyProtection="1"/>
    <xf numFmtId="0" fontId="11" fillId="5" borderId="0" xfId="176" applyFont="1" applyFill="1" applyProtection="1"/>
    <xf numFmtId="0" fontId="11" fillId="5" borderId="0" xfId="176" applyFill="1" applyProtection="1"/>
    <xf numFmtId="0" fontId="11" fillId="2" borderId="0" xfId="176" applyFill="1" applyProtection="1">
      <protection locked="0"/>
    </xf>
    <xf numFmtId="0" fontId="11" fillId="2" borderId="0" xfId="176" applyFont="1" applyFill="1" applyProtection="1">
      <protection locked="0"/>
    </xf>
    <xf numFmtId="49" fontId="11" fillId="2" borderId="0" xfId="176" applyNumberFormat="1" applyFont="1" applyFill="1" applyProtection="1">
      <protection locked="0"/>
    </xf>
    <xf numFmtId="167" fontId="11" fillId="2" borderId="13" xfId="176" applyNumberFormat="1" applyFill="1" applyBorder="1" applyProtection="1">
      <protection locked="0"/>
    </xf>
    <xf numFmtId="167" fontId="11" fillId="3" borderId="13" xfId="176" applyNumberFormat="1" applyFill="1" applyBorder="1" applyAlignment="1" applyProtection="1">
      <alignment horizontal="center"/>
    </xf>
    <xf numFmtId="167" fontId="11" fillId="0" borderId="0" xfId="176" applyNumberFormat="1" applyFill="1" applyBorder="1" applyAlignment="1" applyProtection="1">
      <alignment horizontal="center"/>
    </xf>
    <xf numFmtId="0" fontId="123" fillId="0" borderId="0" xfId="190" applyFont="1"/>
    <xf numFmtId="0" fontId="124" fillId="0" borderId="0" xfId="190" applyFont="1"/>
    <xf numFmtId="0" fontId="123" fillId="0" borderId="0" xfId="190" applyFont="1" applyAlignment="1">
      <alignment horizontal="center"/>
    </xf>
    <xf numFmtId="0" fontId="123" fillId="0" borderId="0" xfId="190" applyFont="1" applyFill="1"/>
    <xf numFmtId="0" fontId="123" fillId="0" borderId="0" xfId="190" quotePrefix="1" applyFont="1" applyFill="1"/>
    <xf numFmtId="0" fontId="125" fillId="0" borderId="0" xfId="190" applyFont="1"/>
    <xf numFmtId="0" fontId="127" fillId="0" borderId="0" xfId="190" applyFont="1"/>
    <xf numFmtId="0" fontId="128" fillId="0" borderId="0" xfId="190" applyFont="1"/>
    <xf numFmtId="0" fontId="129" fillId="0" borderId="0" xfId="190" applyFont="1"/>
    <xf numFmtId="0" fontId="17" fillId="0" borderId="0" xfId="190" applyFont="1" applyProtection="1"/>
    <xf numFmtId="0" fontId="130" fillId="0" borderId="0" xfId="190" applyFont="1" applyProtection="1"/>
    <xf numFmtId="0" fontId="17" fillId="0" borderId="0" xfId="190" applyFont="1" applyAlignment="1" applyProtection="1">
      <alignment horizontal="center"/>
    </xf>
    <xf numFmtId="0" fontId="17" fillId="0" borderId="0" xfId="190" applyFont="1" applyAlignment="1" applyProtection="1">
      <alignment horizontal="left"/>
    </xf>
    <xf numFmtId="3" fontId="17" fillId="18" borderId="13" xfId="190" applyNumberFormat="1" applyFont="1" applyFill="1" applyBorder="1" applyProtection="1"/>
    <xf numFmtId="167" fontId="17" fillId="19" borderId="13" xfId="190" applyNumberFormat="1" applyFont="1" applyFill="1" applyBorder="1" applyProtection="1">
      <protection locked="0"/>
    </xf>
    <xf numFmtId="167" fontId="17" fillId="19" borderId="13" xfId="190" applyNumberFormat="1" applyFont="1" applyFill="1" applyBorder="1" applyAlignment="1" applyProtection="1">
      <alignment horizontal="center"/>
      <protection locked="0"/>
    </xf>
    <xf numFmtId="3" fontId="17" fillId="18" borderId="3" xfId="190" applyNumberFormat="1" applyFont="1" applyFill="1" applyBorder="1" applyProtection="1"/>
    <xf numFmtId="3" fontId="17" fillId="18" borderId="14" xfId="190" applyNumberFormat="1" applyFont="1" applyFill="1" applyBorder="1" applyProtection="1"/>
    <xf numFmtId="3" fontId="17" fillId="22" borderId="0" xfId="190" applyNumberFormat="1" applyFont="1" applyFill="1" applyProtection="1"/>
    <xf numFmtId="167" fontId="17" fillId="22" borderId="0" xfId="190" applyNumberFormat="1" applyFont="1" applyFill="1" applyProtection="1"/>
    <xf numFmtId="0" fontId="17" fillId="3" borderId="0" xfId="190" applyFont="1" applyFill="1" applyProtection="1"/>
    <xf numFmtId="167" fontId="17" fillId="19" borderId="2" xfId="190" applyNumberFormat="1" applyFont="1" applyFill="1" applyBorder="1" applyProtection="1">
      <protection locked="0"/>
    </xf>
    <xf numFmtId="3" fontId="17" fillId="0" borderId="13" xfId="190" applyNumberFormat="1" applyFont="1" applyBorder="1" applyProtection="1"/>
    <xf numFmtId="167" fontId="123" fillId="0" borderId="13" xfId="190" applyNumberFormat="1" applyFont="1" applyBorder="1"/>
    <xf numFmtId="3" fontId="123" fillId="0" borderId="0" xfId="190" applyNumberFormat="1" applyFont="1"/>
    <xf numFmtId="167" fontId="17" fillId="3" borderId="0" xfId="190" applyNumberFormat="1" applyFont="1" applyFill="1" applyProtection="1"/>
    <xf numFmtId="0" fontId="17" fillId="22" borderId="0" xfId="190" applyFont="1" applyFill="1" applyProtection="1"/>
    <xf numFmtId="3" fontId="17" fillId="58" borderId="13" xfId="190" applyNumberFormat="1" applyFont="1" applyFill="1" applyBorder="1" applyProtection="1">
      <protection locked="0"/>
    </xf>
    <xf numFmtId="3" fontId="17" fillId="3" borderId="0" xfId="190" applyNumberFormat="1" applyFont="1" applyFill="1" applyProtection="1"/>
    <xf numFmtId="167" fontId="17" fillId="58" borderId="13" xfId="190" applyNumberFormat="1" applyFont="1" applyFill="1" applyBorder="1" applyProtection="1">
      <protection locked="0"/>
    </xf>
    <xf numFmtId="37" fontId="17" fillId="18" borderId="13" xfId="190" applyNumberFormat="1" applyFont="1" applyFill="1" applyBorder="1" applyProtection="1"/>
    <xf numFmtId="38" fontId="17" fillId="18" borderId="13" xfId="190" applyNumberFormat="1" applyFont="1" applyFill="1" applyBorder="1" applyProtection="1"/>
    <xf numFmtId="0" fontId="17" fillId="3" borderId="1" xfId="190" applyFont="1" applyFill="1" applyBorder="1" applyProtection="1"/>
    <xf numFmtId="3" fontId="123" fillId="18" borderId="13" xfId="190" applyNumberFormat="1" applyFont="1" applyFill="1" applyBorder="1" applyProtection="1">
      <protection locked="0"/>
    </xf>
    <xf numFmtId="0" fontId="123" fillId="58" borderId="13" xfId="190" applyFont="1" applyFill="1" applyBorder="1" applyAlignment="1" applyProtection="1">
      <alignment horizontal="center"/>
      <protection locked="0"/>
    </xf>
    <xf numFmtId="167" fontId="17" fillId="3" borderId="1" xfId="190" applyNumberFormat="1" applyFont="1" applyFill="1" applyBorder="1" applyProtection="1"/>
    <xf numFmtId="3" fontId="123" fillId="18" borderId="13" xfId="190" applyNumberFormat="1" applyFont="1" applyFill="1" applyBorder="1"/>
    <xf numFmtId="167" fontId="123" fillId="19" borderId="13" xfId="190" applyNumberFormat="1" applyFont="1" applyFill="1" applyBorder="1" applyProtection="1">
      <protection locked="0"/>
    </xf>
    <xf numFmtId="0" fontId="123" fillId="22" borderId="1" xfId="190" applyFont="1" applyFill="1" applyBorder="1"/>
    <xf numFmtId="167" fontId="123" fillId="22" borderId="1" xfId="190" applyNumberFormat="1" applyFont="1" applyFill="1" applyBorder="1"/>
    <xf numFmtId="0" fontId="123" fillId="0" borderId="0" xfId="190" applyFont="1" applyProtection="1"/>
    <xf numFmtId="3" fontId="123" fillId="0" borderId="0" xfId="190" applyNumberFormat="1" applyFont="1" applyProtection="1"/>
    <xf numFmtId="167" fontId="123" fillId="0" borderId="0" xfId="190" applyNumberFormat="1" applyFont="1" applyProtection="1"/>
    <xf numFmtId="167" fontId="123" fillId="0" borderId="0" xfId="190" applyNumberFormat="1" applyFont="1"/>
    <xf numFmtId="3" fontId="17" fillId="18" borderId="6" xfId="190" applyNumberFormat="1" applyFont="1" applyFill="1" applyBorder="1" applyProtection="1"/>
    <xf numFmtId="167" fontId="17" fillId="19" borderId="4" xfId="190" applyNumberFormat="1" applyFont="1" applyFill="1" applyBorder="1" applyProtection="1">
      <protection locked="0"/>
    </xf>
    <xf numFmtId="3" fontId="17" fillId="18" borderId="4" xfId="190" applyNumberFormat="1" applyFont="1" applyFill="1" applyBorder="1" applyProtection="1"/>
    <xf numFmtId="3" fontId="17" fillId="58" borderId="2" xfId="190" applyNumberFormat="1" applyFont="1" applyFill="1" applyBorder="1" applyProtection="1">
      <protection locked="0"/>
    </xf>
    <xf numFmtId="167" fontId="17" fillId="19" borderId="2" xfId="190" applyNumberFormat="1" applyFont="1" applyFill="1" applyBorder="1" applyProtection="1"/>
    <xf numFmtId="167" fontId="17" fillId="58" borderId="2" xfId="190" applyNumberFormat="1" applyFont="1" applyFill="1" applyBorder="1" applyProtection="1">
      <protection locked="0"/>
    </xf>
    <xf numFmtId="37" fontId="17" fillId="18" borderId="3" xfId="190" applyNumberFormat="1" applyFont="1" applyFill="1" applyBorder="1" applyProtection="1"/>
    <xf numFmtId="172" fontId="11" fillId="0" borderId="12" xfId="27" applyNumberFormat="1" applyFont="1" applyFill="1" applyBorder="1" applyAlignment="1" applyProtection="1">
      <alignment horizontal="left"/>
    </xf>
    <xf numFmtId="172" fontId="11" fillId="0" borderId="10" xfId="27" applyNumberFormat="1" applyFont="1" applyFill="1" applyBorder="1" applyAlignment="1" applyProtection="1">
      <alignment horizontal="center"/>
    </xf>
    <xf numFmtId="0" fontId="81" fillId="0" borderId="0" xfId="40" applyFont="1" applyAlignment="1" applyProtection="1">
      <alignment vertical="top"/>
    </xf>
    <xf numFmtId="38" fontId="72" fillId="0" borderId="0" xfId="40" applyNumberFormat="1" applyFont="1" applyProtection="1"/>
    <xf numFmtId="0" fontId="72" fillId="0" borderId="0" xfId="47" quotePrefix="1" applyFont="1" applyProtection="1"/>
    <xf numFmtId="9" fontId="107" fillId="0" borderId="0" xfId="47" quotePrefix="1" applyNumberFormat="1" applyFont="1" applyAlignment="1" applyProtection="1">
      <alignment horizontal="left"/>
    </xf>
    <xf numFmtId="0" fontId="137" fillId="0" borderId="0" xfId="47" applyFont="1" applyProtection="1"/>
    <xf numFmtId="176" fontId="73" fillId="0" borderId="0" xfId="47" applyNumberFormat="1" applyFont="1" applyProtection="1"/>
    <xf numFmtId="8" fontId="73" fillId="0" borderId="0" xfId="47" quotePrefix="1" applyNumberFormat="1" applyFont="1" applyProtection="1"/>
    <xf numFmtId="0" fontId="73" fillId="0" borderId="0" xfId="47" applyFont="1" applyProtection="1"/>
    <xf numFmtId="0" fontId="72" fillId="0" borderId="0" xfId="23" applyFont="1" applyProtection="1"/>
    <xf numFmtId="0" fontId="72" fillId="0" borderId="0" xfId="12" applyFont="1" applyProtection="1"/>
    <xf numFmtId="169" fontId="82" fillId="0" borderId="0" xfId="47" applyNumberFormat="1" applyFont="1" applyProtection="1"/>
    <xf numFmtId="9" fontId="82" fillId="0" borderId="0" xfId="47" quotePrefix="1" applyNumberFormat="1" applyFont="1" applyProtection="1"/>
    <xf numFmtId="0" fontId="15" fillId="0" borderId="0" xfId="30" applyFont="1" applyAlignment="1" applyProtection="1">
      <alignment horizontal="center" vertical="center"/>
    </xf>
    <xf numFmtId="0" fontId="107" fillId="0" borderId="0" xfId="47" applyFont="1" applyFill="1" applyProtection="1"/>
    <xf numFmtId="0" fontId="42" fillId="0" borderId="0" xfId="40" applyFont="1" applyFill="1" applyBorder="1" applyAlignment="1" applyProtection="1">
      <alignment horizontal="right"/>
    </xf>
    <xf numFmtId="0" fontId="81" fillId="0" borderId="0" xfId="22" applyFont="1" applyAlignment="1" applyProtection="1">
      <alignment vertical="top"/>
    </xf>
    <xf numFmtId="168" fontId="81" fillId="0" borderId="0" xfId="22" applyNumberFormat="1" applyFont="1" applyAlignment="1" applyProtection="1">
      <alignment vertical="top"/>
    </xf>
    <xf numFmtId="0" fontId="81" fillId="0" borderId="0" xfId="11" applyFont="1" applyProtection="1"/>
    <xf numFmtId="168" fontId="81" fillId="0" borderId="0" xfId="11" applyNumberFormat="1" applyFont="1" applyProtection="1"/>
    <xf numFmtId="168" fontId="81" fillId="0" borderId="0" xfId="23" applyNumberFormat="1" applyFont="1" applyProtection="1"/>
    <xf numFmtId="0" fontId="107" fillId="0" borderId="0" xfId="46" applyFont="1" applyFill="1" applyAlignment="1" applyProtection="1">
      <alignment horizontal="center"/>
    </xf>
    <xf numFmtId="0" fontId="107" fillId="0" borderId="0" xfId="46" applyFont="1" applyFill="1" applyProtection="1"/>
    <xf numFmtId="169" fontId="107" fillId="0" borderId="0" xfId="46" applyNumberFormat="1" applyFont="1" applyFill="1" applyProtection="1"/>
    <xf numFmtId="3" fontId="107" fillId="0" borderId="0" xfId="46" applyNumberFormat="1" applyFont="1" applyFill="1" applyAlignment="1" applyProtection="1"/>
    <xf numFmtId="3" fontId="107" fillId="0" borderId="0" xfId="46" applyNumberFormat="1" applyFont="1" applyFill="1" applyProtection="1"/>
    <xf numFmtId="169" fontId="107" fillId="0" borderId="0" xfId="46" applyNumberFormat="1" applyFont="1" applyFill="1" applyBorder="1" applyAlignment="1" applyProtection="1">
      <alignment vertical="top"/>
    </xf>
    <xf numFmtId="0" fontId="0" fillId="0" borderId="0" xfId="0"/>
    <xf numFmtId="0" fontId="42" fillId="0" borderId="0" xfId="0" applyFont="1" applyFill="1" applyBorder="1" applyProtection="1"/>
    <xf numFmtId="169" fontId="42" fillId="0" borderId="0" xfId="0" applyNumberFormat="1" applyFont="1" applyFill="1" applyBorder="1" applyProtection="1"/>
    <xf numFmtId="0" fontId="39" fillId="0" borderId="0" xfId="0" applyFont="1" applyFill="1" applyBorder="1" applyProtection="1"/>
    <xf numFmtId="0" fontId="0" fillId="0" borderId="0" xfId="0" applyFill="1" applyBorder="1" applyProtection="1"/>
    <xf numFmtId="0" fontId="72" fillId="13" borderId="0" xfId="0" applyFont="1" applyFill="1"/>
    <xf numFmtId="0" fontId="11" fillId="65" borderId="0" xfId="183" applyFont="1" applyFill="1" applyBorder="1" applyAlignment="1" applyProtection="1">
      <alignment horizontal="right"/>
    </xf>
    <xf numFmtId="0" fontId="20" fillId="0" borderId="0" xfId="40" applyFont="1" applyFill="1" applyAlignment="1" applyProtection="1">
      <alignment vertical="top"/>
    </xf>
    <xf numFmtId="0" fontId="73" fillId="0" borderId="0" xfId="40" applyFont="1" applyAlignment="1" applyProtection="1">
      <alignment horizontal="right" vertical="top"/>
    </xf>
    <xf numFmtId="0" fontId="73" fillId="0" borderId="0" xfId="40" applyFont="1" applyAlignment="1" applyProtection="1">
      <alignment horizontal="right" vertical="top" indent="1"/>
    </xf>
    <xf numFmtId="0" fontId="112" fillId="0" borderId="0" xfId="40" applyFont="1" applyProtection="1"/>
    <xf numFmtId="0" fontId="11" fillId="55" borderId="0" xfId="33" applyFont="1" applyFill="1" applyBorder="1" applyAlignment="1" applyProtection="1">
      <alignment vertical="top"/>
    </xf>
    <xf numFmtId="38" fontId="11" fillId="55" borderId="0" xfId="40" applyNumberFormat="1" applyFont="1" applyFill="1" applyProtection="1"/>
    <xf numFmtId="0" fontId="11" fillId="55" borderId="0" xfId="40" applyFont="1" applyFill="1" applyProtection="1"/>
    <xf numFmtId="38" fontId="11" fillId="55" borderId="1" xfId="40" applyNumberFormat="1" applyFont="1" applyFill="1" applyBorder="1" applyProtection="1"/>
    <xf numFmtId="38" fontId="11" fillId="66" borderId="29" xfId="40" applyNumberFormat="1" applyFont="1" applyFill="1" applyBorder="1" applyProtection="1"/>
    <xf numFmtId="0" fontId="143" fillId="55" borderId="0" xfId="33" applyFont="1" applyFill="1" applyBorder="1" applyAlignment="1" applyProtection="1">
      <alignment vertical="top"/>
    </xf>
    <xf numFmtId="3" fontId="11" fillId="0" borderId="1" xfId="40" applyNumberFormat="1" applyFont="1" applyBorder="1" applyAlignment="1" applyProtection="1">
      <alignment vertical="top"/>
    </xf>
    <xf numFmtId="0" fontId="11" fillId="0" borderId="1" xfId="40" applyFont="1" applyBorder="1" applyAlignment="1" applyProtection="1">
      <alignment vertical="top"/>
    </xf>
    <xf numFmtId="0" fontId="53" fillId="0" borderId="0" xfId="0" applyFont="1" applyFill="1" applyAlignment="1" applyProtection="1">
      <alignment horizontal="center"/>
    </xf>
    <xf numFmtId="3" fontId="53" fillId="0" borderId="0" xfId="0" applyNumberFormat="1" applyFont="1" applyFill="1" applyProtection="1"/>
    <xf numFmtId="0" fontId="11" fillId="66" borderId="0" xfId="40" applyFont="1" applyFill="1" applyProtection="1"/>
    <xf numFmtId="0" fontId="72" fillId="0" borderId="0" xfId="16" applyFont="1" applyProtection="1"/>
    <xf numFmtId="0" fontId="81" fillId="0" borderId="0" xfId="20" applyFont="1" applyBorder="1" applyProtection="1"/>
    <xf numFmtId="0" fontId="39" fillId="0" borderId="0" xfId="0" applyFont="1" applyProtection="1"/>
    <xf numFmtId="0" fontId="42" fillId="0" borderId="0" xfId="0" applyFont="1" applyProtection="1"/>
    <xf numFmtId="3" fontId="11" fillId="2" borderId="53" xfId="27" applyNumberFormat="1" applyFont="1" applyFill="1" applyBorder="1" applyProtection="1">
      <protection locked="0"/>
    </xf>
    <xf numFmtId="0" fontId="42" fillId="0" borderId="0" xfId="41" applyFont="1" applyProtection="1"/>
    <xf numFmtId="169" fontId="42" fillId="8" borderId="0" xfId="41" applyNumberFormat="1" applyFont="1" applyFill="1" applyProtection="1"/>
    <xf numFmtId="0" fontId="39" fillId="0" borderId="0" xfId="41" applyFont="1" applyProtection="1"/>
    <xf numFmtId="0" fontId="11" fillId="2" borderId="0" xfId="176" applyFont="1" applyFill="1" applyAlignment="1" applyProtection="1">
      <alignment horizontal="left"/>
      <protection locked="0"/>
    </xf>
    <xf numFmtId="187" fontId="11" fillId="2" borderId="0" xfId="176" applyNumberFormat="1" applyFill="1" applyAlignment="1" applyProtection="1">
      <alignment horizontal="left"/>
      <protection locked="0"/>
    </xf>
    <xf numFmtId="0" fontId="0" fillId="0" borderId="0" xfId="0"/>
    <xf numFmtId="49" fontId="11" fillId="2" borderId="0" xfId="176" applyNumberFormat="1" applyFont="1" applyFill="1" applyAlignment="1" applyProtection="1">
      <alignment horizontal="left"/>
      <protection locked="0"/>
    </xf>
    <xf numFmtId="0" fontId="81" fillId="69" borderId="0" xfId="47" applyFont="1" applyFill="1" applyProtection="1"/>
    <xf numFmtId="0" fontId="81" fillId="69" borderId="58" xfId="47" applyFont="1" applyFill="1" applyBorder="1" applyProtection="1"/>
    <xf numFmtId="170" fontId="81" fillId="69" borderId="58" xfId="47" applyNumberFormat="1" applyFont="1" applyFill="1" applyBorder="1" applyProtection="1"/>
    <xf numFmtId="0" fontId="11" fillId="69" borderId="0" xfId="183" applyFont="1" applyFill="1" applyBorder="1" applyAlignment="1" applyProtection="1">
      <alignment horizontal="right"/>
    </xf>
    <xf numFmtId="172" fontId="11" fillId="0" borderId="58" xfId="22" applyNumberFormat="1" applyFont="1" applyBorder="1" applyAlignment="1" applyProtection="1">
      <alignment horizontal="left" vertical="top"/>
    </xf>
    <xf numFmtId="0" fontId="11" fillId="0" borderId="58" xfId="17" applyFont="1" applyBorder="1" applyAlignment="1" applyProtection="1">
      <alignment horizontal="left" vertical="top"/>
    </xf>
    <xf numFmtId="0" fontId="135" fillId="0" borderId="0" xfId="0" applyFont="1" applyAlignment="1" applyProtection="1">
      <alignment horizontal="center"/>
    </xf>
    <xf numFmtId="0" fontId="53" fillId="72" borderId="0" xfId="0" applyFont="1" applyFill="1" applyProtection="1"/>
    <xf numFmtId="0" fontId="53" fillId="72" borderId="0" xfId="0" applyFont="1" applyFill="1" applyBorder="1" applyAlignment="1">
      <alignment horizontal="center"/>
    </xf>
    <xf numFmtId="0" fontId="53" fillId="72" borderId="26" xfId="0" applyFont="1" applyFill="1" applyBorder="1" applyAlignment="1">
      <alignment horizontal="center"/>
    </xf>
    <xf numFmtId="0" fontId="53" fillId="72" borderId="0" xfId="170" applyFont="1" applyFill="1" applyBorder="1" applyAlignment="1" applyProtection="1">
      <alignment horizontal="center"/>
    </xf>
    <xf numFmtId="0" fontId="53" fillId="72" borderId="0" xfId="0" applyFont="1" applyFill="1" applyAlignment="1">
      <alignment horizontal="center"/>
    </xf>
    <xf numFmtId="0" fontId="53" fillId="72" borderId="0" xfId="0" applyFont="1" applyFill="1" applyAlignment="1" applyProtection="1">
      <alignment horizontal="center"/>
    </xf>
    <xf numFmtId="167" fontId="140" fillId="0" borderId="0" xfId="0" applyNumberFormat="1" applyFont="1" applyFill="1" applyProtection="1"/>
    <xf numFmtId="167" fontId="53" fillId="0" borderId="0" xfId="0" applyNumberFormat="1" applyFont="1" applyFill="1" applyProtection="1"/>
    <xf numFmtId="2" fontId="53" fillId="0" borderId="0" xfId="0" applyNumberFormat="1" applyFont="1" applyFill="1" applyProtection="1"/>
    <xf numFmtId="173" fontId="53" fillId="0" borderId="0" xfId="0" applyNumberFormat="1" applyFont="1" applyFill="1" applyProtection="1"/>
    <xf numFmtId="10" fontId="53" fillId="0" borderId="0" xfId="0" applyNumberFormat="1" applyFont="1" applyFill="1" applyProtection="1"/>
    <xf numFmtId="166" fontId="53" fillId="0" borderId="0" xfId="0" applyNumberFormat="1" applyFont="1" applyFill="1" applyProtection="1"/>
    <xf numFmtId="0" fontId="78" fillId="0" borderId="0" xfId="18" quotePrefix="1" applyFont="1" applyProtection="1"/>
    <xf numFmtId="0" fontId="72" fillId="0" borderId="0" xfId="18" applyFont="1" applyProtection="1"/>
    <xf numFmtId="0" fontId="33" fillId="0" borderId="0" xfId="18" applyFont="1" applyProtection="1"/>
    <xf numFmtId="2" fontId="53" fillId="74" borderId="0" xfId="0" applyNumberFormat="1" applyFont="1" applyFill="1" applyProtection="1"/>
    <xf numFmtId="0" fontId="11" fillId="0" borderId="0" xfId="176" applyBorder="1" applyProtection="1"/>
    <xf numFmtId="0" fontId="0" fillId="0" borderId="0" xfId="0" applyBorder="1" applyProtection="1"/>
    <xf numFmtId="0" fontId="73" fillId="0" borderId="0" xfId="0" applyFont="1" applyProtection="1"/>
    <xf numFmtId="0" fontId="11" fillId="0" borderId="0" xfId="176" applyFont="1" applyProtection="1"/>
    <xf numFmtId="3" fontId="11" fillId="0" borderId="0" xfId="176" applyNumberFormat="1" applyProtection="1"/>
    <xf numFmtId="0" fontId="11" fillId="0" borderId="0" xfId="0" quotePrefix="1" applyFont="1" applyProtection="1"/>
    <xf numFmtId="0" fontId="11" fillId="0" borderId="0" xfId="176" applyAlignment="1" applyProtection="1">
      <alignment horizontal="center"/>
    </xf>
    <xf numFmtId="0" fontId="54" fillId="0" borderId="0" xfId="176" applyFont="1" applyProtection="1"/>
    <xf numFmtId="0" fontId="0" fillId="0" borderId="0" xfId="0" applyAlignment="1" applyProtection="1">
      <alignment horizontal="center"/>
    </xf>
    <xf numFmtId="0" fontId="0" fillId="0" borderId="0" xfId="0"/>
    <xf numFmtId="0" fontId="11" fillId="0" borderId="0" xfId="180" applyFont="1" applyAlignment="1" applyProtection="1">
      <alignment horizontal="center"/>
    </xf>
    <xf numFmtId="0" fontId="0" fillId="0" borderId="0" xfId="0" applyAlignment="1" applyProtection="1"/>
    <xf numFmtId="0" fontId="24" fillId="0" borderId="0" xfId="40" applyFont="1" applyProtection="1"/>
    <xf numFmtId="0" fontId="11" fillId="0" borderId="0" xfId="40" applyFont="1" applyBorder="1" applyProtection="1"/>
    <xf numFmtId="0" fontId="72" fillId="0" borderId="0" xfId="40" applyFont="1" applyProtection="1"/>
    <xf numFmtId="0" fontId="20" fillId="0" borderId="0" xfId="40" applyFont="1" applyProtection="1"/>
    <xf numFmtId="0" fontId="11" fillId="0" borderId="0" xfId="40" applyFont="1" applyAlignment="1" applyProtection="1">
      <alignment horizontal="centerContinuous" vertical="top"/>
    </xf>
    <xf numFmtId="0" fontId="72" fillId="0" borderId="0" xfId="9" applyFont="1" applyProtection="1"/>
    <xf numFmtId="0" fontId="20" fillId="0" borderId="0" xfId="9" applyFont="1" applyProtection="1"/>
    <xf numFmtId="0" fontId="72" fillId="0" borderId="0" xfId="22" applyFont="1" applyAlignment="1" applyProtection="1">
      <alignment vertical="top"/>
    </xf>
    <xf numFmtId="0" fontId="69" fillId="0" borderId="0" xfId="0" applyFont="1" applyProtection="1"/>
    <xf numFmtId="0" fontId="18" fillId="0" borderId="0" xfId="22" applyFont="1" applyAlignment="1" applyProtection="1">
      <alignment vertical="top"/>
    </xf>
    <xf numFmtId="0" fontId="11" fillId="0" borderId="0" xfId="22" applyFont="1" applyAlignment="1" applyProtection="1">
      <alignment horizontal="right" vertical="top"/>
    </xf>
    <xf numFmtId="0" fontId="33" fillId="0" borderId="0" xfId="10" applyFont="1" applyProtection="1"/>
    <xf numFmtId="0" fontId="72" fillId="0" borderId="0" xfId="11" applyFont="1" applyProtection="1"/>
    <xf numFmtId="0" fontId="30" fillId="0" borderId="0" xfId="11" applyFont="1" applyProtection="1"/>
    <xf numFmtId="0" fontId="78" fillId="0" borderId="0" xfId="12" applyFont="1" applyProtection="1"/>
    <xf numFmtId="0" fontId="113" fillId="0" borderId="0" xfId="12" applyFont="1" applyFill="1" applyProtection="1"/>
    <xf numFmtId="0" fontId="22" fillId="0" borderId="0" xfId="12" applyFont="1" applyFill="1" applyProtection="1"/>
    <xf numFmtId="0" fontId="113" fillId="0" borderId="0" xfId="12" applyFont="1" applyProtection="1"/>
    <xf numFmtId="0" fontId="72" fillId="0" borderId="0" xfId="13" applyFont="1" applyProtection="1"/>
    <xf numFmtId="0" fontId="33" fillId="0" borderId="0" xfId="13" applyFont="1" applyProtection="1"/>
    <xf numFmtId="0" fontId="44" fillId="0" borderId="0" xfId="27" applyFont="1" applyProtection="1"/>
    <xf numFmtId="0" fontId="108" fillId="0" borderId="0" xfId="0" applyFont="1" applyFill="1" applyBorder="1" applyProtection="1"/>
    <xf numFmtId="169" fontId="0" fillId="0" borderId="0" xfId="0" applyNumberFormat="1" applyFill="1" applyBorder="1" applyProtection="1"/>
    <xf numFmtId="0" fontId="81" fillId="0" borderId="0" xfId="0" applyFont="1" applyFill="1" applyBorder="1" applyProtection="1"/>
    <xf numFmtId="0" fontId="11" fillId="0" borderId="0" xfId="0" applyFont="1" applyFill="1" applyBorder="1" applyProtection="1"/>
    <xf numFmtId="0" fontId="11" fillId="0" borderId="0" xfId="0" applyFont="1" applyFill="1" applyBorder="1" applyAlignment="1" applyProtection="1">
      <alignment horizontal="right"/>
    </xf>
    <xf numFmtId="0" fontId="22" fillId="0" borderId="0" xfId="15" applyFont="1" applyFill="1" applyProtection="1"/>
    <xf numFmtId="0" fontId="33" fillId="0" borderId="0" xfId="15" applyFont="1" applyProtection="1"/>
    <xf numFmtId="0" fontId="33" fillId="0" borderId="0" xfId="16" applyFont="1" applyProtection="1"/>
    <xf numFmtId="0" fontId="72" fillId="0" borderId="0" xfId="17" applyFont="1" applyProtection="1"/>
    <xf numFmtId="0" fontId="72" fillId="0" borderId="0" xfId="19" applyFont="1" applyProtection="1"/>
    <xf numFmtId="0" fontId="33" fillId="0" borderId="0" xfId="19" applyFont="1" applyProtection="1"/>
    <xf numFmtId="0" fontId="78" fillId="0" borderId="0" xfId="20" applyFont="1" applyBorder="1" applyProtection="1"/>
    <xf numFmtId="0" fontId="33" fillId="0" borderId="0" xfId="20" applyFont="1" applyBorder="1" applyProtection="1"/>
    <xf numFmtId="0" fontId="67" fillId="0" borderId="0" xfId="0" applyFont="1" applyProtection="1"/>
    <xf numFmtId="0" fontId="113" fillId="0" borderId="0" xfId="20" applyFont="1" applyBorder="1" applyProtection="1"/>
    <xf numFmtId="0" fontId="20" fillId="0" borderId="0" xfId="27" applyFont="1" applyProtection="1"/>
    <xf numFmtId="0" fontId="15" fillId="18" borderId="0" xfId="0" applyFont="1" applyFill="1" applyBorder="1" applyProtection="1"/>
    <xf numFmtId="0" fontId="0" fillId="18" borderId="0" xfId="0" applyFill="1" applyBorder="1" applyProtection="1"/>
    <xf numFmtId="0" fontId="11" fillId="18" borderId="0" xfId="0" applyFont="1" applyFill="1" applyBorder="1" applyProtection="1"/>
    <xf numFmtId="0" fontId="69" fillId="18" borderId="0" xfId="0" applyFont="1" applyFill="1" applyBorder="1" applyProtection="1"/>
    <xf numFmtId="3" fontId="11" fillId="18" borderId="1" xfId="0" applyNumberFormat="1" applyFont="1" applyFill="1" applyBorder="1" applyProtection="1"/>
    <xf numFmtId="168" fontId="0" fillId="18" borderId="14" xfId="0" applyNumberFormat="1" applyFill="1" applyBorder="1" applyProtection="1"/>
    <xf numFmtId="0" fontId="17" fillId="0" borderId="0" xfId="0" applyFont="1" applyAlignment="1" applyProtection="1">
      <alignment horizontal="center"/>
    </xf>
    <xf numFmtId="0" fontId="0" fillId="18" borderId="1" xfId="0" applyFill="1" applyBorder="1" applyProtection="1"/>
    <xf numFmtId="168" fontId="72" fillId="18" borderId="0" xfId="0" applyNumberFormat="1" applyFont="1" applyFill="1" applyBorder="1" applyProtection="1"/>
    <xf numFmtId="173" fontId="115" fillId="0" borderId="0" xfId="22" applyNumberFormat="1" applyFont="1" applyAlignment="1" applyProtection="1">
      <alignment vertical="top"/>
    </xf>
    <xf numFmtId="0" fontId="115" fillId="0" borderId="0" xfId="22" applyFont="1" applyAlignment="1" applyProtection="1">
      <alignment vertical="top"/>
    </xf>
    <xf numFmtId="173" fontId="22" fillId="0" borderId="0" xfId="22" applyNumberFormat="1" applyFont="1" applyAlignment="1" applyProtection="1">
      <alignment vertical="top"/>
    </xf>
    <xf numFmtId="0" fontId="22" fillId="0" borderId="0" xfId="25" applyFont="1" applyFill="1" applyProtection="1"/>
    <xf numFmtId="0" fontId="78" fillId="0" borderId="0" xfId="25" applyFont="1" applyProtection="1"/>
    <xf numFmtId="0" fontId="38" fillId="0" borderId="0" xfId="25" applyFont="1" applyProtection="1"/>
    <xf numFmtId="0" fontId="78" fillId="0" borderId="0" xfId="26" applyFont="1" applyProtection="1"/>
    <xf numFmtId="0" fontId="22" fillId="0" borderId="0" xfId="26" applyFont="1" applyFill="1" applyProtection="1"/>
    <xf numFmtId="0" fontId="11" fillId="0" borderId="18" xfId="27" applyFont="1" applyFill="1" applyBorder="1" applyProtection="1"/>
    <xf numFmtId="0" fontId="11" fillId="0" borderId="19" xfId="27" applyFont="1" applyBorder="1" applyProtection="1"/>
    <xf numFmtId="0" fontId="11" fillId="0" borderId="20" xfId="27" applyFont="1" applyBorder="1" applyProtection="1"/>
    <xf numFmtId="3" fontId="11" fillId="0" borderId="21" xfId="27" applyNumberFormat="1" applyFont="1" applyBorder="1" applyProtection="1"/>
    <xf numFmtId="0" fontId="11" fillId="0" borderId="22" xfId="27" applyFont="1" applyBorder="1" applyProtection="1"/>
    <xf numFmtId="0" fontId="11" fillId="0" borderId="21" xfId="27" applyFont="1" applyBorder="1" applyProtection="1"/>
    <xf numFmtId="169" fontId="11" fillId="0" borderId="21" xfId="27" applyNumberFormat="1" applyFont="1" applyBorder="1" applyProtection="1"/>
    <xf numFmtId="0" fontId="11" fillId="0" borderId="8" xfId="27" applyFont="1" applyBorder="1" applyProtection="1"/>
    <xf numFmtId="0" fontId="11" fillId="0" borderId="23" xfId="27" applyFont="1" applyBorder="1" applyProtection="1"/>
    <xf numFmtId="3" fontId="11" fillId="0" borderId="8" xfId="0" applyNumberFormat="1" applyFont="1" applyBorder="1" applyProtection="1"/>
    <xf numFmtId="0" fontId="11" fillId="0" borderId="8" xfId="0" applyFont="1" applyBorder="1" applyProtection="1"/>
    <xf numFmtId="0" fontId="11" fillId="0" borderId="24" xfId="27" applyFont="1" applyBorder="1" applyProtection="1"/>
    <xf numFmtId="0" fontId="11" fillId="0" borderId="17" xfId="27" applyFont="1" applyBorder="1" applyProtection="1"/>
    <xf numFmtId="0" fontId="11" fillId="0" borderId="25" xfId="27" applyFont="1" applyBorder="1" applyProtection="1"/>
    <xf numFmtId="0" fontId="18" fillId="0" borderId="0" xfId="27" applyFont="1" applyProtection="1"/>
    <xf numFmtId="0" fontId="72" fillId="0" borderId="0" xfId="28" applyFont="1" applyProtection="1"/>
    <xf numFmtId="0" fontId="20" fillId="0" borderId="0" xfId="28" applyFont="1" applyProtection="1"/>
    <xf numFmtId="3" fontId="11" fillId="0" borderId="0" xfId="28" applyNumberFormat="1" applyFont="1" applyBorder="1" applyProtection="1"/>
    <xf numFmtId="0" fontId="18" fillId="0" borderId="0" xfId="23" applyFont="1" applyAlignment="1" applyProtection="1">
      <alignment horizontal="left"/>
    </xf>
    <xf numFmtId="0" fontId="46" fillId="0" borderId="0" xfId="0" applyFont="1" applyProtection="1"/>
    <xf numFmtId="0" fontId="30" fillId="0" borderId="0" xfId="23" applyFont="1" applyProtection="1"/>
    <xf numFmtId="0" fontId="22" fillId="0" borderId="0" xfId="30" applyFont="1" applyFill="1" applyProtection="1"/>
    <xf numFmtId="0" fontId="133" fillId="0" borderId="0" xfId="30" applyFont="1" applyProtection="1"/>
    <xf numFmtId="3" fontId="11" fillId="0" borderId="0" xfId="30" applyNumberFormat="1" applyFont="1" applyBorder="1" applyProtection="1"/>
    <xf numFmtId="3" fontId="11" fillId="0" borderId="0" xfId="30" applyNumberFormat="1" applyFont="1" applyProtection="1"/>
    <xf numFmtId="0" fontId="78" fillId="0" borderId="0" xfId="31" applyFont="1" applyProtection="1"/>
    <xf numFmtId="3" fontId="11" fillId="0" borderId="0" xfId="31" applyNumberFormat="1" applyFont="1" applyBorder="1" applyProtection="1"/>
    <xf numFmtId="3" fontId="0" fillId="0" borderId="3" xfId="0" applyNumberFormat="1" applyBorder="1" applyProtection="1"/>
    <xf numFmtId="0" fontId="78" fillId="0" borderId="0" xfId="34" applyFont="1" applyProtection="1"/>
    <xf numFmtId="0" fontId="78" fillId="0" borderId="0" xfId="35" applyFont="1" applyProtection="1"/>
    <xf numFmtId="0" fontId="18" fillId="0" borderId="0" xfId="34" applyFont="1" applyProtection="1"/>
    <xf numFmtId="0" fontId="33" fillId="0" borderId="0" xfId="39" applyFont="1" applyProtection="1"/>
    <xf numFmtId="0" fontId="31" fillId="0" borderId="0" xfId="39" applyFont="1" applyProtection="1"/>
    <xf numFmtId="0" fontId="22" fillId="0" borderId="0" xfId="41" applyFont="1" applyFill="1" applyProtection="1"/>
    <xf numFmtId="0" fontId="59" fillId="0" borderId="0" xfId="41" applyFont="1" applyFill="1" applyBorder="1" applyProtection="1"/>
    <xf numFmtId="3" fontId="22" fillId="0" borderId="0" xfId="42" applyNumberFormat="1" applyFont="1" applyBorder="1" applyProtection="1"/>
    <xf numFmtId="2" fontId="22" fillId="0" borderId="0" xfId="42" applyNumberFormat="1" applyFont="1" applyBorder="1" applyProtection="1"/>
    <xf numFmtId="0" fontId="22" fillId="0" borderId="0" xfId="42" applyFont="1" applyBorder="1" applyAlignment="1" applyProtection="1">
      <alignment horizontal="center"/>
    </xf>
    <xf numFmtId="0" fontId="72" fillId="0" borderId="0" xfId="44" applyFont="1" applyProtection="1"/>
    <xf numFmtId="0" fontId="22" fillId="0" borderId="0" xfId="45" applyFont="1" applyFill="1" applyProtection="1"/>
    <xf numFmtId="0" fontId="72" fillId="0" borderId="0" xfId="45" applyFont="1" applyProtection="1"/>
    <xf numFmtId="3" fontId="141" fillId="0" borderId="0" xfId="46" applyNumberFormat="1" applyFont="1" applyFill="1" applyProtection="1"/>
    <xf numFmtId="0" fontId="34" fillId="0" borderId="0" xfId="46" applyFont="1" applyFill="1" applyProtection="1"/>
    <xf numFmtId="0" fontId="11" fillId="0" borderId="39" xfId="176" applyBorder="1" applyProtection="1"/>
    <xf numFmtId="0" fontId="11" fillId="0" borderId="40" xfId="176" applyBorder="1" applyProtection="1"/>
    <xf numFmtId="0" fontId="11" fillId="0" borderId="41" xfId="176" applyBorder="1" applyProtection="1"/>
    <xf numFmtId="0" fontId="11" fillId="0" borderId="42" xfId="176" applyBorder="1" applyProtection="1"/>
    <xf numFmtId="0" fontId="11" fillId="0" borderId="43" xfId="176" applyBorder="1" applyProtection="1"/>
    <xf numFmtId="0" fontId="11" fillId="6" borderId="42" xfId="176" applyFill="1" applyBorder="1" applyProtection="1"/>
    <xf numFmtId="0" fontId="11" fillId="6" borderId="0" xfId="176" applyFill="1" applyBorder="1" applyProtection="1"/>
    <xf numFmtId="0" fontId="11" fillId="6" borderId="43" xfId="176" applyFill="1" applyBorder="1" applyProtection="1"/>
    <xf numFmtId="0" fontId="146" fillId="0" borderId="0" xfId="176" applyFont="1" applyAlignment="1" applyProtection="1"/>
    <xf numFmtId="0" fontId="147" fillId="0" borderId="0" xfId="176" applyFont="1" applyProtection="1"/>
    <xf numFmtId="0" fontId="146" fillId="0" borderId="0" xfId="176" applyFont="1" applyProtection="1"/>
    <xf numFmtId="0" fontId="119" fillId="6" borderId="0" xfId="176" applyFont="1" applyFill="1" applyBorder="1" applyProtection="1"/>
    <xf numFmtId="0" fontId="14" fillId="6" borderId="0" xfId="176" applyFont="1" applyFill="1" applyBorder="1" applyAlignment="1" applyProtection="1">
      <alignment horizontal="right"/>
    </xf>
    <xf numFmtId="0" fontId="24" fillId="6" borderId="0" xfId="176" applyFont="1" applyFill="1" applyBorder="1" applyAlignment="1" applyProtection="1">
      <alignment horizontal="left"/>
    </xf>
    <xf numFmtId="0" fontId="31" fillId="0" borderId="0" xfId="176" applyFont="1" applyProtection="1"/>
    <xf numFmtId="0" fontId="20" fillId="0" borderId="0" xfId="176" applyFont="1" applyProtection="1"/>
    <xf numFmtId="0" fontId="11" fillId="0" borderId="44" xfId="176" applyBorder="1" applyProtection="1"/>
    <xf numFmtId="0" fontId="11" fillId="0" borderId="28" xfId="176" applyBorder="1" applyProtection="1"/>
    <xf numFmtId="0" fontId="11" fillId="0" borderId="45" xfId="176" applyBorder="1" applyProtection="1"/>
    <xf numFmtId="178" fontId="112" fillId="0" borderId="0" xfId="0" applyNumberFormat="1" applyFont="1" applyProtection="1"/>
    <xf numFmtId="10" fontId="0" fillId="0" borderId="0" xfId="0" applyNumberFormat="1" applyProtection="1"/>
    <xf numFmtId="0" fontId="41" fillId="3" borderId="0" xfId="176" applyFont="1" applyFill="1" applyProtection="1"/>
    <xf numFmtId="0" fontId="11" fillId="0" borderId="0" xfId="176" applyFont="1" applyAlignment="1" applyProtection="1">
      <alignment horizontal="right"/>
    </xf>
    <xf numFmtId="0" fontId="11" fillId="3" borderId="0" xfId="176" applyFont="1" applyFill="1" applyProtection="1"/>
    <xf numFmtId="0" fontId="122" fillId="3" borderId="0" xfId="176" applyFont="1" applyFill="1" applyProtection="1"/>
    <xf numFmtId="0" fontId="132" fillId="5" borderId="0" xfId="176" applyFont="1" applyFill="1" applyProtection="1"/>
    <xf numFmtId="0" fontId="11" fillId="5" borderId="0" xfId="176" applyFill="1" applyAlignment="1" applyProtection="1">
      <alignment horizontal="right"/>
    </xf>
    <xf numFmtId="0" fontId="121" fillId="5" borderId="0" xfId="176" applyFont="1" applyFill="1" applyProtection="1"/>
    <xf numFmtId="0" fontId="11" fillId="57" borderId="0" xfId="176" applyFill="1" applyProtection="1"/>
    <xf numFmtId="0" fontId="132" fillId="57" borderId="0" xfId="176" applyFont="1" applyFill="1" applyProtection="1"/>
    <xf numFmtId="0" fontId="11" fillId="57" borderId="0" xfId="176" applyFill="1" applyAlignment="1" applyProtection="1">
      <alignment horizontal="right"/>
    </xf>
    <xf numFmtId="0" fontId="11" fillId="57" borderId="0" xfId="176" applyFont="1" applyFill="1" applyProtection="1"/>
    <xf numFmtId="0" fontId="11" fillId="0" borderId="11" xfId="180" applyFont="1" applyBorder="1" applyAlignment="1" applyProtection="1">
      <alignment horizontal="centerContinuous"/>
    </xf>
    <xf numFmtId="0" fontId="11" fillId="0" borderId="0" xfId="180" applyFont="1" applyBorder="1" applyProtection="1"/>
    <xf numFmtId="0" fontId="11" fillId="0" borderId="0" xfId="176" applyAlignment="1" applyProtection="1">
      <alignment horizontal="right"/>
    </xf>
    <xf numFmtId="0" fontId="11" fillId="0" borderId="0" xfId="176" applyAlignment="1" applyProtection="1">
      <alignment horizontal="left"/>
    </xf>
    <xf numFmtId="0" fontId="11" fillId="0" borderId="13" xfId="176" applyBorder="1" applyProtection="1"/>
    <xf numFmtId="0" fontId="11" fillId="0" borderId="0" xfId="176" applyFill="1" applyBorder="1" applyProtection="1"/>
    <xf numFmtId="3" fontId="11" fillId="0" borderId="0" xfId="176" applyNumberFormat="1" applyFill="1" applyBorder="1" applyProtection="1"/>
    <xf numFmtId="3" fontId="11" fillId="0" borderId="0" xfId="176" applyNumberFormat="1" applyFill="1" applyBorder="1" applyAlignment="1" applyProtection="1">
      <alignment horizontal="center"/>
    </xf>
    <xf numFmtId="0" fontId="54" fillId="0" borderId="28" xfId="176" applyFont="1" applyBorder="1" applyProtection="1"/>
    <xf numFmtId="0" fontId="54" fillId="0" borderId="28" xfId="176" applyFont="1" applyBorder="1" applyAlignment="1" applyProtection="1">
      <alignment horizontal="right"/>
    </xf>
    <xf numFmtId="167" fontId="107" fillId="0" borderId="0" xfId="176" applyNumberFormat="1" applyFont="1" applyProtection="1"/>
    <xf numFmtId="3" fontId="107" fillId="0" borderId="0" xfId="176" applyNumberFormat="1" applyFont="1" applyProtection="1"/>
    <xf numFmtId="0" fontId="107" fillId="0" borderId="0" xfId="176" applyFont="1" applyProtection="1"/>
    <xf numFmtId="0" fontId="0" fillId="18" borderId="5" xfId="0" applyFill="1" applyBorder="1" applyProtection="1"/>
    <xf numFmtId="0" fontId="0" fillId="18" borderId="15" xfId="0" applyFill="1" applyBorder="1" applyProtection="1"/>
    <xf numFmtId="0" fontId="11" fillId="18" borderId="15" xfId="0" applyFont="1" applyFill="1" applyBorder="1" applyProtection="1"/>
    <xf numFmtId="0" fontId="0" fillId="18" borderId="6" xfId="0" applyFill="1" applyBorder="1" applyProtection="1"/>
    <xf numFmtId="0" fontId="11" fillId="17" borderId="0" xfId="0" applyFont="1" applyFill="1" applyAlignment="1" applyProtection="1">
      <alignment horizontal="center"/>
    </xf>
    <xf numFmtId="0" fontId="11" fillId="12" borderId="0" xfId="0" applyFont="1" applyFill="1" applyAlignment="1" applyProtection="1">
      <alignment horizontal="center"/>
    </xf>
    <xf numFmtId="0" fontId="11" fillId="16" borderId="0" xfId="0" applyFont="1" applyFill="1" applyAlignment="1" applyProtection="1">
      <alignment horizontal="center"/>
    </xf>
    <xf numFmtId="0" fontId="0" fillId="18" borderId="8" xfId="0" applyFill="1" applyBorder="1" applyProtection="1"/>
    <xf numFmtId="0" fontId="0" fillId="18" borderId="13" xfId="0" applyFill="1" applyBorder="1" applyAlignment="1" applyProtection="1">
      <alignment horizontal="center"/>
    </xf>
    <xf numFmtId="0" fontId="0" fillId="18" borderId="9" xfId="0" applyFill="1" applyBorder="1" applyProtection="1"/>
    <xf numFmtId="0" fontId="0" fillId="17" borderId="0" xfId="0" applyFill="1" applyAlignment="1" applyProtection="1">
      <alignment horizontal="center"/>
    </xf>
    <xf numFmtId="0" fontId="0" fillId="12" borderId="0" xfId="0" applyFill="1" applyAlignment="1" applyProtection="1">
      <alignment horizontal="center"/>
    </xf>
    <xf numFmtId="0" fontId="0" fillId="16" borderId="0" xfId="0" applyFill="1" applyAlignment="1" applyProtection="1">
      <alignment horizontal="center"/>
    </xf>
    <xf numFmtId="0" fontId="0" fillId="18" borderId="0" xfId="0" applyFill="1" applyBorder="1" applyAlignment="1" applyProtection="1">
      <alignment horizontal="center"/>
    </xf>
    <xf numFmtId="0" fontId="72" fillId="0" borderId="0" xfId="0" applyFont="1" applyFill="1" applyAlignment="1" applyProtection="1">
      <alignment horizontal="center"/>
    </xf>
    <xf numFmtId="0" fontId="72" fillId="0" borderId="0" xfId="0" applyFont="1" applyAlignment="1" applyProtection="1">
      <alignment horizontal="center"/>
    </xf>
    <xf numFmtId="0" fontId="11" fillId="0" borderId="0" xfId="0" applyFont="1" applyFill="1" applyAlignment="1" applyProtection="1">
      <alignment horizontal="center"/>
    </xf>
    <xf numFmtId="0" fontId="79" fillId="18" borderId="0" xfId="0" applyFont="1" applyFill="1" applyBorder="1" applyProtection="1"/>
    <xf numFmtId="0" fontId="72" fillId="0" borderId="0" xfId="0" applyFont="1" applyAlignment="1" applyProtection="1">
      <alignment horizontal="left"/>
    </xf>
    <xf numFmtId="0" fontId="80" fillId="18" borderId="0" xfId="0" applyFont="1" applyFill="1" applyBorder="1" applyProtection="1"/>
    <xf numFmtId="0" fontId="0" fillId="18" borderId="10" xfId="0" applyFill="1" applyBorder="1" applyProtection="1"/>
    <xf numFmtId="0" fontId="0" fillId="18" borderId="11" xfId="0" applyFill="1" applyBorder="1" applyProtection="1"/>
    <xf numFmtId="0" fontId="74" fillId="15" borderId="5" xfId="0" applyFont="1" applyFill="1" applyBorder="1" applyProtection="1"/>
    <xf numFmtId="0" fontId="74" fillId="15" borderId="15" xfId="0" applyFont="1" applyFill="1" applyBorder="1" applyProtection="1"/>
    <xf numFmtId="0" fontId="74" fillId="15" borderId="6" xfId="0" applyFont="1" applyFill="1" applyBorder="1" applyProtection="1"/>
    <xf numFmtId="0" fontId="82" fillId="0" borderId="0" xfId="47" applyFont="1" applyAlignment="1" applyProtection="1">
      <alignment horizontal="center"/>
    </xf>
    <xf numFmtId="174" fontId="81" fillId="69" borderId="0" xfId="47" applyNumberFormat="1" applyFont="1" applyFill="1" applyProtection="1"/>
    <xf numFmtId="0" fontId="109" fillId="0" borderId="0" xfId="47" applyFont="1" applyProtection="1"/>
    <xf numFmtId="0" fontId="83" fillId="0" borderId="0" xfId="47" applyFont="1" applyProtection="1"/>
    <xf numFmtId="0" fontId="73" fillId="69" borderId="0" xfId="47" applyFont="1" applyFill="1" applyProtection="1"/>
    <xf numFmtId="166" fontId="72" fillId="0" borderId="0" xfId="47" applyNumberFormat="1" applyFont="1" applyFill="1" applyProtection="1"/>
    <xf numFmtId="49" fontId="73" fillId="69" borderId="0" xfId="47" applyNumberFormat="1" applyFont="1" applyFill="1" applyProtection="1"/>
    <xf numFmtId="49" fontId="56" fillId="0" borderId="0" xfId="47" applyNumberFormat="1" applyFont="1" applyFill="1" applyProtection="1"/>
    <xf numFmtId="14" fontId="0" fillId="0" borderId="0" xfId="0" applyNumberFormat="1" applyProtection="1"/>
    <xf numFmtId="0" fontId="82" fillId="0" borderId="0" xfId="0" applyFont="1" applyProtection="1"/>
    <xf numFmtId="0" fontId="73" fillId="0" borderId="0" xfId="47" applyFont="1" applyFill="1" applyProtection="1"/>
    <xf numFmtId="168" fontId="73" fillId="0" borderId="0" xfId="47" applyNumberFormat="1" applyFont="1" applyProtection="1"/>
    <xf numFmtId="0" fontId="11" fillId="0" borderId="0" xfId="47" quotePrefix="1" applyFont="1" applyAlignment="1" applyProtection="1">
      <alignment horizontal="center"/>
    </xf>
    <xf numFmtId="0" fontId="82" fillId="0" borderId="0" xfId="47" applyFont="1" applyAlignment="1" applyProtection="1">
      <alignment horizontal="right"/>
    </xf>
    <xf numFmtId="49" fontId="73" fillId="0" borderId="0" xfId="47" quotePrefix="1" applyNumberFormat="1" applyFont="1" applyProtection="1"/>
    <xf numFmtId="0" fontId="11" fillId="3" borderId="0" xfId="47" applyFont="1" applyFill="1" applyProtection="1"/>
    <xf numFmtId="0" fontId="72" fillId="0" borderId="0" xfId="47" applyFont="1" applyFill="1" applyProtection="1"/>
    <xf numFmtId="6" fontId="72" fillId="0" borderId="0" xfId="47" quotePrefix="1" applyNumberFormat="1" applyFont="1" applyProtection="1"/>
    <xf numFmtId="2" fontId="73" fillId="17" borderId="0" xfId="47" applyNumberFormat="1" applyFont="1" applyFill="1" applyProtection="1"/>
    <xf numFmtId="0" fontId="73" fillId="0" borderId="0" xfId="47" quotePrefix="1" applyFont="1" applyProtection="1"/>
    <xf numFmtId="2" fontId="73" fillId="0" borderId="0" xfId="47" applyNumberFormat="1" applyFont="1" applyProtection="1"/>
    <xf numFmtId="0" fontId="84" fillId="9" borderId="0" xfId="47" applyFont="1" applyFill="1" applyProtection="1"/>
    <xf numFmtId="0" fontId="58" fillId="0" borderId="0" xfId="47" applyFont="1" applyProtection="1"/>
    <xf numFmtId="0" fontId="85" fillId="0" borderId="0" xfId="47" applyFont="1" applyProtection="1"/>
    <xf numFmtId="3" fontId="82" fillId="4" borderId="0" xfId="47" applyNumberFormat="1" applyFont="1" applyFill="1" applyProtection="1"/>
    <xf numFmtId="0" fontId="82" fillId="0" borderId="0" xfId="0" applyFont="1" applyFill="1" applyProtection="1"/>
    <xf numFmtId="2" fontId="107" fillId="0" borderId="0" xfId="47" applyNumberFormat="1" applyFont="1" applyFill="1" applyProtection="1"/>
    <xf numFmtId="0" fontId="138" fillId="0" borderId="0" xfId="47" applyFont="1" applyProtection="1"/>
    <xf numFmtId="0" fontId="0" fillId="14" borderId="0" xfId="0" applyFont="1" applyFill="1" applyProtection="1"/>
    <xf numFmtId="10" fontId="11" fillId="18" borderId="1" xfId="0" applyNumberFormat="1" applyFont="1" applyFill="1" applyBorder="1" applyProtection="1"/>
    <xf numFmtId="10" fontId="0" fillId="11" borderId="14" xfId="0" applyNumberFormat="1" applyFill="1" applyBorder="1" applyProtection="1">
      <protection locked="0"/>
    </xf>
    <xf numFmtId="10" fontId="0" fillId="0" borderId="0" xfId="0" applyNumberFormat="1" applyFill="1" applyBorder="1" applyProtection="1"/>
    <xf numFmtId="3" fontId="11" fillId="0" borderId="7" xfId="27" applyNumberFormat="1" applyFont="1" applyFill="1" applyBorder="1" applyAlignment="1" applyProtection="1">
      <alignment horizontal="right"/>
    </xf>
    <xf numFmtId="3" fontId="11" fillId="2" borderId="63" xfId="27" applyNumberFormat="1" applyFont="1" applyFill="1" applyBorder="1" applyAlignment="1" applyProtection="1">
      <protection locked="0"/>
    </xf>
    <xf numFmtId="3" fontId="11" fillId="14" borderId="12" xfId="27" applyNumberFormat="1" applyFont="1" applyFill="1" applyBorder="1" applyAlignment="1" applyProtection="1">
      <protection locked="0"/>
    </xf>
    <xf numFmtId="0" fontId="134" fillId="0" borderId="0" xfId="0" applyFont="1" applyAlignment="1">
      <alignment horizontal="center"/>
    </xf>
    <xf numFmtId="0" fontId="110" fillId="0" borderId="0" xfId="125" applyFont="1" applyFill="1" applyBorder="1" applyAlignment="1">
      <alignment horizontal="center"/>
    </xf>
    <xf numFmtId="177" fontId="110" fillId="0" borderId="0" xfId="169" applyNumberFormat="1" applyFont="1" applyFill="1" applyBorder="1" applyAlignment="1" applyProtection="1">
      <alignment horizontal="right" vertical="top" wrapText="1" readingOrder="1"/>
      <protection locked="0"/>
    </xf>
    <xf numFmtId="177" fontId="110" fillId="0" borderId="0" xfId="176" applyNumberFormat="1" applyFont="1" applyFill="1" applyBorder="1" applyAlignment="1" applyProtection="1">
      <alignment horizontal="right" wrapText="1" readingOrder="1"/>
      <protection locked="0"/>
    </xf>
    <xf numFmtId="177" fontId="135" fillId="0" borderId="0" xfId="0" applyNumberFormat="1" applyFont="1"/>
    <xf numFmtId="0" fontId="135" fillId="0" borderId="0" xfId="0" applyFont="1"/>
    <xf numFmtId="169" fontId="135" fillId="0" borderId="0" xfId="0" applyNumberFormat="1" applyFont="1"/>
    <xf numFmtId="0" fontId="81" fillId="69" borderId="75" xfId="47" applyFont="1" applyFill="1" applyBorder="1" applyProtection="1"/>
    <xf numFmtId="0" fontId="22" fillId="0" borderId="0" xfId="34" applyFont="1" applyProtection="1">
      <protection hidden="1"/>
    </xf>
    <xf numFmtId="0" fontId="0" fillId="0" borderId="0" xfId="0" applyProtection="1"/>
    <xf numFmtId="0" fontId="53" fillId="0" borderId="0" xfId="0" applyFont="1" applyFill="1" applyAlignment="1" applyProtection="1">
      <alignment horizontal="left"/>
    </xf>
    <xf numFmtId="0" fontId="53" fillId="73" borderId="0" xfId="0" applyFont="1" applyFill="1" applyBorder="1" applyAlignment="1">
      <alignment horizontal="center"/>
    </xf>
    <xf numFmtId="0" fontId="53" fillId="0" borderId="0" xfId="0" applyFont="1" applyFill="1" applyBorder="1" applyAlignment="1">
      <alignment horizontal="center"/>
    </xf>
    <xf numFmtId="0" fontId="53" fillId="72" borderId="27" xfId="0" applyFont="1" applyFill="1" applyBorder="1" applyAlignment="1">
      <alignment horizontal="center"/>
    </xf>
    <xf numFmtId="3" fontId="53" fillId="72" borderId="27" xfId="0" applyNumberFormat="1" applyFont="1" applyFill="1" applyBorder="1" applyAlignment="1">
      <alignment horizontal="center"/>
    </xf>
    <xf numFmtId="3" fontId="53" fillId="72" borderId="26" xfId="0" applyNumberFormat="1" applyFont="1" applyFill="1" applyBorder="1" applyAlignment="1">
      <alignment horizontal="center"/>
    </xf>
    <xf numFmtId="0" fontId="53" fillId="0" borderId="0" xfId="4" applyFont="1" applyFill="1" applyBorder="1" applyAlignment="1">
      <alignment horizontal="center"/>
    </xf>
    <xf numFmtId="0" fontId="53" fillId="0" borderId="0" xfId="0" applyFont="1" applyFill="1" applyBorder="1" applyAlignment="1">
      <alignment horizontal="left"/>
    </xf>
    <xf numFmtId="0" fontId="53" fillId="0" borderId="0" xfId="4" applyFont="1" applyFill="1" applyBorder="1"/>
    <xf numFmtId="167" fontId="140" fillId="0" borderId="0" xfId="0" applyNumberFormat="1" applyFont="1"/>
    <xf numFmtId="167" fontId="53" fillId="0" borderId="0" xfId="178" applyNumberFormat="1" applyFont="1"/>
    <xf numFmtId="3" fontId="53" fillId="0" borderId="0" xfId="0" applyNumberFormat="1" applyFont="1" applyFill="1"/>
    <xf numFmtId="0" fontId="53" fillId="0" borderId="0" xfId="0" applyFont="1" applyFill="1"/>
    <xf numFmtId="3" fontId="53" fillId="0" borderId="0" xfId="0" applyNumberFormat="1" applyFont="1" applyFill="1" applyBorder="1"/>
    <xf numFmtId="173" fontId="53" fillId="0" borderId="0" xfId="0" applyNumberFormat="1" applyFont="1" applyFill="1"/>
    <xf numFmtId="0" fontId="0" fillId="0" borderId="0" xfId="0" applyAlignment="1" applyProtection="1">
      <alignment horizontal="right"/>
    </xf>
    <xf numFmtId="0" fontId="0" fillId="0" borderId="0" xfId="0" applyProtection="1"/>
    <xf numFmtId="0" fontId="18" fillId="0" borderId="0" xfId="0" applyFont="1" applyAlignment="1" applyProtection="1">
      <alignment vertical="center"/>
    </xf>
    <xf numFmtId="172" fontId="18" fillId="0" borderId="0" xfId="0" applyNumberFormat="1" applyFont="1" applyAlignment="1" applyProtection="1">
      <alignment horizontal="center" vertical="center"/>
    </xf>
    <xf numFmtId="0" fontId="30" fillId="0" borderId="0" xfId="0" applyFont="1" applyAlignment="1" applyProtection="1">
      <alignment vertical="center"/>
    </xf>
    <xf numFmtId="0" fontId="18" fillId="0" borderId="0" xfId="0" applyFont="1" applyAlignment="1" applyProtection="1">
      <alignment horizontal="right" vertical="center"/>
    </xf>
    <xf numFmtId="0" fontId="18" fillId="0" borderId="0" xfId="0" applyFont="1" applyBorder="1" applyAlignment="1" applyProtection="1">
      <alignment vertical="center"/>
    </xf>
    <xf numFmtId="0" fontId="18" fillId="0" borderId="0" xfId="0" applyFont="1" applyAlignment="1" applyProtection="1">
      <alignment horizontal="center" vertical="center"/>
    </xf>
    <xf numFmtId="172" fontId="18" fillId="0" borderId="5" xfId="0" applyNumberFormat="1" applyFont="1" applyBorder="1" applyAlignment="1" applyProtection="1">
      <alignment horizontal="center" vertical="center"/>
    </xf>
    <xf numFmtId="0" fontId="18" fillId="0" borderId="4" xfId="0" applyFont="1" applyBorder="1" applyAlignment="1" applyProtection="1">
      <alignment horizontal="center" vertical="center"/>
    </xf>
    <xf numFmtId="0" fontId="18" fillId="0" borderId="15" xfId="0" applyFont="1" applyBorder="1" applyAlignment="1" applyProtection="1">
      <alignment horizontal="center" vertical="center"/>
    </xf>
    <xf numFmtId="172" fontId="18" fillId="0" borderId="8" xfId="0" applyNumberFormat="1" applyFont="1" applyBorder="1" applyAlignment="1" applyProtection="1">
      <alignment horizontal="center" vertical="center"/>
    </xf>
    <xf numFmtId="0" fontId="18" fillId="0" borderId="7" xfId="0" applyFont="1" applyBorder="1" applyAlignment="1" applyProtection="1">
      <alignment horizontal="center" vertical="center"/>
    </xf>
    <xf numFmtId="0" fontId="18" fillId="0" borderId="0" xfId="0" applyFont="1" applyBorder="1" applyAlignment="1" applyProtection="1">
      <alignment horizontal="center" vertical="center"/>
    </xf>
    <xf numFmtId="172" fontId="18" fillId="0" borderId="10" xfId="0" applyNumberFormat="1" applyFont="1" applyBorder="1" applyAlignment="1" applyProtection="1">
      <alignment horizontal="center" vertical="center"/>
    </xf>
    <xf numFmtId="171" fontId="18" fillId="0" borderId="12" xfId="0" applyNumberFormat="1" applyFont="1" applyBorder="1" applyAlignment="1" applyProtection="1">
      <alignment horizontal="center" vertical="center"/>
    </xf>
    <xf numFmtId="171" fontId="18" fillId="0" borderId="1" xfId="0" applyNumberFormat="1" applyFont="1" applyBorder="1" applyAlignment="1" applyProtection="1">
      <alignment horizontal="center" vertical="center"/>
    </xf>
    <xf numFmtId="0" fontId="18" fillId="0" borderId="13" xfId="0" applyFont="1" applyBorder="1" applyAlignment="1" applyProtection="1">
      <alignment vertical="center"/>
    </xf>
    <xf numFmtId="172" fontId="18" fillId="0" borderId="2" xfId="0" applyNumberFormat="1" applyFont="1" applyBorder="1" applyAlignment="1" applyProtection="1">
      <alignment horizontal="center" vertical="center"/>
    </xf>
    <xf numFmtId="3" fontId="18" fillId="2" borderId="13" xfId="0" applyNumberFormat="1" applyFont="1" applyFill="1" applyBorder="1" applyAlignment="1" applyProtection="1">
      <alignment vertical="center"/>
      <protection locked="0"/>
    </xf>
    <xf numFmtId="3" fontId="18" fillId="0" borderId="14" xfId="0" applyNumberFormat="1" applyFont="1" applyFill="1" applyBorder="1" applyAlignment="1" applyProtection="1">
      <alignment vertical="center"/>
    </xf>
    <xf numFmtId="3" fontId="18" fillId="0" borderId="13" xfId="0" applyNumberFormat="1" applyFont="1" applyFill="1" applyBorder="1" applyAlignment="1" applyProtection="1">
      <alignment vertical="center"/>
    </xf>
    <xf numFmtId="3" fontId="18" fillId="2" borderId="1" xfId="0" applyNumberFormat="1" applyFont="1" applyFill="1" applyBorder="1" applyAlignment="1" applyProtection="1">
      <alignment vertical="center"/>
      <protection locked="0"/>
    </xf>
    <xf numFmtId="3" fontId="18" fillId="2" borderId="12" xfId="0" applyNumberFormat="1" applyFont="1" applyFill="1" applyBorder="1" applyAlignment="1" applyProtection="1">
      <alignment vertical="center"/>
      <protection locked="0"/>
    </xf>
    <xf numFmtId="3" fontId="18" fillId="2" borderId="14" xfId="0" applyNumberFormat="1" applyFont="1" applyFill="1" applyBorder="1" applyAlignment="1" applyProtection="1">
      <alignment vertical="center"/>
      <protection locked="0"/>
    </xf>
    <xf numFmtId="3" fontId="18" fillId="2" borderId="10" xfId="0" applyNumberFormat="1" applyFont="1" applyFill="1" applyBorder="1" applyAlignment="1" applyProtection="1">
      <alignment vertical="center"/>
      <protection locked="0"/>
    </xf>
    <xf numFmtId="3" fontId="18" fillId="2" borderId="11" xfId="0" applyNumberFormat="1" applyFont="1" applyFill="1" applyBorder="1" applyAlignment="1" applyProtection="1">
      <alignment vertical="center"/>
      <protection locked="0"/>
    </xf>
    <xf numFmtId="3" fontId="18" fillId="2" borderId="58" xfId="0" applyNumberFormat="1" applyFont="1" applyFill="1" applyBorder="1" applyAlignment="1" applyProtection="1">
      <alignment vertical="center"/>
      <protection locked="0"/>
    </xf>
    <xf numFmtId="3" fontId="18" fillId="2" borderId="64" xfId="0" applyNumberFormat="1" applyFont="1" applyFill="1" applyBorder="1" applyAlignment="1" applyProtection="1">
      <alignment vertical="center"/>
      <protection locked="0"/>
    </xf>
    <xf numFmtId="0" fontId="18" fillId="0" borderId="13" xfId="0" applyFont="1" applyBorder="1" applyAlignment="1" applyProtection="1">
      <alignment horizontal="left" vertical="center"/>
    </xf>
    <xf numFmtId="0" fontId="26" fillId="3" borderId="13" xfId="0" applyFont="1" applyFill="1" applyBorder="1" applyAlignment="1" applyProtection="1">
      <alignment vertical="center"/>
    </xf>
    <xf numFmtId="0" fontId="15" fillId="0" borderId="0" xfId="0" applyFont="1" applyAlignment="1" applyProtection="1">
      <alignment horizontal="center" vertical="center"/>
    </xf>
    <xf numFmtId="3" fontId="18" fillId="2" borderId="4" xfId="0" applyNumberFormat="1" applyFont="1" applyFill="1" applyBorder="1" applyAlignment="1" applyProtection="1">
      <alignment vertical="center"/>
      <protection locked="0"/>
    </xf>
    <xf numFmtId="3" fontId="18" fillId="2" borderId="15" xfId="0" applyNumberFormat="1" applyFont="1" applyFill="1" applyBorder="1" applyAlignment="1" applyProtection="1">
      <alignment vertical="center"/>
      <protection locked="0"/>
    </xf>
    <xf numFmtId="172" fontId="18" fillId="0" borderId="2" xfId="0" applyNumberFormat="1" applyFont="1" applyFill="1" applyBorder="1" applyAlignment="1" applyProtection="1">
      <alignment horizontal="center" vertical="center"/>
    </xf>
    <xf numFmtId="172" fontId="11" fillId="0" borderId="2" xfId="33" applyNumberFormat="1" applyFont="1" applyFill="1" applyBorder="1" applyAlignment="1" applyProtection="1">
      <alignment horizontal="center" vertical="center"/>
    </xf>
    <xf numFmtId="1" fontId="18" fillId="0" borderId="13" xfId="0" applyNumberFormat="1" applyFont="1" applyBorder="1" applyAlignment="1" applyProtection="1">
      <alignment horizontal="left" vertical="center"/>
    </xf>
    <xf numFmtId="3" fontId="18" fillId="2" borderId="0" xfId="0" applyNumberFormat="1" applyFont="1" applyFill="1" applyBorder="1" applyAlignment="1" applyProtection="1">
      <alignment vertical="center"/>
      <protection locked="0"/>
    </xf>
    <xf numFmtId="1" fontId="11" fillId="0" borderId="4" xfId="0" applyNumberFormat="1" applyFont="1" applyBorder="1" applyAlignment="1" applyProtection="1">
      <alignment horizontal="left" vertical="center"/>
    </xf>
    <xf numFmtId="0" fontId="0" fillId="0" borderId="0" xfId="0" applyAlignment="1" applyProtection="1">
      <alignment vertical="center"/>
    </xf>
    <xf numFmtId="0" fontId="18" fillId="0" borderId="0" xfId="0" applyFont="1" applyAlignment="1" applyProtection="1">
      <alignment horizontal="centerContinuous" vertical="center"/>
    </xf>
    <xf numFmtId="172" fontId="30" fillId="0" borderId="0" xfId="0" applyNumberFormat="1" applyFont="1" applyAlignment="1" applyProtection="1">
      <alignment horizontal="center" vertical="center"/>
    </xf>
    <xf numFmtId="0" fontId="11" fillId="0" borderId="0" xfId="27" applyFont="1" applyAlignment="1" applyProtection="1"/>
    <xf numFmtId="0" fontId="11" fillId="0" borderId="0" xfId="26" applyFont="1" applyAlignment="1" applyProtection="1"/>
    <xf numFmtId="0" fontId="11" fillId="0" borderId="0" xfId="22" applyFont="1" applyAlignment="1" applyProtection="1"/>
    <xf numFmtId="172" fontId="18" fillId="0" borderId="0" xfId="0" applyNumberFormat="1" applyFont="1" applyAlignment="1" applyProtection="1">
      <alignment horizontal="right" vertical="center"/>
    </xf>
    <xf numFmtId="172" fontId="11" fillId="0" borderId="0" xfId="0" applyNumberFormat="1" applyFont="1" applyAlignment="1" applyProtection="1">
      <alignment horizontal="right" vertical="center"/>
    </xf>
    <xf numFmtId="172" fontId="11" fillId="0" borderId="0" xfId="27" applyNumberFormat="1" applyFont="1" applyAlignment="1" applyProtection="1">
      <alignment horizontal="right"/>
    </xf>
    <xf numFmtId="172" fontId="11" fillId="0" borderId="0" xfId="33" applyNumberFormat="1" applyFont="1" applyFill="1" applyBorder="1" applyAlignment="1" applyProtection="1">
      <alignment horizontal="right"/>
    </xf>
    <xf numFmtId="0" fontId="11" fillId="0" borderId="0" xfId="27" applyFont="1" applyBorder="1" applyAlignment="1" applyProtection="1">
      <alignment horizontal="right"/>
    </xf>
    <xf numFmtId="0" fontId="11" fillId="0" borderId="0" xfId="22" applyFont="1" applyAlignment="1" applyProtection="1">
      <alignment horizontal="right" vertical="center"/>
    </xf>
    <xf numFmtId="172" fontId="11" fillId="0" borderId="0" xfId="10" applyNumberFormat="1" applyFont="1" applyAlignment="1" applyProtection="1">
      <alignment horizontal="center" vertical="center"/>
    </xf>
    <xf numFmtId="0" fontId="11" fillId="0" borderId="0" xfId="10" applyFont="1" applyAlignment="1" applyProtection="1">
      <alignment vertical="center"/>
    </xf>
    <xf numFmtId="0" fontId="11" fillId="0" borderId="0" xfId="10" applyFont="1" applyAlignment="1" applyProtection="1">
      <alignment horizontal="right" vertical="center"/>
    </xf>
    <xf numFmtId="0" fontId="11" fillId="0" borderId="0" xfId="10" applyFont="1" applyAlignment="1" applyProtection="1">
      <alignment horizontal="center" vertical="center"/>
    </xf>
    <xf numFmtId="172" fontId="11" fillId="0" borderId="4" xfId="10" applyNumberFormat="1" applyFont="1" applyBorder="1" applyAlignment="1" applyProtection="1">
      <alignment horizontal="center" vertical="center"/>
    </xf>
    <xf numFmtId="0" fontId="11" fillId="0" borderId="4" xfId="10" applyFont="1" applyBorder="1" applyAlignment="1" applyProtection="1">
      <alignment horizontal="center" vertical="center"/>
    </xf>
    <xf numFmtId="172" fontId="11" fillId="0" borderId="7" xfId="10" applyNumberFormat="1" applyFont="1" applyBorder="1" applyAlignment="1" applyProtection="1">
      <alignment horizontal="center" vertical="center"/>
    </xf>
    <xf numFmtId="0" fontId="11" fillId="0" borderId="7" xfId="10" applyFont="1" applyBorder="1" applyAlignment="1" applyProtection="1">
      <alignment horizontal="center" vertical="center"/>
    </xf>
    <xf numFmtId="172" fontId="11" fillId="0" borderId="12" xfId="10" applyNumberFormat="1" applyFont="1" applyBorder="1" applyAlignment="1" applyProtection="1">
      <alignment horizontal="center" vertical="center"/>
    </xf>
    <xf numFmtId="171" fontId="11" fillId="0" borderId="12" xfId="10" applyNumberFormat="1" applyFont="1" applyBorder="1" applyAlignment="1" applyProtection="1">
      <alignment horizontal="center" vertical="center"/>
    </xf>
    <xf numFmtId="172" fontId="11" fillId="0" borderId="10" xfId="10" applyNumberFormat="1" applyFont="1" applyBorder="1" applyAlignment="1" applyProtection="1">
      <alignment horizontal="center" vertical="center"/>
    </xf>
    <xf numFmtId="3" fontId="11" fillId="2" borderId="13" xfId="10" applyNumberFormat="1" applyFont="1" applyFill="1" applyBorder="1" applyAlignment="1" applyProtection="1">
      <alignment vertical="center"/>
      <protection locked="0"/>
    </xf>
    <xf numFmtId="3" fontId="11" fillId="0" borderId="15" xfId="10" applyNumberFormat="1" applyFont="1" applyFill="1" applyBorder="1" applyAlignment="1" applyProtection="1">
      <alignment vertical="center"/>
    </xf>
    <xf numFmtId="3" fontId="11" fillId="0" borderId="13" xfId="10" applyNumberFormat="1" applyFont="1" applyFill="1" applyBorder="1" applyAlignment="1" applyProtection="1">
      <alignment vertical="center"/>
    </xf>
    <xf numFmtId="3" fontId="11" fillId="2" borderId="7" xfId="10" applyNumberFormat="1" applyFont="1" applyFill="1" applyBorder="1" applyAlignment="1" applyProtection="1">
      <alignment vertical="center"/>
      <protection locked="0"/>
    </xf>
    <xf numFmtId="3" fontId="11" fillId="2" borderId="12" xfId="10" applyNumberFormat="1" applyFont="1" applyFill="1" applyBorder="1" applyAlignment="1" applyProtection="1">
      <alignment vertical="center"/>
      <protection locked="0"/>
    </xf>
    <xf numFmtId="3" fontId="11" fillId="2" borderId="1" xfId="10" applyNumberFormat="1" applyFont="1" applyFill="1" applyBorder="1" applyAlignment="1" applyProtection="1">
      <alignment vertical="center"/>
      <protection locked="0"/>
    </xf>
    <xf numFmtId="172" fontId="11" fillId="0" borderId="2" xfId="10" applyNumberFormat="1" applyFont="1" applyBorder="1" applyAlignment="1" applyProtection="1">
      <alignment horizontal="center" vertical="center"/>
    </xf>
    <xf numFmtId="172" fontId="11" fillId="0" borderId="5" xfId="10" applyNumberFormat="1" applyFont="1" applyBorder="1" applyAlignment="1" applyProtection="1">
      <alignment horizontal="center" vertical="center"/>
    </xf>
    <xf numFmtId="3" fontId="11" fillId="2" borderId="14" xfId="10" applyNumberFormat="1" applyFont="1" applyFill="1" applyBorder="1" applyAlignment="1" applyProtection="1">
      <alignment vertical="center"/>
      <protection locked="0"/>
    </xf>
    <xf numFmtId="3" fontId="11" fillId="0" borderId="12" xfId="10" applyNumberFormat="1" applyFont="1" applyFill="1" applyBorder="1" applyAlignment="1" applyProtection="1">
      <alignment vertical="center"/>
    </xf>
    <xf numFmtId="3" fontId="11" fillId="0" borderId="14" xfId="10" applyNumberFormat="1" applyFont="1" applyFill="1" applyBorder="1" applyAlignment="1" applyProtection="1">
      <alignment vertical="center"/>
    </xf>
    <xf numFmtId="172" fontId="15" fillId="0" borderId="2" xfId="10" applyNumberFormat="1" applyFont="1" applyBorder="1" applyAlignment="1" applyProtection="1">
      <alignment horizontal="center" vertical="center"/>
    </xf>
    <xf numFmtId="3" fontId="18" fillId="0" borderId="13" xfId="10" applyNumberFormat="1" applyFont="1" applyFill="1" applyBorder="1" applyAlignment="1" applyProtection="1">
      <alignment horizontal="right" vertical="center"/>
    </xf>
    <xf numFmtId="172" fontId="11" fillId="0" borderId="0" xfId="10" applyNumberFormat="1" applyFont="1" applyBorder="1" applyAlignment="1" applyProtection="1">
      <alignment horizontal="right" vertical="center"/>
    </xf>
    <xf numFmtId="172" fontId="11" fillId="0" borderId="0" xfId="10" applyNumberFormat="1" applyFont="1" applyBorder="1" applyAlignment="1" applyProtection="1">
      <alignment horizontal="center" vertical="center"/>
    </xf>
    <xf numFmtId="3" fontId="11" fillId="0" borderId="0" xfId="10" applyNumberFormat="1" applyFont="1" applyFill="1" applyBorder="1" applyAlignment="1" applyProtection="1">
      <alignment vertical="center"/>
    </xf>
    <xf numFmtId="38" fontId="11" fillId="0" borderId="0" xfId="10" applyNumberFormat="1" applyFont="1" applyAlignment="1" applyProtection="1">
      <alignment horizontal="center" vertical="center"/>
    </xf>
    <xf numFmtId="172" fontId="22" fillId="0" borderId="0" xfId="10" applyNumberFormat="1" applyFont="1" applyAlignment="1" applyProtection="1">
      <alignment horizontal="center" vertical="center"/>
    </xf>
    <xf numFmtId="0" fontId="22" fillId="0" borderId="0" xfId="10" applyFont="1" applyAlignment="1" applyProtection="1">
      <alignment vertical="center"/>
    </xf>
    <xf numFmtId="0" fontId="11" fillId="0" borderId="0" xfId="22" applyFont="1" applyAlignment="1" applyProtection="1">
      <alignment vertical="center"/>
    </xf>
    <xf numFmtId="172" fontId="11" fillId="0" borderId="0" xfId="22" applyNumberFormat="1" applyFont="1" applyAlignment="1" applyProtection="1">
      <alignment horizontal="center" vertical="center"/>
    </xf>
    <xf numFmtId="0" fontId="11" fillId="0" borderId="0" xfId="22" applyFont="1" applyAlignment="1" applyProtection="1">
      <alignment horizontal="center" vertical="center"/>
    </xf>
    <xf numFmtId="172" fontId="11" fillId="0" borderId="76" xfId="22" applyNumberFormat="1" applyFont="1" applyBorder="1" applyAlignment="1" applyProtection="1">
      <alignment horizontal="center" vertical="center"/>
    </xf>
    <xf numFmtId="0" fontId="11" fillId="0" borderId="4" xfId="22" applyFont="1" applyBorder="1" applyAlignment="1" applyProtection="1">
      <alignment horizontal="center" vertical="center"/>
    </xf>
    <xf numFmtId="172" fontId="11" fillId="0" borderId="7" xfId="22" applyNumberFormat="1" applyFont="1" applyFill="1" applyBorder="1" applyAlignment="1" applyProtection="1">
      <alignment horizontal="center" vertical="center"/>
    </xf>
    <xf numFmtId="0" fontId="11" fillId="0" borderId="7" xfId="22" applyFont="1" applyBorder="1" applyAlignment="1" applyProtection="1">
      <alignment horizontal="center" vertical="center"/>
    </xf>
    <xf numFmtId="172" fontId="11" fillId="0" borderId="12" xfId="22" applyNumberFormat="1" applyFont="1" applyBorder="1" applyAlignment="1" applyProtection="1">
      <alignment horizontal="center" vertical="center"/>
    </xf>
    <xf numFmtId="171" fontId="11" fillId="0" borderId="7" xfId="22" applyNumberFormat="1" applyFont="1" applyBorder="1" applyAlignment="1" applyProtection="1">
      <alignment horizontal="center" vertical="center"/>
    </xf>
    <xf numFmtId="172" fontId="11" fillId="0" borderId="2" xfId="33" applyNumberFormat="1" applyFont="1" applyBorder="1" applyAlignment="1" applyProtection="1">
      <alignment horizontal="center" vertical="center"/>
    </xf>
    <xf numFmtId="3" fontId="11" fillId="2" borderId="13" xfId="22" applyNumberFormat="1" applyFont="1" applyFill="1" applyBorder="1" applyAlignment="1" applyProtection="1">
      <alignment horizontal="right" vertical="center"/>
      <protection locked="0"/>
    </xf>
    <xf numFmtId="3" fontId="11" fillId="0" borderId="13" xfId="22" applyNumberFormat="1" applyFont="1" applyFill="1" applyBorder="1" applyAlignment="1" applyProtection="1">
      <alignment horizontal="right" vertical="center"/>
    </xf>
    <xf numFmtId="172" fontId="11" fillId="0" borderId="77" xfId="22" applyNumberFormat="1" applyFont="1" applyBorder="1" applyAlignment="1" applyProtection="1">
      <alignment horizontal="center" vertical="center"/>
    </xf>
    <xf numFmtId="3" fontId="11" fillId="2" borderId="76" xfId="22" applyNumberFormat="1" applyFont="1" applyFill="1" applyBorder="1" applyAlignment="1" applyProtection="1">
      <alignment vertical="center"/>
      <protection locked="0"/>
    </xf>
    <xf numFmtId="3" fontId="11" fillId="2" borderId="12" xfId="22" applyNumberFormat="1" applyFont="1" applyFill="1" applyBorder="1" applyAlignment="1" applyProtection="1">
      <alignment horizontal="right" vertical="center"/>
      <protection locked="0"/>
    </xf>
    <xf numFmtId="172" fontId="11" fillId="0" borderId="4" xfId="22" applyNumberFormat="1" applyFont="1" applyBorder="1" applyAlignment="1" applyProtection="1">
      <alignment horizontal="center" vertical="center"/>
    </xf>
    <xf numFmtId="3" fontId="11" fillId="0" borderId="12" xfId="22" applyNumberFormat="1" applyFont="1" applyFill="1" applyBorder="1" applyAlignment="1" applyProtection="1">
      <alignment vertical="center"/>
    </xf>
    <xf numFmtId="0" fontId="11" fillId="0" borderId="2" xfId="22" applyFont="1" applyBorder="1" applyAlignment="1" applyProtection="1">
      <alignment horizontal="center" vertical="center"/>
    </xf>
    <xf numFmtId="3" fontId="11" fillId="0" borderId="13" xfId="22" applyNumberFormat="1" applyFont="1" applyFill="1" applyBorder="1" applyAlignment="1" applyProtection="1">
      <alignment vertical="center"/>
    </xf>
    <xf numFmtId="3" fontId="11" fillId="6" borderId="3" xfId="22" applyNumberFormat="1" applyFont="1" applyFill="1" applyBorder="1" applyAlignment="1" applyProtection="1">
      <alignment vertical="center"/>
    </xf>
    <xf numFmtId="0" fontId="15" fillId="0" borderId="2" xfId="22" applyFont="1" applyBorder="1" applyAlignment="1" applyProtection="1">
      <alignment horizontal="center" vertical="center"/>
    </xf>
    <xf numFmtId="3" fontId="11" fillId="0" borderId="3" xfId="22" applyNumberFormat="1" applyFont="1" applyFill="1" applyBorder="1" applyAlignment="1" applyProtection="1">
      <alignment vertical="center"/>
    </xf>
    <xf numFmtId="3" fontId="11" fillId="0" borderId="10" xfId="22" applyNumberFormat="1" applyFont="1" applyFill="1" applyBorder="1" applyAlignment="1" applyProtection="1">
      <alignment vertical="center"/>
    </xf>
    <xf numFmtId="3" fontId="18" fillId="0" borderId="3" xfId="22" applyNumberFormat="1" applyFont="1" applyFill="1" applyBorder="1" applyAlignment="1" applyProtection="1">
      <alignment vertical="center"/>
    </xf>
    <xf numFmtId="0" fontId="22" fillId="0" borderId="0" xfId="22" applyFont="1" applyAlignment="1" applyProtection="1">
      <alignment vertical="center"/>
      <protection locked="0"/>
    </xf>
    <xf numFmtId="0" fontId="11" fillId="0" borderId="0" xfId="22" applyFont="1" applyBorder="1" applyAlignment="1" applyProtection="1">
      <alignment horizontal="center" vertical="center"/>
    </xf>
    <xf numFmtId="3" fontId="11" fillId="0" borderId="0" xfId="22" applyNumberFormat="1" applyFont="1" applyFill="1" applyBorder="1" applyAlignment="1" applyProtection="1">
      <alignment vertical="center"/>
    </xf>
    <xf numFmtId="3" fontId="18" fillId="0" borderId="0" xfId="22" applyNumberFormat="1" applyFont="1" applyFill="1" applyBorder="1" applyAlignment="1" applyProtection="1">
      <alignment vertical="center"/>
    </xf>
    <xf numFmtId="172" fontId="11" fillId="0" borderId="7" xfId="22" applyNumberFormat="1" applyFont="1" applyBorder="1" applyAlignment="1" applyProtection="1">
      <alignment horizontal="center" vertical="center"/>
    </xf>
    <xf numFmtId="3" fontId="11" fillId="2" borderId="3" xfId="22" applyNumberFormat="1" applyFont="1" applyFill="1" applyBorder="1" applyAlignment="1" applyProtection="1">
      <alignment vertical="center"/>
      <protection locked="0"/>
    </xf>
    <xf numFmtId="0" fontId="11" fillId="0" borderId="2" xfId="22" applyFont="1" applyFill="1" applyBorder="1" applyAlignment="1" applyProtection="1">
      <alignment horizontal="center" vertical="center"/>
    </xf>
    <xf numFmtId="3" fontId="11" fillId="2" borderId="0" xfId="22" applyNumberFormat="1" applyFont="1" applyFill="1" applyBorder="1" applyAlignment="1" applyProtection="1">
      <alignment vertical="center"/>
      <protection locked="0"/>
    </xf>
    <xf numFmtId="172" fontId="11" fillId="0" borderId="10" xfId="22" applyNumberFormat="1" applyFont="1" applyFill="1" applyBorder="1" applyAlignment="1" applyProtection="1">
      <alignment horizontal="center" vertical="center"/>
    </xf>
    <xf numFmtId="3" fontId="11" fillId="11" borderId="12" xfId="22" applyNumberFormat="1" applyFont="1" applyFill="1" applyBorder="1" applyAlignment="1" applyProtection="1">
      <alignment vertical="center"/>
      <protection locked="0"/>
    </xf>
    <xf numFmtId="172" fontId="11" fillId="0" borderId="5" xfId="22" applyNumberFormat="1" applyFont="1" applyFill="1" applyBorder="1" applyAlignment="1" applyProtection="1">
      <alignment horizontal="center" vertical="center"/>
    </xf>
    <xf numFmtId="172" fontId="11" fillId="0" borderId="0" xfId="22" applyNumberFormat="1" applyFont="1" applyAlignment="1" applyProtection="1">
      <alignment horizontal="centerContinuous" vertical="center"/>
    </xf>
    <xf numFmtId="0" fontId="11" fillId="0" borderId="0" xfId="22" applyFont="1" applyAlignment="1" applyProtection="1">
      <alignment horizontal="centerContinuous" vertical="center"/>
    </xf>
    <xf numFmtId="172" fontId="22" fillId="0" borderId="0" xfId="22" applyNumberFormat="1" applyFont="1" applyAlignment="1" applyProtection="1">
      <alignment horizontal="center" vertical="center"/>
    </xf>
    <xf numFmtId="0" fontId="22" fillId="0" borderId="0" xfId="22" applyFont="1" applyAlignment="1" applyProtection="1">
      <alignment vertical="center"/>
    </xf>
    <xf numFmtId="0" fontId="11" fillId="0" borderId="12" xfId="0" applyFont="1" applyBorder="1" applyAlignment="1" applyProtection="1">
      <alignment horizontal="left" vertical="center" indent="2"/>
    </xf>
    <xf numFmtId="0" fontId="11" fillId="0" borderId="13" xfId="0" applyFont="1" applyBorder="1" applyAlignment="1" applyProtection="1">
      <alignment horizontal="left" vertical="center" indent="2"/>
    </xf>
    <xf numFmtId="0" fontId="18" fillId="0" borderId="10" xfId="0" applyFont="1" applyBorder="1" applyAlignment="1" applyProtection="1">
      <alignment horizontal="left" vertical="center" indent="2"/>
    </xf>
    <xf numFmtId="0" fontId="11" fillId="0" borderId="65" xfId="0" applyFont="1" applyBorder="1" applyAlignment="1" applyProtection="1">
      <alignment horizontal="left" vertical="center" indent="2"/>
    </xf>
    <xf numFmtId="0" fontId="18" fillId="0" borderId="13" xfId="0" applyFont="1" applyBorder="1" applyAlignment="1" applyProtection="1">
      <alignment horizontal="left" vertical="center" indent="2"/>
    </xf>
    <xf numFmtId="0" fontId="26" fillId="3" borderId="13" xfId="0" applyFont="1" applyFill="1" applyBorder="1" applyAlignment="1" applyProtection="1">
      <alignment horizontal="left" vertical="center"/>
    </xf>
    <xf numFmtId="0" fontId="15" fillId="0" borderId="0" xfId="22" applyFont="1" applyAlignment="1" applyProtection="1">
      <alignment horizontal="center" vertical="center"/>
    </xf>
    <xf numFmtId="0" fontId="11" fillId="0" borderId="13" xfId="33" applyFont="1" applyBorder="1" applyAlignment="1" applyProtection="1">
      <alignment horizontal="left" vertical="center"/>
    </xf>
    <xf numFmtId="172" fontId="11" fillId="0" borderId="4" xfId="22" applyNumberFormat="1" applyFont="1" applyBorder="1" applyAlignment="1" applyProtection="1">
      <alignment horizontal="left" vertical="center"/>
    </xf>
    <xf numFmtId="0" fontId="11" fillId="0" borderId="13" xfId="22" applyFont="1" applyBorder="1" applyAlignment="1" applyProtection="1">
      <alignment horizontal="left" vertical="center"/>
    </xf>
    <xf numFmtId="0" fontId="15" fillId="3" borderId="13" xfId="22" applyFont="1" applyFill="1" applyBorder="1" applyAlignment="1" applyProtection="1">
      <alignment horizontal="left" vertical="center"/>
    </xf>
    <xf numFmtId="0" fontId="11" fillId="0" borderId="12" xfId="27" applyFont="1" applyBorder="1" applyAlignment="1" applyProtection="1">
      <alignment horizontal="left" vertical="center"/>
    </xf>
    <xf numFmtId="0" fontId="11" fillId="0" borderId="0" xfId="27" applyFont="1" applyBorder="1" applyAlignment="1" applyProtection="1">
      <alignment horizontal="left" vertical="center"/>
    </xf>
    <xf numFmtId="0" fontId="11" fillId="0" borderId="0" xfId="22" applyFont="1" applyBorder="1" applyAlignment="1" applyProtection="1">
      <alignment vertical="center"/>
    </xf>
    <xf numFmtId="0" fontId="11" fillId="0" borderId="13" xfId="22" applyFont="1" applyFill="1" applyBorder="1" applyAlignment="1" applyProtection="1">
      <alignment horizontal="left" vertical="center"/>
    </xf>
    <xf numFmtId="0" fontId="15" fillId="0" borderId="0" xfId="10" applyFont="1" applyAlignment="1" applyProtection="1">
      <alignment horizontal="center" vertical="center"/>
    </xf>
    <xf numFmtId="0" fontId="11" fillId="0" borderId="10" xfId="10" applyFont="1" applyBorder="1" applyAlignment="1" applyProtection="1">
      <alignment horizontal="left" vertical="center"/>
    </xf>
    <xf numFmtId="0" fontId="11" fillId="0" borderId="4" xfId="10" applyFont="1" applyBorder="1" applyAlignment="1" applyProtection="1">
      <alignment horizontal="left" vertical="center"/>
    </xf>
    <xf numFmtId="0" fontId="11" fillId="0" borderId="13" xfId="10" applyFont="1" applyBorder="1" applyAlignment="1" applyProtection="1">
      <alignment horizontal="left" vertical="center"/>
    </xf>
    <xf numFmtId="0" fontId="15" fillId="3" borderId="13" xfId="10" applyFont="1" applyFill="1" applyBorder="1" applyAlignment="1" applyProtection="1">
      <alignment horizontal="left" vertical="center"/>
    </xf>
    <xf numFmtId="0" fontId="11" fillId="0" borderId="0" xfId="10" applyFont="1" applyBorder="1" applyAlignment="1" applyProtection="1">
      <alignment vertical="center"/>
    </xf>
    <xf numFmtId="172" fontId="11" fillId="0" borderId="12" xfId="10" applyNumberFormat="1" applyFont="1" applyBorder="1" applyAlignment="1" applyProtection="1">
      <alignment horizontal="left" vertical="center"/>
    </xf>
    <xf numFmtId="172" fontId="11" fillId="0" borderId="13" xfId="10" applyNumberFormat="1" applyFont="1" applyBorder="1" applyAlignment="1" applyProtection="1">
      <alignment horizontal="left" vertical="center"/>
    </xf>
    <xf numFmtId="0" fontId="11" fillId="0" borderId="0" xfId="10" applyFont="1" applyAlignment="1" applyProtection="1">
      <alignment horizontal="left" vertical="center"/>
    </xf>
    <xf numFmtId="172" fontId="11" fillId="0" borderId="0" xfId="10" applyNumberFormat="1" applyFont="1" applyAlignment="1" applyProtection="1">
      <alignment horizontal="right" vertical="center"/>
    </xf>
    <xf numFmtId="0" fontId="20" fillId="0" borderId="0" xfId="22" applyFont="1" applyAlignment="1" applyProtection="1">
      <alignment vertical="center"/>
    </xf>
    <xf numFmtId="0" fontId="11" fillId="0" borderId="1" xfId="22" applyFont="1" applyBorder="1" applyAlignment="1" applyProtection="1">
      <alignment vertical="center"/>
    </xf>
    <xf numFmtId="0" fontId="11" fillId="0" borderId="0" xfId="22" applyFont="1" applyBorder="1" applyAlignment="1" applyProtection="1"/>
    <xf numFmtId="172" fontId="11" fillId="0" borderId="0" xfId="11" applyNumberFormat="1" applyFont="1" applyAlignment="1" applyProtection="1">
      <alignment horizontal="right" vertical="center"/>
    </xf>
    <xf numFmtId="0" fontId="11" fillId="0" borderId="0" xfId="11" applyFont="1" applyAlignment="1" applyProtection="1">
      <alignment horizontal="left" vertical="center"/>
    </xf>
    <xf numFmtId="0" fontId="11" fillId="0" borderId="0" xfId="11" applyFont="1" applyAlignment="1" applyProtection="1">
      <alignment vertical="center"/>
    </xf>
    <xf numFmtId="172" fontId="11" fillId="0" borderId="0" xfId="11" applyNumberFormat="1" applyFont="1" applyAlignment="1" applyProtection="1">
      <alignment horizontal="center" vertical="center"/>
    </xf>
    <xf numFmtId="0" fontId="11" fillId="0" borderId="0" xfId="11" applyFont="1" applyAlignment="1" applyProtection="1">
      <alignment horizontal="right" vertical="center"/>
    </xf>
    <xf numFmtId="0" fontId="11" fillId="0" borderId="0" xfId="11" applyFont="1" applyAlignment="1" applyProtection="1">
      <alignment horizontal="center" vertical="center"/>
    </xf>
    <xf numFmtId="0" fontId="22" fillId="0" borderId="0" xfId="11" applyFont="1" applyAlignment="1" applyProtection="1">
      <alignment vertical="center"/>
    </xf>
    <xf numFmtId="172" fontId="11" fillId="0" borderId="4" xfId="11" applyNumberFormat="1" applyFont="1" applyBorder="1" applyAlignment="1" applyProtection="1">
      <alignment horizontal="center" vertical="center"/>
    </xf>
    <xf numFmtId="0" fontId="11" fillId="0" borderId="4" xfId="11" applyFont="1" applyBorder="1" applyAlignment="1" applyProtection="1">
      <alignment horizontal="center" vertical="center"/>
    </xf>
    <xf numFmtId="0" fontId="15" fillId="0" borderId="0" xfId="11" applyFont="1" applyAlignment="1" applyProtection="1">
      <alignment horizontal="center" vertical="center"/>
    </xf>
    <xf numFmtId="172" fontId="11" fillId="0" borderId="7" xfId="11" applyNumberFormat="1" applyFont="1" applyBorder="1" applyAlignment="1" applyProtection="1">
      <alignment horizontal="center" vertical="center"/>
    </xf>
    <xf numFmtId="0" fontId="11" fillId="0" borderId="7" xfId="11" applyFont="1" applyBorder="1" applyAlignment="1" applyProtection="1">
      <alignment horizontal="center" vertical="center"/>
    </xf>
    <xf numFmtId="0" fontId="11" fillId="0" borderId="1" xfId="11" applyFont="1" applyBorder="1" applyAlignment="1" applyProtection="1">
      <alignment vertical="center"/>
    </xf>
    <xf numFmtId="172" fontId="11" fillId="0" borderId="12" xfId="11" applyNumberFormat="1" applyFont="1" applyBorder="1" applyAlignment="1" applyProtection="1">
      <alignment horizontal="center" vertical="center"/>
    </xf>
    <xf numFmtId="171" fontId="11" fillId="0" borderId="12" xfId="11" applyNumberFormat="1" applyFont="1" applyBorder="1" applyAlignment="1" applyProtection="1">
      <alignment horizontal="center" vertical="center"/>
    </xf>
    <xf numFmtId="172" fontId="11" fillId="0" borderId="10" xfId="11" applyNumberFormat="1" applyFont="1" applyFill="1" applyBorder="1" applyAlignment="1" applyProtection="1">
      <alignment horizontal="center" vertical="center"/>
    </xf>
    <xf numFmtId="3" fontId="11" fillId="2" borderId="12" xfId="11" applyNumberFormat="1" applyFont="1" applyFill="1" applyBorder="1" applyAlignment="1" applyProtection="1">
      <alignment horizontal="right" vertical="center"/>
      <protection locked="0"/>
    </xf>
    <xf numFmtId="3" fontId="11" fillId="0" borderId="1" xfId="11" applyNumberFormat="1" applyFont="1" applyFill="1" applyBorder="1" applyAlignment="1" applyProtection="1">
      <alignment horizontal="right" vertical="center"/>
    </xf>
    <xf numFmtId="3" fontId="11" fillId="0" borderId="7" xfId="11" applyNumberFormat="1" applyFont="1" applyFill="1" applyBorder="1" applyAlignment="1" applyProtection="1">
      <alignment horizontal="right" vertical="center"/>
    </xf>
    <xf numFmtId="172" fontId="11" fillId="0" borderId="2" xfId="11" applyNumberFormat="1" applyFont="1" applyBorder="1" applyAlignment="1" applyProtection="1">
      <alignment horizontal="center" vertical="center"/>
    </xf>
    <xf numFmtId="3" fontId="11" fillId="2" borderId="13" xfId="11" applyNumberFormat="1" applyFont="1" applyFill="1" applyBorder="1" applyAlignment="1" applyProtection="1">
      <alignment vertical="center"/>
      <protection locked="0"/>
    </xf>
    <xf numFmtId="3" fontId="11" fillId="2" borderId="14" xfId="11" applyNumberFormat="1" applyFont="1" applyFill="1" applyBorder="1" applyAlignment="1" applyProtection="1">
      <alignment vertical="center"/>
      <protection locked="0"/>
    </xf>
    <xf numFmtId="3" fontId="11" fillId="0" borderId="12" xfId="11" applyNumberFormat="1" applyFont="1" applyFill="1" applyBorder="1" applyAlignment="1" applyProtection="1">
      <alignment vertical="center"/>
    </xf>
    <xf numFmtId="3" fontId="11" fillId="0" borderId="1" xfId="11" applyNumberFormat="1" applyFont="1" applyFill="1" applyBorder="1" applyAlignment="1" applyProtection="1">
      <alignment vertical="center"/>
    </xf>
    <xf numFmtId="3" fontId="11" fillId="0" borderId="13" xfId="11" applyNumberFormat="1" applyFont="1" applyFill="1" applyBorder="1" applyAlignment="1" applyProtection="1">
      <alignment vertical="center"/>
    </xf>
    <xf numFmtId="3" fontId="11" fillId="0" borderId="14" xfId="11" applyNumberFormat="1" applyFont="1" applyFill="1" applyBorder="1" applyAlignment="1" applyProtection="1">
      <alignment vertical="center"/>
    </xf>
    <xf numFmtId="172" fontId="15" fillId="0" borderId="2" xfId="11" applyNumberFormat="1" applyFont="1" applyBorder="1" applyAlignment="1" applyProtection="1">
      <alignment horizontal="center" vertical="center"/>
    </xf>
    <xf numFmtId="172" fontId="11" fillId="0" borderId="13" xfId="11" applyNumberFormat="1" applyFont="1" applyFill="1" applyBorder="1" applyAlignment="1" applyProtection="1">
      <alignment horizontal="center" vertical="center"/>
    </xf>
    <xf numFmtId="3" fontId="18" fillId="0" borderId="0" xfId="11" applyNumberFormat="1" applyFont="1" applyFill="1" applyBorder="1" applyAlignment="1" applyProtection="1">
      <alignment horizontal="right" vertical="center"/>
    </xf>
    <xf numFmtId="3" fontId="11" fillId="11" borderId="12" xfId="11" applyNumberFormat="1" applyFont="1" applyFill="1" applyBorder="1" applyAlignment="1" applyProtection="1">
      <alignment vertical="center"/>
      <protection locked="0"/>
    </xf>
    <xf numFmtId="172" fontId="22" fillId="0" borderId="0" xfId="11" applyNumberFormat="1" applyFont="1" applyAlignment="1" applyProtection="1">
      <alignment horizontal="center" vertical="center"/>
    </xf>
    <xf numFmtId="3" fontId="11" fillId="2" borderId="76" xfId="11" applyNumberFormat="1" applyFont="1" applyFill="1" applyBorder="1" applyAlignment="1" applyProtection="1">
      <alignment vertical="center"/>
      <protection locked="0"/>
    </xf>
    <xf numFmtId="3" fontId="11" fillId="0" borderId="75" xfId="11" applyNumberFormat="1" applyFont="1" applyFill="1" applyBorder="1" applyAlignment="1" applyProtection="1">
      <alignment vertical="center"/>
    </xf>
    <xf numFmtId="3" fontId="18" fillId="0" borderId="75" xfId="11" applyNumberFormat="1" applyFont="1" applyFill="1" applyBorder="1" applyAlignment="1" applyProtection="1">
      <alignment horizontal="right" vertical="center"/>
    </xf>
    <xf numFmtId="0" fontId="11" fillId="0" borderId="13" xfId="11" applyFont="1" applyFill="1" applyBorder="1" applyAlignment="1" applyProtection="1">
      <alignment vertical="center"/>
    </xf>
    <xf numFmtId="172" fontId="11" fillId="0" borderId="13" xfId="11" applyNumberFormat="1" applyFont="1" applyBorder="1" applyAlignment="1" applyProtection="1">
      <alignment horizontal="left" vertical="center"/>
    </xf>
    <xf numFmtId="172" fontId="15" fillId="3" borderId="13" xfId="11" applyNumberFormat="1" applyFont="1" applyFill="1" applyBorder="1" applyAlignment="1" applyProtection="1">
      <alignment horizontal="left" vertical="center"/>
    </xf>
    <xf numFmtId="172" fontId="11" fillId="0" borderId="13" xfId="11" applyNumberFormat="1" applyFont="1" applyFill="1" applyBorder="1" applyAlignment="1" applyProtection="1">
      <alignment horizontal="left" vertical="center"/>
    </xf>
    <xf numFmtId="0" fontId="11" fillId="0" borderId="0" xfId="23" applyFont="1" applyAlignment="1" applyProtection="1">
      <alignment horizontal="right" vertical="center"/>
    </xf>
    <xf numFmtId="0" fontId="11" fillId="0" borderId="0" xfId="23" applyFont="1" applyAlignment="1" applyProtection="1">
      <alignment vertical="center"/>
    </xf>
    <xf numFmtId="172" fontId="11" fillId="0" borderId="0" xfId="23" applyNumberFormat="1" applyFont="1" applyAlignment="1" applyProtection="1">
      <alignment horizontal="center" vertical="center"/>
    </xf>
    <xf numFmtId="0" fontId="11" fillId="0" borderId="0" xfId="23" applyFont="1" applyAlignment="1" applyProtection="1">
      <alignment horizontal="center" vertical="center"/>
    </xf>
    <xf numFmtId="0" fontId="15" fillId="0" borderId="0" xfId="23" applyFont="1" applyAlignment="1" applyProtection="1">
      <alignment horizontal="center" vertical="center"/>
    </xf>
    <xf numFmtId="172" fontId="11" fillId="0" borderId="4" xfId="23" applyNumberFormat="1" applyFont="1" applyBorder="1" applyAlignment="1" applyProtection="1">
      <alignment horizontal="center" vertical="center"/>
    </xf>
    <xf numFmtId="0" fontId="11" fillId="0" borderId="4" xfId="23" applyFont="1" applyBorder="1" applyAlignment="1" applyProtection="1">
      <alignment horizontal="center" vertical="center"/>
    </xf>
    <xf numFmtId="172" fontId="11" fillId="0" borderId="7" xfId="23" applyNumberFormat="1" applyFont="1" applyBorder="1" applyAlignment="1" applyProtection="1">
      <alignment horizontal="center" vertical="center"/>
    </xf>
    <xf numFmtId="0" fontId="11" fillId="0" borderId="7" xfId="23" applyFont="1" applyBorder="1" applyAlignment="1" applyProtection="1">
      <alignment horizontal="center" vertical="center"/>
    </xf>
    <xf numFmtId="0" fontId="11" fillId="0" borderId="1" xfId="23" applyFont="1" applyBorder="1" applyAlignment="1" applyProtection="1">
      <alignment vertical="center"/>
    </xf>
    <xf numFmtId="172" fontId="11" fillId="0" borderId="12" xfId="23" applyNumberFormat="1" applyFont="1" applyBorder="1" applyAlignment="1" applyProtection="1">
      <alignment horizontal="center" vertical="center"/>
    </xf>
    <xf numFmtId="171" fontId="11" fillId="0" borderId="7" xfId="23" applyNumberFormat="1" applyFont="1" applyBorder="1" applyAlignment="1" applyProtection="1">
      <alignment horizontal="center" vertical="center"/>
    </xf>
    <xf numFmtId="172" fontId="11" fillId="0" borderId="12" xfId="23" applyNumberFormat="1" applyFont="1" applyBorder="1" applyAlignment="1" applyProtection="1">
      <alignment horizontal="left" vertical="center"/>
    </xf>
    <xf numFmtId="172" fontId="11" fillId="0" borderId="10" xfId="23" applyNumberFormat="1" applyFont="1" applyBorder="1" applyAlignment="1" applyProtection="1">
      <alignment horizontal="center" vertical="center"/>
    </xf>
    <xf numFmtId="3" fontId="11" fillId="2" borderId="13" xfId="23" applyNumberFormat="1" applyFont="1" applyFill="1" applyBorder="1" applyAlignment="1" applyProtection="1">
      <alignment vertical="center"/>
      <protection locked="0"/>
    </xf>
    <xf numFmtId="3" fontId="11" fillId="0" borderId="13" xfId="23" applyNumberFormat="1" applyFont="1" applyFill="1" applyBorder="1" applyAlignment="1" applyProtection="1">
      <alignment vertical="center"/>
    </xf>
    <xf numFmtId="3" fontId="11" fillId="2" borderId="9" xfId="23" applyNumberFormat="1" applyFont="1" applyFill="1" applyBorder="1" applyAlignment="1" applyProtection="1">
      <alignment vertical="center"/>
      <protection locked="0"/>
    </xf>
    <xf numFmtId="3" fontId="11" fillId="0" borderId="12" xfId="23" applyNumberFormat="1" applyFont="1" applyFill="1" applyBorder="1" applyAlignment="1" applyProtection="1">
      <alignment vertical="center"/>
    </xf>
    <xf numFmtId="0" fontId="11" fillId="0" borderId="2" xfId="23" applyFont="1" applyBorder="1" applyAlignment="1" applyProtection="1">
      <alignment horizontal="center" vertical="center"/>
    </xf>
    <xf numFmtId="3" fontId="11" fillId="0" borderId="0" xfId="23" applyNumberFormat="1" applyFont="1" applyFill="1" applyBorder="1" applyAlignment="1" applyProtection="1">
      <alignment vertical="center"/>
    </xf>
    <xf numFmtId="3" fontId="11" fillId="0" borderId="14" xfId="23" applyNumberFormat="1" applyFont="1" applyFill="1" applyBorder="1" applyAlignment="1" applyProtection="1">
      <alignment vertical="center"/>
    </xf>
    <xf numFmtId="0" fontId="15" fillId="0" borderId="2" xfId="23" applyFont="1" applyBorder="1" applyAlignment="1" applyProtection="1">
      <alignment horizontal="center" vertical="center"/>
    </xf>
    <xf numFmtId="3" fontId="11" fillId="0" borderId="1" xfId="23" applyNumberFormat="1" applyFont="1" applyFill="1" applyBorder="1" applyAlignment="1" applyProtection="1">
      <alignment vertical="center"/>
    </xf>
    <xf numFmtId="0" fontId="11" fillId="0" borderId="0" xfId="23" applyFont="1" applyAlignment="1" applyProtection="1">
      <alignment horizontal="centerContinuous" vertical="center"/>
    </xf>
    <xf numFmtId="171" fontId="11" fillId="0" borderId="12" xfId="23" applyNumberFormat="1" applyFont="1" applyBorder="1" applyAlignment="1" applyProtection="1">
      <alignment horizontal="center" vertical="center"/>
    </xf>
    <xf numFmtId="3" fontId="11" fillId="2" borderId="11" xfId="23" applyNumberFormat="1" applyFont="1" applyFill="1" applyBorder="1" applyAlignment="1" applyProtection="1">
      <alignment vertical="center"/>
      <protection locked="0"/>
    </xf>
    <xf numFmtId="3" fontId="11" fillId="2" borderId="3" xfId="23" applyNumberFormat="1" applyFont="1" applyFill="1" applyBorder="1" applyAlignment="1" applyProtection="1">
      <alignment vertical="center"/>
      <protection locked="0"/>
    </xf>
    <xf numFmtId="3" fontId="11" fillId="2" borderId="6" xfId="23" applyNumberFormat="1" applyFont="1" applyFill="1" applyBorder="1" applyAlignment="1" applyProtection="1">
      <alignment vertical="center"/>
      <protection locked="0"/>
    </xf>
    <xf numFmtId="0" fontId="11" fillId="0" borderId="5" xfId="23" applyFont="1" applyFill="1" applyBorder="1" applyAlignment="1" applyProtection="1">
      <alignment horizontal="center" vertical="center"/>
    </xf>
    <xf numFmtId="0" fontId="11" fillId="0" borderId="10" xfId="23" applyFont="1" applyFill="1" applyBorder="1" applyAlignment="1" applyProtection="1">
      <alignment horizontal="center" vertical="center"/>
    </xf>
    <xf numFmtId="3" fontId="11" fillId="11" borderId="12" xfId="23" applyNumberFormat="1" applyFont="1" applyFill="1" applyBorder="1" applyAlignment="1" applyProtection="1">
      <alignment vertical="center"/>
      <protection locked="0"/>
    </xf>
    <xf numFmtId="172" fontId="22" fillId="0" borderId="0" xfId="23" applyNumberFormat="1" applyFont="1" applyAlignment="1" applyProtection="1">
      <alignment horizontal="center" vertical="center"/>
    </xf>
    <xf numFmtId="0" fontId="22" fillId="0" borderId="0" xfId="23" applyFont="1" applyAlignment="1" applyProtection="1">
      <alignment vertical="center"/>
    </xf>
    <xf numFmtId="0" fontId="11" fillId="0" borderId="0" xfId="23" applyFont="1" applyBorder="1" applyProtection="1"/>
    <xf numFmtId="3" fontId="11" fillId="0" borderId="78" xfId="23" applyNumberFormat="1" applyFont="1" applyFill="1" applyBorder="1" applyAlignment="1" applyProtection="1">
      <alignment vertical="center"/>
    </xf>
    <xf numFmtId="3" fontId="18" fillId="0" borderId="75" xfId="23" applyNumberFormat="1" applyFont="1" applyFill="1" applyBorder="1" applyAlignment="1" applyProtection="1">
      <alignment vertical="center"/>
    </xf>
    <xf numFmtId="0" fontId="11" fillId="0" borderId="0" xfId="13" applyFont="1" applyAlignment="1" applyProtection="1">
      <alignment horizontal="right" vertical="center"/>
    </xf>
    <xf numFmtId="0" fontId="11" fillId="0" borderId="0" xfId="13" applyFont="1" applyAlignment="1" applyProtection="1">
      <alignment vertical="center"/>
    </xf>
    <xf numFmtId="172" fontId="11" fillId="0" borderId="0" xfId="13" applyNumberFormat="1" applyFont="1" applyAlignment="1" applyProtection="1">
      <alignment horizontal="center" vertical="center"/>
    </xf>
    <xf numFmtId="0" fontId="11" fillId="0" borderId="0" xfId="13" applyFont="1" applyAlignment="1" applyProtection="1">
      <alignment horizontal="center" vertical="center"/>
    </xf>
    <xf numFmtId="0" fontId="15" fillId="0" borderId="0" xfId="13" applyFont="1" applyAlignment="1" applyProtection="1">
      <alignment horizontal="center" vertical="center"/>
    </xf>
    <xf numFmtId="172" fontId="11" fillId="0" borderId="4" xfId="13" applyNumberFormat="1" applyFont="1" applyBorder="1" applyAlignment="1" applyProtection="1">
      <alignment horizontal="center" vertical="center"/>
    </xf>
    <xf numFmtId="0" fontId="11" fillId="0" borderId="4" xfId="13" applyFont="1" applyBorder="1" applyAlignment="1" applyProtection="1">
      <alignment horizontal="center" vertical="center"/>
    </xf>
    <xf numFmtId="172" fontId="11" fillId="0" borderId="7" xfId="13" applyNumberFormat="1" applyFont="1" applyBorder="1" applyAlignment="1" applyProtection="1">
      <alignment horizontal="center" vertical="center"/>
    </xf>
    <xf numFmtId="0" fontId="11" fillId="0" borderId="7" xfId="13" applyFont="1" applyBorder="1" applyAlignment="1" applyProtection="1">
      <alignment horizontal="center" vertical="center"/>
    </xf>
    <xf numFmtId="0" fontId="11" fillId="0" borderId="1" xfId="13" applyFont="1" applyBorder="1" applyAlignment="1" applyProtection="1">
      <alignment vertical="center"/>
    </xf>
    <xf numFmtId="172" fontId="11" fillId="0" borderId="12" xfId="13" applyNumberFormat="1" applyFont="1" applyBorder="1" applyAlignment="1" applyProtection="1">
      <alignment horizontal="center" vertical="center"/>
    </xf>
    <xf numFmtId="171" fontId="11" fillId="0" borderId="12" xfId="13" applyNumberFormat="1" applyFont="1" applyBorder="1" applyAlignment="1" applyProtection="1">
      <alignment horizontal="center" vertical="center"/>
    </xf>
    <xf numFmtId="172" fontId="11" fillId="0" borderId="12" xfId="13" applyNumberFormat="1" applyFont="1" applyBorder="1" applyAlignment="1" applyProtection="1">
      <alignment horizontal="left" vertical="center"/>
    </xf>
    <xf numFmtId="172" fontId="11" fillId="0" borderId="10" xfId="13" applyNumberFormat="1" applyFont="1" applyBorder="1" applyAlignment="1" applyProtection="1">
      <alignment horizontal="center" vertical="center"/>
    </xf>
    <xf numFmtId="3" fontId="11" fillId="2" borderId="13" xfId="13" applyNumberFormat="1" applyFont="1" applyFill="1" applyBorder="1" applyAlignment="1" applyProtection="1">
      <alignment vertical="center"/>
      <protection locked="0"/>
    </xf>
    <xf numFmtId="3" fontId="11" fillId="0" borderId="1" xfId="13" applyNumberFormat="1" applyFont="1" applyFill="1" applyBorder="1" applyAlignment="1" applyProtection="1">
      <alignment vertical="center"/>
    </xf>
    <xf numFmtId="3" fontId="11" fillId="0" borderId="4" xfId="13" applyNumberFormat="1" applyFont="1" applyFill="1" applyBorder="1" applyAlignment="1" applyProtection="1">
      <alignment vertical="center"/>
    </xf>
    <xf numFmtId="172" fontId="11" fillId="0" borderId="0" xfId="13" applyNumberFormat="1" applyFont="1" applyBorder="1" applyAlignment="1" applyProtection="1">
      <alignment horizontal="left" vertical="center"/>
    </xf>
    <xf numFmtId="3" fontId="11" fillId="0" borderId="0" xfId="13" applyNumberFormat="1" applyFont="1" applyFill="1" applyBorder="1" applyAlignment="1" applyProtection="1">
      <alignment vertical="center"/>
    </xf>
    <xf numFmtId="172" fontId="11" fillId="0" borderId="0" xfId="13" applyNumberFormat="1" applyFont="1" applyBorder="1" applyAlignment="1" applyProtection="1">
      <alignment horizontal="center" vertical="center"/>
    </xf>
    <xf numFmtId="3" fontId="18" fillId="0" borderId="0" xfId="13" applyNumberFormat="1" applyFont="1" applyFill="1" applyBorder="1" applyAlignment="1" applyProtection="1">
      <alignment horizontal="right" vertical="center"/>
    </xf>
    <xf numFmtId="3" fontId="11" fillId="2" borderId="12" xfId="13" applyNumberFormat="1" applyFont="1" applyFill="1" applyBorder="1" applyAlignment="1" applyProtection="1">
      <alignment vertical="center"/>
      <protection locked="0"/>
    </xf>
    <xf numFmtId="3" fontId="11" fillId="2" borderId="1" xfId="13" applyNumberFormat="1" applyFont="1" applyFill="1" applyBorder="1" applyAlignment="1" applyProtection="1">
      <alignment vertical="center"/>
      <protection locked="0"/>
    </xf>
    <xf numFmtId="3" fontId="11" fillId="0" borderId="12" xfId="13" applyNumberFormat="1" applyFont="1" applyFill="1" applyBorder="1" applyAlignment="1" applyProtection="1">
      <alignment vertical="center"/>
    </xf>
    <xf numFmtId="172" fontId="11" fillId="0" borderId="2" xfId="13" applyNumberFormat="1" applyFont="1" applyBorder="1" applyAlignment="1" applyProtection="1">
      <alignment horizontal="center" vertical="center"/>
    </xf>
    <xf numFmtId="3" fontId="11" fillId="0" borderId="13" xfId="13" applyNumberFormat="1" applyFont="1" applyFill="1" applyBorder="1" applyAlignment="1" applyProtection="1">
      <alignment vertical="center"/>
    </xf>
    <xf numFmtId="3" fontId="11" fillId="0" borderId="14" xfId="13" applyNumberFormat="1" applyFont="1" applyFill="1" applyBorder="1" applyAlignment="1" applyProtection="1">
      <alignment vertical="center"/>
    </xf>
    <xf numFmtId="172" fontId="15" fillId="0" borderId="10" xfId="13" applyNumberFormat="1" applyFont="1" applyBorder="1" applyAlignment="1" applyProtection="1">
      <alignment horizontal="center" vertical="center"/>
    </xf>
    <xf numFmtId="3" fontId="11" fillId="2" borderId="14" xfId="13" applyNumberFormat="1" applyFont="1" applyFill="1" applyBorder="1" applyAlignment="1" applyProtection="1">
      <alignment vertical="center"/>
      <protection locked="0"/>
    </xf>
    <xf numFmtId="3" fontId="11" fillId="2" borderId="4" xfId="13" applyNumberFormat="1" applyFont="1" applyFill="1" applyBorder="1" applyAlignment="1" applyProtection="1">
      <alignment vertical="center"/>
      <protection locked="0"/>
    </xf>
    <xf numFmtId="172" fontId="11" fillId="0" borderId="0" xfId="13" applyNumberFormat="1" applyFont="1" applyAlignment="1" applyProtection="1">
      <alignment horizontal="centerContinuous" vertical="center"/>
    </xf>
    <xf numFmtId="3" fontId="11" fillId="0" borderId="0" xfId="13" applyNumberFormat="1" applyFont="1" applyAlignment="1" applyProtection="1">
      <alignment horizontal="centerContinuous" vertical="center"/>
    </xf>
    <xf numFmtId="3" fontId="11" fillId="11" borderId="12" xfId="13" applyNumberFormat="1" applyFont="1" applyFill="1" applyBorder="1" applyAlignment="1" applyProtection="1">
      <alignment vertical="center"/>
      <protection locked="0"/>
    </xf>
    <xf numFmtId="0" fontId="0" fillId="0" borderId="2" xfId="0" applyFill="1" applyBorder="1" applyAlignment="1" applyProtection="1">
      <alignment horizontal="center" vertical="center"/>
    </xf>
    <xf numFmtId="3" fontId="0" fillId="11" borderId="12" xfId="0" applyNumberFormat="1" applyFill="1" applyBorder="1" applyAlignment="1" applyProtection="1">
      <alignment vertical="center"/>
      <protection locked="0"/>
    </xf>
    <xf numFmtId="3" fontId="0" fillId="2" borderId="3" xfId="0" applyNumberFormat="1" applyFill="1" applyBorder="1" applyAlignment="1" applyProtection="1">
      <alignment vertical="center"/>
      <protection locked="0"/>
    </xf>
    <xf numFmtId="3" fontId="0" fillId="0" borderId="12" xfId="0" applyNumberFormat="1" applyBorder="1" applyAlignment="1" applyProtection="1">
      <alignment vertical="center"/>
    </xf>
    <xf numFmtId="3" fontId="0" fillId="0" borderId="13" xfId="0" applyNumberFormat="1" applyBorder="1" applyAlignment="1" applyProtection="1">
      <alignment vertical="center"/>
    </xf>
    <xf numFmtId="172" fontId="22" fillId="0" borderId="0" xfId="13" applyNumberFormat="1" applyFont="1" applyAlignment="1" applyProtection="1">
      <alignment horizontal="center" vertical="center"/>
    </xf>
    <xf numFmtId="0" fontId="22" fillId="0" borderId="0" xfId="13" applyFont="1" applyAlignment="1" applyProtection="1">
      <alignment vertical="center"/>
    </xf>
    <xf numFmtId="172" fontId="11" fillId="0" borderId="13" xfId="13" applyNumberFormat="1" applyFont="1" applyBorder="1" applyAlignment="1" applyProtection="1">
      <alignment horizontal="left" vertical="center"/>
    </xf>
    <xf numFmtId="172" fontId="15" fillId="3" borderId="12" xfId="13" applyNumberFormat="1" applyFont="1" applyFill="1" applyBorder="1" applyAlignment="1" applyProtection="1">
      <alignment horizontal="left" vertical="center"/>
    </xf>
    <xf numFmtId="0" fontId="11" fillId="0" borderId="2" xfId="13" applyFont="1" applyBorder="1" applyAlignment="1" applyProtection="1">
      <alignment horizontal="left" vertical="center"/>
    </xf>
    <xf numFmtId="0" fontId="0" fillId="0" borderId="13" xfId="0" applyBorder="1" applyAlignment="1" applyProtection="1">
      <alignment vertical="center"/>
    </xf>
    <xf numFmtId="172" fontId="11" fillId="0" borderId="10" xfId="13" applyNumberFormat="1" applyFont="1" applyBorder="1" applyAlignment="1" applyProtection="1">
      <alignment horizontal="left" vertical="center"/>
    </xf>
    <xf numFmtId="0" fontId="11" fillId="0" borderId="0" xfId="15" applyFont="1" applyAlignment="1" applyProtection="1">
      <alignment horizontal="right" vertical="center"/>
    </xf>
    <xf numFmtId="0" fontId="11" fillId="0" borderId="0" xfId="15" applyFont="1" applyAlignment="1" applyProtection="1">
      <alignment vertical="center"/>
    </xf>
    <xf numFmtId="172" fontId="11" fillId="0" borderId="0" xfId="15" applyNumberFormat="1" applyFont="1" applyAlignment="1" applyProtection="1">
      <alignment horizontal="center" vertical="center"/>
    </xf>
    <xf numFmtId="0" fontId="11" fillId="0" borderId="0" xfId="15" applyFont="1" applyAlignment="1" applyProtection="1">
      <alignment horizontal="center" vertical="center"/>
    </xf>
    <xf numFmtId="0" fontId="15" fillId="0" borderId="0" xfId="15" applyFont="1" applyAlignment="1" applyProtection="1">
      <alignment horizontal="center" vertical="center"/>
    </xf>
    <xf numFmtId="172" fontId="11" fillId="0" borderId="4" xfId="15" applyNumberFormat="1" applyFont="1" applyBorder="1" applyAlignment="1" applyProtection="1">
      <alignment horizontal="center" vertical="center"/>
    </xf>
    <xf numFmtId="0" fontId="11" fillId="0" borderId="4" xfId="15" applyFont="1" applyBorder="1" applyAlignment="1" applyProtection="1">
      <alignment horizontal="center" vertical="center"/>
    </xf>
    <xf numFmtId="172" fontId="11" fillId="0" borderId="7" xfId="15" applyNumberFormat="1" applyFont="1" applyBorder="1" applyAlignment="1" applyProtection="1">
      <alignment horizontal="center" vertical="center"/>
    </xf>
    <xf numFmtId="0" fontId="11" fillId="0" borderId="7" xfId="15" applyFont="1" applyBorder="1" applyAlignment="1" applyProtection="1">
      <alignment horizontal="center" vertical="center"/>
    </xf>
    <xf numFmtId="0" fontId="11" fillId="0" borderId="1" xfId="15" applyFont="1" applyBorder="1" applyAlignment="1" applyProtection="1">
      <alignment vertical="center"/>
    </xf>
    <xf numFmtId="172" fontId="11" fillId="0" borderId="12" xfId="15" applyNumberFormat="1" applyFont="1" applyBorder="1" applyAlignment="1" applyProtection="1">
      <alignment horizontal="center" vertical="center"/>
    </xf>
    <xf numFmtId="171" fontId="11" fillId="0" borderId="12" xfId="15" applyNumberFormat="1" applyFont="1" applyBorder="1" applyAlignment="1" applyProtection="1">
      <alignment horizontal="center" vertical="center"/>
    </xf>
    <xf numFmtId="172" fontId="11" fillId="0" borderId="0" xfId="15" applyNumberFormat="1" applyFont="1" applyBorder="1" applyAlignment="1" applyProtection="1">
      <alignment horizontal="left" vertical="center"/>
    </xf>
    <xf numFmtId="3" fontId="11" fillId="0" borderId="0" xfId="15" applyNumberFormat="1" applyFont="1" applyFill="1" applyBorder="1" applyAlignment="1" applyProtection="1">
      <alignment vertical="center"/>
    </xf>
    <xf numFmtId="172" fontId="11" fillId="0" borderId="0" xfId="15" applyNumberFormat="1" applyFont="1" applyBorder="1" applyAlignment="1" applyProtection="1">
      <alignment horizontal="center" vertical="center"/>
    </xf>
    <xf numFmtId="0" fontId="0" fillId="0" borderId="0" xfId="0" applyAlignment="1" applyProtection="1">
      <alignment horizontal="right" vertical="center"/>
    </xf>
    <xf numFmtId="172" fontId="11" fillId="0" borderId="103" xfId="15" applyNumberFormat="1" applyFont="1" applyBorder="1" applyAlignment="1" applyProtection="1">
      <alignment horizontal="center" vertical="center"/>
    </xf>
    <xf numFmtId="172" fontId="11" fillId="0" borderId="10" xfId="15" applyNumberFormat="1" applyFont="1" applyBorder="1" applyAlignment="1" applyProtection="1">
      <alignment horizontal="center" vertical="center"/>
    </xf>
    <xf numFmtId="3" fontId="11" fillId="2" borderId="13" xfId="15" applyNumberFormat="1" applyFont="1" applyFill="1" applyBorder="1" applyAlignment="1" applyProtection="1">
      <alignment vertical="center"/>
      <protection locked="0"/>
    </xf>
    <xf numFmtId="3" fontId="11" fillId="0" borderId="1" xfId="15" applyNumberFormat="1" applyFont="1" applyFill="1" applyBorder="1" applyAlignment="1" applyProtection="1">
      <alignment vertical="center"/>
    </xf>
    <xf numFmtId="3" fontId="11" fillId="0" borderId="13" xfId="15" applyNumberFormat="1" applyFont="1" applyFill="1" applyBorder="1" applyAlignment="1" applyProtection="1">
      <alignment vertical="center"/>
    </xf>
    <xf numFmtId="172" fontId="11" fillId="0" borderId="2" xfId="15" applyNumberFormat="1" applyFont="1" applyBorder="1" applyAlignment="1" applyProtection="1">
      <alignment horizontal="center" vertical="center"/>
    </xf>
    <xf numFmtId="3" fontId="11" fillId="0" borderId="12" xfId="15" applyNumberFormat="1" applyFont="1" applyFill="1" applyBorder="1" applyAlignment="1" applyProtection="1">
      <alignment vertical="center"/>
    </xf>
    <xf numFmtId="172" fontId="15" fillId="0" borderId="10" xfId="15" applyNumberFormat="1" applyFont="1" applyBorder="1" applyAlignment="1" applyProtection="1">
      <alignment horizontal="center" vertical="center"/>
    </xf>
    <xf numFmtId="3" fontId="11" fillId="0" borderId="14" xfId="15" applyNumberFormat="1" applyFont="1" applyFill="1" applyBorder="1" applyAlignment="1" applyProtection="1">
      <alignment vertical="center"/>
    </xf>
    <xf numFmtId="3" fontId="18" fillId="0" borderId="13" xfId="15" applyNumberFormat="1" applyFont="1" applyFill="1" applyBorder="1" applyAlignment="1" applyProtection="1">
      <alignment horizontal="right" vertical="center"/>
    </xf>
    <xf numFmtId="3" fontId="11" fillId="2" borderId="14" xfId="15" applyNumberFormat="1" applyFont="1" applyFill="1" applyBorder="1" applyAlignment="1" applyProtection="1">
      <alignment vertical="center"/>
      <protection locked="0"/>
    </xf>
    <xf numFmtId="3" fontId="11" fillId="11" borderId="12" xfId="15" applyNumberFormat="1" applyFont="1" applyFill="1" applyBorder="1" applyAlignment="1" applyProtection="1">
      <alignment vertical="center"/>
      <protection locked="0"/>
    </xf>
    <xf numFmtId="172" fontId="11" fillId="0" borderId="0" xfId="15" applyNumberFormat="1" applyFont="1" applyAlignment="1" applyProtection="1">
      <alignment horizontal="centerContinuous" vertical="center"/>
    </xf>
    <xf numFmtId="0" fontId="11" fillId="0" borderId="0" xfId="15" applyFont="1" applyAlignment="1" applyProtection="1">
      <alignment horizontal="centerContinuous" vertical="center"/>
    </xf>
    <xf numFmtId="3" fontId="11" fillId="0" borderId="0" xfId="15" applyNumberFormat="1" applyFont="1" applyAlignment="1" applyProtection="1">
      <alignment horizontal="centerContinuous" vertical="center"/>
    </xf>
    <xf numFmtId="172" fontId="22" fillId="0" borderId="0" xfId="15" applyNumberFormat="1" applyFont="1" applyAlignment="1" applyProtection="1">
      <alignment horizontal="center" vertical="center"/>
    </xf>
    <xf numFmtId="0" fontId="22" fillId="0" borderId="0" xfId="15" applyFont="1" applyAlignment="1" applyProtection="1">
      <alignment vertical="center"/>
    </xf>
    <xf numFmtId="172" fontId="11" fillId="0" borderId="12" xfId="15" applyNumberFormat="1" applyFont="1" applyBorder="1" applyAlignment="1" applyProtection="1">
      <alignment horizontal="left" vertical="center"/>
    </xf>
    <xf numFmtId="172" fontId="11" fillId="0" borderId="13" xfId="15" applyNumberFormat="1" applyFont="1" applyBorder="1" applyAlignment="1" applyProtection="1">
      <alignment horizontal="left" vertical="center"/>
    </xf>
    <xf numFmtId="172" fontId="15" fillId="3" borderId="12" xfId="15" applyNumberFormat="1" applyFont="1" applyFill="1" applyBorder="1" applyAlignment="1" applyProtection="1">
      <alignment horizontal="left" vertical="center"/>
    </xf>
    <xf numFmtId="0" fontId="11" fillId="0" borderId="0" xfId="16" applyFont="1" applyAlignment="1" applyProtection="1">
      <alignment horizontal="right" vertical="center"/>
    </xf>
    <xf numFmtId="0" fontId="11" fillId="0" borderId="0" xfId="16" applyFont="1" applyAlignment="1" applyProtection="1">
      <alignment vertical="center"/>
    </xf>
    <xf numFmtId="172" fontId="11" fillId="0" borderId="0" xfId="16" applyNumberFormat="1" applyFont="1" applyAlignment="1" applyProtection="1">
      <alignment horizontal="center" vertical="center"/>
    </xf>
    <xf numFmtId="0" fontId="11" fillId="0" borderId="0" xfId="16" applyFont="1" applyAlignment="1" applyProtection="1">
      <alignment horizontal="center" vertical="center"/>
    </xf>
    <xf numFmtId="0" fontId="15" fillId="0" borderId="0" xfId="16" applyFont="1" applyAlignment="1" applyProtection="1">
      <alignment horizontal="center" vertical="center"/>
    </xf>
    <xf numFmtId="172" fontId="11" fillId="0" borderId="4" xfId="16" applyNumberFormat="1" applyFont="1" applyBorder="1" applyAlignment="1" applyProtection="1">
      <alignment horizontal="center" vertical="center"/>
    </xf>
    <xf numFmtId="0" fontId="11" fillId="0" borderId="4" xfId="16" applyFont="1" applyBorder="1" applyAlignment="1" applyProtection="1">
      <alignment horizontal="center" vertical="center"/>
    </xf>
    <xf numFmtId="172" fontId="11" fillId="0" borderId="7" xfId="16" applyNumberFormat="1" applyFont="1" applyBorder="1" applyAlignment="1" applyProtection="1">
      <alignment horizontal="center" vertical="center"/>
    </xf>
    <xf numFmtId="0" fontId="11" fillId="0" borderId="7" xfId="16" applyFont="1" applyBorder="1" applyAlignment="1" applyProtection="1">
      <alignment horizontal="center" vertical="center"/>
    </xf>
    <xf numFmtId="0" fontId="11" fillId="0" borderId="1" xfId="16" applyFont="1" applyBorder="1" applyAlignment="1" applyProtection="1">
      <alignment vertical="center"/>
    </xf>
    <xf numFmtId="172" fontId="11" fillId="0" borderId="12" xfId="16" applyNumberFormat="1" applyFont="1" applyBorder="1" applyAlignment="1" applyProtection="1">
      <alignment horizontal="center" vertical="center"/>
    </xf>
    <xf numFmtId="171" fontId="11" fillId="0" borderId="12" xfId="16" applyNumberFormat="1" applyFont="1" applyBorder="1" applyAlignment="1" applyProtection="1">
      <alignment horizontal="center" vertical="center"/>
    </xf>
    <xf numFmtId="172" fontId="11" fillId="0" borderId="12" xfId="16" applyNumberFormat="1" applyFont="1" applyBorder="1" applyAlignment="1" applyProtection="1">
      <alignment horizontal="left" vertical="center"/>
    </xf>
    <xf numFmtId="172" fontId="11" fillId="0" borderId="10" xfId="16" applyNumberFormat="1" applyFont="1" applyBorder="1" applyAlignment="1" applyProtection="1">
      <alignment horizontal="center" vertical="center"/>
    </xf>
    <xf numFmtId="3" fontId="11" fillId="2" borderId="13" xfId="16" applyNumberFormat="1" applyFont="1" applyFill="1" applyBorder="1" applyAlignment="1" applyProtection="1">
      <alignment vertical="center"/>
      <protection locked="0"/>
    </xf>
    <xf numFmtId="3" fontId="11" fillId="0" borderId="1" xfId="16" applyNumberFormat="1" applyFont="1" applyFill="1" applyBorder="1" applyAlignment="1" applyProtection="1">
      <alignment vertical="center"/>
    </xf>
    <xf numFmtId="3" fontId="11" fillId="0" borderId="13" xfId="16" applyNumberFormat="1" applyFont="1" applyFill="1" applyBorder="1" applyAlignment="1" applyProtection="1">
      <alignment vertical="center"/>
    </xf>
    <xf numFmtId="3" fontId="11" fillId="0" borderId="12" xfId="16" applyNumberFormat="1" applyFont="1" applyFill="1" applyBorder="1" applyAlignment="1" applyProtection="1">
      <alignment vertical="center"/>
    </xf>
    <xf numFmtId="0" fontId="11" fillId="0" borderId="2" xfId="16" applyFont="1" applyBorder="1" applyAlignment="1" applyProtection="1">
      <alignment horizontal="center" vertical="center"/>
    </xf>
    <xf numFmtId="3" fontId="11" fillId="0" borderId="14" xfId="16" applyNumberFormat="1" applyFont="1" applyFill="1" applyBorder="1" applyAlignment="1" applyProtection="1">
      <alignment vertical="center"/>
    </xf>
    <xf numFmtId="3" fontId="18" fillId="0" borderId="12" xfId="16" applyNumberFormat="1" applyFont="1" applyFill="1" applyBorder="1" applyAlignment="1" applyProtection="1">
      <alignment horizontal="right" vertical="center"/>
    </xf>
    <xf numFmtId="0" fontId="11" fillId="0" borderId="0" xfId="16" applyFont="1" applyFill="1" applyAlignment="1" applyProtection="1">
      <alignment vertical="center"/>
    </xf>
    <xf numFmtId="172" fontId="22" fillId="0" borderId="0" xfId="16" applyNumberFormat="1" applyFont="1" applyAlignment="1" applyProtection="1">
      <alignment horizontal="center" vertical="center"/>
    </xf>
    <xf numFmtId="0" fontId="22" fillId="0" borderId="0" xfId="16" applyFont="1" applyAlignment="1" applyProtection="1">
      <alignment vertical="center"/>
    </xf>
    <xf numFmtId="0" fontId="11" fillId="0" borderId="13" xfId="16" applyFont="1" applyBorder="1" applyAlignment="1" applyProtection="1">
      <alignment horizontal="left" vertical="center"/>
    </xf>
    <xf numFmtId="0" fontId="15" fillId="3" borderId="13" xfId="16" applyFont="1" applyFill="1" applyBorder="1" applyAlignment="1" applyProtection="1">
      <alignment horizontal="left" vertical="center"/>
    </xf>
    <xf numFmtId="3" fontId="11" fillId="0" borderId="0" xfId="17" applyNumberFormat="1" applyFont="1" applyFill="1" applyBorder="1" applyAlignment="1" applyProtection="1">
      <alignment vertical="center"/>
    </xf>
    <xf numFmtId="3" fontId="11" fillId="0" borderId="0" xfId="17" applyNumberFormat="1" applyFont="1" applyFill="1" applyBorder="1" applyAlignment="1" applyProtection="1">
      <alignment horizontal="center" vertical="center"/>
    </xf>
    <xf numFmtId="172" fontId="15" fillId="0" borderId="0" xfId="17" applyNumberFormat="1" applyFont="1" applyFill="1" applyBorder="1" applyAlignment="1" applyProtection="1">
      <alignment horizontal="center" vertical="center"/>
    </xf>
    <xf numFmtId="0" fontId="11" fillId="0" borderId="0" xfId="17" applyFont="1" applyAlignment="1" applyProtection="1">
      <alignment vertical="center"/>
    </xf>
    <xf numFmtId="0" fontId="11" fillId="0" borderId="0" xfId="17" applyFont="1" applyAlignment="1" applyProtection="1">
      <alignment horizontal="right" vertical="center"/>
    </xf>
    <xf numFmtId="0" fontId="11" fillId="0" borderId="0" xfId="17" applyFont="1" applyAlignment="1" applyProtection="1">
      <alignment horizontal="center" vertical="center"/>
    </xf>
    <xf numFmtId="0" fontId="11" fillId="0" borderId="4" xfId="17" applyFont="1" applyBorder="1" applyAlignment="1" applyProtection="1">
      <alignment horizontal="center" vertical="center"/>
    </xf>
    <xf numFmtId="0" fontId="11" fillId="0" borderId="7" xfId="17" applyFont="1" applyBorder="1" applyAlignment="1" applyProtection="1">
      <alignment horizontal="center" vertical="center"/>
    </xf>
    <xf numFmtId="171" fontId="11" fillId="0" borderId="12" xfId="17" applyNumberFormat="1" applyFont="1" applyBorder="1" applyAlignment="1" applyProtection="1">
      <alignment horizontal="center" vertical="center"/>
    </xf>
    <xf numFmtId="3" fontId="11" fillId="2" borderId="13" xfId="17" applyNumberFormat="1" applyFont="1" applyFill="1" applyBorder="1" applyAlignment="1" applyProtection="1">
      <alignment vertical="center"/>
      <protection locked="0"/>
    </xf>
    <xf numFmtId="3" fontId="11" fillId="0" borderId="1" xfId="17" applyNumberFormat="1" applyFont="1" applyFill="1" applyBorder="1" applyAlignment="1" applyProtection="1">
      <alignment vertical="center"/>
    </xf>
    <xf numFmtId="3" fontId="11" fillId="0" borderId="4" xfId="17" applyNumberFormat="1" applyFont="1" applyFill="1" applyBorder="1" applyAlignment="1" applyProtection="1">
      <alignment vertical="center"/>
    </xf>
    <xf numFmtId="3" fontId="11" fillId="2" borderId="7" xfId="17" applyNumberFormat="1" applyFont="1" applyFill="1" applyBorder="1" applyAlignment="1" applyProtection="1">
      <alignment vertical="center"/>
      <protection locked="0"/>
    </xf>
    <xf numFmtId="3" fontId="11" fillId="2" borderId="0" xfId="17" applyNumberFormat="1" applyFont="1" applyFill="1" applyBorder="1" applyAlignment="1" applyProtection="1">
      <alignment vertical="center"/>
      <protection locked="0"/>
    </xf>
    <xf numFmtId="3" fontId="11" fillId="0" borderId="63" xfId="17" applyNumberFormat="1" applyFont="1" applyFill="1" applyBorder="1" applyAlignment="1" applyProtection="1">
      <alignment vertical="center"/>
    </xf>
    <xf numFmtId="3" fontId="11" fillId="0" borderId="12" xfId="17" applyNumberFormat="1" applyFont="1" applyFill="1" applyBorder="1" applyAlignment="1" applyProtection="1">
      <alignment vertical="center"/>
    </xf>
    <xf numFmtId="3" fontId="11" fillId="0" borderId="13" xfId="17" applyNumberFormat="1" applyFont="1" applyFill="1" applyBorder="1" applyAlignment="1" applyProtection="1">
      <alignment vertical="center"/>
    </xf>
    <xf numFmtId="3" fontId="11" fillId="0" borderId="14" xfId="17" applyNumberFormat="1" applyFont="1" applyFill="1" applyBorder="1" applyAlignment="1" applyProtection="1">
      <alignment vertical="center"/>
    </xf>
    <xf numFmtId="3" fontId="11" fillId="0" borderId="75" xfId="17" applyNumberFormat="1" applyFont="1" applyFill="1" applyBorder="1" applyAlignment="1" applyProtection="1">
      <alignment vertical="center"/>
    </xf>
    <xf numFmtId="3" fontId="11" fillId="0" borderId="0" xfId="17" applyNumberFormat="1" applyFont="1" applyFill="1" applyBorder="1" applyAlignment="1" applyProtection="1">
      <alignment horizontal="right" vertical="center"/>
    </xf>
    <xf numFmtId="3" fontId="18" fillId="0" borderId="13" xfId="17" applyNumberFormat="1" applyFont="1" applyFill="1" applyBorder="1" applyAlignment="1" applyProtection="1">
      <alignment horizontal="right" vertical="center"/>
    </xf>
    <xf numFmtId="3" fontId="18" fillId="0" borderId="0" xfId="17" applyNumberFormat="1" applyFont="1" applyFill="1" applyBorder="1" applyAlignment="1" applyProtection="1">
      <alignment horizontal="right" vertical="center"/>
    </xf>
    <xf numFmtId="0" fontId="22" fillId="0" borderId="0" xfId="17" applyFont="1" applyAlignment="1" applyProtection="1">
      <alignment vertical="center"/>
    </xf>
    <xf numFmtId="172" fontId="11" fillId="0" borderId="0" xfId="17" applyNumberFormat="1" applyFont="1" applyAlignment="1" applyProtection="1">
      <alignment horizontal="center" vertical="center"/>
    </xf>
    <xf numFmtId="172" fontId="11" fillId="0" borderId="4" xfId="17" applyNumberFormat="1" applyFont="1" applyBorder="1" applyAlignment="1" applyProtection="1">
      <alignment horizontal="center" vertical="center"/>
    </xf>
    <xf numFmtId="172" fontId="11" fillId="0" borderId="7" xfId="17" applyNumberFormat="1" applyFont="1" applyBorder="1" applyAlignment="1" applyProtection="1">
      <alignment horizontal="center" vertical="center"/>
    </xf>
    <xf numFmtId="172" fontId="11" fillId="0" borderId="12" xfId="17" applyNumberFormat="1" applyFont="1" applyBorder="1" applyAlignment="1" applyProtection="1">
      <alignment horizontal="center" vertical="center"/>
    </xf>
    <xf numFmtId="172" fontId="11" fillId="0" borderId="10" xfId="17" applyNumberFormat="1" applyFont="1" applyBorder="1" applyAlignment="1" applyProtection="1">
      <alignment horizontal="center" vertical="center"/>
    </xf>
    <xf numFmtId="172" fontId="11" fillId="0" borderId="2" xfId="17" applyNumberFormat="1" applyFont="1" applyBorder="1" applyAlignment="1" applyProtection="1">
      <alignment horizontal="center" vertical="center"/>
    </xf>
    <xf numFmtId="172" fontId="11" fillId="0" borderId="78" xfId="17" applyNumberFormat="1" applyFont="1" applyBorder="1" applyAlignment="1" applyProtection="1">
      <alignment horizontal="center" vertical="center"/>
    </xf>
    <xf numFmtId="172" fontId="11" fillId="0" borderId="0" xfId="17" applyNumberFormat="1" applyFont="1" applyFill="1" applyBorder="1" applyAlignment="1" applyProtection="1">
      <alignment horizontal="center" vertical="center"/>
    </xf>
    <xf numFmtId="0" fontId="11" fillId="0" borderId="2" xfId="17" applyFont="1" applyBorder="1" applyAlignment="1" applyProtection="1">
      <alignment horizontal="center" vertical="center"/>
    </xf>
    <xf numFmtId="0" fontId="11" fillId="0" borderId="58" xfId="17" applyFont="1" applyBorder="1" applyAlignment="1" applyProtection="1">
      <alignment horizontal="center" vertical="center"/>
    </xf>
    <xf numFmtId="0" fontId="41" fillId="0" borderId="0" xfId="17" applyFont="1" applyBorder="1" applyAlignment="1" applyProtection="1">
      <alignment horizontal="center" vertical="center"/>
    </xf>
    <xf numFmtId="0" fontId="41" fillId="0" borderId="0" xfId="17" applyFont="1" applyAlignment="1" applyProtection="1">
      <alignment vertical="center"/>
    </xf>
    <xf numFmtId="172" fontId="22" fillId="0" borderId="0" xfId="17" applyNumberFormat="1" applyFont="1" applyAlignment="1" applyProtection="1">
      <alignment horizontal="center" vertical="center"/>
    </xf>
    <xf numFmtId="0" fontId="15" fillId="0" borderId="0" xfId="17" applyFont="1" applyAlignment="1" applyProtection="1">
      <alignment horizontal="center" vertical="center"/>
    </xf>
    <xf numFmtId="0" fontId="11" fillId="0" borderId="1" xfId="17" applyFont="1" applyBorder="1" applyAlignment="1" applyProtection="1">
      <alignment vertical="center"/>
    </xf>
    <xf numFmtId="172" fontId="11" fillId="0" borderId="12" xfId="17" applyNumberFormat="1" applyFont="1" applyBorder="1" applyAlignment="1" applyProtection="1">
      <alignment horizontal="left" vertical="center"/>
    </xf>
    <xf numFmtId="172" fontId="11" fillId="0" borderId="13" xfId="17" applyNumberFormat="1" applyFont="1" applyBorder="1" applyAlignment="1" applyProtection="1">
      <alignment horizontal="left" vertical="center"/>
    </xf>
    <xf numFmtId="172" fontId="15" fillId="3" borderId="75" xfId="17" applyNumberFormat="1" applyFont="1" applyFill="1" applyBorder="1" applyAlignment="1" applyProtection="1">
      <alignment horizontal="left" vertical="center"/>
    </xf>
    <xf numFmtId="172" fontId="15" fillId="0" borderId="0" xfId="17" applyNumberFormat="1" applyFont="1" applyFill="1" applyBorder="1" applyAlignment="1" applyProtection="1">
      <alignment horizontal="left" vertical="center"/>
    </xf>
    <xf numFmtId="3" fontId="11" fillId="0" borderId="78" xfId="17" applyNumberFormat="1" applyFont="1" applyFill="1" applyBorder="1" applyAlignment="1" applyProtection="1">
      <alignment vertical="center"/>
    </xf>
    <xf numFmtId="0" fontId="11" fillId="0" borderId="0" xfId="18" applyFont="1" applyAlignment="1" applyProtection="1">
      <alignment horizontal="left" vertical="center"/>
    </xf>
    <xf numFmtId="0" fontId="11" fillId="0" borderId="0" xfId="18" applyFont="1" applyAlignment="1" applyProtection="1">
      <alignment vertical="center"/>
    </xf>
    <xf numFmtId="172" fontId="11" fillId="0" borderId="0" xfId="18" applyNumberFormat="1" applyFont="1" applyAlignment="1" applyProtection="1">
      <alignment horizontal="center" vertical="center"/>
    </xf>
    <xf numFmtId="0" fontId="11" fillId="0" borderId="0" xfId="18" applyFont="1" applyAlignment="1" applyProtection="1">
      <alignment horizontal="right" vertical="center"/>
    </xf>
    <xf numFmtId="0" fontId="11" fillId="0" borderId="0" xfId="18" applyFont="1" applyAlignment="1" applyProtection="1">
      <alignment horizontal="center" vertical="center"/>
    </xf>
    <xf numFmtId="172" fontId="11" fillId="0" borderId="4" xfId="18" applyNumberFormat="1" applyFont="1" applyBorder="1" applyAlignment="1" applyProtection="1">
      <alignment horizontal="center" vertical="center"/>
    </xf>
    <xf numFmtId="0" fontId="11" fillId="0" borderId="4" xfId="18" applyFont="1" applyBorder="1" applyAlignment="1" applyProtection="1">
      <alignment horizontal="center" vertical="center"/>
    </xf>
    <xf numFmtId="172" fontId="11" fillId="0" borderId="7" xfId="18" applyNumberFormat="1" applyFont="1" applyBorder="1" applyAlignment="1" applyProtection="1">
      <alignment horizontal="center" vertical="center"/>
    </xf>
    <xf numFmtId="0" fontId="11" fillId="0" borderId="7" xfId="18" applyFont="1" applyBorder="1" applyAlignment="1" applyProtection="1">
      <alignment horizontal="center" vertical="center"/>
    </xf>
    <xf numFmtId="172" fontId="11" fillId="0" borderId="12" xfId="18" applyNumberFormat="1" applyFont="1" applyBorder="1" applyAlignment="1" applyProtection="1">
      <alignment horizontal="center" vertical="center"/>
    </xf>
    <xf numFmtId="171" fontId="11" fillId="0" borderId="12" xfId="18" applyNumberFormat="1" applyFont="1" applyBorder="1" applyAlignment="1" applyProtection="1">
      <alignment horizontal="center" vertical="center"/>
    </xf>
    <xf numFmtId="172" fontId="11" fillId="0" borderId="10" xfId="18" applyNumberFormat="1" applyFont="1" applyBorder="1" applyAlignment="1" applyProtection="1">
      <alignment horizontal="center" vertical="center"/>
    </xf>
    <xf numFmtId="3" fontId="11" fillId="2" borderId="13" xfId="18" applyNumberFormat="1" applyFont="1" applyFill="1" applyBorder="1" applyAlignment="1" applyProtection="1">
      <alignment vertical="center"/>
      <protection locked="0"/>
    </xf>
    <xf numFmtId="3" fontId="11" fillId="0" borderId="1" xfId="18" applyNumberFormat="1" applyFont="1" applyFill="1" applyBorder="1" applyAlignment="1" applyProtection="1">
      <alignment vertical="center"/>
    </xf>
    <xf numFmtId="3" fontId="11" fillId="0" borderId="13" xfId="18" applyNumberFormat="1" applyFont="1" applyFill="1" applyBorder="1" applyAlignment="1" applyProtection="1">
      <alignment vertical="center"/>
    </xf>
    <xf numFmtId="172" fontId="11" fillId="0" borderId="2" xfId="18" applyNumberFormat="1" applyFont="1" applyBorder="1" applyAlignment="1" applyProtection="1">
      <alignment horizontal="center" vertical="center"/>
    </xf>
    <xf numFmtId="3" fontId="11" fillId="0" borderId="63" xfId="18" applyNumberFormat="1" applyFont="1" applyFill="1" applyBorder="1" applyAlignment="1" applyProtection="1">
      <alignment vertical="center"/>
    </xf>
    <xf numFmtId="3" fontId="11" fillId="0" borderId="0" xfId="18" applyNumberFormat="1" applyFont="1" applyFill="1" applyBorder="1" applyAlignment="1" applyProtection="1">
      <alignment vertical="center"/>
    </xf>
    <xf numFmtId="3" fontId="11" fillId="0" borderId="12" xfId="18" applyNumberFormat="1" applyFont="1" applyFill="1" applyBorder="1" applyAlignment="1" applyProtection="1">
      <alignment vertical="center"/>
    </xf>
    <xf numFmtId="3" fontId="11" fillId="0" borderId="14" xfId="18" applyNumberFormat="1" applyFont="1" applyFill="1" applyBorder="1" applyAlignment="1" applyProtection="1">
      <alignment vertical="center"/>
    </xf>
    <xf numFmtId="0" fontId="11" fillId="0" borderId="0" xfId="18" applyFont="1" applyBorder="1" applyAlignment="1" applyProtection="1">
      <alignment horizontal="left" vertical="center"/>
    </xf>
    <xf numFmtId="0" fontId="11" fillId="0" borderId="0" xfId="18" applyFont="1" applyBorder="1" applyAlignment="1" applyProtection="1">
      <alignment horizontal="center" vertical="center"/>
    </xf>
    <xf numFmtId="3" fontId="0" fillId="0" borderId="12" xfId="0" applyNumberFormat="1" applyFill="1" applyBorder="1" applyAlignment="1" applyProtection="1">
      <alignment vertical="center"/>
    </xf>
    <xf numFmtId="3" fontId="11" fillId="0" borderId="0" xfId="18" applyNumberFormat="1" applyFont="1" applyAlignment="1" applyProtection="1">
      <alignment vertical="center"/>
    </xf>
    <xf numFmtId="172" fontId="22" fillId="0" borderId="0" xfId="18" applyNumberFormat="1" applyFont="1" applyAlignment="1" applyProtection="1">
      <alignment horizontal="center" vertical="center"/>
    </xf>
    <xf numFmtId="0" fontId="22" fillId="0" borderId="0" xfId="18" applyFont="1" applyAlignment="1" applyProtection="1">
      <alignment vertical="center"/>
    </xf>
    <xf numFmtId="0" fontId="15" fillId="0" borderId="0" xfId="18" applyFont="1" applyAlignment="1" applyProtection="1">
      <alignment horizontal="center" vertical="center"/>
    </xf>
    <xf numFmtId="0" fontId="11" fillId="0" borderId="1" xfId="18" applyFont="1" applyBorder="1" applyAlignment="1" applyProtection="1">
      <alignment vertical="center"/>
    </xf>
    <xf numFmtId="172" fontId="11" fillId="0" borderId="12" xfId="18" applyNumberFormat="1" applyFont="1" applyBorder="1" applyAlignment="1" applyProtection="1">
      <alignment horizontal="left" vertical="center"/>
    </xf>
    <xf numFmtId="172" fontId="15" fillId="3" borderId="13" xfId="18" applyNumberFormat="1" applyFont="1" applyFill="1" applyBorder="1" applyAlignment="1" applyProtection="1">
      <alignment horizontal="left" vertical="center"/>
    </xf>
    <xf numFmtId="0" fontId="11" fillId="0" borderId="13" xfId="18" applyFont="1" applyBorder="1" applyAlignment="1" applyProtection="1">
      <alignment horizontal="left" vertical="center"/>
    </xf>
    <xf numFmtId="0" fontId="11" fillId="0" borderId="12" xfId="18" applyFont="1" applyBorder="1" applyAlignment="1" applyProtection="1">
      <alignment horizontal="left" vertical="center"/>
    </xf>
    <xf numFmtId="0" fontId="11" fillId="0" borderId="0" xfId="19" applyFont="1" applyAlignment="1" applyProtection="1">
      <alignment horizontal="left" vertical="center"/>
    </xf>
    <xf numFmtId="0" fontId="11" fillId="0" borderId="0" xfId="19" applyFont="1" applyAlignment="1" applyProtection="1">
      <alignment vertical="center"/>
    </xf>
    <xf numFmtId="172" fontId="11" fillId="0" borderId="0" xfId="19" applyNumberFormat="1" applyFont="1" applyAlignment="1" applyProtection="1">
      <alignment horizontal="center" vertical="center"/>
    </xf>
    <xf numFmtId="0" fontId="11" fillId="0" borderId="0" xfId="19" applyFont="1" applyAlignment="1" applyProtection="1">
      <alignment horizontal="right" vertical="center"/>
    </xf>
    <xf numFmtId="0" fontId="11" fillId="0" borderId="0" xfId="19" applyFont="1" applyAlignment="1" applyProtection="1">
      <alignment horizontal="center" vertical="center"/>
    </xf>
    <xf numFmtId="172" fontId="11" fillId="0" borderId="4" xfId="19" applyNumberFormat="1" applyFont="1" applyBorder="1" applyAlignment="1" applyProtection="1">
      <alignment horizontal="center" vertical="center"/>
    </xf>
    <xf numFmtId="0" fontId="11" fillId="0" borderId="4" xfId="19" applyFont="1" applyBorder="1" applyAlignment="1" applyProtection="1">
      <alignment horizontal="center" vertical="center"/>
    </xf>
    <xf numFmtId="172" fontId="11" fillId="0" borderId="7" xfId="19" applyNumberFormat="1" applyFont="1" applyBorder="1" applyAlignment="1" applyProtection="1">
      <alignment horizontal="center" vertical="center"/>
    </xf>
    <xf numFmtId="0" fontId="11" fillId="0" borderId="7" xfId="19" applyFont="1" applyBorder="1" applyAlignment="1" applyProtection="1">
      <alignment horizontal="center" vertical="center"/>
    </xf>
    <xf numFmtId="172" fontId="11" fillId="0" borderId="12" xfId="19" applyNumberFormat="1" applyFont="1" applyBorder="1" applyAlignment="1" applyProtection="1">
      <alignment horizontal="center" vertical="center"/>
    </xf>
    <xf numFmtId="171" fontId="11" fillId="0" borderId="12" xfId="19" applyNumberFormat="1" applyFont="1" applyBorder="1" applyAlignment="1" applyProtection="1">
      <alignment horizontal="center" vertical="center"/>
    </xf>
    <xf numFmtId="172" fontId="11" fillId="0" borderId="10" xfId="19" applyNumberFormat="1" applyFont="1" applyBorder="1" applyAlignment="1" applyProtection="1">
      <alignment horizontal="center" vertical="center"/>
    </xf>
    <xf numFmtId="3" fontId="11" fillId="2" borderId="13" xfId="19" applyNumberFormat="1" applyFont="1" applyFill="1" applyBorder="1" applyAlignment="1" applyProtection="1">
      <alignment vertical="center"/>
      <protection locked="0"/>
    </xf>
    <xf numFmtId="3" fontId="11" fillId="0" borderId="14" xfId="19" applyNumberFormat="1" applyFont="1" applyFill="1" applyBorder="1" applyAlignment="1" applyProtection="1">
      <alignment vertical="center"/>
    </xf>
    <xf numFmtId="3" fontId="11" fillId="0" borderId="13" xfId="19" applyNumberFormat="1" applyFont="1" applyFill="1" applyBorder="1" applyAlignment="1" applyProtection="1">
      <alignment vertical="center"/>
    </xf>
    <xf numFmtId="172" fontId="11" fillId="0" borderId="103" xfId="19" applyNumberFormat="1" applyFont="1" applyBorder="1" applyAlignment="1" applyProtection="1">
      <alignment horizontal="center" vertical="center"/>
    </xf>
    <xf numFmtId="3" fontId="11" fillId="2" borderId="7" xfId="19" applyNumberFormat="1" applyFont="1" applyFill="1" applyBorder="1" applyAlignment="1" applyProtection="1">
      <alignment vertical="center"/>
      <protection locked="0"/>
    </xf>
    <xf numFmtId="3" fontId="11" fillId="2" borderId="0" xfId="19" applyNumberFormat="1" applyFont="1" applyFill="1" applyBorder="1" applyAlignment="1" applyProtection="1">
      <alignment vertical="center"/>
      <protection locked="0"/>
    </xf>
    <xf numFmtId="172" fontId="11" fillId="0" borderId="2" xfId="19" applyNumberFormat="1" applyFont="1" applyBorder="1" applyAlignment="1" applyProtection="1">
      <alignment horizontal="center" vertical="center"/>
    </xf>
    <xf numFmtId="3" fontId="11" fillId="0" borderId="12" xfId="19" applyNumberFormat="1" applyFont="1" applyFill="1" applyBorder="1" applyAlignment="1" applyProtection="1">
      <alignment vertical="center"/>
    </xf>
    <xf numFmtId="3" fontId="11" fillId="0" borderId="1" xfId="19" applyNumberFormat="1" applyFont="1" applyFill="1" applyBorder="1" applyAlignment="1" applyProtection="1">
      <alignment vertical="center"/>
    </xf>
    <xf numFmtId="3" fontId="11" fillId="0" borderId="4" xfId="19" applyNumberFormat="1" applyFont="1" applyFill="1" applyBorder="1" applyAlignment="1" applyProtection="1">
      <alignment vertical="center"/>
    </xf>
    <xf numFmtId="3" fontId="11" fillId="0" borderId="15" xfId="19" applyNumberFormat="1" applyFont="1" applyFill="1" applyBorder="1" applyAlignment="1" applyProtection="1">
      <alignment vertical="center"/>
    </xf>
    <xf numFmtId="0" fontId="11" fillId="0" borderId="0" xfId="19" applyFont="1" applyBorder="1" applyAlignment="1" applyProtection="1">
      <alignment horizontal="left" vertical="center"/>
    </xf>
    <xf numFmtId="3" fontId="11" fillId="0" borderId="0" xfId="19" applyNumberFormat="1" applyFont="1" applyFill="1" applyBorder="1" applyAlignment="1" applyProtection="1">
      <alignment vertical="center"/>
    </xf>
    <xf numFmtId="0" fontId="11" fillId="0" borderId="0" xfId="19" applyFont="1" applyBorder="1" applyAlignment="1" applyProtection="1">
      <alignment horizontal="center" vertical="center"/>
    </xf>
    <xf numFmtId="3" fontId="18" fillId="0" borderId="0" xfId="19" applyNumberFormat="1" applyFont="1" applyFill="1" applyBorder="1" applyAlignment="1" applyProtection="1">
      <alignment horizontal="right" vertical="center"/>
    </xf>
    <xf numFmtId="172" fontId="22" fillId="0" borderId="0" xfId="19" applyNumberFormat="1" applyFont="1" applyAlignment="1" applyProtection="1">
      <alignment horizontal="center" vertical="center"/>
    </xf>
    <xf numFmtId="0" fontId="22" fillId="0" borderId="0" xfId="19" applyFont="1" applyAlignment="1" applyProtection="1">
      <alignment vertical="center"/>
    </xf>
    <xf numFmtId="0" fontId="15" fillId="0" borderId="0" xfId="19" applyFont="1" applyAlignment="1" applyProtection="1">
      <alignment horizontal="center" vertical="center"/>
    </xf>
    <xf numFmtId="0" fontId="11" fillId="0" borderId="1" xfId="19" applyFont="1" applyBorder="1" applyAlignment="1" applyProtection="1">
      <alignment vertical="center"/>
    </xf>
    <xf numFmtId="172" fontId="11" fillId="0" borderId="12" xfId="19" applyNumberFormat="1" applyFont="1" applyBorder="1" applyAlignment="1" applyProtection="1">
      <alignment horizontal="left" vertical="center"/>
    </xf>
    <xf numFmtId="172" fontId="11" fillId="0" borderId="4" xfId="19" applyNumberFormat="1" applyFont="1" applyBorder="1" applyAlignment="1" applyProtection="1">
      <alignment horizontal="left" vertical="center"/>
    </xf>
    <xf numFmtId="172" fontId="15" fillId="3" borderId="13" xfId="19" applyNumberFormat="1" applyFont="1" applyFill="1" applyBorder="1" applyAlignment="1" applyProtection="1">
      <alignment horizontal="left" vertical="center"/>
    </xf>
    <xf numFmtId="0" fontId="11" fillId="0" borderId="58" xfId="19" applyFont="1" applyBorder="1" applyAlignment="1" applyProtection="1">
      <alignment horizontal="left" vertical="center"/>
    </xf>
    <xf numFmtId="0" fontId="11" fillId="0" borderId="0" xfId="20" applyFont="1" applyBorder="1" applyAlignment="1" applyProtection="1">
      <alignment vertical="center"/>
    </xf>
    <xf numFmtId="172" fontId="11" fillId="0" borderId="0" xfId="20" applyNumberFormat="1" applyFont="1" applyBorder="1" applyAlignment="1" applyProtection="1">
      <alignment horizontal="center" vertical="center"/>
    </xf>
    <xf numFmtId="0" fontId="11" fillId="0" borderId="0" xfId="20" applyFont="1" applyBorder="1" applyAlignment="1" applyProtection="1">
      <alignment horizontal="right" vertical="center"/>
    </xf>
    <xf numFmtId="0" fontId="11" fillId="0" borderId="0" xfId="20" applyFont="1" applyBorder="1" applyAlignment="1" applyProtection="1">
      <alignment horizontal="center" vertical="center"/>
    </xf>
    <xf numFmtId="172" fontId="11" fillId="0" borderId="4" xfId="20" applyNumberFormat="1" applyFont="1" applyBorder="1" applyAlignment="1" applyProtection="1">
      <alignment horizontal="center" vertical="center"/>
    </xf>
    <xf numFmtId="0" fontId="11" fillId="0" borderId="4" xfId="20" applyFont="1" applyBorder="1" applyAlignment="1" applyProtection="1">
      <alignment horizontal="center" vertical="center"/>
    </xf>
    <xf numFmtId="172" fontId="11" fillId="0" borderId="7" xfId="20" applyNumberFormat="1" applyFont="1" applyBorder="1" applyAlignment="1" applyProtection="1">
      <alignment horizontal="center" vertical="center"/>
    </xf>
    <xf numFmtId="0" fontId="11" fillId="0" borderId="7" xfId="20" applyFont="1" applyBorder="1" applyAlignment="1" applyProtection="1">
      <alignment horizontal="center" vertical="center"/>
    </xf>
    <xf numFmtId="171" fontId="11" fillId="0" borderId="7" xfId="20" applyNumberFormat="1" applyFont="1" applyBorder="1" applyAlignment="1" applyProtection="1">
      <alignment horizontal="center" vertical="center"/>
    </xf>
    <xf numFmtId="172" fontId="11" fillId="0" borderId="2" xfId="20" applyNumberFormat="1" applyFont="1" applyBorder="1" applyAlignment="1" applyProtection="1">
      <alignment horizontal="center" vertical="center"/>
    </xf>
    <xf numFmtId="3" fontId="11" fillId="2" borderId="13" xfId="20" applyNumberFormat="1" applyFont="1" applyFill="1" applyBorder="1" applyAlignment="1" applyProtection="1">
      <alignment vertical="center"/>
      <protection locked="0"/>
    </xf>
    <xf numFmtId="3" fontId="11" fillId="0" borderId="14" xfId="20" applyNumberFormat="1" applyFont="1" applyFill="1" applyBorder="1" applyAlignment="1" applyProtection="1">
      <alignment vertical="center"/>
    </xf>
    <xf numFmtId="3" fontId="11" fillId="0" borderId="13" xfId="20" applyNumberFormat="1" applyFont="1" applyFill="1" applyBorder="1" applyAlignment="1" applyProtection="1">
      <alignment vertical="center"/>
    </xf>
    <xf numFmtId="172" fontId="11" fillId="0" borderId="5" xfId="20" applyNumberFormat="1" applyFont="1" applyBorder="1" applyAlignment="1" applyProtection="1">
      <alignment horizontal="center" vertical="center"/>
    </xf>
    <xf numFmtId="3" fontId="11" fillId="0" borderId="4" xfId="20" applyNumberFormat="1" applyFont="1" applyFill="1" applyBorder="1" applyAlignment="1" applyProtection="1">
      <alignment vertical="center"/>
    </xf>
    <xf numFmtId="3" fontId="11" fillId="0" borderId="7" xfId="20" applyNumberFormat="1" applyFont="1" applyFill="1" applyBorder="1" applyAlignment="1" applyProtection="1">
      <alignment vertical="center"/>
    </xf>
    <xf numFmtId="3" fontId="11" fillId="0" borderId="15" xfId="20" applyNumberFormat="1" applyFont="1" applyFill="1" applyBorder="1" applyAlignment="1" applyProtection="1">
      <alignment vertical="center"/>
    </xf>
    <xf numFmtId="3" fontId="11" fillId="0" borderId="12" xfId="20" applyNumberFormat="1" applyFont="1" applyFill="1" applyBorder="1" applyAlignment="1" applyProtection="1">
      <alignment vertical="center"/>
    </xf>
    <xf numFmtId="0" fontId="15" fillId="0" borderId="5" xfId="20" applyFont="1" applyBorder="1" applyAlignment="1" applyProtection="1">
      <alignment horizontal="center" vertical="center"/>
    </xf>
    <xf numFmtId="0" fontId="11" fillId="0" borderId="5" xfId="20" applyFont="1" applyBorder="1" applyAlignment="1" applyProtection="1">
      <alignment horizontal="center" vertical="center"/>
    </xf>
    <xf numFmtId="0" fontId="11" fillId="0" borderId="2" xfId="20" applyFont="1" applyBorder="1" applyAlignment="1" applyProtection="1">
      <alignment horizontal="center" vertical="center"/>
    </xf>
    <xf numFmtId="3" fontId="18" fillId="0" borderId="13" xfId="20" applyNumberFormat="1" applyFont="1" applyFill="1" applyBorder="1" applyAlignment="1" applyProtection="1">
      <alignment vertical="center"/>
    </xf>
    <xf numFmtId="0" fontId="11" fillId="0" borderId="0" xfId="20" applyFont="1" applyBorder="1" applyAlignment="1" applyProtection="1">
      <alignment horizontal="centerContinuous" vertical="center"/>
    </xf>
    <xf numFmtId="172" fontId="22" fillId="0" borderId="0" xfId="20" applyNumberFormat="1" applyFont="1" applyBorder="1" applyAlignment="1" applyProtection="1">
      <alignment horizontal="center" vertical="center"/>
    </xf>
    <xf numFmtId="0" fontId="22" fillId="0" borderId="0" xfId="20" applyFont="1" applyBorder="1" applyAlignment="1" applyProtection="1">
      <alignment vertical="center"/>
    </xf>
    <xf numFmtId="0" fontId="15" fillId="0" borderId="9" xfId="20" applyFont="1" applyBorder="1" applyAlignment="1" applyProtection="1">
      <alignment horizontal="center" vertical="center"/>
    </xf>
    <xf numFmtId="0" fontId="15" fillId="0" borderId="0" xfId="20" applyFont="1" applyBorder="1" applyAlignment="1" applyProtection="1">
      <alignment horizontal="center" vertical="center"/>
    </xf>
    <xf numFmtId="172" fontId="11" fillId="0" borderId="13" xfId="20" applyNumberFormat="1" applyFont="1" applyBorder="1" applyAlignment="1" applyProtection="1">
      <alignment horizontal="left" vertical="center"/>
    </xf>
    <xf numFmtId="172" fontId="11" fillId="0" borderId="4" xfId="20" applyNumberFormat="1" applyFont="1" applyBorder="1" applyAlignment="1" applyProtection="1">
      <alignment horizontal="left" vertical="center"/>
    </xf>
    <xf numFmtId="172" fontId="11" fillId="0" borderId="12" xfId="20" applyNumberFormat="1" applyFont="1" applyBorder="1" applyAlignment="1" applyProtection="1">
      <alignment horizontal="left" vertical="center"/>
    </xf>
    <xf numFmtId="0" fontId="15" fillId="3" borderId="4" xfId="20" applyFont="1" applyFill="1" applyBorder="1" applyAlignment="1" applyProtection="1">
      <alignment horizontal="left" vertical="center"/>
    </xf>
    <xf numFmtId="0" fontId="11" fillId="0" borderId="4" xfId="20" applyFont="1" applyBorder="1" applyAlignment="1" applyProtection="1">
      <alignment horizontal="left" vertical="center"/>
    </xf>
    <xf numFmtId="0" fontId="11" fillId="0" borderId="13" xfId="20" applyFont="1" applyBorder="1" applyAlignment="1" applyProtection="1">
      <alignment horizontal="left" vertical="center"/>
    </xf>
    <xf numFmtId="171" fontId="11" fillId="0" borderId="12" xfId="22" applyNumberFormat="1" applyFont="1" applyBorder="1" applyAlignment="1" applyProtection="1">
      <alignment horizontal="center" vertical="center"/>
    </xf>
    <xf numFmtId="3" fontId="11" fillId="0" borderId="1" xfId="22" applyNumberFormat="1" applyFont="1" applyFill="1" applyBorder="1" applyAlignment="1" applyProtection="1">
      <alignment horizontal="right" vertical="center"/>
    </xf>
    <xf numFmtId="3" fontId="11" fillId="0" borderId="7" xfId="22" applyNumberFormat="1" applyFont="1" applyFill="1" applyBorder="1" applyAlignment="1" applyProtection="1">
      <alignment horizontal="right" vertical="center"/>
    </xf>
    <xf numFmtId="3" fontId="11" fillId="0" borderId="1" xfId="22" applyNumberFormat="1" applyFont="1" applyFill="1" applyBorder="1" applyAlignment="1" applyProtection="1">
      <alignment vertical="center"/>
    </xf>
    <xf numFmtId="3" fontId="11" fillId="0" borderId="15" xfId="22" applyNumberFormat="1" applyFont="1" applyFill="1" applyBorder="1" applyAlignment="1" applyProtection="1">
      <alignment vertical="center"/>
    </xf>
    <xf numFmtId="3" fontId="11" fillId="0" borderId="14" xfId="22" applyNumberFormat="1" applyFont="1" applyFill="1" applyBorder="1" applyAlignment="1" applyProtection="1">
      <alignment vertical="center"/>
    </xf>
    <xf numFmtId="0" fontId="11" fillId="0" borderId="13" xfId="22" applyFont="1" applyFill="1" applyBorder="1" applyAlignment="1" applyProtection="1">
      <alignment horizontal="center" vertical="center"/>
    </xf>
    <xf numFmtId="0" fontId="11" fillId="0" borderId="0" xfId="22" applyFont="1" applyFill="1" applyBorder="1" applyAlignment="1" applyProtection="1">
      <alignment horizontal="left" vertical="center"/>
    </xf>
    <xf numFmtId="0" fontId="11" fillId="0" borderId="0" xfId="22" applyFont="1" applyFill="1" applyBorder="1" applyAlignment="1" applyProtection="1">
      <alignment horizontal="center" vertical="center"/>
    </xf>
    <xf numFmtId="0" fontId="11" fillId="0" borderId="0" xfId="22" applyFont="1" applyBorder="1" applyAlignment="1" applyProtection="1">
      <alignment horizontal="right" vertical="center"/>
    </xf>
    <xf numFmtId="0" fontId="11" fillId="0" borderId="0" xfId="22" applyFont="1" applyAlignment="1" applyProtection="1">
      <alignment vertical="center" wrapText="1"/>
    </xf>
    <xf numFmtId="0" fontId="11" fillId="0" borderId="13" xfId="22" applyFont="1" applyFill="1" applyBorder="1" applyAlignment="1" applyProtection="1">
      <alignment vertical="center"/>
    </xf>
    <xf numFmtId="3" fontId="11" fillId="0" borderId="75" xfId="22" applyNumberFormat="1" applyFont="1" applyFill="1" applyBorder="1" applyAlignment="1" applyProtection="1">
      <alignment vertical="center"/>
    </xf>
    <xf numFmtId="3" fontId="18" fillId="0" borderId="75" xfId="22" applyNumberFormat="1" applyFont="1" applyFill="1" applyBorder="1" applyAlignment="1" applyProtection="1">
      <alignment vertical="center"/>
    </xf>
    <xf numFmtId="0" fontId="18" fillId="0" borderId="6" xfId="0" applyFont="1" applyBorder="1" applyAlignment="1" applyProtection="1">
      <alignment horizontal="center" vertical="center"/>
    </xf>
    <xf numFmtId="0" fontId="18" fillId="0" borderId="9" xfId="0" applyFont="1" applyBorder="1" applyAlignment="1" applyProtection="1">
      <alignment horizontal="center" vertical="center"/>
    </xf>
    <xf numFmtId="171" fontId="18" fillId="0" borderId="11" xfId="0" applyNumberFormat="1" applyFont="1" applyBorder="1" applyAlignment="1" applyProtection="1">
      <alignment horizontal="center" vertical="center"/>
    </xf>
    <xf numFmtId="172" fontId="18" fillId="0" borderId="77" xfId="0" applyNumberFormat="1" applyFont="1" applyBorder="1" applyAlignment="1" applyProtection="1">
      <alignment horizontal="center" vertical="center"/>
    </xf>
    <xf numFmtId="3" fontId="18" fillId="2" borderId="76" xfId="0" applyNumberFormat="1" applyFont="1" applyFill="1" applyBorder="1" applyAlignment="1" applyProtection="1">
      <alignment vertical="center"/>
      <protection locked="0"/>
    </xf>
    <xf numFmtId="3" fontId="18" fillId="2" borderId="63" xfId="0" applyNumberFormat="1" applyFont="1" applyFill="1" applyBorder="1" applyAlignment="1" applyProtection="1">
      <alignment vertical="center"/>
      <protection locked="0"/>
    </xf>
    <xf numFmtId="3" fontId="18" fillId="0" borderId="12" xfId="0" applyNumberFormat="1" applyFont="1" applyFill="1" applyBorder="1" applyAlignment="1" applyProtection="1">
      <alignment vertical="center"/>
    </xf>
    <xf numFmtId="0" fontId="32" fillId="0" borderId="0" xfId="0" applyFont="1" applyAlignment="1" applyProtection="1">
      <alignment horizontal="left" vertical="center" wrapText="1"/>
    </xf>
    <xf numFmtId="172" fontId="18" fillId="0" borderId="0" xfId="0" applyNumberFormat="1" applyFont="1" applyAlignment="1" applyProtection="1">
      <alignment horizontal="left" vertical="center"/>
    </xf>
    <xf numFmtId="172" fontId="18" fillId="0" borderId="4" xfId="0" applyNumberFormat="1" applyFont="1" applyBorder="1" applyAlignment="1" applyProtection="1">
      <alignment horizontal="center" vertical="center"/>
    </xf>
    <xf numFmtId="172" fontId="18" fillId="0" borderId="7" xfId="0" applyNumberFormat="1" applyFont="1" applyBorder="1" applyAlignment="1" applyProtection="1">
      <alignment horizontal="center" vertical="center"/>
    </xf>
    <xf numFmtId="171" fontId="18" fillId="0" borderId="7" xfId="0" applyNumberFormat="1" applyFont="1" applyBorder="1" applyAlignment="1" applyProtection="1">
      <alignment horizontal="center" vertical="center"/>
    </xf>
    <xf numFmtId="3" fontId="18" fillId="2" borderId="6" xfId="0" applyNumberFormat="1" applyFont="1" applyFill="1" applyBorder="1" applyAlignment="1" applyProtection="1">
      <alignment vertical="center"/>
      <protection locked="0"/>
    </xf>
    <xf numFmtId="0" fontId="18" fillId="0" borderId="76" xfId="0" applyFont="1" applyBorder="1" applyAlignment="1" applyProtection="1">
      <alignment vertical="center"/>
    </xf>
    <xf numFmtId="0" fontId="19" fillId="0" borderId="0" xfId="0" quotePrefix="1" applyFont="1" applyAlignment="1" applyProtection="1">
      <alignment horizontal="left" vertical="center"/>
    </xf>
    <xf numFmtId="0" fontId="11" fillId="0" borderId="0" xfId="0" applyFont="1" applyAlignment="1" applyProtection="1">
      <alignment horizontal="center" vertical="center"/>
    </xf>
    <xf numFmtId="0" fontId="11" fillId="0" borderId="12" xfId="0" applyFont="1" applyBorder="1" applyAlignment="1" applyProtection="1">
      <alignment horizontal="left" vertical="center" indent="1"/>
    </xf>
    <xf numFmtId="1" fontId="11" fillId="0" borderId="12" xfId="0" applyNumberFormat="1" applyFont="1" applyBorder="1" applyAlignment="1" applyProtection="1">
      <alignment horizontal="left" vertical="center"/>
    </xf>
    <xf numFmtId="0" fontId="11" fillId="0" borderId="0" xfId="28" applyFont="1" applyAlignment="1" applyProtection="1">
      <alignment vertical="center"/>
    </xf>
    <xf numFmtId="172" fontId="11" fillId="0" borderId="0" xfId="28" applyNumberFormat="1" applyFont="1" applyAlignment="1" applyProtection="1">
      <alignment horizontal="center" vertical="center"/>
    </xf>
    <xf numFmtId="0" fontId="11" fillId="0" borderId="0" xfId="28" applyFont="1" applyAlignment="1" applyProtection="1">
      <alignment horizontal="right" vertical="center"/>
    </xf>
    <xf numFmtId="0" fontId="11" fillId="0" borderId="0" xfId="28" applyFont="1" applyAlignment="1" applyProtection="1">
      <alignment horizontal="center" vertical="center"/>
    </xf>
    <xf numFmtId="0" fontId="11" fillId="0" borderId="0" xfId="28" applyFont="1" applyBorder="1" applyAlignment="1" applyProtection="1">
      <alignment horizontal="center" vertical="center"/>
    </xf>
    <xf numFmtId="172" fontId="11" fillId="0" borderId="4" xfId="28" applyNumberFormat="1" applyFont="1" applyBorder="1" applyAlignment="1" applyProtection="1">
      <alignment horizontal="center" vertical="center"/>
    </xf>
    <xf numFmtId="0" fontId="11" fillId="0" borderId="4" xfId="28" applyFont="1" applyBorder="1" applyAlignment="1" applyProtection="1">
      <alignment horizontal="center" vertical="center"/>
    </xf>
    <xf numFmtId="172" fontId="11" fillId="0" borderId="7" xfId="28" applyNumberFormat="1" applyFont="1" applyBorder="1" applyAlignment="1" applyProtection="1">
      <alignment horizontal="center" vertical="center"/>
    </xf>
    <xf numFmtId="0" fontId="11" fillId="0" borderId="7" xfId="28" applyFont="1" applyBorder="1" applyAlignment="1" applyProtection="1">
      <alignment horizontal="center" vertical="center"/>
    </xf>
    <xf numFmtId="172" fontId="11" fillId="0" borderId="12" xfId="28" applyNumberFormat="1" applyFont="1" applyBorder="1" applyAlignment="1" applyProtection="1">
      <alignment horizontal="center" vertical="center"/>
    </xf>
    <xf numFmtId="171" fontId="11" fillId="0" borderId="12" xfId="28" applyNumberFormat="1" applyFont="1" applyBorder="1" applyAlignment="1" applyProtection="1">
      <alignment horizontal="center" vertical="center"/>
    </xf>
    <xf numFmtId="3" fontId="11" fillId="2" borderId="12" xfId="28" applyNumberFormat="1" applyFont="1" applyFill="1" applyBorder="1" applyAlignment="1" applyProtection="1">
      <alignment vertical="center"/>
      <protection locked="0"/>
    </xf>
    <xf numFmtId="3" fontId="11" fillId="0" borderId="12" xfId="28" applyNumberFormat="1" applyFont="1" applyFill="1" applyBorder="1" applyAlignment="1" applyProtection="1">
      <alignment vertical="center"/>
    </xf>
    <xf numFmtId="38" fontId="11" fillId="0" borderId="13" xfId="28" applyNumberFormat="1" applyFont="1" applyBorder="1" applyAlignment="1" applyProtection="1">
      <alignment horizontal="right" vertical="center"/>
    </xf>
    <xf numFmtId="3" fontId="11" fillId="2" borderId="7" xfId="28" applyNumberFormat="1" applyFont="1" applyFill="1" applyBorder="1" applyAlignment="1" applyProtection="1">
      <alignment vertical="center"/>
      <protection locked="0"/>
    </xf>
    <xf numFmtId="172" fontId="18" fillId="0" borderId="12" xfId="28" applyNumberFormat="1" applyFont="1" applyBorder="1" applyAlignment="1" applyProtection="1">
      <alignment horizontal="center" vertical="center"/>
    </xf>
    <xf numFmtId="0" fontId="18" fillId="0" borderId="12" xfId="28" applyFont="1" applyBorder="1" applyAlignment="1" applyProtection="1">
      <alignment horizontal="center" vertical="center"/>
    </xf>
    <xf numFmtId="0" fontId="18" fillId="0" borderId="7" xfId="28" applyFont="1" applyBorder="1" applyAlignment="1" applyProtection="1">
      <alignment horizontal="center" vertical="center"/>
    </xf>
    <xf numFmtId="0" fontId="11" fillId="0" borderId="58" xfId="28" applyFont="1" applyBorder="1" applyAlignment="1" applyProtection="1">
      <alignment horizontal="center" vertical="center"/>
    </xf>
    <xf numFmtId="3" fontId="11" fillId="0" borderId="58" xfId="28" applyNumberFormat="1" applyFont="1" applyFill="1" applyBorder="1" applyAlignment="1" applyProtection="1">
      <alignment vertical="center"/>
    </xf>
    <xf numFmtId="0" fontId="11" fillId="0" borderId="13" xfId="28" applyFont="1" applyBorder="1" applyAlignment="1" applyProtection="1">
      <alignment horizontal="center" vertical="center"/>
    </xf>
    <xf numFmtId="3" fontId="11" fillId="0" borderId="13" xfId="28" applyNumberFormat="1" applyFont="1" applyFill="1" applyBorder="1" applyAlignment="1" applyProtection="1">
      <alignment vertical="center"/>
    </xf>
    <xf numFmtId="0" fontId="41" fillId="0" borderId="0" xfId="28" applyFont="1" applyAlignment="1" applyProtection="1">
      <alignment horizontal="center" vertical="center"/>
    </xf>
    <xf numFmtId="172" fontId="22" fillId="0" borderId="0" xfId="28" applyNumberFormat="1" applyFont="1" applyAlignment="1" applyProtection="1">
      <alignment horizontal="center" vertical="center"/>
    </xf>
    <xf numFmtId="0" fontId="22" fillId="0" borderId="0" xfId="28" applyFont="1" applyAlignment="1" applyProtection="1">
      <alignment vertical="center"/>
    </xf>
    <xf numFmtId="0" fontId="15" fillId="0" borderId="0" xfId="28" applyFont="1" applyAlignment="1" applyProtection="1">
      <alignment horizontal="center" vertical="center"/>
    </xf>
    <xf numFmtId="0" fontId="11" fillId="0" borderId="1" xfId="28" applyFont="1" applyBorder="1" applyAlignment="1" applyProtection="1">
      <alignment vertical="center"/>
    </xf>
    <xf numFmtId="172" fontId="11" fillId="0" borderId="12" xfId="28" applyNumberFormat="1" applyFont="1" applyBorder="1" applyAlignment="1" applyProtection="1">
      <alignment horizontal="left" vertical="center"/>
    </xf>
    <xf numFmtId="0" fontId="11" fillId="0" borderId="12" xfId="28" applyFont="1" applyBorder="1" applyAlignment="1" applyProtection="1">
      <alignment horizontal="left" vertical="center"/>
    </xf>
    <xf numFmtId="0" fontId="11" fillId="0" borderId="7" xfId="28" applyFont="1" applyBorder="1" applyAlignment="1" applyProtection="1">
      <alignment horizontal="left" vertical="center"/>
    </xf>
    <xf numFmtId="0" fontId="11" fillId="0" borderId="58" xfId="28" applyFont="1" applyBorder="1" applyAlignment="1" applyProtection="1">
      <alignment horizontal="left" vertical="center"/>
    </xf>
    <xf numFmtId="0" fontId="11" fillId="0" borderId="13" xfId="28" applyFont="1" applyBorder="1" applyAlignment="1" applyProtection="1">
      <alignment horizontal="left" vertical="center"/>
    </xf>
    <xf numFmtId="172" fontId="11" fillId="0" borderId="7" xfId="23" applyNumberFormat="1" applyFont="1" applyFill="1" applyBorder="1" applyAlignment="1" applyProtection="1">
      <alignment horizontal="center" vertical="center"/>
    </xf>
    <xf numFmtId="0" fontId="41" fillId="0" borderId="0" xfId="23" applyFont="1" applyAlignment="1" applyProtection="1">
      <alignment horizontal="center" vertical="center"/>
    </xf>
    <xf numFmtId="0" fontId="22" fillId="0" borderId="0" xfId="23" applyFont="1" applyAlignment="1" applyProtection="1">
      <alignment horizontal="left" vertical="center" wrapText="1"/>
    </xf>
    <xf numFmtId="0" fontId="40" fillId="0" borderId="0" xfId="23" applyFont="1" applyAlignment="1" applyProtection="1">
      <alignment horizontal="left" vertical="center" wrapText="1"/>
    </xf>
    <xf numFmtId="0" fontId="60" fillId="0" borderId="0" xfId="0" applyFont="1" applyAlignment="1" applyProtection="1">
      <alignment vertical="center"/>
    </xf>
    <xf numFmtId="0" fontId="11" fillId="0" borderId="0" xfId="30" applyFont="1" applyFill="1" applyProtection="1"/>
    <xf numFmtId="3" fontId="22" fillId="0" borderId="0" xfId="30" applyNumberFormat="1" applyFont="1" applyFill="1" applyProtection="1"/>
    <xf numFmtId="0" fontId="22" fillId="0" borderId="0" xfId="30" applyFont="1" applyFill="1" applyProtection="1">
      <protection locked="0"/>
    </xf>
    <xf numFmtId="0" fontId="11" fillId="0" borderId="0" xfId="30" applyFont="1" applyAlignment="1" applyProtection="1">
      <alignment vertical="center"/>
    </xf>
    <xf numFmtId="172" fontId="11" fillId="0" borderId="0" xfId="30" applyNumberFormat="1" applyFont="1" applyAlignment="1" applyProtection="1">
      <alignment horizontal="center" vertical="center"/>
    </xf>
    <xf numFmtId="0" fontId="11" fillId="0" borderId="0" xfId="30" applyFont="1" applyAlignment="1" applyProtection="1">
      <alignment horizontal="right" vertical="center"/>
    </xf>
    <xf numFmtId="0" fontId="11" fillId="0" borderId="0" xfId="30" applyFont="1" applyAlignment="1" applyProtection="1">
      <alignment horizontal="center" vertical="center"/>
    </xf>
    <xf numFmtId="172" fontId="11" fillId="0" borderId="4" xfId="30" applyNumberFormat="1" applyFont="1" applyBorder="1" applyAlignment="1" applyProtection="1">
      <alignment horizontal="center" vertical="center"/>
    </xf>
    <xf numFmtId="0" fontId="11" fillId="0" borderId="4" xfId="30" applyFont="1" applyBorder="1" applyAlignment="1" applyProtection="1">
      <alignment horizontal="center" vertical="center"/>
    </xf>
    <xf numFmtId="172" fontId="11" fillId="0" borderId="7" xfId="30" applyNumberFormat="1" applyFont="1" applyBorder="1" applyAlignment="1" applyProtection="1">
      <alignment horizontal="center" vertical="center"/>
    </xf>
    <xf numFmtId="0" fontId="11" fillId="0" borderId="7" xfId="30" applyFont="1" applyBorder="1" applyAlignment="1" applyProtection="1">
      <alignment horizontal="center" vertical="center"/>
    </xf>
    <xf numFmtId="0" fontId="0" fillId="0" borderId="7" xfId="0" applyFill="1" applyBorder="1" applyAlignment="1" applyProtection="1">
      <alignment horizontal="center" vertical="center"/>
    </xf>
    <xf numFmtId="172" fontId="11" fillId="0" borderId="12" xfId="30" applyNumberFormat="1" applyFont="1" applyBorder="1" applyAlignment="1" applyProtection="1">
      <alignment horizontal="center" vertical="center"/>
    </xf>
    <xf numFmtId="171" fontId="11" fillId="0" borderId="12" xfId="30" applyNumberFormat="1" applyFont="1" applyBorder="1" applyAlignment="1" applyProtection="1">
      <alignment horizontal="center" vertical="center"/>
    </xf>
    <xf numFmtId="172" fontId="11" fillId="0" borderId="10" xfId="30" applyNumberFormat="1" applyFont="1" applyBorder="1" applyAlignment="1" applyProtection="1">
      <alignment horizontal="center" vertical="center"/>
    </xf>
    <xf numFmtId="3" fontId="11" fillId="2" borderId="13" xfId="30" applyNumberFormat="1" applyFont="1" applyFill="1" applyBorder="1" applyAlignment="1" applyProtection="1">
      <alignment vertical="center"/>
      <protection locked="0"/>
    </xf>
    <xf numFmtId="3" fontId="11" fillId="0" borderId="3" xfId="30" applyNumberFormat="1" applyFont="1" applyFill="1" applyBorder="1" applyAlignment="1" applyProtection="1">
      <alignment vertical="center"/>
    </xf>
    <xf numFmtId="172" fontId="11" fillId="0" borderId="103" xfId="30" applyNumberFormat="1" applyFont="1" applyBorder="1" applyAlignment="1" applyProtection="1">
      <alignment horizontal="center" vertical="center"/>
    </xf>
    <xf numFmtId="3" fontId="11" fillId="2" borderId="7" xfId="30" applyNumberFormat="1" applyFont="1" applyFill="1" applyBorder="1" applyAlignment="1" applyProtection="1">
      <alignment vertical="center"/>
      <protection locked="0"/>
    </xf>
    <xf numFmtId="3" fontId="11" fillId="2" borderId="73" xfId="30" applyNumberFormat="1" applyFont="1" applyFill="1" applyBorder="1" applyAlignment="1" applyProtection="1">
      <alignment vertical="center"/>
      <protection locked="0"/>
    </xf>
    <xf numFmtId="3" fontId="11" fillId="0" borderId="12" xfId="30" applyNumberFormat="1" applyFont="1" applyFill="1" applyBorder="1" applyAlignment="1" applyProtection="1">
      <alignment vertical="center"/>
    </xf>
    <xf numFmtId="3" fontId="11" fillId="0" borderId="11" xfId="30" applyNumberFormat="1" applyFont="1" applyFill="1" applyBorder="1" applyAlignment="1" applyProtection="1">
      <alignment vertical="center"/>
    </xf>
    <xf numFmtId="172" fontId="11" fillId="0" borderId="2" xfId="30" applyNumberFormat="1" applyFont="1" applyBorder="1" applyAlignment="1" applyProtection="1">
      <alignment horizontal="center" vertical="center"/>
    </xf>
    <xf numFmtId="3" fontId="11" fillId="0" borderId="13" xfId="30" applyNumberFormat="1" applyFont="1" applyFill="1" applyBorder="1" applyAlignment="1" applyProtection="1">
      <alignment vertical="center"/>
    </xf>
    <xf numFmtId="3" fontId="11" fillId="0" borderId="0" xfId="30" applyNumberFormat="1" applyFont="1" applyFill="1" applyBorder="1" applyAlignment="1" applyProtection="1">
      <alignment vertical="center"/>
    </xf>
    <xf numFmtId="172" fontId="11" fillId="0" borderId="0" xfId="30" applyNumberFormat="1" applyFont="1" applyFill="1" applyBorder="1" applyAlignment="1" applyProtection="1">
      <alignment horizontal="center" vertical="center"/>
    </xf>
    <xf numFmtId="0" fontId="11" fillId="0" borderId="0" xfId="30" applyFont="1" applyFill="1" applyBorder="1" applyAlignment="1" applyProtection="1">
      <alignment horizontal="right" vertical="center"/>
    </xf>
    <xf numFmtId="0" fontId="0" fillId="0" borderId="7" xfId="0" applyBorder="1" applyAlignment="1" applyProtection="1">
      <alignment horizontal="center" vertical="center"/>
    </xf>
    <xf numFmtId="3" fontId="11" fillId="2" borderId="63" xfId="30" applyNumberFormat="1" applyFont="1" applyFill="1" applyBorder="1" applyAlignment="1" applyProtection="1">
      <alignment vertical="center"/>
      <protection locked="0"/>
    </xf>
    <xf numFmtId="172" fontId="22" fillId="0" borderId="0" xfId="30" applyNumberFormat="1" applyFont="1" applyAlignment="1" applyProtection="1">
      <alignment horizontal="center" vertical="center"/>
    </xf>
    <xf numFmtId="0" fontId="22" fillId="0" borderId="0" xfId="30" applyFont="1" applyAlignment="1" applyProtection="1">
      <alignment vertical="center"/>
    </xf>
    <xf numFmtId="0" fontId="11" fillId="0" borderId="1" xfId="30" applyFont="1" applyBorder="1" applyAlignment="1" applyProtection="1">
      <alignment vertical="center"/>
    </xf>
    <xf numFmtId="0" fontId="11" fillId="0" borderId="13" xfId="30" applyFont="1" applyBorder="1" applyAlignment="1" applyProtection="1">
      <alignment vertical="center"/>
    </xf>
    <xf numFmtId="0" fontId="11" fillId="0" borderId="12" xfId="30" applyFont="1" applyBorder="1" applyAlignment="1" applyProtection="1">
      <alignment vertical="center"/>
    </xf>
    <xf numFmtId="0" fontId="11" fillId="0" borderId="0" xfId="30" applyFont="1" applyFill="1" applyBorder="1" applyAlignment="1" applyProtection="1">
      <alignment vertical="center"/>
    </xf>
    <xf numFmtId="1" fontId="11" fillId="0" borderId="13" xfId="30" applyNumberFormat="1" applyFont="1" applyBorder="1" applyAlignment="1" applyProtection="1">
      <alignment horizontal="left" vertical="center"/>
    </xf>
    <xf numFmtId="1" fontId="11" fillId="0" borderId="63" xfId="30" applyNumberFormat="1" applyFont="1" applyBorder="1" applyAlignment="1" applyProtection="1">
      <alignment horizontal="left" vertical="center"/>
    </xf>
    <xf numFmtId="1" fontId="18" fillId="0" borderId="13" xfId="30" applyNumberFormat="1" applyFont="1" applyBorder="1" applyAlignment="1" applyProtection="1">
      <alignment horizontal="left" vertical="center"/>
    </xf>
    <xf numFmtId="1" fontId="11" fillId="0" borderId="13" xfId="30" applyNumberFormat="1" applyFont="1" applyFill="1" applyBorder="1" applyAlignment="1" applyProtection="1">
      <alignment horizontal="left" vertical="center"/>
    </xf>
    <xf numFmtId="1" fontId="18" fillId="0" borderId="13" xfId="30" applyNumberFormat="1" applyFont="1" applyFill="1" applyBorder="1" applyAlignment="1" applyProtection="1">
      <alignment horizontal="left" vertical="center"/>
    </xf>
    <xf numFmtId="3" fontId="11" fillId="0" borderId="75" xfId="30" applyNumberFormat="1" applyFont="1" applyFill="1" applyBorder="1" applyAlignment="1" applyProtection="1">
      <alignment vertical="center"/>
    </xf>
    <xf numFmtId="172" fontId="0" fillId="0" borderId="0" xfId="0" applyNumberFormat="1" applyAlignment="1" applyProtection="1">
      <alignment horizontal="right"/>
    </xf>
    <xf numFmtId="0" fontId="11" fillId="0" borderId="0" xfId="31" applyFont="1" applyAlignment="1" applyProtection="1">
      <alignment vertical="center"/>
    </xf>
    <xf numFmtId="172" fontId="11" fillId="0" borderId="0" xfId="31" applyNumberFormat="1" applyFont="1" applyAlignment="1" applyProtection="1">
      <alignment horizontal="center" vertical="center"/>
    </xf>
    <xf numFmtId="0" fontId="11" fillId="0" borderId="0" xfId="31" applyFont="1" applyAlignment="1" applyProtection="1">
      <alignment horizontal="right" vertical="center"/>
    </xf>
    <xf numFmtId="0" fontId="11" fillId="0" borderId="0" xfId="31" applyFont="1" applyAlignment="1" applyProtection="1">
      <alignment horizontal="center" vertical="center"/>
    </xf>
    <xf numFmtId="172" fontId="11" fillId="0" borderId="4" xfId="31" applyNumberFormat="1" applyFont="1" applyBorder="1" applyAlignment="1" applyProtection="1">
      <alignment horizontal="center" vertical="center"/>
    </xf>
    <xf numFmtId="0" fontId="11" fillId="0" borderId="4" xfId="31" applyFont="1" applyBorder="1" applyAlignment="1" applyProtection="1">
      <alignment horizontal="center" vertical="center"/>
    </xf>
    <xf numFmtId="172" fontId="11" fillId="0" borderId="7" xfId="31" applyNumberFormat="1" applyFont="1" applyBorder="1" applyAlignment="1" applyProtection="1">
      <alignment horizontal="center" vertical="center"/>
    </xf>
    <xf numFmtId="0" fontId="11" fillId="0" borderId="7" xfId="31" applyFont="1" applyBorder="1" applyAlignment="1" applyProtection="1">
      <alignment horizontal="center" vertical="center"/>
    </xf>
    <xf numFmtId="172" fontId="11" fillId="0" borderId="12" xfId="31" applyNumberFormat="1" applyFont="1" applyBorder="1" applyAlignment="1" applyProtection="1">
      <alignment horizontal="center" vertical="center"/>
    </xf>
    <xf numFmtId="171" fontId="11" fillId="0" borderId="12" xfId="31" applyNumberFormat="1" applyFont="1" applyBorder="1" applyAlignment="1" applyProtection="1">
      <alignment horizontal="center" vertical="center"/>
    </xf>
    <xf numFmtId="3" fontId="11" fillId="2" borderId="12" xfId="31" applyNumberFormat="1" applyFont="1" applyFill="1" applyBorder="1" applyAlignment="1" applyProtection="1">
      <alignment vertical="center"/>
      <protection locked="0"/>
    </xf>
    <xf numFmtId="3" fontId="11" fillId="0" borderId="12" xfId="31" applyNumberFormat="1" applyFont="1" applyFill="1" applyBorder="1" applyAlignment="1" applyProtection="1">
      <alignment vertical="center"/>
    </xf>
    <xf numFmtId="3" fontId="11" fillId="2" borderId="7" xfId="31" applyNumberFormat="1" applyFont="1" applyFill="1" applyBorder="1" applyAlignment="1" applyProtection="1">
      <alignment vertical="center"/>
      <protection locked="0"/>
    </xf>
    <xf numFmtId="3" fontId="11" fillId="2" borderId="13" xfId="31" applyNumberFormat="1" applyFont="1" applyFill="1" applyBorder="1" applyAlignment="1" applyProtection="1">
      <alignment vertical="center"/>
      <protection locked="0"/>
    </xf>
    <xf numFmtId="172" fontId="18" fillId="0" borderId="12" xfId="31" applyNumberFormat="1" applyFont="1" applyBorder="1" applyAlignment="1" applyProtection="1">
      <alignment horizontal="center" vertical="center"/>
    </xf>
    <xf numFmtId="172" fontId="18" fillId="0" borderId="7" xfId="31" applyNumberFormat="1" applyFont="1" applyBorder="1" applyAlignment="1" applyProtection="1">
      <alignment horizontal="center" vertical="center"/>
    </xf>
    <xf numFmtId="172" fontId="18" fillId="0" borderId="13" xfId="31" applyNumberFormat="1" applyFont="1" applyBorder="1" applyAlignment="1" applyProtection="1">
      <alignment horizontal="center" vertical="center"/>
    </xf>
    <xf numFmtId="3" fontId="11" fillId="2" borderId="4" xfId="31" applyNumberFormat="1" applyFont="1" applyFill="1" applyBorder="1" applyAlignment="1" applyProtection="1">
      <alignment vertical="center"/>
      <protection locked="0"/>
    </xf>
    <xf numFmtId="3" fontId="11" fillId="2" borderId="3" xfId="31" applyNumberFormat="1" applyFont="1" applyFill="1" applyBorder="1" applyAlignment="1" applyProtection="1">
      <alignment vertical="center"/>
      <protection locked="0"/>
    </xf>
    <xf numFmtId="3" fontId="11" fillId="2" borderId="2" xfId="31" applyNumberFormat="1" applyFont="1" applyFill="1" applyBorder="1" applyAlignment="1" applyProtection="1">
      <alignment vertical="center"/>
      <protection locked="0"/>
    </xf>
    <xf numFmtId="3" fontId="0" fillId="2" borderId="13" xfId="0" applyNumberFormat="1" applyFill="1" applyBorder="1" applyAlignment="1" applyProtection="1">
      <alignment vertical="center"/>
      <protection locked="0"/>
    </xf>
    <xf numFmtId="172" fontId="18" fillId="0" borderId="58" xfId="31" applyNumberFormat="1" applyFont="1" applyBorder="1" applyAlignment="1" applyProtection="1">
      <alignment horizontal="center" vertical="center"/>
    </xf>
    <xf numFmtId="3" fontId="11" fillId="0" borderId="10" xfId="31" applyNumberFormat="1" applyFont="1" applyFill="1" applyBorder="1" applyAlignment="1" applyProtection="1">
      <alignment vertical="center"/>
    </xf>
    <xf numFmtId="172" fontId="41" fillId="0" borderId="0" xfId="31" applyNumberFormat="1" applyFont="1" applyBorder="1" applyAlignment="1" applyProtection="1">
      <alignment horizontal="center" vertical="center"/>
    </xf>
    <xf numFmtId="172" fontId="11" fillId="0" borderId="0" xfId="31" applyNumberFormat="1" applyFont="1" applyBorder="1" applyAlignment="1" applyProtection="1">
      <alignment horizontal="center" vertical="center"/>
    </xf>
    <xf numFmtId="38" fontId="11" fillId="0" borderId="0" xfId="31" applyNumberFormat="1" applyFont="1" applyBorder="1" applyAlignment="1" applyProtection="1">
      <alignment horizontal="right" vertical="center"/>
    </xf>
    <xf numFmtId="172" fontId="22" fillId="0" borderId="0" xfId="31" applyNumberFormat="1" applyFont="1" applyAlignment="1" applyProtection="1">
      <alignment horizontal="center" vertical="center"/>
    </xf>
    <xf numFmtId="0" fontId="22" fillId="0" borderId="0" xfId="31" applyFont="1" applyAlignment="1" applyProtection="1">
      <alignment vertical="center"/>
    </xf>
    <xf numFmtId="172" fontId="11" fillId="0" borderId="12" xfId="31" applyNumberFormat="1" applyFont="1" applyBorder="1" applyAlignment="1" applyProtection="1">
      <alignment horizontal="left" vertical="center"/>
    </xf>
    <xf numFmtId="172" fontId="11" fillId="0" borderId="7" xfId="31" applyNumberFormat="1" applyFont="1" applyBorder="1" applyAlignment="1" applyProtection="1">
      <alignment horizontal="left" vertical="center"/>
    </xf>
    <xf numFmtId="172" fontId="11" fillId="0" borderId="13" xfId="31" applyNumberFormat="1" applyFont="1" applyBorder="1" applyAlignment="1" applyProtection="1">
      <alignment horizontal="left" vertical="center"/>
    </xf>
    <xf numFmtId="172" fontId="11" fillId="0" borderId="58" xfId="31" applyNumberFormat="1" applyFont="1" applyBorder="1" applyAlignment="1" applyProtection="1">
      <alignment horizontal="left" vertical="center"/>
    </xf>
    <xf numFmtId="0" fontId="11" fillId="0" borderId="0" xfId="40" applyFont="1" applyAlignment="1" applyProtection="1">
      <alignment vertical="center"/>
    </xf>
    <xf numFmtId="1" fontId="11" fillId="0" borderId="0" xfId="40" applyNumberFormat="1" applyFont="1" applyAlignment="1" applyProtection="1">
      <alignment horizontal="center" vertical="center"/>
    </xf>
    <xf numFmtId="0" fontId="11" fillId="0" borderId="0" xfId="40" applyFont="1" applyAlignment="1" applyProtection="1">
      <alignment horizontal="right" vertical="center"/>
    </xf>
    <xf numFmtId="0" fontId="11" fillId="0" borderId="0" xfId="40" applyFont="1" applyAlignment="1" applyProtection="1">
      <alignment horizontal="center" vertical="center"/>
    </xf>
    <xf numFmtId="1" fontId="11" fillId="0" borderId="4" xfId="40" applyNumberFormat="1" applyFont="1" applyBorder="1" applyAlignment="1" applyProtection="1">
      <alignment horizontal="center" vertical="center"/>
    </xf>
    <xf numFmtId="0" fontId="11" fillId="0" borderId="4" xfId="40" applyFont="1" applyBorder="1" applyAlignment="1" applyProtection="1">
      <alignment horizontal="center" vertical="center"/>
    </xf>
    <xf numFmtId="172" fontId="11" fillId="0" borderId="7" xfId="40" applyNumberFormat="1" applyFont="1" applyBorder="1" applyAlignment="1" applyProtection="1">
      <alignment horizontal="center" vertical="center"/>
    </xf>
    <xf numFmtId="0" fontId="11" fillId="0" borderId="7" xfId="40" applyFont="1" applyBorder="1" applyAlignment="1" applyProtection="1">
      <alignment horizontal="center" vertical="center"/>
    </xf>
    <xf numFmtId="1" fontId="11" fillId="0" borderId="12" xfId="40" applyNumberFormat="1" applyFont="1" applyBorder="1" applyAlignment="1" applyProtection="1">
      <alignment horizontal="center" vertical="center"/>
    </xf>
    <xf numFmtId="171" fontId="11" fillId="0" borderId="12" xfId="40" applyNumberFormat="1" applyFont="1" applyBorder="1" applyAlignment="1" applyProtection="1">
      <alignment horizontal="center" vertical="center"/>
    </xf>
    <xf numFmtId="172" fontId="11" fillId="0" borderId="2" xfId="40" applyNumberFormat="1" applyFont="1" applyBorder="1" applyAlignment="1" applyProtection="1">
      <alignment horizontal="center" vertical="center"/>
    </xf>
    <xf numFmtId="3" fontId="11" fillId="2" borderId="13" xfId="40" applyNumberFormat="1" applyFont="1" applyFill="1" applyBorder="1" applyAlignment="1" applyProtection="1">
      <alignment vertical="center"/>
      <protection locked="0"/>
    </xf>
    <xf numFmtId="3" fontId="11" fillId="0" borderId="14" xfId="40" applyNumberFormat="1" applyFont="1" applyFill="1" applyBorder="1" applyAlignment="1" applyProtection="1">
      <alignment vertical="center"/>
    </xf>
    <xf numFmtId="3" fontId="11" fillId="0" borderId="13" xfId="40" applyNumberFormat="1" applyFont="1" applyFill="1" applyBorder="1" applyAlignment="1" applyProtection="1">
      <alignment vertical="center"/>
    </xf>
    <xf numFmtId="172" fontId="11" fillId="0" borderId="103" xfId="40" applyNumberFormat="1" applyFont="1" applyBorder="1" applyAlignment="1" applyProtection="1">
      <alignment horizontal="center" vertical="center"/>
    </xf>
    <xf numFmtId="3" fontId="11" fillId="2" borderId="7" xfId="40" applyNumberFormat="1" applyFont="1" applyFill="1" applyBorder="1" applyAlignment="1" applyProtection="1">
      <alignment vertical="center"/>
      <protection locked="0"/>
    </xf>
    <xf numFmtId="3" fontId="11" fillId="2" borderId="0" xfId="40" applyNumberFormat="1" applyFont="1" applyFill="1" applyBorder="1" applyAlignment="1" applyProtection="1">
      <alignment vertical="center"/>
      <protection locked="0"/>
    </xf>
    <xf numFmtId="3" fontId="11" fillId="0" borderId="1" xfId="40" applyNumberFormat="1" applyFont="1" applyFill="1" applyBorder="1" applyAlignment="1" applyProtection="1">
      <alignment vertical="center"/>
    </xf>
    <xf numFmtId="0" fontId="154" fillId="0" borderId="0" xfId="40" applyFont="1" applyBorder="1" applyAlignment="1" applyProtection="1">
      <alignment horizontal="left" vertical="center"/>
    </xf>
    <xf numFmtId="1" fontId="11" fillId="0" borderId="0" xfId="40" applyNumberFormat="1" applyFont="1" applyAlignment="1" applyProtection="1">
      <alignment horizontal="centerContinuous" vertical="center"/>
    </xf>
    <xf numFmtId="0" fontId="11" fillId="0" borderId="0" xfId="40" applyFont="1" applyAlignment="1" applyProtection="1">
      <alignment horizontal="centerContinuous" vertical="center"/>
    </xf>
    <xf numFmtId="0" fontId="55" fillId="0" borderId="0" xfId="40" applyFont="1" applyFill="1" applyAlignment="1" applyProtection="1">
      <alignment vertical="center"/>
    </xf>
    <xf numFmtId="0" fontId="11" fillId="0" borderId="0" xfId="40" applyFont="1" applyFill="1" applyAlignment="1" applyProtection="1">
      <alignment vertical="center"/>
    </xf>
    <xf numFmtId="1" fontId="22" fillId="0" borderId="0" xfId="40" applyNumberFormat="1" applyFont="1" applyAlignment="1" applyProtection="1">
      <alignment horizontal="center" vertical="center"/>
    </xf>
    <xf numFmtId="0" fontId="22" fillId="0" borderId="0" xfId="40" applyFont="1" applyAlignment="1" applyProtection="1">
      <alignment vertical="center"/>
    </xf>
    <xf numFmtId="0" fontId="15" fillId="0" borderId="0" xfId="40" applyFont="1" applyAlignment="1" applyProtection="1">
      <alignment horizontal="center" vertical="center"/>
    </xf>
    <xf numFmtId="0" fontId="11" fillId="0" borderId="76" xfId="40" applyFont="1" applyBorder="1" applyAlignment="1" applyProtection="1">
      <alignment vertical="center"/>
    </xf>
    <xf numFmtId="171" fontId="11" fillId="0" borderId="7" xfId="40" applyNumberFormat="1" applyFont="1" applyBorder="1" applyAlignment="1" applyProtection="1">
      <alignment horizontal="center" vertical="center"/>
    </xf>
    <xf numFmtId="1" fontId="11" fillId="0" borderId="7" xfId="40" applyNumberFormat="1" applyFont="1" applyBorder="1" applyAlignment="1" applyProtection="1">
      <alignment horizontal="center" vertical="center"/>
    </xf>
    <xf numFmtId="1" fontId="11" fillId="0" borderId="12" xfId="40" applyNumberFormat="1" applyFont="1" applyBorder="1" applyAlignment="1" applyProtection="1">
      <alignment horizontal="left" vertical="center"/>
    </xf>
    <xf numFmtId="0" fontId="11" fillId="0" borderId="0" xfId="9" applyFont="1" applyAlignment="1" applyProtection="1">
      <alignment vertical="center"/>
    </xf>
    <xf numFmtId="172" fontId="11" fillId="0" borderId="0" xfId="9" applyNumberFormat="1" applyFont="1" applyAlignment="1" applyProtection="1">
      <alignment horizontal="center" vertical="center"/>
    </xf>
    <xf numFmtId="0" fontId="11" fillId="0" borderId="0" xfId="9" applyFont="1" applyAlignment="1" applyProtection="1">
      <alignment horizontal="right" vertical="center"/>
    </xf>
    <xf numFmtId="0" fontId="11" fillId="0" borderId="0" xfId="9" applyFont="1" applyAlignment="1" applyProtection="1">
      <alignment horizontal="center" vertical="center"/>
    </xf>
    <xf numFmtId="172" fontId="11" fillId="0" borderId="4" xfId="9" applyNumberFormat="1" applyFont="1" applyBorder="1" applyAlignment="1" applyProtection="1">
      <alignment horizontal="center" vertical="center"/>
    </xf>
    <xf numFmtId="0" fontId="11" fillId="0" borderId="4" xfId="9" applyFont="1" applyBorder="1" applyAlignment="1" applyProtection="1">
      <alignment horizontal="center" vertical="center"/>
    </xf>
    <xf numFmtId="172" fontId="11" fillId="0" borderId="7" xfId="9" applyNumberFormat="1" applyFont="1" applyBorder="1" applyAlignment="1" applyProtection="1">
      <alignment horizontal="center" vertical="center"/>
    </xf>
    <xf numFmtId="0" fontId="11" fillId="0" borderId="7" xfId="9" applyFont="1" applyBorder="1" applyAlignment="1" applyProtection="1">
      <alignment horizontal="center" vertical="center"/>
    </xf>
    <xf numFmtId="172" fontId="11" fillId="0" borderId="12" xfId="9" applyNumberFormat="1" applyFont="1" applyBorder="1" applyAlignment="1" applyProtection="1">
      <alignment horizontal="center" vertical="center"/>
    </xf>
    <xf numFmtId="171" fontId="11" fillId="0" borderId="12" xfId="9" applyNumberFormat="1" applyFont="1" applyBorder="1" applyAlignment="1" applyProtection="1">
      <alignment horizontal="center" vertical="center"/>
    </xf>
    <xf numFmtId="172" fontId="11" fillId="0" borderId="2" xfId="9" applyNumberFormat="1" applyFont="1" applyBorder="1" applyAlignment="1" applyProtection="1">
      <alignment horizontal="center" vertical="center"/>
    </xf>
    <xf numFmtId="3" fontId="11" fillId="2" borderId="13" xfId="9" applyNumberFormat="1" applyFont="1" applyFill="1" applyBorder="1" applyAlignment="1" applyProtection="1">
      <alignment vertical="center"/>
      <protection locked="0"/>
    </xf>
    <xf numFmtId="3" fontId="11" fillId="0" borderId="14" xfId="9" applyNumberFormat="1" applyFont="1" applyFill="1" applyBorder="1" applyAlignment="1" applyProtection="1">
      <alignment vertical="center"/>
    </xf>
    <xf numFmtId="3" fontId="11" fillId="0" borderId="13" xfId="9" applyNumberFormat="1" applyFont="1" applyFill="1" applyBorder="1" applyAlignment="1" applyProtection="1">
      <alignment vertical="center"/>
    </xf>
    <xf numFmtId="172" fontId="11" fillId="0" borderId="103" xfId="9" applyNumberFormat="1" applyFont="1" applyBorder="1" applyAlignment="1" applyProtection="1">
      <alignment horizontal="center" vertical="center"/>
    </xf>
    <xf numFmtId="3" fontId="11" fillId="2" borderId="7" xfId="9" applyNumberFormat="1" applyFont="1" applyFill="1" applyBorder="1" applyAlignment="1" applyProtection="1">
      <alignment vertical="center"/>
      <protection locked="0"/>
    </xf>
    <xf numFmtId="3" fontId="11" fillId="2" borderId="0" xfId="9" applyNumberFormat="1" applyFont="1" applyFill="1" applyBorder="1" applyAlignment="1" applyProtection="1">
      <alignment vertical="center"/>
      <protection locked="0"/>
    </xf>
    <xf numFmtId="3" fontId="11" fillId="0" borderId="0" xfId="9" applyNumberFormat="1" applyFont="1" applyBorder="1" applyAlignment="1" applyProtection="1">
      <alignment vertical="center"/>
    </xf>
    <xf numFmtId="3" fontId="11" fillId="2" borderId="12" xfId="9" applyNumberFormat="1" applyFont="1" applyFill="1" applyBorder="1" applyAlignment="1" applyProtection="1">
      <alignment vertical="center"/>
      <protection locked="0"/>
    </xf>
    <xf numFmtId="3" fontId="11" fillId="2" borderId="1" xfId="9" applyNumberFormat="1" applyFont="1" applyFill="1" applyBorder="1" applyAlignment="1" applyProtection="1">
      <alignment vertical="center"/>
      <protection locked="0"/>
    </xf>
    <xf numFmtId="3" fontId="11" fillId="2" borderId="14" xfId="9" applyNumberFormat="1" applyFont="1" applyFill="1" applyBorder="1" applyAlignment="1" applyProtection="1">
      <alignment vertical="center"/>
      <protection locked="0"/>
    </xf>
    <xf numFmtId="0" fontId="11" fillId="0" borderId="10" xfId="9" applyFont="1" applyBorder="1" applyAlignment="1" applyProtection="1">
      <alignment horizontal="center" vertical="center"/>
    </xf>
    <xf numFmtId="0" fontId="11" fillId="0" borderId="2" xfId="9" applyFont="1" applyBorder="1" applyAlignment="1" applyProtection="1">
      <alignment horizontal="center" vertical="center"/>
    </xf>
    <xf numFmtId="3" fontId="11" fillId="0" borderId="0" xfId="9" applyNumberFormat="1" applyFont="1" applyAlignment="1" applyProtection="1">
      <alignment vertical="center"/>
    </xf>
    <xf numFmtId="0" fontId="11" fillId="0" borderId="0" xfId="9" applyFont="1" applyAlignment="1" applyProtection="1">
      <alignment horizontal="centerContinuous" vertical="center"/>
    </xf>
    <xf numFmtId="172" fontId="22" fillId="0" borderId="0" xfId="9" applyNumberFormat="1" applyFont="1" applyAlignment="1" applyProtection="1">
      <alignment horizontal="center" vertical="center"/>
    </xf>
    <xf numFmtId="0" fontId="22" fillId="0" borderId="0" xfId="9" applyFont="1" applyAlignment="1" applyProtection="1">
      <alignment vertical="center"/>
    </xf>
    <xf numFmtId="0" fontId="15" fillId="0" borderId="0" xfId="9" applyFont="1" applyAlignment="1" applyProtection="1">
      <alignment horizontal="center" vertical="center"/>
    </xf>
    <xf numFmtId="0" fontId="11" fillId="0" borderId="1" xfId="9" applyFont="1" applyBorder="1" applyAlignment="1" applyProtection="1">
      <alignment vertical="center"/>
    </xf>
    <xf numFmtId="172" fontId="11" fillId="0" borderId="13" xfId="9" applyNumberFormat="1" applyFont="1" applyBorder="1" applyAlignment="1" applyProtection="1">
      <alignment horizontal="left" vertical="center"/>
    </xf>
    <xf numFmtId="0" fontId="11" fillId="0" borderId="13" xfId="9" applyFont="1" applyBorder="1" applyAlignment="1" applyProtection="1">
      <alignment vertical="center"/>
    </xf>
    <xf numFmtId="0" fontId="26" fillId="0" borderId="0" xfId="9" applyFont="1" applyAlignment="1" applyProtection="1">
      <alignment horizontal="center" vertical="center"/>
    </xf>
    <xf numFmtId="0" fontId="11" fillId="0" borderId="12" xfId="9" applyFont="1" applyBorder="1" applyAlignment="1" applyProtection="1">
      <alignment vertical="center"/>
    </xf>
    <xf numFmtId="172" fontId="11" fillId="0" borderId="76" xfId="9" applyNumberFormat="1" applyFont="1" applyBorder="1" applyAlignment="1" applyProtection="1">
      <alignment horizontal="center" vertical="center"/>
    </xf>
    <xf numFmtId="3" fontId="11" fillId="0" borderId="63" xfId="9" applyNumberFormat="1" applyFont="1" applyFill="1" applyBorder="1" applyAlignment="1" applyProtection="1">
      <alignment vertical="center"/>
    </xf>
    <xf numFmtId="0" fontId="11" fillId="0" borderId="0" xfId="12" applyFont="1" applyAlignment="1" applyProtection="1">
      <alignment vertical="center"/>
    </xf>
    <xf numFmtId="172" fontId="11" fillId="0" borderId="0" xfId="12" applyNumberFormat="1" applyFont="1" applyAlignment="1" applyProtection="1">
      <alignment horizontal="center" vertical="center"/>
    </xf>
    <xf numFmtId="0" fontId="11" fillId="0" borderId="0" xfId="12" applyFont="1" applyAlignment="1" applyProtection="1">
      <alignment horizontal="right" vertical="center"/>
    </xf>
    <xf numFmtId="0" fontId="11" fillId="0" borderId="0" xfId="12" applyFont="1" applyAlignment="1" applyProtection="1">
      <alignment horizontal="center" vertical="center"/>
    </xf>
    <xf numFmtId="172" fontId="11" fillId="0" borderId="4" xfId="12" applyNumberFormat="1" applyFont="1" applyBorder="1" applyAlignment="1" applyProtection="1">
      <alignment horizontal="center" vertical="center"/>
    </xf>
    <xf numFmtId="0" fontId="11" fillId="0" borderId="4" xfId="12" applyFont="1" applyBorder="1" applyAlignment="1" applyProtection="1">
      <alignment horizontal="center" vertical="center"/>
    </xf>
    <xf numFmtId="172" fontId="11" fillId="0" borderId="7" xfId="12" applyNumberFormat="1" applyFont="1" applyBorder="1" applyAlignment="1" applyProtection="1">
      <alignment horizontal="center" vertical="center"/>
    </xf>
    <xf numFmtId="0" fontId="11" fillId="0" borderId="7" xfId="12" applyFont="1" applyBorder="1" applyAlignment="1" applyProtection="1">
      <alignment horizontal="center" vertical="center"/>
    </xf>
    <xf numFmtId="172" fontId="11" fillId="0" borderId="12" xfId="12" applyNumberFormat="1" applyFont="1" applyBorder="1" applyAlignment="1" applyProtection="1">
      <alignment horizontal="center" vertical="center"/>
    </xf>
    <xf numFmtId="171" fontId="11" fillId="0" borderId="12" xfId="12" applyNumberFormat="1" applyFont="1" applyBorder="1" applyAlignment="1" applyProtection="1">
      <alignment horizontal="center" vertical="center"/>
    </xf>
    <xf numFmtId="172" fontId="11" fillId="0" borderId="13" xfId="12" applyNumberFormat="1" applyFont="1" applyBorder="1" applyAlignment="1" applyProtection="1">
      <alignment horizontal="center" vertical="center"/>
    </xf>
    <xf numFmtId="3" fontId="11" fillId="2" borderId="13" xfId="12" applyNumberFormat="1" applyFont="1" applyFill="1" applyBorder="1" applyAlignment="1" applyProtection="1">
      <alignment vertical="center"/>
      <protection locked="0"/>
    </xf>
    <xf numFmtId="3" fontId="11" fillId="0" borderId="13" xfId="12" applyNumberFormat="1" applyFont="1" applyFill="1" applyBorder="1" applyAlignment="1" applyProtection="1">
      <alignment vertical="center"/>
    </xf>
    <xf numFmtId="3" fontId="11" fillId="2" borderId="7" xfId="12" applyNumberFormat="1" applyFont="1" applyFill="1" applyBorder="1" applyAlignment="1" applyProtection="1">
      <alignment vertical="center"/>
      <protection locked="0"/>
    </xf>
    <xf numFmtId="3" fontId="11" fillId="0" borderId="12" xfId="12" applyNumberFormat="1" applyFont="1" applyFill="1" applyBorder="1" applyAlignment="1" applyProtection="1">
      <alignment vertical="center"/>
    </xf>
    <xf numFmtId="0" fontId="11" fillId="0" borderId="13" xfId="12" applyFont="1" applyBorder="1" applyAlignment="1" applyProtection="1">
      <alignment horizontal="center" vertical="center"/>
    </xf>
    <xf numFmtId="0" fontId="15" fillId="0" borderId="13" xfId="12" applyFont="1" applyBorder="1" applyAlignment="1" applyProtection="1">
      <alignment horizontal="center" vertical="center"/>
    </xf>
    <xf numFmtId="3" fontId="11" fillId="0" borderId="75" xfId="12" applyNumberFormat="1" applyFont="1" applyFill="1" applyBorder="1" applyAlignment="1" applyProtection="1">
      <alignment vertical="center"/>
    </xf>
    <xf numFmtId="0" fontId="22" fillId="0" borderId="0" xfId="12" applyFont="1" applyAlignment="1" applyProtection="1">
      <alignment vertical="center"/>
    </xf>
    <xf numFmtId="171" fontId="11" fillId="0" borderId="7" xfId="12" applyNumberFormat="1" applyFont="1" applyBorder="1" applyAlignment="1" applyProtection="1">
      <alignment horizontal="center" vertical="center"/>
    </xf>
    <xf numFmtId="3" fontId="11" fillId="2" borderId="75" xfId="12" applyNumberFormat="1" applyFont="1" applyFill="1" applyBorder="1" applyAlignment="1" applyProtection="1">
      <alignment vertical="center"/>
      <protection locked="0"/>
    </xf>
    <xf numFmtId="172" fontId="11" fillId="0" borderId="63" xfId="12" applyNumberFormat="1" applyFont="1" applyFill="1" applyBorder="1" applyAlignment="1" applyProtection="1">
      <alignment horizontal="center" vertical="center"/>
    </xf>
    <xf numFmtId="3" fontId="11" fillId="2" borderId="4" xfId="12" applyNumberFormat="1" applyFont="1" applyFill="1" applyBorder="1" applyAlignment="1" applyProtection="1">
      <alignment vertical="center"/>
      <protection locked="0"/>
    </xf>
    <xf numFmtId="0" fontId="21" fillId="0" borderId="0" xfId="12" applyFont="1" applyAlignment="1" applyProtection="1">
      <alignment vertical="center"/>
    </xf>
    <xf numFmtId="0" fontId="72" fillId="0" borderId="0" xfId="12" applyFont="1" applyAlignment="1" applyProtection="1">
      <alignment vertical="center"/>
    </xf>
    <xf numFmtId="0" fontId="72" fillId="0" borderId="0" xfId="12" applyFont="1" applyAlignment="1" applyProtection="1">
      <alignment horizontal="center" vertical="center"/>
    </xf>
    <xf numFmtId="3" fontId="11" fillId="0" borderId="58" xfId="12" applyNumberFormat="1" applyFont="1" applyFill="1" applyBorder="1" applyAlignment="1" applyProtection="1">
      <alignment vertical="center"/>
    </xf>
    <xf numFmtId="0" fontId="11" fillId="0" borderId="0" xfId="12" applyFont="1" applyAlignment="1" applyProtection="1">
      <alignment horizontal="centerContinuous" vertical="center"/>
    </xf>
    <xf numFmtId="172" fontId="22" fillId="0" borderId="0" xfId="12" applyNumberFormat="1" applyFont="1" applyAlignment="1" applyProtection="1">
      <alignment horizontal="center" vertical="center"/>
    </xf>
    <xf numFmtId="172" fontId="11" fillId="0" borderId="0" xfId="12" applyNumberFormat="1" applyFont="1" applyAlignment="1" applyProtection="1">
      <alignment horizontal="right" vertical="center"/>
    </xf>
    <xf numFmtId="0" fontId="15" fillId="0" borderId="0" xfId="12" applyFont="1" applyAlignment="1" applyProtection="1">
      <alignment horizontal="center" vertical="center"/>
    </xf>
    <xf numFmtId="0" fontId="11" fillId="0" borderId="1" xfId="12" applyFont="1" applyBorder="1" applyAlignment="1" applyProtection="1">
      <alignment vertical="center"/>
    </xf>
    <xf numFmtId="172" fontId="11" fillId="0" borderId="13" xfId="12" applyNumberFormat="1" applyFont="1" applyBorder="1" applyAlignment="1" applyProtection="1">
      <alignment horizontal="left" vertical="center"/>
    </xf>
    <xf numFmtId="0" fontId="11" fillId="0" borderId="13" xfId="12" applyFont="1" applyBorder="1" applyAlignment="1" applyProtection="1">
      <alignment horizontal="left" vertical="center"/>
    </xf>
    <xf numFmtId="0" fontId="11" fillId="0" borderId="4" xfId="12" applyFont="1" applyBorder="1" applyAlignment="1" applyProtection="1">
      <alignment horizontal="left" vertical="center"/>
    </xf>
    <xf numFmtId="0" fontId="15" fillId="3" borderId="13" xfId="12" applyFont="1" applyFill="1" applyBorder="1" applyAlignment="1" applyProtection="1">
      <alignment horizontal="left" vertical="center"/>
    </xf>
    <xf numFmtId="0" fontId="154" fillId="0" borderId="0" xfId="0" quotePrefix="1" applyFont="1" applyAlignment="1" applyProtection="1">
      <alignment horizontal="left" vertical="center" wrapText="1" indent="1"/>
    </xf>
    <xf numFmtId="0" fontId="154" fillId="0" borderId="0" xfId="0" applyFont="1" applyAlignment="1" applyProtection="1">
      <alignment vertical="center" wrapText="1"/>
    </xf>
    <xf numFmtId="0" fontId="154" fillId="0" borderId="0" xfId="0" quotePrefix="1" applyFont="1" applyAlignment="1" applyProtection="1">
      <alignment vertical="center" wrapText="1"/>
    </xf>
    <xf numFmtId="0" fontId="22" fillId="0" borderId="0" xfId="25" applyFont="1" applyFill="1" applyBorder="1" applyProtection="1"/>
    <xf numFmtId="0" fontId="22" fillId="0" borderId="0" xfId="25" applyFont="1" applyFill="1" applyBorder="1" applyProtection="1">
      <protection locked="0"/>
    </xf>
    <xf numFmtId="0" fontId="11" fillId="0" borderId="0" xfId="25" applyFont="1" applyAlignment="1" applyProtection="1">
      <alignment vertical="center"/>
    </xf>
    <xf numFmtId="172" fontId="11" fillId="0" borderId="0" xfId="25" applyNumberFormat="1" applyFont="1" applyAlignment="1" applyProtection="1">
      <alignment horizontal="center" vertical="center"/>
    </xf>
    <xf numFmtId="0" fontId="11" fillId="0" borderId="0" xfId="25" applyFont="1" applyAlignment="1" applyProtection="1">
      <alignment horizontal="right" vertical="center"/>
    </xf>
    <xf numFmtId="0" fontId="11" fillId="0" borderId="0" xfId="25" applyFont="1" applyAlignment="1" applyProtection="1">
      <alignment horizontal="center" vertical="center"/>
    </xf>
    <xf numFmtId="172" fontId="11" fillId="0" borderId="4" xfId="25" applyNumberFormat="1" applyFont="1" applyBorder="1" applyAlignment="1" applyProtection="1">
      <alignment horizontal="center" vertical="center"/>
    </xf>
    <xf numFmtId="0" fontId="11" fillId="0" borderId="4" xfId="25" applyFont="1" applyBorder="1" applyAlignment="1" applyProtection="1">
      <alignment horizontal="center" vertical="center"/>
    </xf>
    <xf numFmtId="172" fontId="11" fillId="0" borderId="7" xfId="25" applyNumberFormat="1" applyFont="1" applyBorder="1" applyAlignment="1" applyProtection="1">
      <alignment horizontal="center" vertical="center"/>
    </xf>
    <xf numFmtId="0" fontId="11" fillId="0" borderId="7" xfId="25" applyFont="1" applyBorder="1" applyAlignment="1" applyProtection="1">
      <alignment horizontal="center" vertical="center"/>
    </xf>
    <xf numFmtId="172" fontId="11" fillId="0" borderId="12" xfId="25" applyNumberFormat="1" applyFont="1" applyBorder="1" applyAlignment="1" applyProtection="1">
      <alignment horizontal="center" vertical="center"/>
    </xf>
    <xf numFmtId="171" fontId="11" fillId="0" borderId="12" xfId="25" applyNumberFormat="1" applyFont="1" applyBorder="1" applyAlignment="1" applyProtection="1">
      <alignment horizontal="center" vertical="center"/>
    </xf>
    <xf numFmtId="3" fontId="11" fillId="2" borderId="12" xfId="25" applyNumberFormat="1" applyFont="1" applyFill="1" applyBorder="1" applyAlignment="1" applyProtection="1">
      <alignment vertical="center"/>
      <protection locked="0"/>
    </xf>
    <xf numFmtId="3" fontId="11" fillId="0" borderId="12" xfId="25" applyNumberFormat="1" applyFont="1" applyFill="1" applyBorder="1" applyAlignment="1" applyProtection="1">
      <alignment vertical="center"/>
    </xf>
    <xf numFmtId="3" fontId="11" fillId="0" borderId="13" xfId="25" applyNumberFormat="1" applyFont="1" applyFill="1" applyBorder="1" applyAlignment="1" applyProtection="1">
      <alignment vertical="center"/>
    </xf>
    <xf numFmtId="3" fontId="11" fillId="2" borderId="7" xfId="25" applyNumberFormat="1" applyFont="1" applyFill="1" applyBorder="1" applyAlignment="1" applyProtection="1">
      <alignment vertical="center"/>
      <protection locked="0"/>
    </xf>
    <xf numFmtId="3" fontId="11" fillId="2" borderId="13" xfId="25" applyNumberFormat="1" applyFont="1" applyFill="1" applyBorder="1" applyAlignment="1" applyProtection="1">
      <alignment vertical="center"/>
      <protection locked="0"/>
    </xf>
    <xf numFmtId="3" fontId="11" fillId="0" borderId="7" xfId="25" applyNumberFormat="1" applyFont="1" applyFill="1" applyBorder="1" applyAlignment="1" applyProtection="1">
      <alignment vertical="center"/>
    </xf>
    <xf numFmtId="0" fontId="11" fillId="0" borderId="13" xfId="25" applyFont="1" applyBorder="1" applyAlignment="1" applyProtection="1">
      <alignment horizontal="center" vertical="center"/>
    </xf>
    <xf numFmtId="0" fontId="15" fillId="0" borderId="13" xfId="25" applyFont="1" applyBorder="1" applyAlignment="1" applyProtection="1">
      <alignment horizontal="center" vertical="center"/>
    </xf>
    <xf numFmtId="38" fontId="11" fillId="0" borderId="2" xfId="25" applyNumberFormat="1" applyFont="1" applyBorder="1" applyAlignment="1" applyProtection="1">
      <alignment horizontal="left" vertical="center"/>
    </xf>
    <xf numFmtId="38" fontId="11" fillId="0" borderId="14" xfId="25" applyNumberFormat="1" applyFont="1" applyBorder="1" applyAlignment="1" applyProtection="1">
      <alignment horizontal="right" vertical="center"/>
    </xf>
    <xf numFmtId="38" fontId="11" fillId="0" borderId="3" xfId="25" applyNumberFormat="1" applyFont="1" applyBorder="1" applyAlignment="1" applyProtection="1">
      <alignment horizontal="right" vertical="center"/>
    </xf>
    <xf numFmtId="0" fontId="11" fillId="0" borderId="3" xfId="25" applyFont="1" applyBorder="1" applyAlignment="1" applyProtection="1">
      <alignment vertical="center"/>
    </xf>
    <xf numFmtId="0" fontId="41" fillId="0" borderId="0" xfId="25" applyFont="1" applyAlignment="1" applyProtection="1">
      <alignment horizontal="center" vertical="center"/>
    </xf>
    <xf numFmtId="172" fontId="22" fillId="0" borderId="0" xfId="25" applyNumberFormat="1" applyFont="1" applyAlignment="1" applyProtection="1">
      <alignment horizontal="center" vertical="center"/>
    </xf>
    <xf numFmtId="0" fontId="22" fillId="0" borderId="0" xfId="25" applyFont="1" applyAlignment="1" applyProtection="1">
      <alignment vertical="center"/>
    </xf>
    <xf numFmtId="0" fontId="15" fillId="0" borderId="0" xfId="25" applyFont="1" applyAlignment="1" applyProtection="1">
      <alignment horizontal="center" vertical="center"/>
    </xf>
    <xf numFmtId="0" fontId="11" fillId="0" borderId="1" xfId="25" applyFont="1" applyBorder="1" applyAlignment="1" applyProtection="1">
      <alignment vertical="center"/>
    </xf>
    <xf numFmtId="172" fontId="11" fillId="0" borderId="12" xfId="25" applyNumberFormat="1" applyFont="1" applyBorder="1" applyAlignment="1" applyProtection="1">
      <alignment horizontal="left" vertical="center"/>
    </xf>
    <xf numFmtId="0" fontId="11" fillId="0" borderId="13" xfId="25" applyFont="1" applyBorder="1" applyAlignment="1" applyProtection="1">
      <alignment horizontal="left" vertical="center"/>
    </xf>
    <xf numFmtId="3" fontId="11" fillId="0" borderId="75" xfId="25" applyNumberFormat="1" applyFont="1" applyFill="1" applyBorder="1" applyAlignment="1" applyProtection="1">
      <alignment vertical="center"/>
    </xf>
    <xf numFmtId="0" fontId="11" fillId="0" borderId="0" xfId="25" applyFont="1" applyBorder="1" applyAlignment="1" applyProtection="1">
      <alignment horizontal="left" vertical="center"/>
    </xf>
    <xf numFmtId="3" fontId="11" fillId="0" borderId="76" xfId="26" applyNumberFormat="1" applyFont="1" applyFill="1" applyBorder="1" applyAlignment="1" applyProtection="1"/>
    <xf numFmtId="3" fontId="11" fillId="0" borderId="73" xfId="27" applyNumberFormat="1" applyFont="1" applyFill="1" applyBorder="1" applyAlignment="1" applyProtection="1"/>
    <xf numFmtId="0" fontId="34" fillId="0" borderId="0" xfId="34" applyFont="1" applyAlignment="1" applyProtection="1">
      <alignment horizontal="left"/>
    </xf>
    <xf numFmtId="0" fontId="34" fillId="0" borderId="0" xfId="34" applyFont="1" applyAlignment="1" applyProtection="1">
      <alignment horizontal="left"/>
      <protection locked="0"/>
    </xf>
    <xf numFmtId="0" fontId="11" fillId="0" borderId="0" xfId="34" applyFont="1" applyAlignment="1" applyProtection="1">
      <alignment vertical="center"/>
    </xf>
    <xf numFmtId="172" fontId="11" fillId="0" borderId="0" xfId="34" applyNumberFormat="1" applyFont="1" applyAlignment="1" applyProtection="1">
      <alignment horizontal="center" vertical="center"/>
    </xf>
    <xf numFmtId="0" fontId="11" fillId="0" borderId="0" xfId="34" applyFont="1" applyAlignment="1" applyProtection="1">
      <alignment horizontal="right" vertical="center"/>
    </xf>
    <xf numFmtId="0" fontId="11" fillId="0" borderId="0" xfId="34" applyFont="1" applyAlignment="1" applyProtection="1">
      <alignment horizontal="center" vertical="center"/>
    </xf>
    <xf numFmtId="172" fontId="11" fillId="0" borderId="4" xfId="34" applyNumberFormat="1" applyFont="1" applyBorder="1" applyAlignment="1" applyProtection="1">
      <alignment horizontal="center" vertical="center"/>
    </xf>
    <xf numFmtId="0" fontId="11" fillId="0" borderId="4" xfId="34" applyFont="1" applyBorder="1" applyAlignment="1" applyProtection="1">
      <alignment horizontal="center" vertical="center"/>
    </xf>
    <xf numFmtId="172" fontId="11" fillId="0" borderId="7" xfId="34" applyNumberFormat="1" applyFont="1" applyBorder="1" applyAlignment="1" applyProtection="1">
      <alignment horizontal="center" vertical="center"/>
    </xf>
    <xf numFmtId="0" fontId="11" fillId="0" borderId="7" xfId="34" applyFont="1" applyBorder="1" applyAlignment="1" applyProtection="1">
      <alignment horizontal="center" vertical="center"/>
    </xf>
    <xf numFmtId="3" fontId="11" fillId="2" borderId="7" xfId="34" applyNumberFormat="1" applyFont="1" applyFill="1" applyBorder="1" applyAlignment="1" applyProtection="1">
      <alignment vertical="center"/>
      <protection locked="0"/>
    </xf>
    <xf numFmtId="3" fontId="11" fillId="0" borderId="7" xfId="34" applyNumberFormat="1" applyFont="1" applyFill="1" applyBorder="1" applyAlignment="1" applyProtection="1">
      <alignment vertical="center"/>
    </xf>
    <xf numFmtId="3" fontId="11" fillId="0" borderId="76" xfId="34" applyNumberFormat="1" applyFont="1" applyFill="1" applyBorder="1" applyAlignment="1" applyProtection="1">
      <alignment vertical="center"/>
    </xf>
    <xf numFmtId="3" fontId="11" fillId="2" borderId="13" xfId="34" applyNumberFormat="1" applyFont="1" applyFill="1" applyBorder="1" applyAlignment="1" applyProtection="1">
      <alignment vertical="center"/>
      <protection locked="0"/>
    </xf>
    <xf numFmtId="3" fontId="11" fillId="0" borderId="13" xfId="34" applyNumberFormat="1" applyFont="1" applyFill="1" applyBorder="1" applyAlignment="1" applyProtection="1">
      <alignment vertical="center"/>
    </xf>
    <xf numFmtId="3" fontId="11" fillId="0" borderId="12" xfId="34" applyNumberFormat="1" applyFont="1" applyFill="1" applyBorder="1" applyAlignment="1" applyProtection="1">
      <alignment vertical="center"/>
    </xf>
    <xf numFmtId="0" fontId="11" fillId="0" borderId="13" xfId="34" applyFont="1" applyBorder="1" applyAlignment="1" applyProtection="1">
      <alignment horizontal="center" vertical="center"/>
    </xf>
    <xf numFmtId="38" fontId="11" fillId="0" borderId="2" xfId="34" applyNumberFormat="1" applyFont="1" applyBorder="1" applyAlignment="1" applyProtection="1">
      <alignment horizontal="left" vertical="center"/>
    </xf>
    <xf numFmtId="38" fontId="11" fillId="0" borderId="14" xfId="34" applyNumberFormat="1" applyFont="1" applyBorder="1" applyAlignment="1" applyProtection="1">
      <alignment horizontal="right" vertical="center"/>
    </xf>
    <xf numFmtId="38" fontId="11" fillId="0" borderId="3" xfId="34" applyNumberFormat="1" applyFont="1" applyBorder="1" applyAlignment="1" applyProtection="1">
      <alignment horizontal="right" vertical="center"/>
    </xf>
    <xf numFmtId="0" fontId="11" fillId="0" borderId="3" xfId="34" applyFont="1" applyBorder="1" applyAlignment="1" applyProtection="1">
      <alignment vertical="center"/>
    </xf>
    <xf numFmtId="0" fontId="11" fillId="0" borderId="0" xfId="34" applyFont="1" applyAlignment="1" applyProtection="1">
      <alignment horizontal="centerContinuous" vertical="center"/>
    </xf>
    <xf numFmtId="172" fontId="22" fillId="0" borderId="0" xfId="34" applyNumberFormat="1" applyFont="1" applyAlignment="1" applyProtection="1">
      <alignment horizontal="center" vertical="center"/>
    </xf>
    <xf numFmtId="0" fontId="22" fillId="0" borderId="0" xfId="34" applyFont="1" applyAlignment="1" applyProtection="1">
      <alignment vertical="center"/>
    </xf>
    <xf numFmtId="0" fontId="15" fillId="0" borderId="0" xfId="34" applyFont="1" applyAlignment="1" applyProtection="1">
      <alignment horizontal="center" vertical="center"/>
    </xf>
    <xf numFmtId="0" fontId="160" fillId="0" borderId="0" xfId="34" applyFont="1" applyAlignment="1" applyProtection="1">
      <alignment horizontal="left" vertical="center"/>
    </xf>
    <xf numFmtId="0" fontId="162" fillId="0" borderId="0" xfId="34" applyFont="1" applyAlignment="1" applyProtection="1">
      <alignment horizontal="left" vertical="center"/>
    </xf>
    <xf numFmtId="0" fontId="159" fillId="0" borderId="0" xfId="34" applyFont="1" applyAlignment="1" applyProtection="1">
      <alignment horizontal="left" vertical="center"/>
    </xf>
    <xf numFmtId="0" fontId="11" fillId="0" borderId="0" xfId="35" applyFont="1" applyAlignment="1" applyProtection="1">
      <alignment vertical="center"/>
    </xf>
    <xf numFmtId="172" fontId="11" fillId="0" borderId="0" xfId="35" applyNumberFormat="1" applyFont="1" applyAlignment="1" applyProtection="1">
      <alignment horizontal="center" vertical="center"/>
    </xf>
    <xf numFmtId="0" fontId="11" fillId="0" borderId="0" xfId="35" applyFont="1" applyAlignment="1" applyProtection="1">
      <alignment horizontal="right" vertical="center"/>
    </xf>
    <xf numFmtId="0" fontId="11" fillId="0" borderId="0" xfId="35" applyFont="1" applyAlignment="1" applyProtection="1">
      <alignment horizontal="center" vertical="center"/>
    </xf>
    <xf numFmtId="172" fontId="11" fillId="0" borderId="4" xfId="35" applyNumberFormat="1" applyFont="1" applyBorder="1" applyAlignment="1" applyProtection="1">
      <alignment horizontal="center" vertical="center"/>
    </xf>
    <xf numFmtId="0" fontId="11" fillId="0" borderId="4" xfId="35" applyFont="1" applyBorder="1" applyAlignment="1" applyProtection="1">
      <alignment horizontal="center" vertical="center"/>
    </xf>
    <xf numFmtId="172" fontId="11" fillId="0" borderId="7" xfId="35" applyNumberFormat="1" applyFont="1" applyBorder="1" applyAlignment="1" applyProtection="1">
      <alignment horizontal="center" vertical="center"/>
    </xf>
    <xf numFmtId="0" fontId="11" fillId="0" borderId="7" xfId="35" applyFont="1" applyBorder="1" applyAlignment="1" applyProtection="1">
      <alignment horizontal="center" vertical="center"/>
    </xf>
    <xf numFmtId="3" fontId="11" fillId="2" borderId="7" xfId="35" applyNumberFormat="1" applyFont="1" applyFill="1" applyBorder="1" applyAlignment="1" applyProtection="1">
      <alignment vertical="center"/>
      <protection locked="0"/>
    </xf>
    <xf numFmtId="3" fontId="11" fillId="0" borderId="7" xfId="35" applyNumberFormat="1" applyFont="1" applyFill="1" applyBorder="1" applyAlignment="1" applyProtection="1">
      <alignment vertical="center"/>
    </xf>
    <xf numFmtId="3" fontId="11" fillId="0" borderId="13" xfId="35" applyNumberFormat="1" applyFont="1" applyFill="1" applyBorder="1" applyAlignment="1" applyProtection="1">
      <alignment vertical="center"/>
    </xf>
    <xf numFmtId="3" fontId="11" fillId="2" borderId="13" xfId="35" applyNumberFormat="1" applyFont="1" applyFill="1" applyBorder="1" applyAlignment="1" applyProtection="1">
      <alignment vertical="center"/>
      <protection locked="0"/>
    </xf>
    <xf numFmtId="3" fontId="11" fillId="0" borderId="12" xfId="35" applyNumberFormat="1" applyFont="1" applyFill="1" applyBorder="1" applyAlignment="1" applyProtection="1">
      <alignment vertical="center"/>
    </xf>
    <xf numFmtId="0" fontId="11" fillId="0" borderId="13" xfId="35" applyFont="1" applyBorder="1" applyAlignment="1" applyProtection="1">
      <alignment horizontal="center" vertical="center"/>
    </xf>
    <xf numFmtId="38" fontId="11" fillId="0" borderId="12" xfId="35" applyNumberFormat="1" applyFont="1" applyFill="1" applyBorder="1" applyAlignment="1" applyProtection="1">
      <alignment horizontal="right" vertical="center"/>
    </xf>
    <xf numFmtId="38" fontId="11" fillId="0" borderId="12" xfId="35" applyNumberFormat="1" applyFont="1" applyFill="1" applyBorder="1" applyAlignment="1" applyProtection="1">
      <alignment vertical="center"/>
    </xf>
    <xf numFmtId="38" fontId="11" fillId="0" borderId="2" xfId="35" applyNumberFormat="1" applyFont="1" applyBorder="1" applyAlignment="1" applyProtection="1">
      <alignment horizontal="left" vertical="center"/>
    </xf>
    <xf numFmtId="38" fontId="11" fillId="0" borderId="14" xfId="35" applyNumberFormat="1" applyFont="1" applyBorder="1" applyAlignment="1" applyProtection="1">
      <alignment horizontal="right" vertical="center"/>
    </xf>
    <xf numFmtId="38" fontId="11" fillId="0" borderId="3" xfId="35" applyNumberFormat="1" applyFont="1" applyBorder="1" applyAlignment="1" applyProtection="1">
      <alignment horizontal="right" vertical="center"/>
    </xf>
    <xf numFmtId="0" fontId="11" fillId="0" borderId="3" xfId="35" applyFont="1" applyBorder="1" applyAlignment="1" applyProtection="1">
      <alignment vertical="center"/>
    </xf>
    <xf numFmtId="172" fontId="22" fillId="0" borderId="0" xfId="35" applyNumberFormat="1" applyFont="1" applyAlignment="1" applyProtection="1">
      <alignment horizontal="center" vertical="center"/>
    </xf>
    <xf numFmtId="0" fontId="22" fillId="0" borderId="0" xfId="35" applyFont="1" applyAlignment="1" applyProtection="1">
      <alignment vertical="center"/>
    </xf>
    <xf numFmtId="0" fontId="41" fillId="0" borderId="0" xfId="35" applyFont="1" applyAlignment="1" applyProtection="1">
      <alignment horizontal="center" vertical="center"/>
    </xf>
    <xf numFmtId="0" fontId="11" fillId="0" borderId="0" xfId="35" applyFont="1" applyAlignment="1" applyProtection="1">
      <alignment horizontal="centerContinuous" vertical="center"/>
    </xf>
    <xf numFmtId="0" fontId="15" fillId="0" borderId="0" xfId="35" applyFont="1" applyAlignment="1" applyProtection="1">
      <alignment horizontal="center" vertical="center"/>
    </xf>
    <xf numFmtId="172" fontId="11" fillId="0" borderId="7" xfId="35" applyNumberFormat="1" applyFont="1" applyBorder="1" applyAlignment="1" applyProtection="1">
      <alignment horizontal="left" vertical="center"/>
    </xf>
    <xf numFmtId="0" fontId="11" fillId="0" borderId="13" xfId="35" applyFont="1" applyBorder="1" applyAlignment="1" applyProtection="1">
      <alignment horizontal="left" vertical="center"/>
    </xf>
    <xf numFmtId="0" fontId="11" fillId="0" borderId="12" xfId="35" applyFont="1" applyBorder="1" applyAlignment="1" applyProtection="1">
      <alignment horizontal="left" vertical="center"/>
    </xf>
    <xf numFmtId="0" fontId="15" fillId="0" borderId="13" xfId="35" applyFont="1" applyBorder="1" applyAlignment="1" applyProtection="1">
      <alignment horizontal="left" vertical="center"/>
    </xf>
    <xf numFmtId="0" fontId="11" fillId="0" borderId="0" xfId="36" applyFont="1" applyAlignment="1" applyProtection="1">
      <alignment vertical="center"/>
    </xf>
    <xf numFmtId="172" fontId="11" fillId="0" borderId="0" xfId="36" applyNumberFormat="1" applyFont="1" applyAlignment="1" applyProtection="1">
      <alignment horizontal="center" vertical="center"/>
    </xf>
    <xf numFmtId="0" fontId="11" fillId="0" borderId="0" xfId="36" applyFont="1" applyAlignment="1" applyProtection="1">
      <alignment horizontal="right" vertical="center"/>
    </xf>
    <xf numFmtId="0" fontId="11" fillId="0" borderId="0" xfId="36" applyFont="1" applyAlignment="1" applyProtection="1">
      <alignment horizontal="center" vertical="center"/>
    </xf>
    <xf numFmtId="172" fontId="11" fillId="0" borderId="4" xfId="36" applyNumberFormat="1" applyFont="1" applyBorder="1" applyAlignment="1" applyProtection="1">
      <alignment horizontal="center" vertical="center"/>
    </xf>
    <xf numFmtId="0" fontId="11" fillId="0" borderId="4" xfId="36" applyFont="1" applyBorder="1" applyAlignment="1" applyProtection="1">
      <alignment horizontal="center" vertical="center"/>
    </xf>
    <xf numFmtId="172" fontId="11" fillId="0" borderId="7" xfId="36" applyNumberFormat="1" applyFont="1" applyBorder="1" applyAlignment="1" applyProtection="1">
      <alignment horizontal="center" vertical="center"/>
    </xf>
    <xf numFmtId="0" fontId="11" fillId="0" borderId="7" xfId="36" applyFont="1" applyBorder="1" applyAlignment="1" applyProtection="1">
      <alignment horizontal="center" vertical="center"/>
    </xf>
    <xf numFmtId="172" fontId="11" fillId="0" borderId="12" xfId="36" applyNumberFormat="1" applyFont="1" applyBorder="1" applyAlignment="1" applyProtection="1">
      <alignment horizontal="center" vertical="center"/>
    </xf>
    <xf numFmtId="171" fontId="11" fillId="0" borderId="12" xfId="36" applyNumberFormat="1" applyFont="1" applyBorder="1" applyAlignment="1" applyProtection="1">
      <alignment horizontal="center" vertical="center"/>
    </xf>
    <xf numFmtId="3" fontId="11" fillId="2" borderId="7" xfId="36" applyNumberFormat="1" applyFont="1" applyFill="1" applyBorder="1" applyAlignment="1" applyProtection="1">
      <alignment vertical="center"/>
      <protection locked="0"/>
    </xf>
    <xf numFmtId="3" fontId="11" fillId="0" borderId="7" xfId="36" applyNumberFormat="1" applyFont="1" applyFill="1" applyBorder="1" applyAlignment="1" applyProtection="1">
      <alignment vertical="center"/>
    </xf>
    <xf numFmtId="3" fontId="11" fillId="0" borderId="76" xfId="36" applyNumberFormat="1" applyFont="1" applyFill="1" applyBorder="1" applyAlignment="1" applyProtection="1">
      <alignment vertical="center"/>
    </xf>
    <xf numFmtId="3" fontId="11" fillId="2" borderId="13" xfId="36" applyNumberFormat="1" applyFont="1" applyFill="1" applyBorder="1" applyAlignment="1" applyProtection="1">
      <alignment vertical="center"/>
      <protection locked="0"/>
    </xf>
    <xf numFmtId="3" fontId="11" fillId="0" borderId="12" xfId="36" applyNumberFormat="1" applyFont="1" applyFill="1" applyBorder="1" applyAlignment="1" applyProtection="1">
      <alignment vertical="center"/>
    </xf>
    <xf numFmtId="3" fontId="11" fillId="0" borderId="13" xfId="36" applyNumberFormat="1" applyFont="1" applyFill="1" applyBorder="1" applyAlignment="1" applyProtection="1">
      <alignment vertical="center"/>
    </xf>
    <xf numFmtId="0" fontId="11" fillId="0" borderId="13" xfId="36" applyFont="1" applyBorder="1" applyAlignment="1" applyProtection="1">
      <alignment horizontal="center" vertical="center"/>
    </xf>
    <xf numFmtId="3" fontId="11" fillId="0" borderId="73" xfId="36" applyNumberFormat="1" applyFont="1" applyFill="1" applyBorder="1" applyAlignment="1" applyProtection="1">
      <alignment vertical="center"/>
    </xf>
    <xf numFmtId="0" fontId="11" fillId="0" borderId="12" xfId="36" applyFont="1" applyBorder="1" applyAlignment="1" applyProtection="1">
      <alignment horizontal="center" vertical="center"/>
    </xf>
    <xf numFmtId="0" fontId="15" fillId="0" borderId="13" xfId="36" applyFont="1" applyBorder="1" applyAlignment="1" applyProtection="1">
      <alignment horizontal="center" vertical="center"/>
    </xf>
    <xf numFmtId="0" fontId="15" fillId="0" borderId="12" xfId="36" applyFont="1" applyBorder="1" applyAlignment="1" applyProtection="1">
      <alignment horizontal="center" vertical="center"/>
    </xf>
    <xf numFmtId="3" fontId="11" fillId="0" borderId="2" xfId="36" applyNumberFormat="1" applyFont="1" applyBorder="1" applyAlignment="1" applyProtection="1">
      <alignment vertical="center"/>
    </xf>
    <xf numFmtId="3" fontId="11" fillId="0" borderId="14" xfId="36" applyNumberFormat="1" applyFont="1" applyBorder="1" applyAlignment="1" applyProtection="1">
      <alignment vertical="center"/>
    </xf>
    <xf numFmtId="3" fontId="11" fillId="0" borderId="3" xfId="36" applyNumberFormat="1" applyFont="1" applyBorder="1" applyAlignment="1" applyProtection="1">
      <alignment vertical="center"/>
    </xf>
    <xf numFmtId="0" fontId="41" fillId="0" borderId="0" xfId="36" applyFont="1" applyBorder="1" applyAlignment="1" applyProtection="1">
      <alignment horizontal="center" vertical="center"/>
    </xf>
    <xf numFmtId="0" fontId="11" fillId="0" borderId="0" xfId="36" applyFont="1" applyBorder="1" applyAlignment="1" applyProtection="1">
      <alignment horizontal="center" vertical="center"/>
    </xf>
    <xf numFmtId="172" fontId="22" fillId="0" borderId="0" xfId="36" applyNumberFormat="1" applyFont="1" applyAlignment="1" applyProtection="1">
      <alignment horizontal="center" vertical="center"/>
    </xf>
    <xf numFmtId="0" fontId="22" fillId="0" borderId="0" xfId="36" applyFont="1" applyAlignment="1" applyProtection="1">
      <alignment vertical="center"/>
    </xf>
    <xf numFmtId="172" fontId="11" fillId="0" borderId="0" xfId="36" applyNumberFormat="1" applyFont="1" applyAlignment="1" applyProtection="1">
      <alignment horizontal="right" vertical="center"/>
    </xf>
    <xf numFmtId="0" fontId="15" fillId="0" borderId="0" xfId="36" applyFont="1" applyAlignment="1" applyProtection="1">
      <alignment horizontal="center" vertical="center"/>
    </xf>
    <xf numFmtId="0" fontId="11" fillId="0" borderId="1" xfId="36" applyFont="1" applyBorder="1" applyAlignment="1" applyProtection="1">
      <alignment vertical="center"/>
    </xf>
    <xf numFmtId="172" fontId="11" fillId="0" borderId="7" xfId="36" applyNumberFormat="1" applyFont="1" applyBorder="1" applyAlignment="1" applyProtection="1">
      <alignment horizontal="left" vertical="center"/>
    </xf>
    <xf numFmtId="0" fontId="11" fillId="0" borderId="13" xfId="36" applyFont="1" applyBorder="1" applyAlignment="1" applyProtection="1">
      <alignment horizontal="left" vertical="center"/>
    </xf>
    <xf numFmtId="0" fontId="11" fillId="0" borderId="12" xfId="36" applyFont="1" applyBorder="1" applyAlignment="1" applyProtection="1">
      <alignment horizontal="left" vertical="center"/>
    </xf>
    <xf numFmtId="0" fontId="15" fillId="0" borderId="13" xfId="36" applyFont="1" applyBorder="1" applyAlignment="1" applyProtection="1">
      <alignment horizontal="left" vertical="center"/>
    </xf>
    <xf numFmtId="0" fontId="11" fillId="0" borderId="0" xfId="37" applyFont="1" applyAlignment="1" applyProtection="1">
      <alignment vertical="center"/>
    </xf>
    <xf numFmtId="172" fontId="11" fillId="0" borderId="0" xfId="37" applyNumberFormat="1" applyFont="1" applyAlignment="1" applyProtection="1">
      <alignment horizontal="center" vertical="center"/>
    </xf>
    <xf numFmtId="0" fontId="11" fillId="0" borderId="0" xfId="37" applyFont="1" applyAlignment="1" applyProtection="1">
      <alignment horizontal="right" vertical="center"/>
    </xf>
    <xf numFmtId="0" fontId="11" fillId="0" borderId="0" xfId="37" applyFont="1" applyAlignment="1" applyProtection="1">
      <alignment horizontal="center" vertical="center"/>
    </xf>
    <xf numFmtId="172" fontId="11" fillId="0" borderId="4" xfId="37" applyNumberFormat="1" applyFont="1" applyBorder="1" applyAlignment="1" applyProtection="1">
      <alignment horizontal="center" vertical="center"/>
    </xf>
    <xf numFmtId="0" fontId="11" fillId="0" borderId="4" xfId="37" applyFont="1" applyBorder="1" applyAlignment="1" applyProtection="1">
      <alignment horizontal="center" vertical="center"/>
    </xf>
    <xf numFmtId="172" fontId="11" fillId="0" borderId="7" xfId="37" applyNumberFormat="1" applyFont="1" applyBorder="1" applyAlignment="1" applyProtection="1">
      <alignment horizontal="center" vertical="center"/>
    </xf>
    <xf numFmtId="0" fontId="11" fillId="0" borderId="7" xfId="37" applyFont="1" applyBorder="1" applyAlignment="1" applyProtection="1">
      <alignment horizontal="center" vertical="center"/>
    </xf>
    <xf numFmtId="172" fontId="11" fillId="0" borderId="12" xfId="37" applyNumberFormat="1" applyFont="1" applyBorder="1" applyAlignment="1" applyProtection="1">
      <alignment horizontal="center" vertical="center"/>
    </xf>
    <xf numFmtId="171" fontId="11" fillId="0" borderId="12" xfId="37" applyNumberFormat="1" applyFont="1" applyBorder="1" applyAlignment="1" applyProtection="1">
      <alignment horizontal="center" vertical="center"/>
    </xf>
    <xf numFmtId="3" fontId="11" fillId="0" borderId="76" xfId="37" applyNumberFormat="1" applyFont="1" applyFill="1" applyBorder="1" applyAlignment="1" applyProtection="1">
      <alignment vertical="center"/>
    </xf>
    <xf numFmtId="3" fontId="11" fillId="0" borderId="13" xfId="37" applyNumberFormat="1" applyFont="1" applyFill="1" applyBorder="1" applyAlignment="1" applyProtection="1">
      <alignment vertical="center"/>
    </xf>
    <xf numFmtId="38" fontId="11" fillId="0" borderId="14" xfId="37" applyNumberFormat="1" applyFont="1" applyBorder="1" applyAlignment="1" applyProtection="1">
      <alignment horizontal="right" vertical="center"/>
    </xf>
    <xf numFmtId="38" fontId="11" fillId="0" borderId="3" xfId="37" applyNumberFormat="1" applyFont="1" applyFill="1" applyBorder="1" applyAlignment="1" applyProtection="1">
      <alignment horizontal="right" vertical="center"/>
    </xf>
    <xf numFmtId="38" fontId="11" fillId="0" borderId="3" xfId="37" applyNumberFormat="1" applyFont="1" applyBorder="1" applyAlignment="1" applyProtection="1">
      <alignment horizontal="right" vertical="center"/>
    </xf>
    <xf numFmtId="0" fontId="11" fillId="0" borderId="3" xfId="37" applyFont="1" applyBorder="1" applyAlignment="1" applyProtection="1">
      <alignment vertical="center"/>
    </xf>
    <xf numFmtId="0" fontId="41" fillId="0" borderId="0" xfId="37" applyFont="1" applyBorder="1" applyAlignment="1" applyProtection="1">
      <alignment horizontal="center" vertical="center"/>
    </xf>
    <xf numFmtId="0" fontId="11" fillId="0" borderId="0" xfId="37" applyFont="1" applyBorder="1" applyAlignment="1" applyProtection="1">
      <alignment horizontal="center" vertical="center"/>
    </xf>
    <xf numFmtId="172" fontId="22" fillId="0" borderId="0" xfId="37" applyNumberFormat="1" applyFont="1" applyAlignment="1" applyProtection="1">
      <alignment horizontal="center" vertical="center"/>
    </xf>
    <xf numFmtId="0" fontId="22" fillId="0" borderId="0" xfId="37" applyFont="1" applyAlignment="1" applyProtection="1">
      <alignment vertical="center"/>
    </xf>
    <xf numFmtId="0" fontId="15" fillId="0" borderId="0" xfId="37" applyFont="1" applyAlignment="1" applyProtection="1">
      <alignment horizontal="center" vertical="center"/>
    </xf>
    <xf numFmtId="0" fontId="11" fillId="0" borderId="1" xfId="37" applyFont="1" applyBorder="1" applyAlignment="1" applyProtection="1">
      <alignment vertical="center"/>
    </xf>
    <xf numFmtId="0" fontId="11" fillId="0" borderId="0" xfId="38" applyFont="1" applyAlignment="1" applyProtection="1">
      <alignment vertical="center"/>
    </xf>
    <xf numFmtId="172" fontId="11" fillId="0" borderId="0" xfId="38" applyNumberFormat="1" applyFont="1" applyAlignment="1" applyProtection="1">
      <alignment horizontal="center" vertical="center"/>
    </xf>
    <xf numFmtId="0" fontId="11" fillId="0" borderId="0" xfId="38" applyFont="1" applyAlignment="1" applyProtection="1">
      <alignment horizontal="right" vertical="center"/>
    </xf>
    <xf numFmtId="0" fontId="11" fillId="0" borderId="0" xfId="38" applyFont="1" applyAlignment="1" applyProtection="1">
      <alignment horizontal="center" vertical="center"/>
    </xf>
    <xf numFmtId="172" fontId="11" fillId="0" borderId="4" xfId="38" applyNumberFormat="1" applyFont="1" applyBorder="1" applyAlignment="1" applyProtection="1">
      <alignment horizontal="center" vertical="center"/>
    </xf>
    <xf numFmtId="0" fontId="11" fillId="0" borderId="4" xfId="38" applyFont="1" applyBorder="1" applyAlignment="1" applyProtection="1">
      <alignment horizontal="center" vertical="center"/>
    </xf>
    <xf numFmtId="172" fontId="11" fillId="0" borderId="7" xfId="38" applyNumberFormat="1" applyFont="1" applyBorder="1" applyAlignment="1" applyProtection="1">
      <alignment horizontal="center" vertical="center"/>
    </xf>
    <xf numFmtId="0" fontId="11" fillId="0" borderId="7" xfId="38" applyFont="1" applyBorder="1" applyAlignment="1" applyProtection="1">
      <alignment horizontal="center" vertical="center"/>
    </xf>
    <xf numFmtId="171" fontId="11" fillId="0" borderId="12" xfId="38" applyNumberFormat="1" applyFont="1" applyBorder="1" applyAlignment="1" applyProtection="1">
      <alignment horizontal="center" vertical="center"/>
    </xf>
    <xf numFmtId="3" fontId="11" fillId="0" borderId="7" xfId="38" applyNumberFormat="1" applyFont="1" applyFill="1" applyBorder="1" applyAlignment="1" applyProtection="1">
      <alignment vertical="center"/>
    </xf>
    <xf numFmtId="3" fontId="11" fillId="0" borderId="76" xfId="38" applyNumberFormat="1" applyFont="1" applyFill="1" applyBorder="1" applyAlignment="1" applyProtection="1">
      <alignment vertical="center"/>
    </xf>
    <xf numFmtId="3" fontId="11" fillId="2" borderId="12" xfId="38" applyNumberFormat="1" applyFont="1" applyFill="1" applyBorder="1" applyAlignment="1" applyProtection="1">
      <alignment vertical="center"/>
      <protection locked="0"/>
    </xf>
    <xf numFmtId="3" fontId="11" fillId="2" borderId="13" xfId="38" applyNumberFormat="1" applyFont="1" applyFill="1" applyBorder="1" applyAlignment="1" applyProtection="1">
      <alignment vertical="center"/>
      <protection locked="0"/>
    </xf>
    <xf numFmtId="3" fontId="11" fillId="0" borderId="13" xfId="38" applyNumberFormat="1" applyFont="1" applyFill="1" applyBorder="1" applyAlignment="1" applyProtection="1">
      <alignment vertical="center"/>
    </xf>
    <xf numFmtId="3" fontId="11" fillId="0" borderId="12" xfId="38" applyNumberFormat="1" applyFont="1" applyFill="1" applyBorder="1" applyAlignment="1" applyProtection="1">
      <alignment vertical="center"/>
    </xf>
    <xf numFmtId="0" fontId="11" fillId="0" borderId="13" xfId="38" applyFont="1" applyBorder="1" applyAlignment="1" applyProtection="1">
      <alignment horizontal="center" vertical="center"/>
    </xf>
    <xf numFmtId="0" fontId="11" fillId="0" borderId="12" xfId="38" applyFont="1" applyBorder="1" applyAlignment="1" applyProtection="1">
      <alignment horizontal="center" vertical="center"/>
    </xf>
    <xf numFmtId="0" fontId="15" fillId="0" borderId="13" xfId="38" applyFont="1" applyBorder="1" applyAlignment="1" applyProtection="1">
      <alignment horizontal="center" vertical="center"/>
    </xf>
    <xf numFmtId="38" fontId="11" fillId="0" borderId="2" xfId="38" applyNumberFormat="1" applyFont="1" applyBorder="1" applyAlignment="1" applyProtection="1">
      <alignment horizontal="left" vertical="center"/>
    </xf>
    <xf numFmtId="38" fontId="11" fillId="0" borderId="14" xfId="38" applyNumberFormat="1" applyFont="1" applyBorder="1" applyAlignment="1" applyProtection="1">
      <alignment horizontal="right" vertical="center"/>
    </xf>
    <xf numFmtId="38" fontId="11" fillId="0" borderId="3" xfId="38" applyNumberFormat="1" applyFont="1" applyBorder="1" applyAlignment="1" applyProtection="1">
      <alignment horizontal="right" vertical="center"/>
    </xf>
    <xf numFmtId="0" fontId="11" fillId="0" borderId="3" xfId="38" applyFont="1" applyBorder="1" applyAlignment="1" applyProtection="1">
      <alignment vertical="center"/>
    </xf>
    <xf numFmtId="0" fontId="41" fillId="0" borderId="0" xfId="38" applyFont="1" applyAlignment="1" applyProtection="1">
      <alignment horizontal="center" vertical="center"/>
    </xf>
    <xf numFmtId="172" fontId="22" fillId="0" borderId="0" xfId="38" applyNumberFormat="1" applyFont="1" applyAlignment="1" applyProtection="1">
      <alignment horizontal="center" vertical="center"/>
    </xf>
    <xf numFmtId="0" fontId="22" fillId="0" borderId="0" xfId="38" applyFont="1" applyAlignment="1" applyProtection="1">
      <alignment vertical="center"/>
    </xf>
    <xf numFmtId="0" fontId="15" fillId="0" borderId="0" xfId="38" applyFont="1" applyAlignment="1" applyProtection="1">
      <alignment horizontal="center" vertical="center"/>
    </xf>
    <xf numFmtId="0" fontId="11" fillId="0" borderId="13" xfId="38" applyFont="1" applyBorder="1" applyAlignment="1" applyProtection="1">
      <alignment horizontal="left" vertical="center"/>
    </xf>
    <xf numFmtId="0" fontId="11" fillId="0" borderId="12" xfId="38" applyFont="1" applyBorder="1" applyAlignment="1" applyProtection="1">
      <alignment horizontal="left" vertical="center"/>
    </xf>
    <xf numFmtId="0" fontId="15" fillId="0" borderId="13" xfId="38" applyFont="1" applyBorder="1" applyAlignment="1" applyProtection="1">
      <alignment horizontal="left" vertical="center"/>
    </xf>
    <xf numFmtId="0" fontId="11" fillId="0" borderId="0" xfId="39" applyFont="1" applyAlignment="1" applyProtection="1">
      <alignment vertical="center"/>
    </xf>
    <xf numFmtId="172" fontId="11" fillId="0" borderId="0" xfId="39" applyNumberFormat="1" applyFont="1" applyAlignment="1" applyProtection="1">
      <alignment horizontal="center" vertical="center"/>
    </xf>
    <xf numFmtId="0" fontId="11" fillId="0" borderId="0" xfId="39" applyFont="1" applyAlignment="1" applyProtection="1">
      <alignment horizontal="right" vertical="center"/>
    </xf>
    <xf numFmtId="0" fontId="11" fillId="0" borderId="0" xfId="39" applyFont="1" applyAlignment="1" applyProtection="1">
      <alignment horizontal="center" vertical="center"/>
    </xf>
    <xf numFmtId="172" fontId="11" fillId="0" borderId="4" xfId="39" applyNumberFormat="1" applyFont="1" applyBorder="1" applyAlignment="1" applyProtection="1">
      <alignment horizontal="center" vertical="center"/>
    </xf>
    <xf numFmtId="0" fontId="11" fillId="0" borderId="4" xfId="39" applyFont="1" applyBorder="1" applyAlignment="1" applyProtection="1">
      <alignment horizontal="center" vertical="center"/>
    </xf>
    <xf numFmtId="172" fontId="11" fillId="0" borderId="7" xfId="39" applyNumberFormat="1" applyFont="1" applyBorder="1" applyAlignment="1" applyProtection="1">
      <alignment horizontal="center" vertical="center"/>
    </xf>
    <xf numFmtId="0" fontId="11" fillId="0" borderId="7" xfId="39" applyFont="1" applyBorder="1" applyAlignment="1" applyProtection="1">
      <alignment horizontal="center" vertical="center"/>
    </xf>
    <xf numFmtId="172" fontId="11" fillId="0" borderId="10" xfId="39" applyNumberFormat="1" applyFont="1" applyBorder="1" applyAlignment="1" applyProtection="1">
      <alignment horizontal="center" vertical="center"/>
    </xf>
    <xf numFmtId="3" fontId="11" fillId="0" borderId="13" xfId="39" applyNumberFormat="1" applyFont="1" applyFill="1" applyBorder="1" applyAlignment="1" applyProtection="1">
      <alignment vertical="center"/>
    </xf>
    <xf numFmtId="3" fontId="11" fillId="2" borderId="12" xfId="39" applyNumberFormat="1" applyFont="1" applyFill="1" applyBorder="1" applyAlignment="1" applyProtection="1">
      <alignment vertical="center"/>
      <protection locked="0"/>
    </xf>
    <xf numFmtId="3" fontId="11" fillId="2" borderId="1" xfId="39" applyNumberFormat="1" applyFont="1" applyFill="1" applyBorder="1" applyAlignment="1" applyProtection="1">
      <alignment vertical="center"/>
      <protection locked="0"/>
    </xf>
    <xf numFmtId="172" fontId="11" fillId="0" borderId="2" xfId="39" applyNumberFormat="1" applyFont="1" applyBorder="1" applyAlignment="1" applyProtection="1">
      <alignment horizontal="center" vertical="center"/>
    </xf>
    <xf numFmtId="172" fontId="11" fillId="0" borderId="14" xfId="39" applyNumberFormat="1" applyFont="1" applyBorder="1" applyAlignment="1" applyProtection="1">
      <alignment horizontal="center" vertical="center"/>
    </xf>
    <xf numFmtId="3" fontId="11" fillId="0" borderId="14" xfId="39" applyNumberFormat="1" applyFont="1" applyFill="1" applyBorder="1" applyAlignment="1" applyProtection="1">
      <alignment vertical="center"/>
    </xf>
    <xf numFmtId="3" fontId="18" fillId="0" borderId="13" xfId="39" applyNumberFormat="1" applyFont="1" applyFill="1" applyBorder="1" applyAlignment="1" applyProtection="1">
      <alignment vertical="center"/>
    </xf>
    <xf numFmtId="172" fontId="154" fillId="0" borderId="0" xfId="39" applyNumberFormat="1" applyFont="1" applyBorder="1" applyAlignment="1" applyProtection="1">
      <alignment vertical="center"/>
    </xf>
    <xf numFmtId="172" fontId="11" fillId="0" borderId="0" xfId="39" applyNumberFormat="1" applyFont="1" applyBorder="1" applyAlignment="1" applyProtection="1">
      <alignment horizontal="center" vertical="center"/>
    </xf>
    <xf numFmtId="172" fontId="11" fillId="0" borderId="0" xfId="39" applyNumberFormat="1" applyFont="1" applyBorder="1" applyAlignment="1" applyProtection="1">
      <alignment horizontal="right" vertical="center"/>
    </xf>
    <xf numFmtId="0" fontId="11" fillId="0" borderId="0" xfId="39" applyFont="1" applyAlignment="1" applyProtection="1">
      <alignment horizontal="centerContinuous" vertical="center"/>
    </xf>
    <xf numFmtId="172" fontId="22" fillId="0" borderId="0" xfId="39" applyNumberFormat="1" applyFont="1" applyAlignment="1" applyProtection="1">
      <alignment horizontal="center" vertical="center"/>
    </xf>
    <xf numFmtId="0" fontId="22" fillId="0" borderId="0" xfId="39" applyFont="1" applyAlignment="1" applyProtection="1">
      <alignment vertical="center"/>
    </xf>
    <xf numFmtId="0" fontId="15" fillId="0" borderId="0" xfId="39" applyFont="1" applyAlignment="1" applyProtection="1">
      <alignment horizontal="center" vertical="center"/>
    </xf>
    <xf numFmtId="172" fontId="11" fillId="0" borderId="12" xfId="39" applyNumberFormat="1" applyFont="1" applyBorder="1" applyAlignment="1" applyProtection="1">
      <alignment horizontal="left" vertical="center"/>
    </xf>
    <xf numFmtId="172" fontId="11" fillId="0" borderId="13" xfId="39" applyNumberFormat="1" applyFont="1" applyBorder="1" applyAlignment="1" applyProtection="1">
      <alignment horizontal="left" vertical="center"/>
    </xf>
    <xf numFmtId="172" fontId="26" fillId="3" borderId="13" xfId="39" applyNumberFormat="1" applyFont="1" applyFill="1" applyBorder="1" applyAlignment="1" applyProtection="1">
      <alignment horizontal="left" vertical="center"/>
    </xf>
    <xf numFmtId="172" fontId="18" fillId="0" borderId="0" xfId="39" applyNumberFormat="1" applyFont="1" applyBorder="1" applyAlignment="1" applyProtection="1">
      <alignment horizontal="left" vertical="center"/>
    </xf>
    <xf numFmtId="0" fontId="11" fillId="0" borderId="0" xfId="39" applyFont="1" applyBorder="1" applyAlignment="1" applyProtection="1">
      <alignment horizontal="center" vertical="center"/>
    </xf>
    <xf numFmtId="171" fontId="11" fillId="0" borderId="7" xfId="39" applyNumberFormat="1" applyFont="1" applyBorder="1" applyAlignment="1" applyProtection="1">
      <alignment horizontal="center" vertical="center"/>
    </xf>
    <xf numFmtId="172" fontId="11" fillId="0" borderId="75" xfId="39" applyNumberFormat="1" applyFont="1" applyBorder="1" applyAlignment="1" applyProtection="1">
      <alignment horizontal="left" vertical="center"/>
    </xf>
    <xf numFmtId="172" fontId="11" fillId="0" borderId="78" xfId="39" applyNumberFormat="1" applyFont="1" applyBorder="1" applyAlignment="1" applyProtection="1">
      <alignment horizontal="center" vertical="center"/>
    </xf>
    <xf numFmtId="3" fontId="11" fillId="2" borderId="75" xfId="39" applyNumberFormat="1" applyFont="1" applyFill="1" applyBorder="1" applyAlignment="1" applyProtection="1">
      <alignment vertical="center"/>
      <protection locked="0"/>
    </xf>
    <xf numFmtId="3" fontId="11" fillId="0" borderId="101" xfId="39" applyNumberFormat="1" applyFont="1" applyFill="1" applyBorder="1" applyAlignment="1" applyProtection="1">
      <alignment vertical="center"/>
    </xf>
    <xf numFmtId="0" fontId="11" fillId="0" borderId="0" xfId="41" applyFont="1" applyAlignment="1" applyProtection="1">
      <alignment vertical="center"/>
    </xf>
    <xf numFmtId="172" fontId="11" fillId="0" borderId="0" xfId="41" applyNumberFormat="1" applyFont="1" applyAlignment="1" applyProtection="1">
      <alignment horizontal="center" vertical="center"/>
    </xf>
    <xf numFmtId="0" fontId="11" fillId="0" borderId="0" xfId="41" applyFont="1" applyAlignment="1" applyProtection="1">
      <alignment horizontal="right" vertical="center"/>
    </xf>
    <xf numFmtId="0" fontId="11" fillId="0" borderId="0" xfId="41" applyFont="1" applyAlignment="1" applyProtection="1">
      <alignment horizontal="center" vertical="center"/>
    </xf>
    <xf numFmtId="172" fontId="11" fillId="0" borderId="4" xfId="41" applyNumberFormat="1" applyFont="1" applyBorder="1" applyAlignment="1" applyProtection="1">
      <alignment horizontal="center" vertical="center"/>
    </xf>
    <xf numFmtId="0" fontId="11" fillId="0" borderId="4" xfId="41" applyFont="1" applyBorder="1" applyAlignment="1" applyProtection="1">
      <alignment horizontal="center" vertical="center"/>
    </xf>
    <xf numFmtId="172" fontId="11" fillId="0" borderId="7" xfId="41" applyNumberFormat="1" applyFont="1" applyBorder="1" applyAlignment="1" applyProtection="1">
      <alignment horizontal="center" vertical="center"/>
    </xf>
    <xf numFmtId="0" fontId="11" fillId="0" borderId="7" xfId="41" applyFont="1" applyBorder="1" applyAlignment="1" applyProtection="1">
      <alignment horizontal="center" vertical="center"/>
    </xf>
    <xf numFmtId="172" fontId="11" fillId="0" borderId="12" xfId="41" applyNumberFormat="1" applyFont="1" applyBorder="1" applyAlignment="1" applyProtection="1">
      <alignment horizontal="center" vertical="center"/>
    </xf>
    <xf numFmtId="171" fontId="11" fillId="0" borderId="12" xfId="41" applyNumberFormat="1" applyFont="1" applyBorder="1" applyAlignment="1" applyProtection="1">
      <alignment horizontal="center" vertical="center"/>
    </xf>
    <xf numFmtId="3" fontId="11" fillId="2" borderId="12" xfId="41" applyNumberFormat="1" applyFont="1" applyFill="1" applyBorder="1" applyAlignment="1" applyProtection="1">
      <alignment vertical="center"/>
      <protection locked="0"/>
    </xf>
    <xf numFmtId="3" fontId="11" fillId="0" borderId="12" xfId="41" applyNumberFormat="1" applyFont="1" applyFill="1" applyBorder="1" applyAlignment="1" applyProtection="1">
      <alignment vertical="center"/>
    </xf>
    <xf numFmtId="3" fontId="11" fillId="0" borderId="13" xfId="41" applyNumberFormat="1" applyFont="1" applyFill="1" applyBorder="1" applyAlignment="1" applyProtection="1">
      <alignment vertical="center"/>
    </xf>
    <xf numFmtId="3" fontId="11" fillId="2" borderId="7" xfId="41" applyNumberFormat="1" applyFont="1" applyFill="1" applyBorder="1" applyAlignment="1" applyProtection="1">
      <alignment vertical="center"/>
      <protection locked="0"/>
    </xf>
    <xf numFmtId="3" fontId="11" fillId="2" borderId="13" xfId="41" applyNumberFormat="1" applyFont="1" applyFill="1" applyBorder="1" applyAlignment="1" applyProtection="1">
      <alignment vertical="center"/>
      <protection locked="0"/>
    </xf>
    <xf numFmtId="3" fontId="11" fillId="0" borderId="7" xfId="41" applyNumberFormat="1" applyFont="1" applyFill="1" applyBorder="1" applyAlignment="1" applyProtection="1">
      <alignment vertical="center"/>
    </xf>
    <xf numFmtId="0" fontId="11" fillId="0" borderId="12" xfId="41" applyFont="1" applyBorder="1" applyAlignment="1" applyProtection="1">
      <alignment horizontal="center" vertical="center"/>
    </xf>
    <xf numFmtId="0" fontId="11" fillId="0" borderId="13" xfId="41" applyFont="1" applyBorder="1" applyAlignment="1" applyProtection="1">
      <alignment horizontal="center" vertical="center"/>
    </xf>
    <xf numFmtId="3" fontId="11" fillId="0" borderId="2" xfId="41" applyNumberFormat="1" applyFont="1" applyBorder="1" applyAlignment="1" applyProtection="1">
      <alignment vertical="center"/>
    </xf>
    <xf numFmtId="3" fontId="11" fillId="0" borderId="14" xfId="41" applyNumberFormat="1" applyFont="1" applyBorder="1" applyAlignment="1" applyProtection="1">
      <alignment vertical="center"/>
    </xf>
    <xf numFmtId="3" fontId="11" fillId="0" borderId="3" xfId="41" applyNumberFormat="1" applyFont="1" applyBorder="1" applyAlignment="1" applyProtection="1">
      <alignment vertical="center"/>
    </xf>
    <xf numFmtId="0" fontId="41" fillId="0" borderId="0" xfId="41" applyFont="1" applyBorder="1" applyAlignment="1" applyProtection="1">
      <alignment horizontal="center" vertical="center"/>
    </xf>
    <xf numFmtId="0" fontId="11" fillId="0" borderId="0" xfId="41" applyFont="1" applyBorder="1" applyAlignment="1" applyProtection="1">
      <alignment horizontal="center" vertical="center"/>
    </xf>
    <xf numFmtId="172" fontId="22" fillId="0" borderId="0" xfId="41" applyNumberFormat="1" applyFont="1" applyAlignment="1" applyProtection="1">
      <alignment horizontal="center" vertical="center"/>
    </xf>
    <xf numFmtId="0" fontId="22" fillId="0" borderId="0" xfId="41" applyFont="1" applyAlignment="1" applyProtection="1">
      <alignment vertical="center"/>
    </xf>
    <xf numFmtId="0" fontId="15" fillId="0" borderId="0" xfId="41" applyFont="1" applyAlignment="1" applyProtection="1">
      <alignment horizontal="center" vertical="center"/>
    </xf>
    <xf numFmtId="0" fontId="11" fillId="0" borderId="1" xfId="41" applyFont="1" applyBorder="1" applyAlignment="1" applyProtection="1">
      <alignment vertical="center"/>
    </xf>
    <xf numFmtId="172" fontId="11" fillId="0" borderId="12" xfId="41" applyNumberFormat="1" applyFont="1" applyBorder="1" applyAlignment="1" applyProtection="1">
      <alignment horizontal="left" vertical="center"/>
    </xf>
    <xf numFmtId="0" fontId="11" fillId="0" borderId="12" xfId="41" applyFont="1" applyBorder="1" applyAlignment="1" applyProtection="1">
      <alignment horizontal="left" vertical="center"/>
    </xf>
    <xf numFmtId="0" fontId="11" fillId="0" borderId="13" xfId="41" applyFont="1" applyBorder="1" applyAlignment="1" applyProtection="1">
      <alignment horizontal="left" vertical="center"/>
    </xf>
    <xf numFmtId="0" fontId="11" fillId="0" borderId="0" xfId="42" applyFont="1" applyAlignment="1" applyProtection="1">
      <alignment vertical="center"/>
    </xf>
    <xf numFmtId="172" fontId="11" fillId="0" borderId="0" xfId="42" applyNumberFormat="1" applyFont="1" applyAlignment="1" applyProtection="1">
      <alignment horizontal="center" vertical="center"/>
    </xf>
    <xf numFmtId="0" fontId="11" fillId="0" borderId="0" xfId="42" applyFont="1" applyAlignment="1" applyProtection="1">
      <alignment horizontal="right" vertical="center"/>
    </xf>
    <xf numFmtId="0" fontId="11" fillId="0" borderId="0" xfId="42" applyFont="1" applyAlignment="1" applyProtection="1">
      <alignment horizontal="center" vertical="center"/>
    </xf>
    <xf numFmtId="172" fontId="11" fillId="0" borderId="4" xfId="42" applyNumberFormat="1" applyFont="1" applyBorder="1" applyAlignment="1" applyProtection="1">
      <alignment horizontal="center" vertical="center"/>
    </xf>
    <xf numFmtId="0" fontId="11" fillId="0" borderId="4" xfId="42" applyFont="1" applyBorder="1" applyAlignment="1" applyProtection="1">
      <alignment horizontal="center" vertical="center"/>
    </xf>
    <xf numFmtId="172" fontId="11" fillId="0" borderId="7" xfId="42" applyNumberFormat="1" applyFont="1" applyBorder="1" applyAlignment="1" applyProtection="1">
      <alignment horizontal="center" vertical="center"/>
    </xf>
    <xf numFmtId="0" fontId="11" fillId="0" borderId="7" xfId="42" applyFont="1" applyBorder="1" applyAlignment="1" applyProtection="1">
      <alignment horizontal="center" vertical="center"/>
    </xf>
    <xf numFmtId="172" fontId="11" fillId="0" borderId="12" xfId="42" applyNumberFormat="1" applyFont="1" applyBorder="1" applyAlignment="1" applyProtection="1">
      <alignment horizontal="center" vertical="center"/>
    </xf>
    <xf numFmtId="171" fontId="11" fillId="0" borderId="12" xfId="42" applyNumberFormat="1" applyFont="1" applyBorder="1" applyAlignment="1" applyProtection="1">
      <alignment horizontal="center" vertical="center"/>
    </xf>
    <xf numFmtId="3" fontId="11" fillId="2" borderId="12" xfId="42" applyNumberFormat="1" applyFont="1" applyFill="1" applyBorder="1" applyAlignment="1" applyProtection="1">
      <alignment vertical="center"/>
      <protection locked="0"/>
    </xf>
    <xf numFmtId="3" fontId="11" fillId="0" borderId="12" xfId="42" applyNumberFormat="1" applyFont="1" applyFill="1" applyBorder="1" applyAlignment="1" applyProtection="1">
      <alignment vertical="center"/>
    </xf>
    <xf numFmtId="3" fontId="11" fillId="0" borderId="13" xfId="42" applyNumberFormat="1" applyFont="1" applyFill="1" applyBorder="1" applyAlignment="1" applyProtection="1">
      <alignment vertical="center"/>
    </xf>
    <xf numFmtId="3" fontId="11" fillId="2" borderId="7" xfId="42" applyNumberFormat="1" applyFont="1" applyFill="1" applyBorder="1" applyAlignment="1" applyProtection="1">
      <alignment vertical="center"/>
      <protection locked="0"/>
    </xf>
    <xf numFmtId="3" fontId="11" fillId="2" borderId="13" xfId="42" applyNumberFormat="1" applyFont="1" applyFill="1" applyBorder="1" applyAlignment="1" applyProtection="1">
      <alignment vertical="center"/>
      <protection locked="0"/>
    </xf>
    <xf numFmtId="3" fontId="11" fillId="0" borderId="7" xfId="42" applyNumberFormat="1" applyFont="1" applyBorder="1" applyAlignment="1" applyProtection="1">
      <alignment vertical="center"/>
    </xf>
    <xf numFmtId="3" fontId="11" fillId="0" borderId="14" xfId="42" applyNumberFormat="1" applyFont="1" applyBorder="1" applyAlignment="1" applyProtection="1">
      <alignment vertical="center"/>
    </xf>
    <xf numFmtId="3" fontId="11" fillId="0" borderId="3" xfId="42" applyNumberFormat="1" applyFont="1" applyBorder="1" applyAlignment="1" applyProtection="1">
      <alignment vertical="center"/>
    </xf>
    <xf numFmtId="0" fontId="41" fillId="0" borderId="0" xfId="42" applyFont="1" applyBorder="1" applyAlignment="1" applyProtection="1">
      <alignment horizontal="center" vertical="center"/>
    </xf>
    <xf numFmtId="0" fontId="11" fillId="0" borderId="0" xfId="42" applyFont="1" applyBorder="1" applyAlignment="1" applyProtection="1">
      <alignment horizontal="center" vertical="center"/>
    </xf>
    <xf numFmtId="172" fontId="22" fillId="0" borderId="0" xfId="42" applyNumberFormat="1" applyFont="1" applyAlignment="1" applyProtection="1">
      <alignment horizontal="center" vertical="center"/>
    </xf>
    <xf numFmtId="0" fontId="22" fillId="0" borderId="0" xfId="42" applyFont="1" applyAlignment="1" applyProtection="1">
      <alignment vertical="center"/>
    </xf>
    <xf numFmtId="0" fontId="15" fillId="0" borderId="0" xfId="42" applyFont="1" applyAlignment="1" applyProtection="1">
      <alignment horizontal="center" vertical="center"/>
    </xf>
    <xf numFmtId="0" fontId="73" fillId="0" borderId="1" xfId="42" applyFont="1" applyBorder="1" applyAlignment="1" applyProtection="1">
      <alignment horizontal="center" vertical="center"/>
    </xf>
    <xf numFmtId="0" fontId="11" fillId="0" borderId="0" xfId="43" applyFont="1" applyAlignment="1" applyProtection="1">
      <alignment vertical="center"/>
    </xf>
    <xf numFmtId="172" fontId="11" fillId="0" borderId="0" xfId="43" applyNumberFormat="1" applyFont="1" applyAlignment="1" applyProtection="1">
      <alignment horizontal="center" vertical="center"/>
    </xf>
    <xf numFmtId="0" fontId="11" fillId="0" borderId="0" xfId="43" applyFont="1" applyAlignment="1" applyProtection="1">
      <alignment horizontal="right" vertical="center"/>
    </xf>
    <xf numFmtId="0" fontId="11" fillId="0" borderId="0" xfId="43" applyFont="1" applyAlignment="1" applyProtection="1">
      <alignment horizontal="center" vertical="center"/>
    </xf>
    <xf numFmtId="172" fontId="11" fillId="0" borderId="4" xfId="43" applyNumberFormat="1" applyFont="1" applyBorder="1" applyAlignment="1" applyProtection="1">
      <alignment horizontal="center" vertical="center"/>
    </xf>
    <xf numFmtId="0" fontId="11" fillId="0" borderId="4" xfId="43" applyFont="1" applyBorder="1" applyAlignment="1" applyProtection="1">
      <alignment horizontal="center" vertical="center"/>
    </xf>
    <xf numFmtId="172" fontId="11" fillId="0" borderId="7" xfId="43" applyNumberFormat="1" applyFont="1" applyBorder="1" applyAlignment="1" applyProtection="1">
      <alignment horizontal="center" vertical="center"/>
    </xf>
    <xf numFmtId="0" fontId="11" fillId="0" borderId="7" xfId="43" applyFont="1" applyBorder="1" applyAlignment="1" applyProtection="1">
      <alignment horizontal="center" vertical="center"/>
    </xf>
    <xf numFmtId="172" fontId="11" fillId="0" borderId="12" xfId="43" applyNumberFormat="1" applyFont="1" applyBorder="1" applyAlignment="1" applyProtection="1">
      <alignment horizontal="center" vertical="center"/>
    </xf>
    <xf numFmtId="171" fontId="11" fillId="0" borderId="12" xfId="43" applyNumberFormat="1" applyFont="1" applyBorder="1" applyAlignment="1" applyProtection="1">
      <alignment horizontal="center" vertical="center"/>
    </xf>
    <xf numFmtId="3" fontId="11" fillId="2" borderId="12" xfId="43" applyNumberFormat="1" applyFont="1" applyFill="1" applyBorder="1" applyAlignment="1" applyProtection="1">
      <alignment vertical="center"/>
      <protection locked="0"/>
    </xf>
    <xf numFmtId="3" fontId="11" fillId="0" borderId="12" xfId="43" applyNumberFormat="1" applyFont="1" applyFill="1" applyBorder="1" applyAlignment="1" applyProtection="1">
      <alignment vertical="center"/>
    </xf>
    <xf numFmtId="3" fontId="11" fillId="0" borderId="13" xfId="43" applyNumberFormat="1" applyFont="1" applyFill="1" applyBorder="1" applyAlignment="1" applyProtection="1">
      <alignment vertical="center"/>
    </xf>
    <xf numFmtId="3" fontId="11" fillId="2" borderId="13" xfId="43" applyNumberFormat="1" applyFont="1" applyFill="1" applyBorder="1" applyAlignment="1" applyProtection="1">
      <alignment vertical="center"/>
      <protection locked="0"/>
    </xf>
    <xf numFmtId="0" fontId="11" fillId="0" borderId="12" xfId="43" applyFont="1" applyBorder="1" applyAlignment="1" applyProtection="1">
      <alignment horizontal="center" vertical="center"/>
    </xf>
    <xf numFmtId="0" fontId="11" fillId="0" borderId="13" xfId="43" applyFont="1" applyBorder="1" applyAlignment="1" applyProtection="1">
      <alignment horizontal="center" vertical="center"/>
    </xf>
    <xf numFmtId="3" fontId="11" fillId="0" borderId="2" xfId="43" applyNumberFormat="1" applyFont="1" applyBorder="1" applyAlignment="1" applyProtection="1">
      <alignment vertical="center"/>
    </xf>
    <xf numFmtId="3" fontId="11" fillId="0" borderId="14" xfId="43" applyNumberFormat="1" applyFont="1" applyBorder="1" applyAlignment="1" applyProtection="1">
      <alignment vertical="center"/>
    </xf>
    <xf numFmtId="3" fontId="11" fillId="0" borderId="3" xfId="43" applyNumberFormat="1" applyFont="1" applyBorder="1" applyAlignment="1" applyProtection="1">
      <alignment vertical="center"/>
    </xf>
    <xf numFmtId="0" fontId="41" fillId="0" borderId="0" xfId="43" applyFont="1" applyBorder="1" applyAlignment="1" applyProtection="1">
      <alignment horizontal="center" vertical="center"/>
    </xf>
    <xf numFmtId="0" fontId="11" fillId="0" borderId="0" xfId="43" applyFont="1" applyBorder="1" applyAlignment="1" applyProtection="1">
      <alignment horizontal="center" vertical="center"/>
    </xf>
    <xf numFmtId="172" fontId="22" fillId="0" borderId="0" xfId="43" applyNumberFormat="1" applyFont="1" applyAlignment="1" applyProtection="1">
      <alignment horizontal="center" vertical="center"/>
    </xf>
    <xf numFmtId="0" fontId="22" fillId="0" borderId="0" xfId="43" applyFont="1" applyAlignment="1" applyProtection="1">
      <alignment vertical="center"/>
    </xf>
    <xf numFmtId="172" fontId="11" fillId="0" borderId="12" xfId="43" applyNumberFormat="1" applyFont="1" applyBorder="1" applyAlignment="1" applyProtection="1">
      <alignment horizontal="left" vertical="center"/>
    </xf>
    <xf numFmtId="0" fontId="154" fillId="0" borderId="0" xfId="44" applyFont="1" applyBorder="1" applyAlignment="1" applyProtection="1"/>
    <xf numFmtId="0" fontId="11" fillId="0" borderId="0" xfId="44" applyFont="1" applyAlignment="1" applyProtection="1">
      <alignment vertical="center"/>
    </xf>
    <xf numFmtId="172" fontId="11" fillId="0" borderId="0" xfId="44" applyNumberFormat="1" applyFont="1" applyAlignment="1" applyProtection="1">
      <alignment horizontal="center" vertical="center"/>
    </xf>
    <xf numFmtId="0" fontId="11" fillId="0" borderId="0" xfId="44" applyFont="1" applyAlignment="1" applyProtection="1">
      <alignment horizontal="right" vertical="center"/>
    </xf>
    <xf numFmtId="0" fontId="11" fillId="0" borderId="0" xfId="44" applyFont="1" applyAlignment="1" applyProtection="1">
      <alignment horizontal="center" vertical="center"/>
    </xf>
    <xf numFmtId="172" fontId="11" fillId="0" borderId="4" xfId="44" applyNumberFormat="1" applyFont="1" applyBorder="1" applyAlignment="1" applyProtection="1">
      <alignment horizontal="center" vertical="center"/>
    </xf>
    <xf numFmtId="0" fontId="11" fillId="0" borderId="4" xfId="44" applyFont="1" applyBorder="1" applyAlignment="1" applyProtection="1">
      <alignment horizontal="center" vertical="center"/>
    </xf>
    <xf numFmtId="172" fontId="11" fillId="0" borderId="7" xfId="44" applyNumberFormat="1" applyFont="1" applyBorder="1" applyAlignment="1" applyProtection="1">
      <alignment horizontal="center" vertical="center"/>
    </xf>
    <xf numFmtId="0" fontId="11" fillId="0" borderId="7" xfId="44" applyFont="1" applyBorder="1" applyAlignment="1" applyProtection="1">
      <alignment horizontal="center" vertical="center"/>
    </xf>
    <xf numFmtId="172" fontId="11" fillId="0" borderId="12" xfId="44" applyNumberFormat="1" applyFont="1" applyBorder="1" applyAlignment="1" applyProtection="1">
      <alignment horizontal="center" vertical="center"/>
    </xf>
    <xf numFmtId="171" fontId="11" fillId="0" borderId="12" xfId="44" applyNumberFormat="1" applyFont="1" applyBorder="1" applyAlignment="1" applyProtection="1">
      <alignment horizontal="center" vertical="center"/>
    </xf>
    <xf numFmtId="3" fontId="11" fillId="2" borderId="12" xfId="44" applyNumberFormat="1" applyFont="1" applyFill="1" applyBorder="1" applyAlignment="1" applyProtection="1">
      <alignment vertical="center"/>
      <protection locked="0"/>
    </xf>
    <xf numFmtId="3" fontId="11" fillId="0" borderId="12" xfId="44" applyNumberFormat="1" applyFont="1" applyFill="1" applyBorder="1" applyAlignment="1" applyProtection="1">
      <alignment vertical="center"/>
    </xf>
    <xf numFmtId="3" fontId="11" fillId="0" borderId="13" xfId="44" applyNumberFormat="1" applyFont="1" applyFill="1" applyBorder="1" applyAlignment="1" applyProtection="1">
      <alignment vertical="center"/>
    </xf>
    <xf numFmtId="3" fontId="11" fillId="2" borderId="7" xfId="44" applyNumberFormat="1" applyFont="1" applyFill="1" applyBorder="1" applyAlignment="1" applyProtection="1">
      <alignment vertical="center"/>
      <protection locked="0"/>
    </xf>
    <xf numFmtId="3" fontId="11" fillId="2" borderId="13" xfId="44" applyNumberFormat="1" applyFont="1" applyFill="1" applyBorder="1" applyAlignment="1" applyProtection="1">
      <alignment vertical="center"/>
      <protection locked="0"/>
    </xf>
    <xf numFmtId="3" fontId="11" fillId="0" borderId="63" xfId="44" applyNumberFormat="1" applyFont="1" applyFill="1" applyBorder="1" applyAlignment="1" applyProtection="1">
      <alignment vertical="center"/>
    </xf>
    <xf numFmtId="3" fontId="11" fillId="0" borderId="4" xfId="44" applyNumberFormat="1" applyFont="1" applyFill="1" applyBorder="1" applyAlignment="1" applyProtection="1">
      <alignment vertical="center"/>
    </xf>
    <xf numFmtId="3" fontId="11" fillId="0" borderId="7" xfId="44" applyNumberFormat="1" applyFont="1" applyFill="1" applyBorder="1" applyAlignment="1" applyProtection="1">
      <alignment vertical="center"/>
    </xf>
    <xf numFmtId="3" fontId="11" fillId="0" borderId="76" xfId="44" applyNumberFormat="1" applyFont="1" applyFill="1" applyBorder="1" applyAlignment="1" applyProtection="1">
      <alignment vertical="center"/>
    </xf>
    <xf numFmtId="0" fontId="11" fillId="0" borderId="12" xfId="44" applyFont="1" applyBorder="1" applyAlignment="1" applyProtection="1">
      <alignment horizontal="center" vertical="center"/>
    </xf>
    <xf numFmtId="0" fontId="11" fillId="0" borderId="13" xfId="44" applyFont="1" applyBorder="1" applyAlignment="1" applyProtection="1">
      <alignment horizontal="center" vertical="center"/>
    </xf>
    <xf numFmtId="0" fontId="15" fillId="0" borderId="13" xfId="44" applyFont="1" applyBorder="1" applyAlignment="1" applyProtection="1">
      <alignment horizontal="center" vertical="center"/>
    </xf>
    <xf numFmtId="3" fontId="11" fillId="0" borderId="2" xfId="44" applyNumberFormat="1" applyFont="1" applyBorder="1" applyAlignment="1" applyProtection="1">
      <alignment vertical="center"/>
    </xf>
    <xf numFmtId="3" fontId="11" fillId="0" borderId="14" xfId="44" applyNumberFormat="1" applyFont="1" applyBorder="1" applyAlignment="1" applyProtection="1">
      <alignment vertical="center"/>
    </xf>
    <xf numFmtId="3" fontId="11" fillId="0" borderId="3" xfId="44" applyNumberFormat="1" applyFont="1" applyBorder="1" applyAlignment="1" applyProtection="1">
      <alignment vertical="center"/>
    </xf>
    <xf numFmtId="0" fontId="41" fillId="0" borderId="0" xfId="44" applyFont="1" applyBorder="1" applyAlignment="1" applyProtection="1">
      <alignment horizontal="center" vertical="center"/>
    </xf>
    <xf numFmtId="0" fontId="11" fillId="0" borderId="0" xfId="44" applyFont="1" applyBorder="1" applyAlignment="1" applyProtection="1">
      <alignment horizontal="center" vertical="center"/>
    </xf>
    <xf numFmtId="0" fontId="154" fillId="0" borderId="0" xfId="44" applyFont="1" applyBorder="1" applyAlignment="1" applyProtection="1">
      <alignment vertical="center"/>
    </xf>
    <xf numFmtId="172" fontId="22" fillId="0" borderId="0" xfId="44" applyNumberFormat="1" applyFont="1" applyAlignment="1" applyProtection="1">
      <alignment horizontal="center" vertical="center"/>
    </xf>
    <xf numFmtId="0" fontId="22" fillId="0" borderId="0" xfId="44" applyFont="1" applyAlignment="1" applyProtection="1">
      <alignment vertical="center"/>
    </xf>
    <xf numFmtId="0" fontId="15" fillId="0" borderId="0" xfId="44" applyFont="1" applyAlignment="1" applyProtection="1">
      <alignment horizontal="center" vertical="center"/>
    </xf>
    <xf numFmtId="0" fontId="11" fillId="0" borderId="1" xfId="44" applyFont="1" applyBorder="1" applyAlignment="1" applyProtection="1">
      <alignment vertical="center"/>
    </xf>
    <xf numFmtId="172" fontId="11" fillId="0" borderId="12" xfId="44" applyNumberFormat="1" applyFont="1" applyBorder="1" applyAlignment="1" applyProtection="1">
      <alignment horizontal="left" vertical="center"/>
    </xf>
    <xf numFmtId="0" fontId="11" fillId="0" borderId="12" xfId="44" applyFont="1" applyBorder="1" applyAlignment="1" applyProtection="1">
      <alignment horizontal="left" vertical="center"/>
    </xf>
    <xf numFmtId="0" fontId="11" fillId="0" borderId="13" xfId="44" applyFont="1" applyBorder="1" applyAlignment="1" applyProtection="1">
      <alignment horizontal="left" vertical="center"/>
    </xf>
    <xf numFmtId="0" fontId="15" fillId="0" borderId="13" xfId="44" applyFont="1" applyBorder="1" applyAlignment="1" applyProtection="1">
      <alignment horizontal="left" vertical="center"/>
    </xf>
    <xf numFmtId="0" fontId="11" fillId="0" borderId="0" xfId="45" applyFont="1" applyAlignment="1" applyProtection="1">
      <alignment vertical="center"/>
    </xf>
    <xf numFmtId="172" fontId="11" fillId="0" borderId="0" xfId="45" applyNumberFormat="1" applyFont="1" applyAlignment="1" applyProtection="1">
      <alignment horizontal="center" vertical="center"/>
    </xf>
    <xf numFmtId="0" fontId="11" fillId="0" borderId="0" xfId="45" applyFont="1" applyAlignment="1" applyProtection="1">
      <alignment horizontal="right" vertical="center"/>
    </xf>
    <xf numFmtId="0" fontId="11" fillId="0" borderId="0" xfId="45" applyFont="1" applyAlignment="1" applyProtection="1">
      <alignment horizontal="center" vertical="center"/>
    </xf>
    <xf numFmtId="172" fontId="11" fillId="0" borderId="4" xfId="45" applyNumberFormat="1" applyFont="1" applyBorder="1" applyAlignment="1" applyProtection="1">
      <alignment horizontal="center" vertical="center"/>
    </xf>
    <xf numFmtId="0" fontId="11" fillId="0" borderId="4" xfId="45" applyFont="1" applyBorder="1" applyAlignment="1" applyProtection="1">
      <alignment horizontal="center" vertical="center"/>
    </xf>
    <xf numFmtId="172" fontId="11" fillId="0" borderId="7" xfId="45" applyNumberFormat="1" applyFont="1" applyBorder="1" applyAlignment="1" applyProtection="1">
      <alignment horizontal="center" vertical="center"/>
    </xf>
    <xf numFmtId="0" fontId="11" fillId="0" borderId="7" xfId="45" applyFont="1" applyBorder="1" applyAlignment="1" applyProtection="1">
      <alignment horizontal="center" vertical="center"/>
    </xf>
    <xf numFmtId="172" fontId="11" fillId="0" borderId="12" xfId="45" applyNumberFormat="1" applyFont="1" applyBorder="1" applyAlignment="1" applyProtection="1">
      <alignment horizontal="center" vertical="center"/>
    </xf>
    <xf numFmtId="171" fontId="11" fillId="0" borderId="12" xfId="45" applyNumberFormat="1" applyFont="1" applyBorder="1" applyAlignment="1" applyProtection="1">
      <alignment horizontal="center" vertical="center"/>
    </xf>
    <xf numFmtId="3" fontId="11" fillId="2" borderId="12" xfId="45" applyNumberFormat="1" applyFont="1" applyFill="1" applyBorder="1" applyAlignment="1" applyProtection="1">
      <alignment vertical="center"/>
      <protection locked="0"/>
    </xf>
    <xf numFmtId="3" fontId="11" fillId="0" borderId="12" xfId="45" applyNumberFormat="1" applyFont="1" applyFill="1" applyBorder="1" applyAlignment="1" applyProtection="1">
      <alignment vertical="center"/>
    </xf>
    <xf numFmtId="3" fontId="11" fillId="0" borderId="13" xfId="45" applyNumberFormat="1" applyFont="1" applyFill="1" applyBorder="1" applyAlignment="1" applyProtection="1">
      <alignment vertical="center"/>
    </xf>
    <xf numFmtId="3" fontId="11" fillId="2" borderId="13" xfId="45" applyNumberFormat="1" applyFont="1" applyFill="1" applyBorder="1" applyAlignment="1" applyProtection="1">
      <alignment vertical="center"/>
      <protection locked="0"/>
    </xf>
    <xf numFmtId="0" fontId="11" fillId="0" borderId="12" xfId="45" applyFont="1" applyBorder="1" applyAlignment="1" applyProtection="1">
      <alignment horizontal="center" vertical="center"/>
    </xf>
    <xf numFmtId="0" fontId="11" fillId="0" borderId="13" xfId="45" applyFont="1" applyBorder="1" applyAlignment="1" applyProtection="1">
      <alignment horizontal="center" vertical="center"/>
    </xf>
    <xf numFmtId="0" fontId="15" fillId="0" borderId="13" xfId="45" applyFont="1" applyBorder="1" applyAlignment="1" applyProtection="1">
      <alignment horizontal="center" vertical="center"/>
    </xf>
    <xf numFmtId="3" fontId="11" fillId="0" borderId="2" xfId="45" applyNumberFormat="1" applyFont="1" applyBorder="1" applyAlignment="1" applyProtection="1">
      <alignment vertical="center"/>
    </xf>
    <xf numFmtId="3" fontId="11" fillId="0" borderId="14" xfId="45" applyNumberFormat="1" applyFont="1" applyBorder="1" applyAlignment="1" applyProtection="1">
      <alignment vertical="center"/>
    </xf>
    <xf numFmtId="3" fontId="11" fillId="0" borderId="3" xfId="45" applyNumberFormat="1" applyFont="1" applyBorder="1" applyAlignment="1" applyProtection="1">
      <alignment vertical="center"/>
    </xf>
    <xf numFmtId="0" fontId="41" fillId="0" borderId="0" xfId="45" applyFont="1" applyBorder="1" applyAlignment="1" applyProtection="1">
      <alignment horizontal="center" vertical="center"/>
    </xf>
    <xf numFmtId="0" fontId="11" fillId="0" borderId="0" xfId="45" applyFont="1" applyBorder="1" applyAlignment="1" applyProtection="1">
      <alignment horizontal="center" vertical="center"/>
    </xf>
    <xf numFmtId="0" fontId="80" fillId="0" borderId="0" xfId="45" applyFont="1" applyAlignment="1" applyProtection="1">
      <alignment horizontal="right" vertical="center"/>
    </xf>
    <xf numFmtId="172" fontId="22" fillId="0" borderId="0" xfId="45" applyNumberFormat="1" applyFont="1" applyAlignment="1" applyProtection="1">
      <alignment horizontal="center" vertical="center"/>
    </xf>
    <xf numFmtId="0" fontId="22" fillId="0" borderId="0" xfId="45" applyFont="1" applyAlignment="1" applyProtection="1">
      <alignment vertical="center"/>
    </xf>
    <xf numFmtId="172" fontId="11" fillId="0" borderId="12" xfId="45" applyNumberFormat="1" applyFont="1" applyBorder="1" applyAlignment="1" applyProtection="1">
      <alignment horizontal="left" vertical="center"/>
    </xf>
    <xf numFmtId="172" fontId="11" fillId="0" borderId="13" xfId="45" applyNumberFormat="1" applyFont="1" applyBorder="1" applyAlignment="1" applyProtection="1">
      <alignment horizontal="left" vertical="center"/>
    </xf>
    <xf numFmtId="172" fontId="11" fillId="0" borderId="12" xfId="45" applyNumberFormat="1" applyFont="1" applyFill="1" applyBorder="1" applyAlignment="1" applyProtection="1">
      <alignment horizontal="left" vertical="center"/>
    </xf>
    <xf numFmtId="0" fontId="11" fillId="0" borderId="4" xfId="45" applyFont="1" applyBorder="1" applyAlignment="1" applyProtection="1">
      <alignment horizontal="left" vertical="center"/>
    </xf>
    <xf numFmtId="0" fontId="11" fillId="0" borderId="12" xfId="45" applyFont="1" applyBorder="1" applyAlignment="1" applyProtection="1">
      <alignment horizontal="left" vertical="center"/>
    </xf>
    <xf numFmtId="0" fontId="11" fillId="0" borderId="13" xfId="45" applyFont="1" applyBorder="1" applyAlignment="1" applyProtection="1">
      <alignment horizontal="left" vertical="center"/>
    </xf>
    <xf numFmtId="0" fontId="15" fillId="0" borderId="13" xfId="45" applyFont="1" applyBorder="1" applyAlignment="1" applyProtection="1">
      <alignment horizontal="left" vertical="center"/>
    </xf>
    <xf numFmtId="0" fontId="162" fillId="0" borderId="0" xfId="34" applyFont="1" applyAlignment="1" applyProtection="1">
      <alignment horizontal="center" vertical="center"/>
    </xf>
    <xf numFmtId="0" fontId="160" fillId="0" borderId="0" xfId="34" applyFont="1" applyAlignment="1" applyProtection="1">
      <alignment horizontal="center"/>
    </xf>
    <xf numFmtId="0" fontId="161" fillId="0" borderId="0" xfId="34" applyFont="1" applyAlignment="1" applyProtection="1">
      <alignment horizontal="left" vertical="center"/>
    </xf>
    <xf numFmtId="169" fontId="44" fillId="8" borderId="0" xfId="34" applyNumberFormat="1" applyFont="1" applyFill="1" applyAlignment="1" applyProtection="1">
      <alignment horizontal="left" vertical="center"/>
    </xf>
    <xf numFmtId="0" fontId="142" fillId="0" borderId="0" xfId="34" applyFont="1" applyAlignment="1" applyProtection="1">
      <alignment horizontal="left" vertical="center" indent="1"/>
      <protection locked="0"/>
    </xf>
    <xf numFmtId="0" fontId="19" fillId="0" borderId="0" xfId="34" applyFont="1" applyAlignment="1" applyProtection="1">
      <alignment horizontal="left" vertical="center" indent="1"/>
    </xf>
    <xf numFmtId="169" fontId="11" fillId="8" borderId="0" xfId="34" applyNumberFormat="1" applyFont="1" applyFill="1" applyAlignment="1" applyProtection="1">
      <alignment horizontal="left" vertical="center"/>
    </xf>
    <xf numFmtId="0" fontId="19" fillId="0" borderId="0" xfId="35" applyFont="1" applyAlignment="1" applyProtection="1">
      <alignment horizontal="left" vertical="center" indent="1"/>
    </xf>
    <xf numFmtId="0" fontId="158" fillId="0" borderId="0" xfId="35" applyFont="1" applyAlignment="1" applyProtection="1">
      <alignment horizontal="left" vertical="center" indent="1"/>
    </xf>
    <xf numFmtId="172" fontId="61" fillId="0" borderId="103" xfId="33" applyNumberFormat="1" applyFont="1" applyFill="1" applyBorder="1" applyAlignment="1" applyProtection="1">
      <alignment horizontal="center" vertical="top"/>
    </xf>
    <xf numFmtId="3" fontId="61" fillId="11" borderId="76" xfId="33" applyNumberFormat="1" applyFont="1" applyFill="1" applyBorder="1" applyAlignment="1" applyProtection="1">
      <alignment vertical="top"/>
      <protection locked="0"/>
    </xf>
    <xf numFmtId="0" fontId="15" fillId="3" borderId="13" xfId="30" applyFont="1" applyFill="1" applyBorder="1" applyAlignment="1" applyProtection="1">
      <alignment vertical="center"/>
    </xf>
    <xf numFmtId="0" fontId="15" fillId="0" borderId="76" xfId="23" applyFont="1" applyBorder="1" applyAlignment="1" applyProtection="1">
      <alignment horizontal="center" vertical="center"/>
    </xf>
    <xf numFmtId="3" fontId="11" fillId="0" borderId="76" xfId="23" applyNumberFormat="1" applyFont="1" applyFill="1" applyBorder="1" applyAlignment="1" applyProtection="1">
      <alignment vertical="center"/>
    </xf>
    <xf numFmtId="3" fontId="11" fillId="0" borderId="74" xfId="23" applyNumberFormat="1" applyFont="1" applyFill="1" applyBorder="1" applyAlignment="1" applyProtection="1">
      <alignment vertical="center"/>
    </xf>
    <xf numFmtId="3" fontId="11" fillId="2" borderId="75" xfId="25" applyNumberFormat="1" applyFont="1" applyFill="1" applyBorder="1" applyAlignment="1" applyProtection="1">
      <alignment vertical="center"/>
      <protection locked="0"/>
    </xf>
    <xf numFmtId="0" fontId="11" fillId="0" borderId="77" xfId="0" applyFont="1" applyBorder="1" applyAlignment="1" applyProtection="1">
      <alignment vertical="center"/>
    </xf>
    <xf numFmtId="172" fontId="11" fillId="0" borderId="103" xfId="27" applyNumberFormat="1" applyFont="1" applyBorder="1" applyAlignment="1" applyProtection="1">
      <alignment horizontal="center"/>
    </xf>
    <xf numFmtId="3" fontId="11" fillId="2" borderId="76" xfId="27" applyNumberFormat="1" applyFont="1" applyFill="1" applyBorder="1" applyAlignment="1" applyProtection="1">
      <protection locked="0"/>
    </xf>
    <xf numFmtId="3" fontId="11" fillId="0" borderId="75" xfId="27" applyNumberFormat="1" applyFont="1" applyFill="1" applyBorder="1" applyAlignment="1" applyProtection="1"/>
    <xf numFmtId="3" fontId="11" fillId="2" borderId="75" xfId="20" applyNumberFormat="1" applyFont="1" applyFill="1" applyBorder="1" applyAlignment="1" applyProtection="1">
      <alignment vertical="center"/>
      <protection locked="0"/>
    </xf>
    <xf numFmtId="3" fontId="11" fillId="2" borderId="75" xfId="30" applyNumberFormat="1" applyFont="1" applyFill="1" applyBorder="1" applyAlignment="1" applyProtection="1">
      <alignment vertical="center"/>
      <protection locked="0"/>
    </xf>
    <xf numFmtId="0" fontId="11" fillId="0" borderId="75" xfId="30" applyFont="1" applyFill="1" applyBorder="1" applyAlignment="1" applyProtection="1">
      <alignment horizontal="center" vertical="center"/>
    </xf>
    <xf numFmtId="172" fontId="18" fillId="0" borderId="75" xfId="31" applyNumberFormat="1" applyFont="1" applyFill="1" applyBorder="1" applyAlignment="1" applyProtection="1">
      <alignment horizontal="center" vertical="center"/>
    </xf>
    <xf numFmtId="3" fontId="11" fillId="2" borderId="75" xfId="31" applyNumberFormat="1" applyFont="1" applyFill="1" applyBorder="1" applyAlignment="1" applyProtection="1">
      <alignment vertical="center"/>
      <protection locked="0"/>
    </xf>
    <xf numFmtId="3" fontId="61" fillId="11" borderId="75" xfId="33" applyNumberFormat="1" applyFont="1" applyFill="1" applyBorder="1" applyAlignment="1" applyProtection="1">
      <alignment vertical="top"/>
      <protection locked="0"/>
    </xf>
    <xf numFmtId="0" fontId="11" fillId="0" borderId="75" xfId="37" applyFont="1" applyBorder="1" applyAlignment="1" applyProtection="1">
      <alignment horizontal="center" vertical="center"/>
    </xf>
    <xf numFmtId="172" fontId="11" fillId="0" borderId="75" xfId="41" applyNumberFormat="1" applyFont="1" applyBorder="1" applyAlignment="1" applyProtection="1">
      <alignment horizontal="center" vertical="center"/>
    </xf>
    <xf numFmtId="3" fontId="11" fillId="2" borderId="75" xfId="41" applyNumberFormat="1" applyFont="1" applyFill="1" applyBorder="1" applyAlignment="1" applyProtection="1">
      <alignment vertical="center"/>
      <protection locked="0"/>
    </xf>
    <xf numFmtId="172" fontId="11" fillId="0" borderId="75" xfId="43" applyNumberFormat="1" applyFont="1" applyBorder="1" applyAlignment="1" applyProtection="1">
      <alignment horizontal="center" vertical="center"/>
    </xf>
    <xf numFmtId="3" fontId="11" fillId="2" borderId="75" xfId="43" applyNumberFormat="1" applyFont="1" applyFill="1" applyBorder="1" applyAlignment="1" applyProtection="1">
      <alignment vertical="center"/>
      <protection locked="0"/>
    </xf>
    <xf numFmtId="3" fontId="11" fillId="2" borderId="75" xfId="16" applyNumberFormat="1" applyFont="1" applyFill="1" applyBorder="1" applyAlignment="1" applyProtection="1">
      <alignment vertical="center"/>
      <protection locked="0"/>
    </xf>
    <xf numFmtId="3" fontId="11" fillId="0" borderId="75" xfId="16" applyNumberFormat="1" applyFont="1" applyFill="1" applyBorder="1" applyAlignment="1" applyProtection="1">
      <alignment vertical="center"/>
    </xf>
    <xf numFmtId="3" fontId="11" fillId="2" borderId="0" xfId="15" applyNumberFormat="1" applyFont="1" applyFill="1" applyBorder="1" applyAlignment="1" applyProtection="1">
      <alignment vertical="center"/>
      <protection locked="0"/>
    </xf>
    <xf numFmtId="3" fontId="11" fillId="2" borderId="7" xfId="15" applyNumberFormat="1" applyFont="1" applyFill="1" applyBorder="1" applyAlignment="1" applyProtection="1">
      <alignment vertical="center"/>
      <protection locked="0"/>
    </xf>
    <xf numFmtId="3" fontId="11" fillId="0" borderId="78" xfId="18" applyNumberFormat="1" applyFont="1" applyFill="1" applyBorder="1" applyAlignment="1" applyProtection="1">
      <alignment vertical="center"/>
    </xf>
    <xf numFmtId="3" fontId="18" fillId="0" borderId="75" xfId="18" applyNumberFormat="1" applyFont="1" applyFill="1" applyBorder="1" applyAlignment="1" applyProtection="1">
      <alignment vertical="center"/>
    </xf>
    <xf numFmtId="3" fontId="11" fillId="0" borderId="63" xfId="27" applyNumberFormat="1" applyFont="1" applyFill="1" applyBorder="1" applyAlignment="1" applyProtection="1"/>
    <xf numFmtId="3" fontId="18" fillId="2" borderId="63" xfId="28" applyNumberFormat="1" applyFont="1" applyFill="1" applyBorder="1" applyAlignment="1" applyProtection="1">
      <alignment vertical="center"/>
      <protection locked="0"/>
    </xf>
    <xf numFmtId="3" fontId="11" fillId="2" borderId="76" xfId="13" applyNumberFormat="1" applyFont="1" applyFill="1" applyBorder="1" applyAlignment="1" applyProtection="1">
      <alignment vertical="center"/>
      <protection locked="0"/>
    </xf>
    <xf numFmtId="3" fontId="11" fillId="0" borderId="78" xfId="13" applyNumberFormat="1" applyFont="1" applyFill="1" applyBorder="1" applyAlignment="1" applyProtection="1">
      <alignment vertical="center"/>
    </xf>
    <xf numFmtId="3" fontId="18" fillId="0" borderId="75" xfId="13" applyNumberFormat="1" applyFont="1" applyFill="1" applyBorder="1" applyAlignment="1" applyProtection="1">
      <alignment horizontal="right" vertical="center"/>
    </xf>
    <xf numFmtId="172" fontId="11" fillId="0" borderId="75" xfId="9" applyNumberFormat="1" applyFont="1" applyBorder="1" applyAlignment="1" applyProtection="1">
      <alignment horizontal="center" vertical="center"/>
    </xf>
    <xf numFmtId="3" fontId="11" fillId="0" borderId="75" xfId="9" applyNumberFormat="1" applyFont="1" applyFill="1" applyBorder="1" applyAlignment="1" applyProtection="1">
      <alignment vertical="center"/>
    </xf>
    <xf numFmtId="3" fontId="11" fillId="0" borderId="13" xfId="40" applyNumberFormat="1" applyFont="1" applyFill="1" applyBorder="1" applyAlignment="1" applyProtection="1">
      <alignment horizontal="right" vertical="center"/>
    </xf>
    <xf numFmtId="172" fontId="18" fillId="0" borderId="75" xfId="0" applyNumberFormat="1" applyFont="1" applyBorder="1" applyAlignment="1" applyProtection="1">
      <alignment horizontal="center" vertical="center"/>
    </xf>
    <xf numFmtId="3" fontId="11" fillId="2" borderId="75" xfId="9" applyNumberFormat="1" applyFont="1" applyFill="1" applyBorder="1" applyAlignment="1" applyProtection="1">
      <alignment vertical="center"/>
      <protection locked="0"/>
    </xf>
    <xf numFmtId="3" fontId="11" fillId="2" borderId="75" xfId="17" applyNumberFormat="1" applyFont="1" applyFill="1" applyBorder="1" applyAlignment="1" applyProtection="1">
      <alignment vertical="center"/>
      <protection locked="0"/>
    </xf>
    <xf numFmtId="3" fontId="11" fillId="2" borderId="63" xfId="22" applyNumberFormat="1" applyFont="1" applyFill="1" applyBorder="1" applyAlignment="1" applyProtection="1">
      <alignment vertical="center"/>
      <protection locked="0"/>
    </xf>
    <xf numFmtId="3" fontId="11" fillId="2" borderId="75" xfId="18" applyNumberFormat="1" applyFont="1" applyFill="1" applyBorder="1" applyAlignment="1" applyProtection="1">
      <alignment vertical="center"/>
      <protection locked="0"/>
    </xf>
    <xf numFmtId="3" fontId="11" fillId="0" borderId="76" xfId="35" applyNumberFormat="1" applyFont="1" applyFill="1" applyBorder="1" applyAlignment="1" applyProtection="1">
      <alignment vertical="center"/>
    </xf>
    <xf numFmtId="0" fontId="11" fillId="0" borderId="73" xfId="0" applyFont="1" applyBorder="1" applyAlignment="1" applyProtection="1">
      <alignment horizontal="center" vertical="center"/>
    </xf>
    <xf numFmtId="0" fontId="18" fillId="0" borderId="75" xfId="0" applyFont="1" applyBorder="1" applyAlignment="1" applyProtection="1">
      <alignment vertical="top"/>
    </xf>
    <xf numFmtId="0" fontId="11" fillId="0" borderId="75" xfId="40" applyFont="1" applyBorder="1" applyAlignment="1" applyProtection="1">
      <alignment vertical="center"/>
    </xf>
    <xf numFmtId="172" fontId="11" fillId="0" borderId="75" xfId="22" applyNumberFormat="1" applyFont="1" applyBorder="1" applyAlignment="1" applyProtection="1">
      <alignment horizontal="center" vertical="center"/>
    </xf>
    <xf numFmtId="0" fontId="18" fillId="0" borderId="75" xfId="0" applyFont="1" applyBorder="1" applyAlignment="1" applyProtection="1">
      <alignment vertical="center"/>
    </xf>
    <xf numFmtId="0" fontId="73" fillId="0" borderId="73" xfId="26" applyFont="1" applyFill="1" applyBorder="1" applyAlignment="1" applyProtection="1">
      <alignment horizontal="center"/>
    </xf>
    <xf numFmtId="172" fontId="11" fillId="0" borderId="75" xfId="26" applyNumberFormat="1" applyFont="1" applyBorder="1" applyAlignment="1" applyProtection="1">
      <alignment horizontal="left"/>
    </xf>
    <xf numFmtId="0" fontId="73" fillId="0" borderId="73" xfId="42" applyFont="1" applyBorder="1" applyAlignment="1" applyProtection="1">
      <alignment horizontal="center" vertical="center"/>
    </xf>
    <xf numFmtId="172" fontId="11" fillId="0" borderId="75" xfId="42" applyNumberFormat="1" applyFont="1" applyBorder="1" applyAlignment="1" applyProtection="1">
      <alignment horizontal="left" vertical="center"/>
    </xf>
    <xf numFmtId="0" fontId="18" fillId="0" borderId="0" xfId="46" applyFont="1" applyFill="1" applyAlignment="1" applyProtection="1"/>
    <xf numFmtId="3" fontId="18" fillId="0" borderId="0" xfId="46" applyNumberFormat="1" applyFont="1" applyFill="1" applyBorder="1" applyAlignment="1" applyProtection="1"/>
    <xf numFmtId="2" fontId="18" fillId="0" borderId="0" xfId="46" applyNumberFormat="1" applyFont="1" applyFill="1" applyBorder="1" applyAlignment="1" applyProtection="1"/>
    <xf numFmtId="0" fontId="30" fillId="0" borderId="0" xfId="46" applyFont="1" applyFill="1" applyAlignment="1" applyProtection="1"/>
    <xf numFmtId="169" fontId="18" fillId="0" borderId="0" xfId="46" applyNumberFormat="1" applyFont="1" applyFill="1" applyBorder="1" applyAlignment="1" applyProtection="1">
      <alignment vertical="center"/>
    </xf>
    <xf numFmtId="3" fontId="18" fillId="0" borderId="0" xfId="46" applyNumberFormat="1" applyFont="1" applyFill="1" applyBorder="1" applyAlignment="1" applyProtection="1">
      <alignment vertical="center"/>
    </xf>
    <xf numFmtId="171" fontId="18" fillId="0" borderId="0" xfId="46" applyNumberFormat="1" applyFont="1" applyFill="1" applyBorder="1" applyAlignment="1" applyProtection="1">
      <alignment horizontal="center" vertical="center"/>
    </xf>
    <xf numFmtId="2" fontId="18" fillId="0" borderId="0" xfId="46" applyNumberFormat="1" applyFont="1" applyFill="1" applyBorder="1" applyAlignment="1" applyProtection="1">
      <alignment vertical="center"/>
    </xf>
    <xf numFmtId="0" fontId="30" fillId="0" borderId="0" xfId="46" applyFont="1" applyFill="1" applyAlignment="1" applyProtection="1">
      <alignment horizontal="center" vertical="center"/>
    </xf>
    <xf numFmtId="0" fontId="30" fillId="0" borderId="0" xfId="46" applyFont="1" applyFill="1" applyAlignment="1" applyProtection="1">
      <alignment vertical="center"/>
    </xf>
    <xf numFmtId="0" fontId="18" fillId="0" borderId="0" xfId="46" applyFont="1" applyFill="1" applyBorder="1" applyAlignment="1" applyProtection="1"/>
    <xf numFmtId="0" fontId="30" fillId="0" borderId="0" xfId="46" applyFont="1" applyFill="1" applyAlignment="1" applyProtection="1">
      <protection locked="0"/>
    </xf>
    <xf numFmtId="0" fontId="107" fillId="0" borderId="0" xfId="46" applyFont="1" applyFill="1" applyAlignment="1" applyProtection="1"/>
    <xf numFmtId="3" fontId="21" fillId="0" borderId="77" xfId="46" applyNumberFormat="1" applyFont="1" applyFill="1" applyBorder="1" applyAlignment="1" applyProtection="1">
      <alignment vertical="center"/>
    </xf>
    <xf numFmtId="0" fontId="18" fillId="0" borderId="61" xfId="46" applyFont="1" applyFill="1" applyBorder="1" applyAlignment="1" applyProtection="1">
      <alignment horizontal="center"/>
    </xf>
    <xf numFmtId="3" fontId="11" fillId="2" borderId="75" xfId="40" applyNumberFormat="1" applyFont="1" applyFill="1" applyBorder="1" applyAlignment="1" applyProtection="1">
      <alignment vertical="center"/>
      <protection locked="0"/>
    </xf>
    <xf numFmtId="3" fontId="11" fillId="2" borderId="75" xfId="22" applyNumberFormat="1" applyFont="1" applyFill="1" applyBorder="1" applyAlignment="1" applyProtection="1">
      <alignment vertical="center"/>
      <protection locked="0"/>
    </xf>
    <xf numFmtId="3" fontId="11" fillId="2" borderId="75" xfId="11" applyNumberFormat="1" applyFont="1" applyFill="1" applyBorder="1" applyAlignment="1" applyProtection="1">
      <alignment vertical="center"/>
      <protection locked="0"/>
    </xf>
    <xf numFmtId="3" fontId="11" fillId="2" borderId="75" xfId="13" applyNumberFormat="1" applyFont="1" applyFill="1" applyBorder="1" applyAlignment="1" applyProtection="1">
      <alignment vertical="center"/>
      <protection locked="0"/>
    </xf>
    <xf numFmtId="3" fontId="11" fillId="2" borderId="75" xfId="15" applyNumberFormat="1" applyFont="1" applyFill="1" applyBorder="1" applyAlignment="1" applyProtection="1">
      <alignment vertical="center"/>
      <protection locked="0"/>
    </xf>
    <xf numFmtId="3" fontId="11" fillId="2" borderId="75" xfId="19" applyNumberFormat="1" applyFont="1" applyFill="1" applyBorder="1" applyAlignment="1" applyProtection="1">
      <alignment vertical="center"/>
      <protection locked="0"/>
    </xf>
    <xf numFmtId="3" fontId="18" fillId="2" borderId="75" xfId="0" applyNumberFormat="1" applyFont="1" applyFill="1" applyBorder="1" applyAlignment="1" applyProtection="1">
      <alignment vertical="center"/>
      <protection locked="0"/>
    </xf>
    <xf numFmtId="1" fontId="11" fillId="0" borderId="77" xfId="33" applyNumberFormat="1" applyFont="1" applyBorder="1" applyAlignment="1" applyProtection="1">
      <alignment horizontal="left" vertical="center"/>
    </xf>
    <xf numFmtId="0" fontId="11" fillId="0" borderId="103" xfId="40" applyFont="1" applyBorder="1" applyAlignment="1" applyProtection="1">
      <alignment vertical="center"/>
    </xf>
    <xf numFmtId="0" fontId="11" fillId="0" borderId="77" xfId="40" applyFont="1" applyBorder="1" applyAlignment="1" applyProtection="1">
      <alignment vertical="center"/>
    </xf>
    <xf numFmtId="0" fontId="11" fillId="0" borderId="72" xfId="40" applyFont="1" applyBorder="1" applyAlignment="1" applyProtection="1">
      <alignment vertical="center"/>
    </xf>
    <xf numFmtId="0" fontId="11" fillId="0" borderId="104" xfId="40" applyFont="1" applyBorder="1" applyAlignment="1" applyProtection="1">
      <alignment vertical="center"/>
    </xf>
    <xf numFmtId="1" fontId="11" fillId="0" borderId="77" xfId="40" applyNumberFormat="1" applyFont="1" applyBorder="1" applyAlignment="1" applyProtection="1">
      <alignment vertical="center"/>
    </xf>
    <xf numFmtId="1" fontId="11" fillId="0" borderId="103" xfId="40" applyNumberFormat="1" applyFont="1" applyBorder="1" applyAlignment="1" applyProtection="1">
      <alignment vertical="center"/>
    </xf>
    <xf numFmtId="0" fontId="11" fillId="0" borderId="77" xfId="21" applyFont="1" applyBorder="1" applyAlignment="1" applyProtection="1">
      <alignment vertical="center"/>
    </xf>
    <xf numFmtId="0" fontId="11" fillId="0" borderId="103" xfId="21" applyFont="1" applyBorder="1" applyAlignment="1" applyProtection="1">
      <alignment vertical="center"/>
    </xf>
    <xf numFmtId="172" fontId="11" fillId="0" borderId="77" xfId="21" applyNumberFormat="1" applyFont="1" applyBorder="1" applyAlignment="1" applyProtection="1">
      <alignment vertical="center"/>
    </xf>
    <xf numFmtId="1" fontId="11" fillId="0" borderId="77" xfId="33" applyNumberFormat="1" applyFont="1" applyBorder="1" applyAlignment="1" applyProtection="1">
      <alignment vertical="center"/>
    </xf>
    <xf numFmtId="1" fontId="11" fillId="0" borderId="103" xfId="33" applyNumberFormat="1" applyFont="1" applyBorder="1" applyAlignment="1" applyProtection="1">
      <alignment vertical="center"/>
    </xf>
    <xf numFmtId="0" fontId="11" fillId="0" borderId="77" xfId="33" applyFont="1" applyBorder="1" applyAlignment="1" applyProtection="1">
      <alignment vertical="center"/>
    </xf>
    <xf numFmtId="0" fontId="11" fillId="0" borderId="103" xfId="33" applyFont="1" applyBorder="1" applyAlignment="1" applyProtection="1">
      <alignment vertical="center"/>
    </xf>
    <xf numFmtId="0" fontId="11" fillId="0" borderId="65" xfId="40" applyFont="1" applyBorder="1" applyAlignment="1" applyProtection="1">
      <alignment vertical="center"/>
    </xf>
    <xf numFmtId="0" fontId="11" fillId="0" borderId="78" xfId="40" applyFont="1" applyBorder="1" applyAlignment="1" applyProtection="1">
      <alignment vertical="center"/>
    </xf>
    <xf numFmtId="0" fontId="11" fillId="0" borderId="77" xfId="40" applyFont="1" applyFill="1" applyBorder="1" applyAlignment="1" applyProtection="1">
      <alignment vertical="center"/>
    </xf>
    <xf numFmtId="0" fontId="11" fillId="0" borderId="103" xfId="40" applyFont="1" applyFill="1" applyBorder="1" applyAlignment="1" applyProtection="1">
      <alignment vertical="center"/>
    </xf>
    <xf numFmtId="0" fontId="11" fillId="0" borderId="65" xfId="33" applyFont="1" applyBorder="1" applyAlignment="1" applyProtection="1">
      <alignment vertical="center"/>
    </xf>
    <xf numFmtId="0" fontId="11" fillId="0" borderId="78" xfId="33" applyFont="1" applyBorder="1" applyAlignment="1" applyProtection="1">
      <alignment vertical="center"/>
    </xf>
    <xf numFmtId="1" fontId="11" fillId="0" borderId="65" xfId="40" applyNumberFormat="1" applyFont="1" applyBorder="1" applyAlignment="1" applyProtection="1">
      <alignment horizontal="left" vertical="center"/>
    </xf>
    <xf numFmtId="1" fontId="11" fillId="0" borderId="78" xfId="40" applyNumberFormat="1" applyFont="1" applyBorder="1" applyAlignment="1" applyProtection="1">
      <alignment horizontal="left" vertical="center"/>
    </xf>
    <xf numFmtId="1" fontId="11" fillId="0" borderId="65" xfId="33" applyNumberFormat="1" applyFont="1" applyBorder="1" applyAlignment="1" applyProtection="1">
      <alignment horizontal="left" vertical="center"/>
    </xf>
    <xf numFmtId="1" fontId="11" fillId="0" borderId="78" xfId="33" applyNumberFormat="1" applyFont="1" applyBorder="1" applyAlignment="1" applyProtection="1">
      <alignment horizontal="left" vertical="center"/>
    </xf>
    <xf numFmtId="0" fontId="11" fillId="0" borderId="65" xfId="21" applyFont="1" applyBorder="1" applyAlignment="1" applyProtection="1">
      <alignment horizontal="left" vertical="center"/>
    </xf>
    <xf numFmtId="172" fontId="11" fillId="0" borderId="65" xfId="21" applyNumberFormat="1" applyFont="1" applyBorder="1" applyAlignment="1" applyProtection="1">
      <alignment horizontal="left" vertical="center"/>
    </xf>
    <xf numFmtId="0" fontId="11" fillId="0" borderId="78" xfId="21" applyFont="1" applyBorder="1" applyAlignment="1" applyProtection="1">
      <alignment horizontal="left" vertical="center"/>
    </xf>
    <xf numFmtId="172" fontId="11" fillId="0" borderId="78" xfId="21" applyNumberFormat="1" applyFont="1" applyBorder="1" applyAlignment="1" applyProtection="1">
      <alignment horizontal="left" vertical="center"/>
    </xf>
    <xf numFmtId="1" fontId="18" fillId="0" borderId="104" xfId="40" applyNumberFormat="1" applyFont="1" applyBorder="1" applyAlignment="1" applyProtection="1">
      <alignment horizontal="center" vertical="center"/>
    </xf>
    <xf numFmtId="1" fontId="18" fillId="0" borderId="63" xfId="40" applyNumberFormat="1" applyFont="1" applyBorder="1" applyAlignment="1" applyProtection="1">
      <alignment horizontal="center" vertical="center"/>
    </xf>
    <xf numFmtId="0" fontId="11" fillId="0" borderId="63" xfId="40" applyFont="1" applyBorder="1" applyAlignment="1" applyProtection="1">
      <alignment horizontal="center" vertical="center"/>
    </xf>
    <xf numFmtId="0" fontId="11" fillId="0" borderId="75" xfId="40" applyFont="1" applyBorder="1" applyAlignment="1" applyProtection="1">
      <alignment horizontal="center" vertical="center"/>
    </xf>
    <xf numFmtId="0" fontId="11" fillId="0" borderId="76" xfId="40" applyFont="1" applyBorder="1" applyAlignment="1" applyProtection="1">
      <alignment horizontal="center" vertical="center"/>
    </xf>
    <xf numFmtId="0" fontId="11" fillId="0" borderId="76" xfId="40" applyFont="1" applyFill="1" applyBorder="1" applyAlignment="1" applyProtection="1">
      <alignment horizontal="center" vertical="center"/>
    </xf>
    <xf numFmtId="0" fontId="11" fillId="0" borderId="75" xfId="40" applyFont="1" applyFill="1" applyBorder="1" applyAlignment="1" applyProtection="1">
      <alignment horizontal="center" vertical="center"/>
    </xf>
    <xf numFmtId="0" fontId="11" fillId="0" borderId="104" xfId="40" applyFont="1" applyBorder="1" applyAlignment="1" applyProtection="1">
      <alignment horizontal="center" vertical="center"/>
    </xf>
    <xf numFmtId="0" fontId="11" fillId="0" borderId="76" xfId="33" applyFont="1" applyBorder="1" applyAlignment="1" applyProtection="1">
      <alignment vertical="center"/>
    </xf>
    <xf numFmtId="0" fontId="11" fillId="0" borderId="104" xfId="33" applyFont="1" applyBorder="1" applyAlignment="1" applyProtection="1">
      <alignment vertical="center"/>
    </xf>
    <xf numFmtId="172" fontId="11" fillId="0" borderId="63" xfId="33" applyNumberFormat="1" applyFont="1" applyFill="1" applyBorder="1" applyAlignment="1" applyProtection="1">
      <alignment horizontal="center" vertical="center"/>
    </xf>
    <xf numFmtId="172" fontId="11" fillId="0" borderId="75" xfId="33" applyNumberFormat="1" applyFont="1" applyFill="1" applyBorder="1" applyAlignment="1" applyProtection="1">
      <alignment horizontal="center" vertical="center"/>
    </xf>
    <xf numFmtId="172" fontId="11" fillId="0" borderId="104" xfId="33" applyNumberFormat="1" applyFont="1" applyFill="1" applyBorder="1" applyAlignment="1" applyProtection="1">
      <alignment horizontal="center" vertical="center"/>
    </xf>
    <xf numFmtId="1" fontId="11" fillId="0" borderId="76" xfId="40" applyNumberFormat="1" applyFont="1" applyBorder="1" applyAlignment="1" applyProtection="1">
      <alignment vertical="center"/>
    </xf>
    <xf numFmtId="1" fontId="11" fillId="0" borderId="104" xfId="40" applyNumberFormat="1" applyFont="1" applyBorder="1" applyAlignment="1" applyProtection="1">
      <alignment vertical="center"/>
    </xf>
    <xf numFmtId="1" fontId="11" fillId="0" borderId="75" xfId="40" applyNumberFormat="1" applyFont="1" applyBorder="1" applyAlignment="1" applyProtection="1">
      <alignment horizontal="center" vertical="center"/>
    </xf>
    <xf numFmtId="1" fontId="11" fillId="0" borderId="76" xfId="33" applyNumberFormat="1" applyFont="1" applyBorder="1" applyAlignment="1" applyProtection="1">
      <alignment vertical="center"/>
    </xf>
    <xf numFmtId="1" fontId="11" fillId="0" borderId="104" xfId="33" applyNumberFormat="1" applyFont="1" applyBorder="1" applyAlignment="1" applyProtection="1">
      <alignment vertical="center"/>
    </xf>
    <xf numFmtId="1" fontId="18" fillId="0" borderId="76" xfId="40" applyNumberFormat="1" applyFont="1" applyBorder="1" applyAlignment="1" applyProtection="1">
      <alignment horizontal="center" vertical="center"/>
    </xf>
    <xf numFmtId="1" fontId="18" fillId="0" borderId="75" xfId="40" applyNumberFormat="1" applyFont="1" applyBorder="1" applyAlignment="1" applyProtection="1">
      <alignment horizontal="center" vertical="center"/>
    </xf>
    <xf numFmtId="0" fontId="11" fillId="0" borderId="76" xfId="21" applyFont="1" applyBorder="1" applyAlignment="1" applyProtection="1">
      <alignment vertical="center"/>
    </xf>
    <xf numFmtId="0" fontId="11" fillId="0" borderId="104" xfId="21" applyFont="1" applyBorder="1" applyAlignment="1" applyProtection="1">
      <alignment vertical="center"/>
    </xf>
    <xf numFmtId="172" fontId="11" fillId="0" borderId="76" xfId="21" applyNumberFormat="1" applyFont="1" applyBorder="1" applyAlignment="1" applyProtection="1">
      <alignment vertical="center"/>
    </xf>
    <xf numFmtId="1" fontId="11" fillId="0" borderId="63" xfId="40" applyNumberFormat="1" applyFont="1" applyFill="1" applyBorder="1" applyAlignment="1" applyProtection="1">
      <alignment horizontal="center" vertical="center"/>
    </xf>
    <xf numFmtId="1" fontId="11" fillId="0" borderId="75" xfId="40" applyNumberFormat="1" applyFont="1" applyFill="1" applyBorder="1" applyAlignment="1" applyProtection="1">
      <alignment horizontal="center" vertical="center"/>
    </xf>
    <xf numFmtId="1" fontId="11" fillId="0" borderId="76" xfId="40" applyNumberFormat="1" applyFont="1" applyFill="1" applyBorder="1" applyAlignment="1" applyProtection="1">
      <alignment horizontal="center" vertical="center"/>
    </xf>
    <xf numFmtId="169" fontId="18" fillId="0" borderId="63" xfId="46" applyNumberFormat="1" applyFont="1" applyFill="1" applyBorder="1" applyAlignment="1" applyProtection="1">
      <alignment vertical="center"/>
    </xf>
    <xf numFmtId="0" fontId="11" fillId="0" borderId="65" xfId="40" applyFont="1" applyFill="1" applyBorder="1" applyAlignment="1" applyProtection="1">
      <alignment vertical="center"/>
    </xf>
    <xf numFmtId="0" fontId="15" fillId="77" borderId="65" xfId="40" applyFont="1" applyFill="1" applyBorder="1" applyAlignment="1" applyProtection="1">
      <alignment vertical="center"/>
    </xf>
    <xf numFmtId="3" fontId="11" fillId="0" borderId="64" xfId="40" applyNumberFormat="1" applyFont="1" applyFill="1" applyBorder="1" applyAlignment="1" applyProtection="1">
      <alignment vertical="center"/>
    </xf>
    <xf numFmtId="1" fontId="11" fillId="0" borderId="104" xfId="40" applyNumberFormat="1" applyFont="1" applyBorder="1" applyAlignment="1" applyProtection="1">
      <alignment horizontal="center" vertical="center"/>
    </xf>
    <xf numFmtId="0" fontId="18" fillId="0" borderId="0" xfId="46" applyFont="1" applyFill="1" applyAlignment="1" applyProtection="1">
      <alignment horizontal="justify" wrapText="1"/>
    </xf>
    <xf numFmtId="0" fontId="11" fillId="2" borderId="101" xfId="176" applyFill="1" applyBorder="1" applyProtection="1">
      <protection locked="0"/>
    </xf>
    <xf numFmtId="0" fontId="11" fillId="2" borderId="75" xfId="176" applyFill="1" applyBorder="1" applyAlignment="1" applyProtection="1">
      <alignment horizontal="center"/>
      <protection locked="0"/>
    </xf>
    <xf numFmtId="0" fontId="11" fillId="2" borderId="101" xfId="176" applyFill="1" applyBorder="1" applyAlignment="1" applyProtection="1">
      <alignment horizontal="left"/>
      <protection locked="0"/>
    </xf>
    <xf numFmtId="0" fontId="11" fillId="0" borderId="0" xfId="46" applyFont="1" applyFill="1" applyProtection="1"/>
    <xf numFmtId="169" fontId="18" fillId="0" borderId="63" xfId="46" applyNumberFormat="1" applyFont="1" applyFill="1" applyBorder="1" applyAlignment="1" applyProtection="1">
      <alignment horizontal="right" vertical="center"/>
    </xf>
    <xf numFmtId="0" fontId="18" fillId="0" borderId="0" xfId="46" applyFont="1" applyFill="1" applyBorder="1" applyAlignment="1" applyProtection="1">
      <alignment vertical="center"/>
    </xf>
    <xf numFmtId="0" fontId="11" fillId="75" borderId="92" xfId="176" applyFill="1" applyBorder="1" applyAlignment="1" applyProtection="1">
      <alignment horizontal="right"/>
    </xf>
    <xf numFmtId="0" fontId="11" fillId="75" borderId="0" xfId="176" applyFill="1" applyBorder="1" applyProtection="1"/>
    <xf numFmtId="0" fontId="11" fillId="75" borderId="93" xfId="176" applyFill="1" applyBorder="1" applyProtection="1"/>
    <xf numFmtId="0" fontId="11" fillId="75" borderId="92" xfId="176" applyFill="1" applyBorder="1" applyAlignment="1" applyProtection="1"/>
    <xf numFmtId="0" fontId="11" fillId="75" borderId="94" xfId="176" applyFill="1" applyBorder="1" applyAlignment="1" applyProtection="1">
      <alignment horizontal="right"/>
    </xf>
    <xf numFmtId="0" fontId="12" fillId="75" borderId="0" xfId="176" applyFont="1" applyFill="1" applyBorder="1" applyAlignment="1" applyProtection="1">
      <alignment horizontal="left" vertical="top"/>
    </xf>
    <xf numFmtId="0" fontId="12" fillId="75" borderId="0" xfId="176" applyFont="1" applyFill="1" applyBorder="1" applyAlignment="1" applyProtection="1">
      <alignment horizontal="center" vertical="top"/>
    </xf>
    <xf numFmtId="49" fontId="11" fillId="2" borderId="101" xfId="176" applyNumberFormat="1" applyFill="1" applyBorder="1" applyAlignment="1" applyProtection="1">
      <alignment horizontal="left"/>
      <protection locked="0"/>
    </xf>
    <xf numFmtId="0" fontId="74" fillId="79" borderId="92" xfId="176" applyFont="1" applyFill="1" applyBorder="1" applyAlignment="1" applyProtection="1">
      <alignment horizontal="right"/>
    </xf>
    <xf numFmtId="0" fontId="74" fillId="79" borderId="92" xfId="176" applyFont="1" applyFill="1" applyBorder="1" applyAlignment="1" applyProtection="1"/>
    <xf numFmtId="0" fontId="74" fillId="79" borderId="94" xfId="176" applyFont="1" applyFill="1" applyBorder="1" applyAlignment="1" applyProtection="1">
      <alignment horizontal="right"/>
    </xf>
    <xf numFmtId="0" fontId="165" fillId="79" borderId="0" xfId="176" applyFont="1" applyFill="1" applyBorder="1" applyAlignment="1" applyProtection="1">
      <alignment horizontal="left" vertical="top"/>
    </xf>
    <xf numFmtId="0" fontId="165" fillId="79" borderId="0" xfId="176" applyFont="1" applyFill="1" applyBorder="1" applyAlignment="1" applyProtection="1">
      <alignment horizontal="center" vertical="top"/>
    </xf>
    <xf numFmtId="0" fontId="12" fillId="0" borderId="0" xfId="46" applyFont="1" applyFill="1" applyBorder="1" applyAlignment="1" applyProtection="1">
      <alignment horizontal="center" vertical="top"/>
    </xf>
    <xf numFmtId="0" fontId="18" fillId="0" borderId="73" xfId="46" applyFont="1" applyFill="1" applyBorder="1" applyAlignment="1" applyProtection="1">
      <alignment vertical="center"/>
    </xf>
    <xf numFmtId="0" fontId="18" fillId="0" borderId="76" xfId="46" applyFont="1" applyFill="1" applyBorder="1" applyAlignment="1" applyProtection="1">
      <alignment horizontal="center" vertical="center"/>
    </xf>
    <xf numFmtId="0" fontId="11" fillId="0" borderId="76" xfId="46" applyFont="1" applyFill="1" applyBorder="1" applyAlignment="1" applyProtection="1">
      <alignment horizontal="center" vertical="center"/>
    </xf>
    <xf numFmtId="0" fontId="18" fillId="0" borderId="104" xfId="46" applyFont="1" applyFill="1" applyBorder="1" applyAlignment="1" applyProtection="1">
      <alignment horizontal="center" vertical="center"/>
    </xf>
    <xf numFmtId="0" fontId="11" fillId="0" borderId="104" xfId="46" applyFont="1" applyFill="1" applyBorder="1" applyAlignment="1" applyProtection="1">
      <alignment horizontal="center" vertical="center"/>
    </xf>
    <xf numFmtId="171" fontId="18" fillId="0" borderId="63" xfId="46" applyNumberFormat="1" applyFont="1" applyFill="1" applyBorder="1" applyAlignment="1" applyProtection="1">
      <alignment horizontal="center" vertical="center"/>
    </xf>
    <xf numFmtId="3" fontId="18" fillId="0" borderId="63" xfId="46" applyNumberFormat="1" applyFont="1" applyFill="1" applyBorder="1" applyAlignment="1" applyProtection="1">
      <alignment vertical="center"/>
    </xf>
    <xf numFmtId="3" fontId="18" fillId="0" borderId="63" xfId="46" applyNumberFormat="1" applyFont="1" applyFill="1" applyBorder="1" applyAlignment="1" applyProtection="1">
      <alignment horizontal="right" vertical="center"/>
    </xf>
    <xf numFmtId="169" fontId="18" fillId="0" borderId="104" xfId="46" applyNumberFormat="1" applyFont="1" applyFill="1" applyBorder="1" applyAlignment="1" applyProtection="1">
      <alignment vertical="center"/>
    </xf>
    <xf numFmtId="3" fontId="18" fillId="0" borderId="104" xfId="46" applyNumberFormat="1" applyFont="1" applyFill="1" applyBorder="1" applyAlignment="1" applyProtection="1">
      <alignment vertical="center"/>
    </xf>
    <xf numFmtId="169" fontId="18" fillId="0" borderId="76" xfId="46" applyNumberFormat="1" applyFont="1" applyFill="1" applyBorder="1" applyAlignment="1" applyProtection="1">
      <alignment vertical="center"/>
    </xf>
    <xf numFmtId="3" fontId="18" fillId="0" borderId="76" xfId="46" applyNumberFormat="1" applyFont="1" applyFill="1" applyBorder="1" applyAlignment="1" applyProtection="1">
      <alignment vertical="center"/>
    </xf>
    <xf numFmtId="169" fontId="18" fillId="0" borderId="74" xfId="46" applyNumberFormat="1" applyFont="1" applyFill="1" applyBorder="1" applyAlignment="1" applyProtection="1">
      <alignment vertical="center"/>
    </xf>
    <xf numFmtId="171" fontId="18" fillId="0" borderId="73" xfId="46" applyNumberFormat="1" applyFont="1" applyFill="1" applyBorder="1" applyAlignment="1" applyProtection="1">
      <alignment horizontal="center" vertical="center"/>
    </xf>
    <xf numFmtId="3" fontId="18" fillId="0" borderId="73" xfId="46" applyNumberFormat="1" applyFont="1" applyFill="1" applyBorder="1" applyAlignment="1" applyProtection="1">
      <alignment vertical="center"/>
    </xf>
    <xf numFmtId="2" fontId="18" fillId="0" borderId="73" xfId="46" applyNumberFormat="1" applyFont="1" applyFill="1" applyBorder="1" applyAlignment="1" applyProtection="1"/>
    <xf numFmtId="2" fontId="18" fillId="0" borderId="73" xfId="46" applyNumberFormat="1" applyFont="1" applyFill="1" applyBorder="1" applyAlignment="1" applyProtection="1">
      <alignment vertical="center"/>
    </xf>
    <xf numFmtId="0" fontId="18" fillId="0" borderId="73" xfId="46" applyFont="1" applyFill="1" applyBorder="1" applyAlignment="1" applyProtection="1"/>
    <xf numFmtId="0" fontId="30" fillId="0" borderId="103" xfId="46" applyFont="1" applyFill="1" applyBorder="1" applyProtection="1"/>
    <xf numFmtId="0" fontId="30" fillId="0" borderId="0" xfId="46" applyFont="1" applyFill="1" applyBorder="1" applyAlignment="1" applyProtection="1">
      <alignment vertical="center"/>
    </xf>
    <xf numFmtId="0" fontId="30" fillId="0" borderId="73" xfId="46" applyFont="1" applyFill="1" applyBorder="1" applyAlignment="1" applyProtection="1">
      <alignment vertical="center"/>
    </xf>
    <xf numFmtId="0" fontId="151" fillId="0" borderId="0" xfId="107" applyFont="1" applyAlignment="1" applyProtection="1"/>
    <xf numFmtId="0" fontId="150" fillId="0" borderId="0" xfId="176" applyFont="1" applyProtection="1"/>
    <xf numFmtId="0" fontId="150" fillId="0" borderId="0" xfId="176" applyFont="1" applyBorder="1" applyProtection="1"/>
    <xf numFmtId="0" fontId="150" fillId="0" borderId="0" xfId="187" applyFont="1" applyFill="1" applyProtection="1"/>
    <xf numFmtId="0" fontId="150" fillId="0" borderId="0" xfId="176" applyFont="1"/>
    <xf numFmtId="0" fontId="150" fillId="0" borderId="0" xfId="176" quotePrefix="1" applyFont="1" applyProtection="1"/>
    <xf numFmtId="0" fontId="150" fillId="0" borderId="0" xfId="176" applyFont="1" applyFill="1" applyProtection="1"/>
    <xf numFmtId="168" fontId="150" fillId="0" borderId="1" xfId="176" applyNumberFormat="1" applyFont="1" applyBorder="1" applyProtection="1"/>
    <xf numFmtId="0" fontId="150" fillId="0" borderId="0" xfId="176" applyFont="1" applyAlignment="1" applyProtection="1"/>
    <xf numFmtId="0" fontId="150" fillId="0" borderId="0" xfId="187" applyFont="1" applyFill="1" applyAlignment="1" applyProtection="1">
      <alignment horizontal="right"/>
    </xf>
    <xf numFmtId="170" fontId="150" fillId="0" borderId="0" xfId="187" applyNumberFormat="1" applyFont="1" applyFill="1" applyAlignment="1" applyProtection="1">
      <alignment horizontal="left"/>
    </xf>
    <xf numFmtId="0" fontId="152" fillId="0" borderId="0" xfId="187" applyFont="1" applyFill="1" applyProtection="1"/>
    <xf numFmtId="0" fontId="152" fillId="0" borderId="0" xfId="187" applyFont="1" applyFill="1" applyAlignment="1" applyProtection="1">
      <alignment horizontal="right"/>
    </xf>
    <xf numFmtId="0" fontId="152" fillId="0" borderId="61" xfId="187" applyFont="1" applyFill="1" applyBorder="1" applyAlignment="1" applyProtection="1">
      <alignment horizontal="center"/>
    </xf>
    <xf numFmtId="0" fontId="150" fillId="0" borderId="0" xfId="187" applyFont="1" applyFill="1" applyAlignment="1" applyProtection="1">
      <alignment horizontal="left"/>
    </xf>
    <xf numFmtId="0" fontId="152" fillId="0" borderId="0" xfId="176" applyFont="1" applyAlignment="1" applyProtection="1">
      <alignment horizontal="center"/>
    </xf>
    <xf numFmtId="0" fontId="168" fillId="0" borderId="0" xfId="176" applyFont="1" applyProtection="1"/>
    <xf numFmtId="167" fontId="150" fillId="11" borderId="1" xfId="176" applyNumberFormat="1" applyFont="1" applyFill="1" applyBorder="1" applyProtection="1">
      <protection locked="0"/>
    </xf>
    <xf numFmtId="0" fontId="11" fillId="0" borderId="63" xfId="34" applyFont="1" applyBorder="1" applyAlignment="1" applyProtection="1">
      <alignment horizontal="center" vertical="center"/>
    </xf>
    <xf numFmtId="3" fontId="11" fillId="2" borderId="63" xfId="34" applyNumberFormat="1" applyFont="1" applyFill="1" applyBorder="1" applyAlignment="1" applyProtection="1">
      <alignment vertical="center"/>
      <protection locked="0"/>
    </xf>
    <xf numFmtId="3" fontId="11" fillId="2" borderId="65" xfId="34" applyNumberFormat="1" applyFont="1" applyFill="1" applyBorder="1" applyAlignment="1" applyProtection="1">
      <alignment vertical="center"/>
      <protection locked="0"/>
    </xf>
    <xf numFmtId="3" fontId="11" fillId="2" borderId="78" xfId="34" applyNumberFormat="1" applyFont="1" applyFill="1" applyBorder="1" applyAlignment="1" applyProtection="1">
      <alignment vertical="center"/>
      <protection locked="0"/>
    </xf>
    <xf numFmtId="3" fontId="11" fillId="2" borderId="104" xfId="34" applyNumberFormat="1" applyFont="1" applyFill="1" applyBorder="1" applyAlignment="1" applyProtection="1">
      <alignment vertical="center"/>
      <protection locked="0"/>
    </xf>
    <xf numFmtId="3" fontId="11" fillId="0" borderId="63" xfId="34" applyNumberFormat="1" applyFont="1" applyFill="1" applyBorder="1" applyAlignment="1" applyProtection="1">
      <alignment vertical="center"/>
    </xf>
    <xf numFmtId="3" fontId="11" fillId="0" borderId="104" xfId="34" applyNumberFormat="1" applyFont="1" applyFill="1" applyBorder="1" applyAlignment="1" applyProtection="1">
      <alignment vertical="center"/>
    </xf>
    <xf numFmtId="168" fontId="73" fillId="69" borderId="0" xfId="47" applyNumberFormat="1" applyFont="1" applyFill="1" applyProtection="1"/>
    <xf numFmtId="174" fontId="81" fillId="69" borderId="0" xfId="47" applyNumberFormat="1" applyFont="1" applyFill="1" applyAlignment="1" applyProtection="1">
      <alignment horizontal="left"/>
    </xf>
    <xf numFmtId="0" fontId="18" fillId="0" borderId="0" xfId="46" applyFont="1" applyFill="1" applyBorder="1" applyProtection="1"/>
    <xf numFmtId="0" fontId="18" fillId="0" borderId="0" xfId="46" applyFont="1" applyFill="1" applyBorder="1" applyAlignment="1" applyProtection="1">
      <alignment vertical="top"/>
    </xf>
    <xf numFmtId="169" fontId="18" fillId="0" borderId="104" xfId="46" applyNumberFormat="1" applyFont="1" applyFill="1" applyBorder="1" applyAlignment="1" applyProtection="1">
      <alignment horizontal="right" vertical="center"/>
    </xf>
    <xf numFmtId="169" fontId="18" fillId="0" borderId="61" xfId="46" applyNumberFormat="1" applyFont="1" applyFill="1" applyBorder="1" applyAlignment="1" applyProtection="1">
      <alignment horizontal="right" vertical="center"/>
    </xf>
    <xf numFmtId="3" fontId="18" fillId="0" borderId="88" xfId="46" applyNumberFormat="1" applyFont="1" applyFill="1" applyBorder="1" applyAlignment="1" applyProtection="1">
      <alignment vertical="center"/>
    </xf>
    <xf numFmtId="169" fontId="18" fillId="0" borderId="29" xfId="46" applyNumberFormat="1" applyFont="1" applyFill="1" applyBorder="1" applyAlignment="1" applyProtection="1">
      <alignment horizontal="right" vertical="center"/>
    </xf>
    <xf numFmtId="169" fontId="18" fillId="0" borderId="88" xfId="46" applyNumberFormat="1" applyFont="1" applyFill="1" applyBorder="1" applyAlignment="1" applyProtection="1">
      <alignment vertical="center"/>
    </xf>
    <xf numFmtId="3" fontId="18" fillId="0" borderId="122" xfId="46" applyNumberFormat="1" applyFont="1" applyFill="1" applyBorder="1" applyAlignment="1" applyProtection="1">
      <alignment vertical="center"/>
    </xf>
    <xf numFmtId="169" fontId="18" fillId="0" borderId="124" xfId="46" applyNumberFormat="1" applyFont="1" applyFill="1" applyBorder="1" applyAlignment="1" applyProtection="1">
      <alignment horizontal="right" vertical="center"/>
    </xf>
    <xf numFmtId="169" fontId="18" fillId="0" borderId="122" xfId="46" applyNumberFormat="1" applyFont="1" applyFill="1" applyBorder="1" applyAlignment="1" applyProtection="1">
      <alignment vertical="center"/>
    </xf>
    <xf numFmtId="168" fontId="18" fillId="0" borderId="63" xfId="46" applyNumberFormat="1" applyFont="1" applyFill="1" applyBorder="1" applyAlignment="1" applyProtection="1">
      <alignment horizontal="right"/>
    </xf>
    <xf numFmtId="3" fontId="18" fillId="0" borderId="88" xfId="46" applyNumberFormat="1" applyFont="1" applyFill="1" applyBorder="1" applyAlignment="1" applyProtection="1">
      <alignment horizontal="right" vertical="center"/>
    </xf>
    <xf numFmtId="168" fontId="18" fillId="0" borderId="61" xfId="46" applyNumberFormat="1" applyFont="1" applyFill="1" applyBorder="1" applyAlignment="1" applyProtection="1">
      <alignment horizontal="right"/>
    </xf>
    <xf numFmtId="168" fontId="18" fillId="0" borderId="0" xfId="46" applyNumberFormat="1" applyFont="1" applyFill="1" applyBorder="1" applyAlignment="1" applyProtection="1">
      <alignment horizontal="right" vertical="center"/>
    </xf>
    <xf numFmtId="0" fontId="18" fillId="0" borderId="104" xfId="46" applyFont="1" applyFill="1" applyBorder="1" applyAlignment="1" applyProtection="1">
      <alignment vertical="center"/>
    </xf>
    <xf numFmtId="169" fontId="18" fillId="0" borderId="76" xfId="46" applyNumberFormat="1" applyFont="1" applyFill="1" applyBorder="1" applyAlignment="1" applyProtection="1">
      <alignment horizontal="right" vertical="center"/>
    </xf>
    <xf numFmtId="3" fontId="18" fillId="0" borderId="76" xfId="46" applyNumberFormat="1" applyFont="1" applyFill="1" applyBorder="1" applyAlignment="1" applyProtection="1">
      <alignment horizontal="right" vertical="center"/>
    </xf>
    <xf numFmtId="3" fontId="18" fillId="0" borderId="76" xfId="46" quotePrefix="1" applyNumberFormat="1" applyFont="1" applyFill="1" applyBorder="1" applyAlignment="1" applyProtection="1">
      <alignment vertical="center"/>
    </xf>
    <xf numFmtId="0" fontId="0" fillId="0" borderId="0" xfId="0" applyAlignment="1" applyProtection="1">
      <alignment horizontal="right"/>
    </xf>
    <xf numFmtId="3" fontId="18" fillId="0" borderId="75" xfId="46" applyNumberFormat="1" applyFont="1" applyFill="1" applyBorder="1" applyAlignment="1" applyProtection="1">
      <alignment vertical="center"/>
    </xf>
    <xf numFmtId="169" fontId="18" fillId="0" borderId="75" xfId="46" applyNumberFormat="1" applyFont="1" applyFill="1" applyBorder="1" applyAlignment="1" applyProtection="1">
      <alignment horizontal="right" vertical="center"/>
    </xf>
    <xf numFmtId="3" fontId="18" fillId="0" borderId="75" xfId="46" applyNumberFormat="1" applyFont="1" applyFill="1" applyBorder="1" applyAlignment="1" applyProtection="1">
      <alignment horizontal="right" vertical="center"/>
    </xf>
    <xf numFmtId="169" fontId="18" fillId="0" borderId="75" xfId="46" applyNumberFormat="1" applyFont="1" applyFill="1" applyBorder="1" applyAlignment="1" applyProtection="1">
      <alignment vertical="center"/>
    </xf>
    <xf numFmtId="3" fontId="11" fillId="0" borderId="75" xfId="46" applyNumberFormat="1" applyFont="1" applyFill="1" applyBorder="1" applyAlignment="1" applyProtection="1">
      <alignment vertical="center"/>
    </xf>
    <xf numFmtId="168" fontId="18" fillId="0" borderId="75" xfId="46" applyNumberFormat="1" applyFont="1" applyFill="1" applyBorder="1" applyAlignment="1" applyProtection="1">
      <alignment horizontal="right" vertical="center"/>
    </xf>
    <xf numFmtId="0" fontId="154" fillId="0" borderId="0" xfId="0" applyFont="1" applyBorder="1" applyAlignment="1" applyProtection="1"/>
    <xf numFmtId="0" fontId="72" fillId="0" borderId="0" xfId="0" applyFont="1" applyFill="1" applyBorder="1" applyProtection="1"/>
    <xf numFmtId="3" fontId="11" fillId="0" borderId="0" xfId="0" applyNumberFormat="1" applyFont="1" applyFill="1" applyBorder="1" applyAlignment="1" applyProtection="1">
      <alignment horizontal="center"/>
      <protection locked="0"/>
    </xf>
    <xf numFmtId="0" fontId="11" fillId="0" borderId="0" xfId="0" applyFont="1" applyFill="1" applyBorder="1" applyAlignment="1" applyProtection="1">
      <alignment horizontal="center"/>
    </xf>
    <xf numFmtId="0" fontId="11" fillId="0" borderId="0" xfId="0" applyFont="1" applyFill="1" applyBorder="1" applyAlignment="1" applyProtection="1"/>
    <xf numFmtId="169" fontId="11" fillId="0" borderId="0" xfId="0" applyNumberFormat="1" applyFont="1" applyFill="1" applyBorder="1" applyProtection="1"/>
    <xf numFmtId="3" fontId="11" fillId="0" borderId="0" xfId="0" applyNumberFormat="1" applyFont="1" applyFill="1" applyBorder="1" applyProtection="1"/>
    <xf numFmtId="10" fontId="11" fillId="0" borderId="0" xfId="0" applyNumberFormat="1" applyFont="1" applyFill="1" applyBorder="1" applyProtection="1"/>
    <xf numFmtId="0" fontId="30" fillId="0" borderId="0" xfId="46" applyFont="1" applyFill="1" applyBorder="1" applyAlignment="1" applyProtection="1"/>
    <xf numFmtId="0" fontId="11" fillId="0" borderId="61" xfId="46" applyFont="1" applyFill="1" applyBorder="1" applyAlignment="1" applyProtection="1"/>
    <xf numFmtId="0" fontId="30" fillId="0" borderId="61" xfId="46" applyFont="1" applyFill="1" applyBorder="1" applyAlignment="1" applyProtection="1">
      <alignment vertical="center"/>
    </xf>
    <xf numFmtId="0" fontId="154" fillId="0" borderId="0" xfId="0" applyFont="1" applyBorder="1" applyAlignment="1" applyProtection="1">
      <alignment horizontal="center" vertical="center"/>
    </xf>
    <xf numFmtId="0" fontId="30" fillId="0" borderId="0" xfId="46" applyFont="1" applyFill="1" applyBorder="1" applyAlignment="1" applyProtection="1">
      <alignment horizontal="center" vertical="center"/>
    </xf>
    <xf numFmtId="0" fontId="18" fillId="0" borderId="0" xfId="46" applyFont="1" applyFill="1" applyBorder="1" applyAlignment="1" applyProtection="1">
      <alignment horizontal="center" vertical="center"/>
    </xf>
    <xf numFmtId="0" fontId="154" fillId="0" borderId="0" xfId="0" applyFont="1" applyBorder="1" applyAlignment="1" applyProtection="1">
      <alignment horizontal="left" vertical="center"/>
    </xf>
    <xf numFmtId="0" fontId="26" fillId="0" borderId="0" xfId="46" applyFont="1" applyFill="1" applyBorder="1" applyAlignment="1" applyProtection="1">
      <alignment horizontal="center"/>
    </xf>
    <xf numFmtId="0" fontId="18" fillId="0" borderId="0" xfId="46" applyFont="1" applyFill="1" applyBorder="1" applyAlignment="1" applyProtection="1">
      <alignment horizontal="justify" wrapText="1"/>
    </xf>
    <xf numFmtId="0" fontId="11" fillId="0" borderId="0" xfId="46" applyFont="1" applyFill="1" applyBorder="1" applyAlignment="1" applyProtection="1">
      <alignment horizontal="justify" wrapText="1"/>
    </xf>
    <xf numFmtId="0" fontId="18" fillId="0" borderId="72" xfId="46" applyFont="1" applyFill="1" applyBorder="1" applyAlignment="1" applyProtection="1">
      <alignment horizontal="center" vertical="top"/>
    </xf>
    <xf numFmtId="0" fontId="18" fillId="0" borderId="0" xfId="46" applyFont="1" applyFill="1" applyBorder="1" applyAlignment="1" applyProtection="1">
      <alignment horizontal="center" vertical="top"/>
    </xf>
    <xf numFmtId="0" fontId="18" fillId="0" borderId="0" xfId="46" applyFont="1" applyFill="1" applyBorder="1" applyAlignment="1" applyProtection="1">
      <alignment horizontal="right" vertical="center"/>
    </xf>
    <xf numFmtId="172" fontId="15" fillId="0" borderId="0" xfId="46" applyNumberFormat="1" applyFont="1" applyFill="1" applyBorder="1" applyAlignment="1" applyProtection="1"/>
    <xf numFmtId="0" fontId="15" fillId="0" borderId="0" xfId="46" applyFont="1" applyFill="1" applyBorder="1" applyAlignment="1" applyProtection="1"/>
    <xf numFmtId="169" fontId="18" fillId="0" borderId="0" xfId="46" applyNumberFormat="1" applyFont="1" applyFill="1" applyBorder="1" applyAlignment="1" applyProtection="1">
      <alignment horizontal="right" vertical="center"/>
    </xf>
    <xf numFmtId="0" fontId="15" fillId="0" borderId="0" xfId="46" applyFont="1" applyFill="1" applyBorder="1" applyAlignment="1" applyProtection="1">
      <alignment horizontal="center"/>
    </xf>
    <xf numFmtId="193" fontId="11" fillId="0" borderId="0" xfId="46" applyNumberFormat="1" applyFont="1" applyFill="1" applyBorder="1" applyAlignment="1" applyProtection="1">
      <alignment horizontal="center" vertical="center"/>
    </xf>
    <xf numFmtId="0" fontId="11" fillId="0" borderId="0" xfId="46" applyFont="1" applyFill="1" applyBorder="1" applyAlignment="1" applyProtection="1">
      <alignment horizontal="center" vertical="center"/>
    </xf>
    <xf numFmtId="0" fontId="74" fillId="0" borderId="103" xfId="46" applyFont="1" applyFill="1" applyBorder="1" applyAlignment="1" applyProtection="1">
      <alignment horizontal="center" vertical="center"/>
    </xf>
    <xf numFmtId="0" fontId="11" fillId="0" borderId="72" xfId="46" applyFont="1" applyFill="1" applyBorder="1" applyAlignment="1" applyProtection="1">
      <alignment horizontal="center" vertical="top"/>
    </xf>
    <xf numFmtId="0" fontId="11" fillId="0" borderId="61" xfId="46" applyFont="1" applyFill="1" applyBorder="1" applyAlignment="1" applyProtection="1">
      <alignment horizontal="center" vertical="top"/>
    </xf>
    <xf numFmtId="0" fontId="18" fillId="0" borderId="61" xfId="46" applyFont="1" applyFill="1" applyBorder="1" applyAlignment="1" applyProtection="1">
      <alignment horizontal="center" vertical="top"/>
    </xf>
    <xf numFmtId="0" fontId="18" fillId="0" borderId="61" xfId="46" applyFont="1" applyFill="1" applyBorder="1" applyAlignment="1" applyProtection="1">
      <alignment vertical="top"/>
    </xf>
    <xf numFmtId="0" fontId="18" fillId="0" borderId="72" xfId="46" applyFont="1" applyFill="1" applyBorder="1" applyAlignment="1" applyProtection="1">
      <alignment vertical="top"/>
    </xf>
    <xf numFmtId="3" fontId="21" fillId="0" borderId="0" xfId="46" applyNumberFormat="1" applyFont="1" applyFill="1" applyBorder="1" applyAlignment="1" applyProtection="1">
      <alignment vertical="center"/>
    </xf>
    <xf numFmtId="5" fontId="11" fillId="0" borderId="75" xfId="46" applyNumberFormat="1" applyFont="1" applyFill="1" applyBorder="1" applyAlignment="1" applyProtection="1">
      <alignment horizontal="left" vertical="center" indent="1"/>
    </xf>
    <xf numFmtId="5" fontId="11" fillId="0" borderId="88" xfId="46" applyNumberFormat="1" applyFont="1" applyFill="1" applyBorder="1" applyAlignment="1" applyProtection="1">
      <alignment horizontal="left" vertical="center" indent="1"/>
    </xf>
    <xf numFmtId="0" fontId="30" fillId="0" borderId="77" xfId="46" applyFont="1" applyFill="1" applyBorder="1" applyProtection="1"/>
    <xf numFmtId="0" fontId="30" fillId="0" borderId="72" xfId="46" applyFont="1" applyFill="1" applyBorder="1" applyAlignment="1" applyProtection="1">
      <alignment horizontal="center" vertical="center"/>
    </xf>
    <xf numFmtId="0" fontId="30" fillId="0" borderId="72" xfId="46" applyFont="1" applyFill="1" applyBorder="1" applyAlignment="1" applyProtection="1">
      <alignment vertical="center"/>
    </xf>
    <xf numFmtId="0" fontId="30" fillId="0" borderId="74" xfId="46" applyFont="1" applyFill="1" applyBorder="1" applyAlignment="1" applyProtection="1">
      <alignment vertical="center"/>
    </xf>
    <xf numFmtId="1" fontId="18" fillId="0" borderId="77" xfId="0" applyNumberFormat="1" applyFont="1" applyBorder="1" applyAlignment="1" applyProtection="1">
      <alignment horizontal="left" vertical="center"/>
    </xf>
    <xf numFmtId="1" fontId="18" fillId="0" borderId="103" xfId="0" applyNumberFormat="1" applyFont="1" applyBorder="1" applyAlignment="1" applyProtection="1">
      <alignment horizontal="left" vertical="center"/>
    </xf>
    <xf numFmtId="172" fontId="11" fillId="0" borderId="77" xfId="22" applyNumberFormat="1" applyFont="1" applyBorder="1" applyAlignment="1" applyProtection="1">
      <alignment horizontal="left" vertical="center"/>
    </xf>
    <xf numFmtId="172" fontId="11" fillId="0" borderId="77" xfId="22" applyNumberFormat="1" applyFont="1" applyBorder="1" applyAlignment="1" applyProtection="1">
      <alignment vertical="center"/>
    </xf>
    <xf numFmtId="172" fontId="11" fillId="0" borderId="77" xfId="22" applyNumberFormat="1" applyFont="1" applyBorder="1" applyAlignment="1" applyProtection="1">
      <alignment horizontal="left" vertical="top"/>
    </xf>
    <xf numFmtId="172" fontId="11" fillId="0" borderId="77" xfId="17" applyNumberFormat="1" applyFont="1" applyBorder="1" applyAlignment="1" applyProtection="1">
      <alignment horizontal="left" vertical="center"/>
    </xf>
    <xf numFmtId="0" fontId="11" fillId="0" borderId="77" xfId="17" applyFont="1" applyBorder="1" applyAlignment="1" applyProtection="1">
      <alignment horizontal="left" vertical="top"/>
    </xf>
    <xf numFmtId="0" fontId="11" fillId="0" borderId="103" xfId="17" applyFont="1" applyBorder="1" applyAlignment="1" applyProtection="1">
      <alignment horizontal="left" vertical="top"/>
    </xf>
    <xf numFmtId="172" fontId="11" fillId="0" borderId="77" xfId="17" applyNumberFormat="1" applyFont="1" applyBorder="1" applyAlignment="1" applyProtection="1">
      <alignment vertical="center"/>
    </xf>
    <xf numFmtId="0" fontId="11" fillId="0" borderId="77" xfId="18" applyFont="1" applyBorder="1" applyAlignment="1" applyProtection="1">
      <alignment horizontal="left" vertical="center"/>
    </xf>
    <xf numFmtId="0" fontId="11" fillId="0" borderId="103" xfId="18" applyFont="1" applyBorder="1" applyAlignment="1" applyProtection="1">
      <alignment horizontal="left" vertical="center"/>
    </xf>
    <xf numFmtId="172" fontId="11" fillId="0" borderId="77" xfId="18" applyNumberFormat="1" applyFont="1" applyBorder="1" applyAlignment="1" applyProtection="1">
      <alignment vertical="center"/>
    </xf>
    <xf numFmtId="172" fontId="11" fillId="0" borderId="77" xfId="19" applyNumberFormat="1" applyFont="1" applyBorder="1" applyAlignment="1" applyProtection="1">
      <alignment horizontal="left" vertical="center"/>
    </xf>
    <xf numFmtId="0" fontId="11" fillId="0" borderId="77" xfId="19" applyFont="1" applyBorder="1" applyAlignment="1" applyProtection="1">
      <alignment horizontal="left" vertical="center"/>
    </xf>
    <xf numFmtId="172" fontId="11" fillId="0" borderId="103" xfId="19" applyNumberFormat="1" applyFont="1" applyBorder="1" applyAlignment="1" applyProtection="1">
      <alignment horizontal="left" vertical="center"/>
    </xf>
    <xf numFmtId="172" fontId="11" fillId="0" borderId="77" xfId="19" applyNumberFormat="1" applyFont="1" applyBorder="1" applyAlignment="1" applyProtection="1">
      <alignment vertical="center"/>
    </xf>
    <xf numFmtId="0" fontId="11" fillId="0" borderId="77" xfId="20" applyFont="1" applyBorder="1" applyAlignment="1" applyProtection="1">
      <alignment horizontal="left" vertical="center"/>
    </xf>
    <xf numFmtId="0" fontId="11" fillId="0" borderId="103" xfId="20" applyFont="1" applyBorder="1" applyAlignment="1" applyProtection="1">
      <alignment horizontal="left" vertical="center"/>
    </xf>
    <xf numFmtId="172" fontId="11" fillId="0" borderId="103" xfId="20" applyNumberFormat="1" applyFont="1" applyBorder="1" applyAlignment="1" applyProtection="1">
      <alignment horizontal="left" vertical="center"/>
    </xf>
    <xf numFmtId="172" fontId="11" fillId="0" borderId="77" xfId="20" applyNumberFormat="1" applyFont="1" applyBorder="1" applyAlignment="1" applyProtection="1">
      <alignment horizontal="left" vertical="center"/>
    </xf>
    <xf numFmtId="172" fontId="11" fillId="0" borderId="77" xfId="20" applyNumberFormat="1" applyFont="1" applyBorder="1" applyAlignment="1" applyProtection="1">
      <alignment vertical="center"/>
    </xf>
    <xf numFmtId="172" fontId="11" fillId="0" borderId="77" xfId="27" applyNumberFormat="1" applyFont="1" applyBorder="1" applyAlignment="1" applyProtection="1"/>
    <xf numFmtId="172" fontId="11" fillId="0" borderId="74" xfId="27" applyNumberFormat="1" applyFont="1" applyBorder="1" applyAlignment="1" applyProtection="1"/>
    <xf numFmtId="172" fontId="11" fillId="0" borderId="103" xfId="27" applyNumberFormat="1" applyFont="1" applyBorder="1" applyAlignment="1" applyProtection="1"/>
    <xf numFmtId="172" fontId="11" fillId="0" borderId="73" xfId="27" applyNumberFormat="1" applyFont="1" applyBorder="1" applyAlignment="1" applyProtection="1"/>
    <xf numFmtId="0" fontId="11" fillId="0" borderId="103" xfId="27" applyFont="1" applyBorder="1" applyAlignment="1" applyProtection="1"/>
    <xf numFmtId="0" fontId="11" fillId="0" borderId="73" xfId="27" applyFont="1" applyBorder="1" applyAlignment="1" applyProtection="1"/>
    <xf numFmtId="172" fontId="11" fillId="0" borderId="103" xfId="22" applyNumberFormat="1" applyFont="1" applyBorder="1" applyAlignment="1" applyProtection="1">
      <alignment horizontal="left" vertical="top"/>
    </xf>
    <xf numFmtId="0" fontId="11" fillId="0" borderId="77" xfId="22" applyFont="1" applyBorder="1" applyAlignment="1" applyProtection="1">
      <alignment horizontal="left"/>
    </xf>
    <xf numFmtId="0" fontId="11" fillId="0" borderId="103" xfId="22" applyFont="1" applyBorder="1" applyAlignment="1" applyProtection="1">
      <alignment horizontal="left"/>
    </xf>
    <xf numFmtId="0" fontId="11" fillId="0" borderId="77" xfId="0" applyFont="1" applyBorder="1" applyAlignment="1" applyProtection="1">
      <alignment vertical="center"/>
    </xf>
    <xf numFmtId="0" fontId="11" fillId="0" borderId="74" xfId="0" applyFont="1" applyBorder="1" applyAlignment="1" applyProtection="1">
      <alignment vertical="center"/>
    </xf>
    <xf numFmtId="0" fontId="18" fillId="0" borderId="77" xfId="0" applyFont="1" applyBorder="1" applyAlignment="1" applyProtection="1">
      <alignment vertical="center"/>
    </xf>
    <xf numFmtId="0" fontId="18" fillId="0" borderId="74" xfId="0" applyFont="1" applyBorder="1" applyAlignment="1" applyProtection="1">
      <alignment vertical="center"/>
    </xf>
    <xf numFmtId="172" fontId="11" fillId="0" borderId="77" xfId="25" applyNumberFormat="1" applyFont="1" applyFill="1" applyBorder="1" applyAlignment="1" applyProtection="1">
      <alignment vertical="center"/>
    </xf>
    <xf numFmtId="172" fontId="11" fillId="0" borderId="103" xfId="25" applyNumberFormat="1" applyFont="1" applyBorder="1" applyAlignment="1" applyProtection="1">
      <alignment vertical="center"/>
    </xf>
    <xf numFmtId="0" fontId="11" fillId="0" borderId="103" xfId="25" applyFont="1" applyBorder="1" applyAlignment="1" applyProtection="1">
      <alignment vertical="center"/>
    </xf>
    <xf numFmtId="0" fontId="11" fillId="0" borderId="103" xfId="26" applyFont="1" applyBorder="1" applyAlignment="1" applyProtection="1"/>
    <xf numFmtId="0" fontId="11" fillId="0" borderId="0" xfId="26" applyFont="1" applyBorder="1" applyAlignment="1" applyProtection="1"/>
    <xf numFmtId="0" fontId="15" fillId="0" borderId="77" xfId="26" applyFont="1" applyFill="1" applyBorder="1" applyAlignment="1" applyProtection="1"/>
    <xf numFmtId="172" fontId="11" fillId="0" borderId="77" xfId="26" applyNumberFormat="1" applyFont="1" applyFill="1" applyBorder="1" applyAlignment="1" applyProtection="1"/>
    <xf numFmtId="172" fontId="11" fillId="0" borderId="77" xfId="26" applyNumberFormat="1" applyFont="1" applyBorder="1" applyAlignment="1" applyProtection="1"/>
    <xf numFmtId="172" fontId="11" fillId="0" borderId="103" xfId="26" applyNumberFormat="1" applyFont="1" applyBorder="1" applyAlignment="1" applyProtection="1"/>
    <xf numFmtId="0" fontId="15" fillId="0" borderId="77" xfId="27" applyFont="1" applyFill="1" applyBorder="1" applyAlignment="1" applyProtection="1"/>
    <xf numFmtId="0" fontId="15" fillId="0" borderId="74" xfId="27" applyFont="1" applyFill="1" applyBorder="1" applyAlignment="1" applyProtection="1"/>
    <xf numFmtId="172" fontId="15" fillId="0" borderId="77" xfId="28" applyNumberFormat="1" applyFont="1" applyFill="1" applyBorder="1" applyAlignment="1" applyProtection="1">
      <alignment vertical="center"/>
    </xf>
    <xf numFmtId="172" fontId="11" fillId="0" borderId="77" xfId="28" applyNumberFormat="1" applyFont="1" applyBorder="1" applyAlignment="1" applyProtection="1">
      <alignment vertical="center"/>
    </xf>
    <xf numFmtId="172" fontId="11" fillId="0" borderId="103" xfId="28" applyNumberFormat="1" applyFont="1" applyFill="1" applyBorder="1" applyAlignment="1" applyProtection="1">
      <alignment vertical="center"/>
    </xf>
    <xf numFmtId="172" fontId="11" fillId="0" borderId="77" xfId="23" applyNumberFormat="1" applyFont="1" applyBorder="1" applyAlignment="1" applyProtection="1">
      <alignment vertical="center"/>
    </xf>
    <xf numFmtId="0" fontId="15" fillId="0" borderId="77" xfId="23" applyFont="1" applyFill="1" applyBorder="1" applyAlignment="1" applyProtection="1">
      <alignment vertical="center"/>
    </xf>
    <xf numFmtId="0" fontId="15" fillId="0" borderId="74" xfId="23" applyFont="1" applyFill="1" applyBorder="1" applyAlignment="1" applyProtection="1">
      <alignment vertical="center"/>
    </xf>
    <xf numFmtId="0" fontId="11" fillId="0" borderId="77" xfId="27" applyFont="1" applyBorder="1" applyAlignment="1" applyProtection="1">
      <alignment vertical="center"/>
    </xf>
    <xf numFmtId="0" fontId="11" fillId="0" borderId="74" xfId="27" applyFont="1" applyBorder="1" applyAlignment="1" applyProtection="1">
      <alignment vertical="center"/>
    </xf>
    <xf numFmtId="172" fontId="11" fillId="0" borderId="103" xfId="31" applyNumberFormat="1" applyFont="1" applyBorder="1" applyAlignment="1" applyProtection="1">
      <alignment vertical="center"/>
    </xf>
    <xf numFmtId="172" fontId="0" fillId="0" borderId="103" xfId="31" applyNumberFormat="1" applyFont="1" applyBorder="1" applyAlignment="1" applyProtection="1">
      <alignment vertical="center"/>
    </xf>
    <xf numFmtId="172" fontId="11" fillId="0" borderId="77" xfId="31" applyNumberFormat="1" applyFont="1" applyBorder="1" applyAlignment="1" applyProtection="1">
      <alignment vertical="center"/>
    </xf>
    <xf numFmtId="0" fontId="15" fillId="0" borderId="77" xfId="34" applyFont="1" applyFill="1" applyBorder="1" applyAlignment="1" applyProtection="1">
      <alignment vertical="center"/>
    </xf>
    <xf numFmtId="0" fontId="15" fillId="0" borderId="74" xfId="34" applyFont="1" applyFill="1" applyBorder="1" applyAlignment="1" applyProtection="1">
      <alignment vertical="center"/>
    </xf>
    <xf numFmtId="0" fontId="61" fillId="0" borderId="103" xfId="21" applyFont="1" applyFill="1" applyBorder="1" applyAlignment="1" applyProtection="1">
      <alignment vertical="top"/>
    </xf>
    <xf numFmtId="172" fontId="11" fillId="0" borderId="103" xfId="34" applyNumberFormat="1" applyFont="1" applyBorder="1" applyAlignment="1" applyProtection="1">
      <alignment horizontal="left" vertical="center"/>
    </xf>
    <xf numFmtId="0" fontId="11" fillId="0" borderId="77" xfId="34" applyFont="1" applyBorder="1" applyAlignment="1" applyProtection="1">
      <alignment vertical="center"/>
    </xf>
    <xf numFmtId="0" fontId="11" fillId="0" borderId="74" xfId="34" applyFont="1" applyBorder="1" applyAlignment="1" applyProtection="1">
      <alignment vertical="center"/>
    </xf>
    <xf numFmtId="0" fontId="11" fillId="0" borderId="77" xfId="34" applyFont="1" applyBorder="1" applyAlignment="1" applyProtection="1">
      <alignment horizontal="left" vertical="center"/>
    </xf>
    <xf numFmtId="172" fontId="11" fillId="0" borderId="103" xfId="35" applyNumberFormat="1" applyFont="1" applyBorder="1" applyAlignment="1" applyProtection="1">
      <alignment vertical="center"/>
    </xf>
    <xf numFmtId="172" fontId="11" fillId="0" borderId="73" xfId="35" applyNumberFormat="1" applyFont="1" applyBorder="1" applyAlignment="1" applyProtection="1">
      <alignment vertical="center"/>
    </xf>
    <xf numFmtId="0" fontId="11" fillId="0" borderId="103" xfId="35" applyFont="1" applyBorder="1" applyAlignment="1" applyProtection="1">
      <alignment vertical="center"/>
    </xf>
    <xf numFmtId="0" fontId="11" fillId="0" borderId="73" xfId="35" applyFont="1" applyBorder="1" applyAlignment="1" applyProtection="1">
      <alignment vertical="center"/>
    </xf>
    <xf numFmtId="0" fontId="15" fillId="0" borderId="77" xfId="35" applyFont="1" applyFill="1" applyBorder="1" applyAlignment="1" applyProtection="1">
      <alignment vertical="center"/>
    </xf>
    <xf numFmtId="0" fontId="15" fillId="0" borderId="74" xfId="35" applyFont="1" applyFill="1" applyBorder="1" applyAlignment="1" applyProtection="1">
      <alignment vertical="center"/>
    </xf>
    <xf numFmtId="172" fontId="11" fillId="0" borderId="77" xfId="36" applyNumberFormat="1" applyFont="1" applyBorder="1" applyAlignment="1" applyProtection="1">
      <alignment vertical="center"/>
    </xf>
    <xf numFmtId="172" fontId="11" fillId="0" borderId="74" xfId="36" applyNumberFormat="1" applyFont="1" applyBorder="1" applyAlignment="1" applyProtection="1">
      <alignment vertical="center"/>
    </xf>
    <xf numFmtId="172" fontId="11" fillId="0" borderId="77" xfId="36" applyNumberFormat="1" applyFont="1" applyBorder="1" applyAlignment="1" applyProtection="1">
      <alignment horizontal="left" vertical="center"/>
    </xf>
    <xf numFmtId="172" fontId="11" fillId="0" borderId="103" xfId="36" applyNumberFormat="1" applyFont="1" applyBorder="1" applyAlignment="1" applyProtection="1">
      <alignment vertical="center"/>
    </xf>
    <xf numFmtId="172" fontId="11" fillId="0" borderId="103" xfId="37" applyNumberFormat="1" applyFont="1" applyBorder="1" applyAlignment="1" applyProtection="1">
      <alignment vertical="center"/>
    </xf>
    <xf numFmtId="0" fontId="15" fillId="0" borderId="65" xfId="37" applyFont="1" applyBorder="1" applyAlignment="1" applyProtection="1">
      <alignment horizontal="left" vertical="center"/>
    </xf>
    <xf numFmtId="172" fontId="11" fillId="0" borderId="77" xfId="37" applyNumberFormat="1" applyFont="1" applyFill="1" applyBorder="1" applyAlignment="1" applyProtection="1">
      <alignment vertical="center"/>
    </xf>
    <xf numFmtId="172" fontId="11" fillId="0" borderId="103" xfId="38" applyNumberFormat="1" applyFont="1" applyBorder="1" applyAlignment="1" applyProtection="1">
      <alignment vertical="center"/>
    </xf>
    <xf numFmtId="0" fontId="15" fillId="0" borderId="77" xfId="38" applyFont="1" applyFill="1" applyBorder="1" applyAlignment="1" applyProtection="1">
      <alignment vertical="center"/>
    </xf>
    <xf numFmtId="0" fontId="15" fillId="0" borderId="74" xfId="38" applyFont="1" applyFill="1" applyBorder="1" applyAlignment="1" applyProtection="1">
      <alignment vertical="center"/>
    </xf>
    <xf numFmtId="172" fontId="11" fillId="0" borderId="77" xfId="39" applyNumberFormat="1" applyFont="1" applyBorder="1" applyAlignment="1" applyProtection="1">
      <alignment vertical="center"/>
    </xf>
    <xf numFmtId="172" fontId="11" fillId="0" borderId="74" xfId="39" applyNumberFormat="1" applyFont="1" applyBorder="1" applyAlignment="1" applyProtection="1">
      <alignment vertical="center"/>
    </xf>
    <xf numFmtId="0" fontId="11" fillId="0" borderId="77" xfId="39" applyFont="1" applyBorder="1" applyAlignment="1" applyProtection="1">
      <alignment horizontal="left" vertical="center"/>
    </xf>
    <xf numFmtId="0" fontId="11" fillId="0" borderId="103" xfId="39" applyFont="1" applyBorder="1" applyAlignment="1" applyProtection="1">
      <alignment horizontal="left" vertical="center"/>
    </xf>
    <xf numFmtId="0" fontId="15" fillId="0" borderId="77" xfId="41" applyFont="1" applyFill="1" applyBorder="1" applyAlignment="1" applyProtection="1">
      <alignment vertical="center"/>
    </xf>
    <xf numFmtId="0" fontId="15" fillId="0" borderId="74" xfId="41" applyFont="1" applyFill="1" applyBorder="1" applyAlignment="1" applyProtection="1">
      <alignment vertical="center"/>
    </xf>
    <xf numFmtId="172" fontId="11" fillId="0" borderId="103" xfId="41" applyNumberFormat="1" applyFont="1" applyBorder="1" applyAlignment="1" applyProtection="1">
      <alignment vertical="center"/>
    </xf>
    <xf numFmtId="172" fontId="11" fillId="0" borderId="77" xfId="41" applyNumberFormat="1" applyFont="1" applyBorder="1" applyAlignment="1" applyProtection="1">
      <alignment vertical="center"/>
    </xf>
    <xf numFmtId="172" fontId="11" fillId="0" borderId="74" xfId="41" applyNumberFormat="1" applyFont="1" applyBorder="1" applyAlignment="1" applyProtection="1">
      <alignment vertical="center"/>
    </xf>
    <xf numFmtId="172" fontId="11" fillId="0" borderId="103" xfId="42" applyNumberFormat="1" applyFont="1" applyBorder="1" applyAlignment="1" applyProtection="1">
      <alignment vertical="center"/>
    </xf>
    <xf numFmtId="0" fontId="15" fillId="0" borderId="77" xfId="42" applyFont="1" applyFill="1" applyBorder="1" applyAlignment="1" applyProtection="1">
      <alignment vertical="center"/>
    </xf>
    <xf numFmtId="0" fontId="15" fillId="0" borderId="74" xfId="42" applyFont="1" applyFill="1" applyBorder="1" applyAlignment="1" applyProtection="1">
      <alignment vertical="center"/>
    </xf>
    <xf numFmtId="172" fontId="11" fillId="0" borderId="77" xfId="42" applyNumberFormat="1" applyFont="1" applyBorder="1" applyAlignment="1" applyProtection="1">
      <alignment vertical="center"/>
    </xf>
    <xf numFmtId="172" fontId="11" fillId="0" borderId="103" xfId="43" applyNumberFormat="1" applyFont="1" applyBorder="1" applyAlignment="1" applyProtection="1">
      <alignment vertical="center"/>
    </xf>
    <xf numFmtId="0" fontId="15" fillId="0" borderId="77" xfId="43" applyFont="1" applyFill="1" applyBorder="1" applyAlignment="1" applyProtection="1">
      <alignment vertical="center"/>
    </xf>
    <xf numFmtId="0" fontId="15" fillId="0" borderId="74" xfId="43" applyFont="1" applyFill="1" applyBorder="1" applyAlignment="1" applyProtection="1">
      <alignment vertical="center"/>
    </xf>
    <xf numFmtId="172" fontId="11" fillId="0" borderId="103" xfId="44" applyNumberFormat="1" applyFont="1" applyBorder="1" applyAlignment="1" applyProtection="1">
      <alignment vertical="center"/>
    </xf>
    <xf numFmtId="0" fontId="15" fillId="0" borderId="77" xfId="44" applyFont="1" applyFill="1" applyBorder="1" applyAlignment="1" applyProtection="1">
      <alignment vertical="center"/>
    </xf>
    <xf numFmtId="0" fontId="15" fillId="0" borderId="74" xfId="44" applyFont="1" applyFill="1" applyBorder="1" applyAlignment="1" applyProtection="1">
      <alignment vertical="center"/>
    </xf>
    <xf numFmtId="172" fontId="11" fillId="0" borderId="77" xfId="45" applyNumberFormat="1" applyFont="1" applyBorder="1" applyAlignment="1" applyProtection="1">
      <alignment vertical="center"/>
    </xf>
    <xf numFmtId="172" fontId="11" fillId="0" borderId="103" xfId="45" applyNumberFormat="1" applyFont="1" applyBorder="1" applyAlignment="1" applyProtection="1">
      <alignment vertical="center"/>
    </xf>
    <xf numFmtId="0" fontId="15" fillId="0" borderId="77" xfId="45" applyFont="1" applyFill="1" applyBorder="1" applyAlignment="1" applyProtection="1">
      <alignment vertical="center"/>
    </xf>
    <xf numFmtId="0" fontId="15" fillId="0" borderId="74" xfId="45" applyFont="1" applyFill="1" applyBorder="1" applyAlignment="1" applyProtection="1">
      <alignment vertical="center"/>
    </xf>
    <xf numFmtId="1" fontId="11" fillId="0" borderId="76" xfId="40" applyNumberFormat="1" applyFont="1" applyBorder="1" applyAlignment="1" applyProtection="1">
      <alignment horizontal="center" vertical="center"/>
    </xf>
    <xf numFmtId="1" fontId="11" fillId="0" borderId="63" xfId="40" applyNumberFormat="1" applyFont="1" applyBorder="1" applyAlignment="1" applyProtection="1">
      <alignment horizontal="center" vertical="center"/>
    </xf>
    <xf numFmtId="172" fontId="11" fillId="0" borderId="77" xfId="9" applyNumberFormat="1" applyFont="1" applyBorder="1" applyAlignment="1" applyProtection="1">
      <alignment vertical="center"/>
    </xf>
    <xf numFmtId="0" fontId="11" fillId="0" borderId="103" xfId="9" applyFont="1" applyBorder="1" applyAlignment="1" applyProtection="1">
      <alignment horizontal="left" vertical="center"/>
    </xf>
    <xf numFmtId="172" fontId="11" fillId="0" borderId="77" xfId="9" applyNumberFormat="1" applyFont="1" applyBorder="1" applyAlignment="1" applyProtection="1">
      <alignment horizontal="left" vertical="center"/>
    </xf>
    <xf numFmtId="172" fontId="11" fillId="0" borderId="103" xfId="9" applyNumberFormat="1" applyFont="1" applyBorder="1" applyAlignment="1" applyProtection="1">
      <alignment vertical="center"/>
    </xf>
    <xf numFmtId="0" fontId="11" fillId="0" borderId="103" xfId="9" applyFont="1" applyBorder="1" applyAlignment="1" applyProtection="1">
      <alignment vertical="center"/>
    </xf>
    <xf numFmtId="172" fontId="11" fillId="0" borderId="103" xfId="9" applyNumberFormat="1" applyFont="1" applyBorder="1" applyAlignment="1" applyProtection="1">
      <alignment horizontal="left" vertical="center"/>
    </xf>
    <xf numFmtId="172" fontId="11" fillId="0" borderId="77" xfId="22" applyNumberFormat="1" applyFont="1" applyBorder="1" applyAlignment="1" applyProtection="1">
      <alignment vertical="center"/>
    </xf>
    <xf numFmtId="0" fontId="11" fillId="0" borderId="77" xfId="22" applyFont="1" applyBorder="1" applyAlignment="1" applyProtection="1">
      <alignment horizontal="left" vertical="center"/>
    </xf>
    <xf numFmtId="172" fontId="11" fillId="0" borderId="103" xfId="22" applyNumberFormat="1" applyFont="1" applyBorder="1" applyAlignment="1" applyProtection="1">
      <alignment horizontal="left" vertical="center"/>
    </xf>
    <xf numFmtId="172" fontId="11" fillId="0" borderId="77" xfId="22" applyNumberFormat="1" applyFont="1" applyBorder="1" applyAlignment="1" applyProtection="1">
      <alignment horizontal="left" vertical="center"/>
    </xf>
    <xf numFmtId="0" fontId="11" fillId="0" borderId="103" xfId="22" applyFont="1" applyBorder="1" applyAlignment="1" applyProtection="1">
      <alignment horizontal="left" vertical="center"/>
    </xf>
    <xf numFmtId="0" fontId="11" fillId="0" borderId="77" xfId="10" applyFont="1" applyBorder="1" applyAlignment="1" applyProtection="1">
      <alignment vertical="center"/>
    </xf>
    <xf numFmtId="172" fontId="11" fillId="0" borderId="77" xfId="10" applyNumberFormat="1" applyFont="1" applyBorder="1" applyAlignment="1" applyProtection="1">
      <alignment horizontal="left" vertical="center"/>
    </xf>
    <xf numFmtId="0" fontId="11" fillId="0" borderId="77" xfId="10" applyFont="1" applyBorder="1" applyAlignment="1" applyProtection="1">
      <alignment horizontal="left" vertical="center"/>
    </xf>
    <xf numFmtId="172" fontId="11" fillId="0" borderId="77" xfId="11" applyNumberFormat="1" applyFont="1" applyBorder="1" applyAlignment="1" applyProtection="1">
      <alignment horizontal="left" vertical="center"/>
    </xf>
    <xf numFmtId="0" fontId="11" fillId="0" borderId="77" xfId="11" applyFont="1" applyBorder="1" applyAlignment="1" applyProtection="1">
      <alignment horizontal="left" vertical="center"/>
    </xf>
    <xf numFmtId="0" fontId="11" fillId="0" borderId="103" xfId="11" applyFont="1" applyBorder="1" applyAlignment="1" applyProtection="1">
      <alignment horizontal="left" vertical="center"/>
    </xf>
    <xf numFmtId="172" fontId="11" fillId="0" borderId="77" xfId="23" applyNumberFormat="1" applyFont="1" applyBorder="1" applyAlignment="1" applyProtection="1"/>
    <xf numFmtId="172" fontId="11" fillId="0" borderId="103" xfId="23" applyNumberFormat="1" applyFont="1" applyBorder="1" applyAlignment="1" applyProtection="1"/>
    <xf numFmtId="0" fontId="11" fillId="0" borderId="77" xfId="23" applyFont="1" applyBorder="1" applyAlignment="1" applyProtection="1"/>
    <xf numFmtId="172" fontId="11" fillId="0" borderId="77" xfId="23" applyNumberFormat="1" applyFont="1" applyBorder="1" applyAlignment="1" applyProtection="1">
      <alignment horizontal="left" vertical="top"/>
    </xf>
    <xf numFmtId="172" fontId="11" fillId="0" borderId="77" xfId="23" applyNumberFormat="1" applyFont="1" applyBorder="1" applyAlignment="1" applyProtection="1">
      <alignment horizontal="left"/>
    </xf>
    <xf numFmtId="172" fontId="11" fillId="0" borderId="77" xfId="12" applyNumberFormat="1" applyFont="1" applyBorder="1" applyAlignment="1" applyProtection="1">
      <alignment vertical="center"/>
    </xf>
    <xf numFmtId="0" fontId="11" fillId="0" borderId="103" xfId="12" applyFont="1" applyBorder="1" applyAlignment="1" applyProtection="1">
      <alignment horizontal="left" vertical="center"/>
    </xf>
    <xf numFmtId="172" fontId="11" fillId="0" borderId="103" xfId="12" applyNumberFormat="1" applyFont="1" applyBorder="1" applyAlignment="1" applyProtection="1">
      <alignment horizontal="left" vertical="center"/>
    </xf>
    <xf numFmtId="172" fontId="11" fillId="0" borderId="103" xfId="12" applyNumberFormat="1" applyFont="1" applyBorder="1" applyAlignment="1" applyProtection="1">
      <alignment vertical="center"/>
    </xf>
    <xf numFmtId="0" fontId="11" fillId="0" borderId="77" xfId="12" applyFont="1" applyBorder="1" applyAlignment="1" applyProtection="1">
      <alignment vertical="center"/>
    </xf>
    <xf numFmtId="172" fontId="11" fillId="0" borderId="77" xfId="13" applyNumberFormat="1" applyFont="1" applyBorder="1" applyAlignment="1" applyProtection="1">
      <alignment horizontal="left" vertical="center"/>
    </xf>
    <xf numFmtId="172" fontId="11" fillId="0" borderId="77" xfId="13" applyNumberFormat="1" applyFont="1" applyBorder="1" applyAlignment="1" applyProtection="1">
      <alignment vertical="center"/>
    </xf>
    <xf numFmtId="172" fontId="18" fillId="0" borderId="77" xfId="13" applyNumberFormat="1" applyFont="1" applyBorder="1" applyAlignment="1" applyProtection="1">
      <alignment vertical="center"/>
    </xf>
    <xf numFmtId="172" fontId="11" fillId="0" borderId="103" xfId="13" applyNumberFormat="1" applyFont="1" applyBorder="1" applyAlignment="1" applyProtection="1">
      <alignment horizontal="left" vertical="center"/>
    </xf>
    <xf numFmtId="172" fontId="11" fillId="0" borderId="77" xfId="15" applyNumberFormat="1" applyFont="1" applyBorder="1" applyAlignment="1" applyProtection="1">
      <alignment horizontal="left" vertical="center"/>
    </xf>
    <xf numFmtId="172" fontId="11" fillId="0" borderId="76" xfId="16" applyNumberFormat="1" applyFont="1" applyBorder="1" applyAlignment="1" applyProtection="1">
      <alignment horizontal="center" vertical="center"/>
    </xf>
    <xf numFmtId="172" fontId="11" fillId="0" borderId="63" xfId="16" applyNumberFormat="1" applyFont="1" applyBorder="1" applyAlignment="1" applyProtection="1">
      <alignment horizontal="center" vertical="center"/>
    </xf>
    <xf numFmtId="172" fontId="11" fillId="0" borderId="77" xfId="16" applyNumberFormat="1" applyFont="1" applyBorder="1" applyAlignment="1" applyProtection="1">
      <alignment vertical="center"/>
    </xf>
    <xf numFmtId="0" fontId="11" fillId="0" borderId="77" xfId="16" applyFont="1" applyBorder="1" applyAlignment="1" applyProtection="1">
      <alignment horizontal="left" vertical="center"/>
    </xf>
    <xf numFmtId="0" fontId="171" fillId="3" borderId="0" xfId="176" applyFont="1" applyFill="1" applyProtection="1"/>
    <xf numFmtId="0" fontId="150" fillId="3" borderId="0" xfId="176" applyFont="1" applyFill="1" applyProtection="1"/>
    <xf numFmtId="0" fontId="150" fillId="22" borderId="0" xfId="176" applyFont="1" applyFill="1" applyProtection="1"/>
    <xf numFmtId="0" fontId="172" fillId="3" borderId="0" xfId="176" applyFont="1" applyFill="1" applyProtection="1"/>
    <xf numFmtId="0" fontId="167" fillId="3" borderId="0" xfId="176" applyFont="1" applyFill="1" applyProtection="1"/>
    <xf numFmtId="3" fontId="11" fillId="0" borderId="73" xfId="45" applyNumberFormat="1" applyFont="1" applyFill="1" applyBorder="1" applyAlignment="1" applyProtection="1">
      <alignment vertical="center"/>
    </xf>
    <xf numFmtId="3" fontId="11" fillId="0" borderId="74" xfId="45" applyNumberFormat="1" applyFont="1" applyFill="1" applyBorder="1" applyAlignment="1" applyProtection="1">
      <alignment vertical="center"/>
    </xf>
    <xf numFmtId="3" fontId="11" fillId="0" borderId="102" xfId="43" applyNumberFormat="1" applyFont="1" applyFill="1" applyBorder="1" applyAlignment="1" applyProtection="1">
      <alignment vertical="center"/>
    </xf>
    <xf numFmtId="3" fontId="11" fillId="0" borderId="76" xfId="45" applyNumberFormat="1" applyFont="1" applyFill="1" applyBorder="1" applyAlignment="1" applyProtection="1">
      <alignment vertical="center"/>
    </xf>
    <xf numFmtId="3" fontId="11" fillId="0" borderId="102" xfId="45" applyNumberFormat="1" applyFont="1" applyFill="1" applyBorder="1" applyAlignment="1" applyProtection="1">
      <alignment vertical="center"/>
    </xf>
    <xf numFmtId="3" fontId="11" fillId="0" borderId="64" xfId="45" applyNumberFormat="1" applyFont="1" applyFill="1" applyBorder="1" applyAlignment="1" applyProtection="1">
      <alignment vertical="center"/>
    </xf>
    <xf numFmtId="172" fontId="11" fillId="0" borderId="73" xfId="45" applyNumberFormat="1" applyFont="1" applyBorder="1" applyAlignment="1" applyProtection="1">
      <alignment vertical="center"/>
    </xf>
    <xf numFmtId="172" fontId="11" fillId="0" borderId="65" xfId="45" applyNumberFormat="1" applyFont="1" applyBorder="1" applyAlignment="1" applyProtection="1">
      <alignment horizontal="left" vertical="center"/>
    </xf>
    <xf numFmtId="172" fontId="11" fillId="0" borderId="78" xfId="45" applyNumberFormat="1" applyFont="1" applyBorder="1" applyAlignment="1" applyProtection="1">
      <alignment horizontal="left" vertical="center"/>
    </xf>
    <xf numFmtId="3" fontId="11" fillId="2" borderId="64" xfId="45" applyNumberFormat="1" applyFont="1" applyFill="1" applyBorder="1" applyAlignment="1" applyProtection="1">
      <alignment vertical="center"/>
      <protection locked="0"/>
    </xf>
    <xf numFmtId="3" fontId="11" fillId="2" borderId="102" xfId="45" applyNumberFormat="1" applyFont="1" applyFill="1" applyBorder="1" applyAlignment="1" applyProtection="1">
      <alignment vertical="center"/>
      <protection locked="0"/>
    </xf>
    <xf numFmtId="172" fontId="11" fillId="0" borderId="104" xfId="45" applyNumberFormat="1" applyFont="1" applyBorder="1" applyAlignment="1" applyProtection="1">
      <alignment vertical="center"/>
    </xf>
    <xf numFmtId="172" fontId="11" fillId="0" borderId="63" xfId="45" applyNumberFormat="1" applyFont="1" applyBorder="1" applyAlignment="1" applyProtection="1">
      <alignment horizontal="center" vertical="center"/>
    </xf>
    <xf numFmtId="172" fontId="11" fillId="0" borderId="75" xfId="45" applyNumberFormat="1" applyFont="1" applyBorder="1" applyAlignment="1" applyProtection="1">
      <alignment horizontal="center" vertical="center"/>
    </xf>
    <xf numFmtId="172" fontId="11" fillId="0" borderId="103" xfId="45" applyNumberFormat="1" applyFont="1" applyBorder="1" applyAlignment="1" applyProtection="1">
      <alignment horizontal="left" vertical="center"/>
    </xf>
    <xf numFmtId="3" fontId="11" fillId="11" borderId="64" xfId="45" applyNumberFormat="1" applyFont="1" applyFill="1" applyBorder="1" applyAlignment="1" applyProtection="1">
      <alignment vertical="center"/>
      <protection locked="0"/>
    </xf>
    <xf numFmtId="3" fontId="11" fillId="2" borderId="73" xfId="45" applyNumberFormat="1" applyFont="1" applyFill="1" applyBorder="1" applyAlignment="1" applyProtection="1">
      <alignment vertical="center"/>
      <protection locked="0"/>
    </xf>
    <xf numFmtId="172" fontId="11" fillId="0" borderId="73" xfId="45" applyNumberFormat="1" applyFont="1" applyBorder="1" applyAlignment="1" applyProtection="1">
      <alignment horizontal="left" vertical="center"/>
    </xf>
    <xf numFmtId="3" fontId="11" fillId="0" borderId="73" xfId="45" applyNumberFormat="1" applyFont="1" applyBorder="1" applyAlignment="1" applyProtection="1">
      <alignment vertical="center"/>
    </xf>
    <xf numFmtId="172" fontId="11" fillId="0" borderId="63" xfId="45" applyNumberFormat="1" applyFont="1" applyFill="1" applyBorder="1" applyAlignment="1" applyProtection="1">
      <alignment horizontal="center" vertical="center"/>
    </xf>
    <xf numFmtId="0" fontId="11" fillId="0" borderId="76" xfId="45" applyFont="1" applyBorder="1" applyAlignment="1" applyProtection="1">
      <alignment horizontal="center" vertical="center"/>
    </xf>
    <xf numFmtId="0" fontId="11" fillId="0" borderId="75" xfId="45" applyFont="1" applyBorder="1" applyAlignment="1" applyProtection="1">
      <alignment horizontal="center" vertical="center"/>
    </xf>
    <xf numFmtId="0" fontId="11" fillId="0" borderId="63" xfId="45" applyFont="1" applyBorder="1" applyAlignment="1" applyProtection="1">
      <alignment horizontal="center" vertical="center"/>
    </xf>
    <xf numFmtId="0" fontId="11" fillId="0" borderId="65" xfId="45" applyFont="1" applyBorder="1" applyAlignment="1" applyProtection="1">
      <alignment horizontal="left" vertical="center"/>
    </xf>
    <xf numFmtId="172" fontId="11" fillId="0" borderId="76" xfId="45" applyNumberFormat="1" applyFont="1" applyBorder="1" applyAlignment="1" applyProtection="1">
      <alignment horizontal="left" vertical="center"/>
    </xf>
    <xf numFmtId="3" fontId="11" fillId="21" borderId="103" xfId="45" applyNumberFormat="1" applyFont="1" applyFill="1" applyBorder="1" applyAlignment="1" applyProtection="1">
      <alignment horizontal="center" vertical="center"/>
    </xf>
    <xf numFmtId="3" fontId="11" fillId="21" borderId="0" xfId="45" applyNumberFormat="1" applyFont="1" applyFill="1" applyBorder="1" applyAlignment="1" applyProtection="1">
      <alignment horizontal="center" vertical="center"/>
    </xf>
    <xf numFmtId="3" fontId="11" fillId="21" borderId="73" xfId="45" applyNumberFormat="1" applyFont="1" applyFill="1" applyBorder="1" applyAlignment="1" applyProtection="1">
      <alignment horizontal="center" vertical="center"/>
    </xf>
    <xf numFmtId="3" fontId="11" fillId="21" borderId="65" xfId="45" applyNumberFormat="1" applyFont="1" applyFill="1" applyBorder="1" applyAlignment="1" applyProtection="1">
      <alignment horizontal="center" vertical="center"/>
    </xf>
    <xf numFmtId="3" fontId="11" fillId="21" borderId="61" xfId="45" applyNumberFormat="1" applyFont="1" applyFill="1" applyBorder="1" applyAlignment="1" applyProtection="1">
      <alignment horizontal="center" vertical="center"/>
    </xf>
    <xf numFmtId="3" fontId="11" fillId="21" borderId="64" xfId="45" applyNumberFormat="1" applyFont="1" applyFill="1" applyBorder="1" applyAlignment="1" applyProtection="1">
      <alignment horizontal="center" vertical="center"/>
    </xf>
    <xf numFmtId="3" fontId="11" fillId="21" borderId="63" xfId="45" applyNumberFormat="1" applyFont="1" applyFill="1" applyBorder="1" applyAlignment="1" applyProtection="1">
      <alignment horizontal="center" vertical="center"/>
    </xf>
    <xf numFmtId="0" fontId="11" fillId="0" borderId="0" xfId="44" applyFont="1" applyFill="1" applyAlignment="1" applyProtection="1">
      <alignment vertical="center"/>
    </xf>
    <xf numFmtId="3" fontId="11" fillId="0" borderId="74" xfId="44" applyNumberFormat="1" applyFont="1" applyFill="1" applyBorder="1" applyAlignment="1" applyProtection="1">
      <alignment vertical="center"/>
    </xf>
    <xf numFmtId="3" fontId="11" fillId="0" borderId="73" xfId="44" applyNumberFormat="1" applyFont="1" applyFill="1" applyBorder="1" applyAlignment="1" applyProtection="1">
      <alignment vertical="center"/>
    </xf>
    <xf numFmtId="3" fontId="11" fillId="0" borderId="102" xfId="44" applyNumberFormat="1" applyFont="1" applyFill="1" applyBorder="1" applyAlignment="1" applyProtection="1">
      <alignment vertical="center"/>
    </xf>
    <xf numFmtId="3" fontId="15" fillId="0" borderId="74" xfId="44" applyNumberFormat="1" applyFont="1" applyFill="1" applyBorder="1" applyAlignment="1" applyProtection="1">
      <alignment vertical="center"/>
    </xf>
    <xf numFmtId="172" fontId="11" fillId="0" borderId="73" xfId="44" applyNumberFormat="1" applyFont="1" applyBorder="1" applyAlignment="1" applyProtection="1">
      <alignment vertical="center"/>
    </xf>
    <xf numFmtId="3" fontId="11" fillId="2" borderId="64" xfId="44" applyNumberFormat="1" applyFont="1" applyFill="1" applyBorder="1" applyAlignment="1" applyProtection="1">
      <alignment vertical="center"/>
      <protection locked="0"/>
    </xf>
    <xf numFmtId="3" fontId="11" fillId="2" borderId="102" xfId="44" applyNumberFormat="1" applyFont="1" applyFill="1" applyBorder="1" applyAlignment="1" applyProtection="1">
      <alignment vertical="center"/>
      <protection locked="0"/>
    </xf>
    <xf numFmtId="3" fontId="11" fillId="11" borderId="64" xfId="44" applyNumberFormat="1" applyFont="1" applyFill="1" applyBorder="1" applyAlignment="1" applyProtection="1">
      <alignment vertical="center"/>
      <protection locked="0"/>
    </xf>
    <xf numFmtId="3" fontId="11" fillId="2" borderId="73" xfId="44" applyNumberFormat="1" applyFont="1" applyFill="1" applyBorder="1" applyAlignment="1" applyProtection="1">
      <alignment vertical="center"/>
      <protection locked="0"/>
    </xf>
    <xf numFmtId="3" fontId="11" fillId="0" borderId="64" xfId="44" applyNumberFormat="1" applyFont="1" applyFill="1" applyBorder="1" applyAlignment="1" applyProtection="1">
      <alignment vertical="center"/>
    </xf>
    <xf numFmtId="172" fontId="11" fillId="0" borderId="63" xfId="44" applyNumberFormat="1" applyFont="1" applyBorder="1" applyAlignment="1" applyProtection="1">
      <alignment horizontal="center" vertical="center"/>
    </xf>
    <xf numFmtId="172" fontId="11" fillId="0" borderId="75" xfId="44" applyNumberFormat="1" applyFont="1" applyBorder="1" applyAlignment="1" applyProtection="1">
      <alignment horizontal="center" vertical="center"/>
    </xf>
    <xf numFmtId="172" fontId="11" fillId="0" borderId="63" xfId="44" applyNumberFormat="1" applyFont="1" applyFill="1" applyBorder="1" applyAlignment="1" applyProtection="1">
      <alignment horizontal="center" vertical="center"/>
    </xf>
    <xf numFmtId="0" fontId="11" fillId="0" borderId="76" xfId="44" applyFont="1" applyBorder="1" applyAlignment="1" applyProtection="1">
      <alignment horizontal="center" vertical="center"/>
    </xf>
    <xf numFmtId="0" fontId="11" fillId="0" borderId="63" xfId="44" applyFont="1" applyBorder="1" applyAlignment="1" applyProtection="1">
      <alignment horizontal="center" vertical="center"/>
    </xf>
    <xf numFmtId="172" fontId="11" fillId="0" borderId="104" xfId="44" applyNumberFormat="1" applyFont="1" applyBorder="1" applyAlignment="1" applyProtection="1">
      <alignment vertical="center"/>
    </xf>
    <xf numFmtId="3" fontId="11" fillId="0" borderId="104" xfId="44" applyNumberFormat="1" applyFont="1" applyFill="1" applyBorder="1" applyAlignment="1" applyProtection="1">
      <alignment vertical="center"/>
    </xf>
    <xf numFmtId="3" fontId="11" fillId="0" borderId="75" xfId="44" applyNumberFormat="1" applyFont="1" applyFill="1" applyBorder="1" applyAlignment="1" applyProtection="1">
      <alignment vertical="center"/>
    </xf>
    <xf numFmtId="3" fontId="11" fillId="2" borderId="63" xfId="44" applyNumberFormat="1" applyFont="1" applyFill="1" applyBorder="1" applyAlignment="1" applyProtection="1">
      <alignment vertical="center"/>
      <protection locked="0"/>
    </xf>
    <xf numFmtId="172" fontId="11" fillId="0" borderId="65" xfId="44" applyNumberFormat="1" applyFont="1" applyBorder="1" applyAlignment="1" applyProtection="1">
      <alignment horizontal="left" vertical="center"/>
    </xf>
    <xf numFmtId="172" fontId="11" fillId="0" borderId="78" xfId="44" applyNumberFormat="1" applyFont="1" applyBorder="1" applyAlignment="1" applyProtection="1">
      <alignment horizontal="left" vertical="center"/>
    </xf>
    <xf numFmtId="172" fontId="11" fillId="0" borderId="65" xfId="44" applyNumberFormat="1" applyFont="1" applyFill="1" applyBorder="1" applyAlignment="1" applyProtection="1">
      <alignment horizontal="left" vertical="center"/>
    </xf>
    <xf numFmtId="0" fontId="11" fillId="0" borderId="77" xfId="44" applyFont="1" applyBorder="1" applyAlignment="1" applyProtection="1">
      <alignment horizontal="left" vertical="center"/>
    </xf>
    <xf numFmtId="0" fontId="15" fillId="3" borderId="77" xfId="44" applyFont="1" applyFill="1" applyBorder="1" applyAlignment="1" applyProtection="1">
      <alignment horizontal="left" vertical="center"/>
    </xf>
    <xf numFmtId="0" fontId="11" fillId="0" borderId="65" xfId="44" applyFont="1" applyBorder="1" applyAlignment="1" applyProtection="1">
      <alignment horizontal="left" vertical="center"/>
    </xf>
    <xf numFmtId="3" fontId="11" fillId="0" borderId="74" xfId="43" applyNumberFormat="1" applyFont="1" applyFill="1" applyBorder="1" applyAlignment="1" applyProtection="1">
      <alignment vertical="center"/>
    </xf>
    <xf numFmtId="3" fontId="11" fillId="0" borderId="73" xfId="43" applyNumberFormat="1" applyFont="1" applyFill="1" applyBorder="1" applyAlignment="1" applyProtection="1">
      <alignment vertical="center"/>
    </xf>
    <xf numFmtId="3" fontId="11" fillId="0" borderId="64" xfId="43" applyNumberFormat="1" applyFont="1" applyFill="1" applyBorder="1" applyAlignment="1" applyProtection="1">
      <alignment vertical="center"/>
    </xf>
    <xf numFmtId="172" fontId="11" fillId="0" borderId="65" xfId="43" applyNumberFormat="1" applyFont="1" applyBorder="1" applyAlignment="1" applyProtection="1">
      <alignment horizontal="left" vertical="center"/>
    </xf>
    <xf numFmtId="172" fontId="11" fillId="0" borderId="78" xfId="43" applyNumberFormat="1" applyFont="1" applyBorder="1" applyAlignment="1" applyProtection="1">
      <alignment horizontal="left" vertical="center"/>
    </xf>
    <xf numFmtId="172" fontId="11" fillId="0" borderId="65" xfId="43" applyNumberFormat="1" applyFont="1" applyFill="1" applyBorder="1" applyAlignment="1" applyProtection="1">
      <alignment horizontal="left" vertical="center"/>
    </xf>
    <xf numFmtId="0" fontId="11" fillId="0" borderId="77" xfId="43" applyFont="1" applyBorder="1" applyAlignment="1" applyProtection="1">
      <alignment horizontal="left" vertical="center"/>
    </xf>
    <xf numFmtId="0" fontId="11" fillId="0" borderId="65" xfId="43" applyFont="1" applyBorder="1" applyAlignment="1" applyProtection="1">
      <alignment horizontal="left" vertical="center"/>
    </xf>
    <xf numFmtId="0" fontId="11" fillId="0" borderId="78" xfId="43" applyFont="1" applyBorder="1" applyAlignment="1" applyProtection="1">
      <alignment horizontal="left" vertical="center"/>
    </xf>
    <xf numFmtId="0" fontId="15" fillId="0" borderId="78" xfId="43" applyFont="1" applyBorder="1" applyAlignment="1" applyProtection="1">
      <alignment horizontal="left" vertical="center"/>
    </xf>
    <xf numFmtId="0" fontId="11" fillId="0" borderId="63" xfId="43" applyFont="1" applyBorder="1" applyAlignment="1" applyProtection="1">
      <alignment horizontal="center" vertical="center"/>
    </xf>
    <xf numFmtId="0" fontId="15" fillId="0" borderId="75" xfId="43" applyFont="1" applyBorder="1" applyAlignment="1" applyProtection="1">
      <alignment horizontal="center" vertical="center"/>
    </xf>
    <xf numFmtId="3" fontId="11" fillId="0" borderId="63" xfId="43" applyNumberFormat="1" applyFont="1" applyFill="1" applyBorder="1" applyAlignment="1" applyProtection="1">
      <alignment vertical="center"/>
    </xf>
    <xf numFmtId="3" fontId="11" fillId="0" borderId="75" xfId="43" applyNumberFormat="1" applyFont="1" applyFill="1" applyBorder="1" applyAlignment="1" applyProtection="1">
      <alignment vertical="center"/>
    </xf>
    <xf numFmtId="3" fontId="11" fillId="2" borderId="63" xfId="43" applyNumberFormat="1" applyFont="1" applyFill="1" applyBorder="1" applyAlignment="1" applyProtection="1">
      <alignment vertical="center"/>
      <protection locked="0"/>
    </xf>
    <xf numFmtId="3" fontId="11" fillId="0" borderId="76" xfId="43" applyNumberFormat="1" applyFont="1" applyFill="1" applyBorder="1" applyAlignment="1" applyProtection="1">
      <alignment vertical="center"/>
    </xf>
    <xf numFmtId="3" fontId="11" fillId="2" borderId="104" xfId="43" applyNumberFormat="1" applyFont="1" applyFill="1" applyBorder="1" applyAlignment="1" applyProtection="1">
      <alignment vertical="center"/>
      <protection locked="0"/>
    </xf>
    <xf numFmtId="3" fontId="11" fillId="2" borderId="64" xfId="43" applyNumberFormat="1" applyFont="1" applyFill="1" applyBorder="1" applyAlignment="1" applyProtection="1">
      <alignment vertical="center"/>
      <protection locked="0"/>
    </xf>
    <xf numFmtId="172" fontId="11" fillId="0" borderId="73" xfId="43" applyNumberFormat="1" applyFont="1" applyBorder="1" applyAlignment="1" applyProtection="1">
      <alignment vertical="center"/>
    </xf>
    <xf numFmtId="172" fontId="11" fillId="0" borderId="104" xfId="43" applyNumberFormat="1" applyFont="1" applyBorder="1" applyAlignment="1" applyProtection="1">
      <alignment vertical="center"/>
    </xf>
    <xf numFmtId="172" fontId="11" fillId="0" borderId="63" xfId="43" applyNumberFormat="1" applyFont="1" applyBorder="1" applyAlignment="1" applyProtection="1">
      <alignment horizontal="center" vertical="center"/>
    </xf>
    <xf numFmtId="172" fontId="11" fillId="0" borderId="63" xfId="43" applyNumberFormat="1" applyFont="1" applyFill="1" applyBorder="1" applyAlignment="1" applyProtection="1">
      <alignment horizontal="center" vertical="center"/>
    </xf>
    <xf numFmtId="0" fontId="11" fillId="0" borderId="76" xfId="43" applyFont="1" applyBorder="1" applyAlignment="1" applyProtection="1">
      <alignment horizontal="center" vertical="center"/>
    </xf>
    <xf numFmtId="0" fontId="11" fillId="0" borderId="75" xfId="43" applyFont="1" applyBorder="1" applyAlignment="1" applyProtection="1">
      <alignment horizontal="center" vertical="center"/>
    </xf>
    <xf numFmtId="3" fontId="11" fillId="0" borderId="104" xfId="43" applyNumberFormat="1" applyFont="1" applyFill="1" applyBorder="1" applyAlignment="1" applyProtection="1">
      <alignment vertical="center"/>
    </xf>
    <xf numFmtId="3" fontId="11" fillId="11" borderId="63" xfId="43" applyNumberFormat="1" applyFont="1" applyFill="1" applyBorder="1" applyAlignment="1" applyProtection="1">
      <alignment vertical="center"/>
      <protection locked="0"/>
    </xf>
    <xf numFmtId="3" fontId="15" fillId="0" borderId="76" xfId="43" applyNumberFormat="1" applyFont="1" applyFill="1" applyBorder="1" applyAlignment="1" applyProtection="1">
      <alignment vertical="center"/>
    </xf>
    <xf numFmtId="3" fontId="11" fillId="0" borderId="75" xfId="42" applyNumberFormat="1" applyFont="1" applyFill="1" applyBorder="1" applyAlignment="1" applyProtection="1">
      <alignment vertical="center"/>
    </xf>
    <xf numFmtId="172" fontId="11" fillId="0" borderId="73" xfId="42" applyNumberFormat="1" applyFont="1" applyBorder="1" applyAlignment="1" applyProtection="1">
      <alignment vertical="center"/>
    </xf>
    <xf numFmtId="172" fontId="11" fillId="0" borderId="65" xfId="42" applyNumberFormat="1" applyFont="1" applyBorder="1" applyAlignment="1" applyProtection="1">
      <alignment horizontal="left" vertical="center"/>
    </xf>
    <xf numFmtId="172" fontId="11" fillId="0" borderId="78" xfId="42" applyNumberFormat="1" applyFont="1" applyBorder="1" applyAlignment="1" applyProtection="1">
      <alignment horizontal="left" vertical="center"/>
    </xf>
    <xf numFmtId="172" fontId="11" fillId="0" borderId="65" xfId="42" applyNumberFormat="1" applyFont="1" applyFill="1" applyBorder="1" applyAlignment="1" applyProtection="1">
      <alignment horizontal="left" vertical="center"/>
    </xf>
    <xf numFmtId="0" fontId="11" fillId="0" borderId="77" xfId="42" applyFont="1" applyBorder="1" applyAlignment="1" applyProtection="1">
      <alignment horizontal="left" vertical="center"/>
    </xf>
    <xf numFmtId="0" fontId="11" fillId="0" borderId="65" xfId="42" applyFont="1" applyBorder="1" applyAlignment="1" applyProtection="1">
      <alignment horizontal="left" vertical="center"/>
    </xf>
    <xf numFmtId="0" fontId="11" fillId="0" borderId="78" xfId="42" applyFont="1" applyBorder="1" applyAlignment="1" applyProtection="1">
      <alignment horizontal="left" vertical="center"/>
    </xf>
    <xf numFmtId="0" fontId="11" fillId="0" borderId="75" xfId="42" applyFont="1" applyBorder="1" applyAlignment="1" applyProtection="1">
      <alignment horizontal="center" vertical="center"/>
    </xf>
    <xf numFmtId="0" fontId="11" fillId="0" borderId="63" xfId="42" applyFont="1" applyBorder="1" applyAlignment="1" applyProtection="1">
      <alignment horizontal="center" vertical="center"/>
    </xf>
    <xf numFmtId="3" fontId="11" fillId="2" borderId="104" xfId="42" applyNumberFormat="1" applyFont="1" applyFill="1" applyBorder="1" applyAlignment="1" applyProtection="1">
      <alignment vertical="center"/>
      <protection locked="0"/>
    </xf>
    <xf numFmtId="3" fontId="11" fillId="0" borderId="104" xfId="42" applyNumberFormat="1" applyFont="1" applyFill="1" applyBorder="1" applyAlignment="1" applyProtection="1">
      <alignment vertical="center"/>
    </xf>
    <xf numFmtId="3" fontId="11" fillId="0" borderId="63" xfId="42" applyNumberFormat="1" applyFont="1" applyFill="1" applyBorder="1" applyAlignment="1" applyProtection="1">
      <alignment vertical="center"/>
    </xf>
    <xf numFmtId="3" fontId="11" fillId="2" borderId="63" xfId="42" applyNumberFormat="1" applyFont="1" applyFill="1" applyBorder="1" applyAlignment="1" applyProtection="1">
      <alignment vertical="center"/>
      <protection locked="0"/>
    </xf>
    <xf numFmtId="3" fontId="11" fillId="0" borderId="76" xfId="42" applyNumberFormat="1" applyFont="1" applyFill="1" applyBorder="1" applyAlignment="1" applyProtection="1">
      <alignment vertical="center"/>
    </xf>
    <xf numFmtId="3" fontId="15" fillId="0" borderId="76" xfId="42" applyNumberFormat="1" applyFont="1" applyFill="1" applyBorder="1" applyAlignment="1" applyProtection="1">
      <alignment vertical="center"/>
    </xf>
    <xf numFmtId="3" fontId="11" fillId="2" borderId="73" xfId="42" applyNumberFormat="1" applyFont="1" applyFill="1" applyBorder="1" applyAlignment="1" applyProtection="1">
      <alignment vertical="center"/>
      <protection locked="0"/>
    </xf>
    <xf numFmtId="3" fontId="11" fillId="0" borderId="102" xfId="42" applyNumberFormat="1" applyFont="1" applyFill="1" applyBorder="1" applyAlignment="1" applyProtection="1">
      <alignment vertical="center"/>
    </xf>
    <xf numFmtId="3" fontId="11" fillId="0" borderId="64" xfId="42" applyNumberFormat="1" applyFont="1" applyFill="1" applyBorder="1" applyAlignment="1" applyProtection="1">
      <alignment vertical="center"/>
    </xf>
    <xf numFmtId="3" fontId="11" fillId="0" borderId="101" xfId="42" applyNumberFormat="1" applyFont="1" applyBorder="1" applyAlignment="1" applyProtection="1">
      <alignment vertical="center"/>
    </xf>
    <xf numFmtId="3" fontId="11" fillId="0" borderId="73" xfId="42" applyNumberFormat="1" applyFont="1" applyFill="1" applyBorder="1" applyAlignment="1" applyProtection="1">
      <alignment vertical="center"/>
    </xf>
    <xf numFmtId="3" fontId="11" fillId="2" borderId="64" xfId="42" applyNumberFormat="1" applyFont="1" applyFill="1" applyBorder="1" applyAlignment="1" applyProtection="1">
      <alignment vertical="center"/>
      <protection locked="0"/>
    </xf>
    <xf numFmtId="3" fontId="11" fillId="0" borderId="74" xfId="42" applyNumberFormat="1" applyFont="1" applyFill="1" applyBorder="1" applyAlignment="1" applyProtection="1">
      <alignment vertical="center"/>
    </xf>
    <xf numFmtId="172" fontId="11" fillId="0" borderId="104" xfId="42" applyNumberFormat="1" applyFont="1" applyBorder="1" applyAlignment="1" applyProtection="1">
      <alignment vertical="center"/>
    </xf>
    <xf numFmtId="172" fontId="11" fillId="0" borderId="63" xfId="42" applyNumberFormat="1" applyFont="1" applyBorder="1" applyAlignment="1" applyProtection="1">
      <alignment horizontal="center" vertical="center"/>
    </xf>
    <xf numFmtId="172" fontId="11" fillId="0" borderId="75" xfId="42" applyNumberFormat="1" applyFont="1" applyBorder="1" applyAlignment="1" applyProtection="1">
      <alignment horizontal="center" vertical="center"/>
    </xf>
    <xf numFmtId="172" fontId="11" fillId="0" borderId="63" xfId="42" applyNumberFormat="1" applyFont="1" applyFill="1" applyBorder="1" applyAlignment="1" applyProtection="1">
      <alignment horizontal="center" vertical="center"/>
    </xf>
    <xf numFmtId="0" fontId="11" fillId="0" borderId="76" xfId="42" applyFont="1" applyBorder="1" applyAlignment="1" applyProtection="1">
      <alignment horizontal="center" vertical="center"/>
    </xf>
    <xf numFmtId="3" fontId="11" fillId="2" borderId="75" xfId="42" applyNumberFormat="1" applyFont="1" applyFill="1" applyBorder="1" applyAlignment="1" applyProtection="1">
      <alignment vertical="center"/>
      <protection locked="0"/>
    </xf>
    <xf numFmtId="3" fontId="11" fillId="11" borderId="63" xfId="42" applyNumberFormat="1" applyFont="1" applyFill="1" applyBorder="1" applyAlignment="1" applyProtection="1">
      <alignment vertical="center"/>
      <protection locked="0"/>
    </xf>
    <xf numFmtId="172" fontId="11" fillId="0" borderId="65" xfId="41" applyNumberFormat="1" applyFont="1" applyBorder="1" applyAlignment="1" applyProtection="1">
      <alignment horizontal="left" vertical="center"/>
    </xf>
    <xf numFmtId="172" fontId="11" fillId="0" borderId="78" xfId="41" applyNumberFormat="1" applyFont="1" applyBorder="1" applyAlignment="1" applyProtection="1">
      <alignment horizontal="left" vertical="center"/>
    </xf>
    <xf numFmtId="172" fontId="11" fillId="0" borderId="65" xfId="41" applyNumberFormat="1" applyFont="1" applyFill="1" applyBorder="1" applyAlignment="1" applyProtection="1">
      <alignment horizontal="left" vertical="center"/>
    </xf>
    <xf numFmtId="0" fontId="11" fillId="0" borderId="77" xfId="41" applyFont="1" applyBorder="1" applyAlignment="1" applyProtection="1">
      <alignment horizontal="left" vertical="center"/>
    </xf>
    <xf numFmtId="0" fontId="15" fillId="3" borderId="77" xfId="41" applyFont="1" applyFill="1" applyBorder="1" applyAlignment="1" applyProtection="1">
      <alignment horizontal="left" vertical="center"/>
    </xf>
    <xf numFmtId="0" fontId="11" fillId="0" borderId="65" xfId="41" applyFont="1" applyBorder="1" applyAlignment="1" applyProtection="1">
      <alignment horizontal="center" vertical="center"/>
    </xf>
    <xf numFmtId="3" fontId="11" fillId="2" borderId="63" xfId="41" applyNumberFormat="1" applyFont="1" applyFill="1" applyBorder="1" applyAlignment="1" applyProtection="1">
      <alignment vertical="center"/>
      <protection locked="0"/>
    </xf>
    <xf numFmtId="3" fontId="11" fillId="0" borderId="63" xfId="41" applyNumberFormat="1" applyFont="1" applyFill="1" applyBorder="1" applyAlignment="1" applyProtection="1">
      <alignment vertical="center"/>
    </xf>
    <xf numFmtId="3" fontId="11" fillId="0" borderId="75" xfId="41" applyNumberFormat="1" applyFont="1" applyFill="1" applyBorder="1" applyAlignment="1" applyProtection="1">
      <alignment vertical="center"/>
    </xf>
    <xf numFmtId="3" fontId="11" fillId="0" borderId="104" xfId="41" applyNumberFormat="1" applyFont="1" applyFill="1" applyBorder="1" applyAlignment="1" applyProtection="1">
      <alignment vertical="center"/>
    </xf>
    <xf numFmtId="3" fontId="11" fillId="2" borderId="73" xfId="41" applyNumberFormat="1" applyFont="1" applyFill="1" applyBorder="1" applyAlignment="1" applyProtection="1">
      <alignment vertical="center"/>
      <protection locked="0"/>
    </xf>
    <xf numFmtId="3" fontId="11" fillId="0" borderId="64" xfId="41" applyNumberFormat="1" applyFont="1" applyFill="1" applyBorder="1" applyAlignment="1" applyProtection="1">
      <alignment vertical="center"/>
    </xf>
    <xf numFmtId="3" fontId="11" fillId="0" borderId="102" xfId="41" applyNumberFormat="1" applyFont="1" applyFill="1" applyBorder="1" applyAlignment="1" applyProtection="1">
      <alignment vertical="center"/>
    </xf>
    <xf numFmtId="3" fontId="11" fillId="0" borderId="73" xfId="41" applyNumberFormat="1" applyFont="1" applyFill="1" applyBorder="1" applyAlignment="1" applyProtection="1">
      <alignment vertical="center"/>
    </xf>
    <xf numFmtId="172" fontId="11" fillId="0" borderId="73" xfId="41" applyNumberFormat="1" applyFont="1" applyBorder="1" applyAlignment="1" applyProtection="1">
      <alignment vertical="center"/>
    </xf>
    <xf numFmtId="3" fontId="11" fillId="0" borderId="74" xfId="41" applyNumberFormat="1" applyFont="1" applyFill="1" applyBorder="1" applyAlignment="1" applyProtection="1">
      <alignment vertical="center"/>
    </xf>
    <xf numFmtId="172" fontId="11" fillId="0" borderId="76" xfId="41" applyNumberFormat="1" applyFont="1" applyBorder="1" applyAlignment="1" applyProtection="1">
      <alignment vertical="center"/>
    </xf>
    <xf numFmtId="172" fontId="11" fillId="0" borderId="104" xfId="41" applyNumberFormat="1" applyFont="1" applyBorder="1" applyAlignment="1" applyProtection="1">
      <alignment vertical="center"/>
    </xf>
    <xf numFmtId="172" fontId="11" fillId="0" borderId="63" xfId="41" applyNumberFormat="1" applyFont="1" applyBorder="1" applyAlignment="1" applyProtection="1">
      <alignment horizontal="center" vertical="center"/>
    </xf>
    <xf numFmtId="172" fontId="11" fillId="0" borderId="63" xfId="41" applyNumberFormat="1" applyFont="1" applyFill="1" applyBorder="1" applyAlignment="1" applyProtection="1">
      <alignment horizontal="center" vertical="center"/>
    </xf>
    <xf numFmtId="0" fontId="11" fillId="0" borderId="76" xfId="41" applyFont="1" applyBorder="1" applyAlignment="1" applyProtection="1">
      <alignment horizontal="center" vertical="center"/>
    </xf>
    <xf numFmtId="3" fontId="11" fillId="11" borderId="63" xfId="41" applyNumberFormat="1" applyFont="1" applyFill="1" applyBorder="1" applyAlignment="1" applyProtection="1">
      <alignment vertical="center"/>
      <protection locked="0"/>
    </xf>
    <xf numFmtId="3" fontId="11" fillId="2" borderId="104" xfId="41" applyNumberFormat="1" applyFont="1" applyFill="1" applyBorder="1" applyAlignment="1" applyProtection="1">
      <alignment vertical="center"/>
      <protection locked="0"/>
    </xf>
    <xf numFmtId="3" fontId="11" fillId="0" borderId="76" xfId="41" applyNumberFormat="1" applyFont="1" applyFill="1" applyBorder="1" applyAlignment="1" applyProtection="1">
      <alignment vertical="center"/>
    </xf>
    <xf numFmtId="3" fontId="15" fillId="0" borderId="76" xfId="41" applyNumberFormat="1" applyFont="1" applyFill="1" applyBorder="1" applyAlignment="1" applyProtection="1">
      <alignment vertical="center"/>
    </xf>
    <xf numFmtId="3" fontId="15" fillId="0" borderId="76" xfId="45" applyNumberFormat="1" applyFont="1" applyFill="1" applyBorder="1" applyAlignment="1" applyProtection="1">
      <alignment vertical="center"/>
    </xf>
    <xf numFmtId="3" fontId="15" fillId="0" borderId="74" xfId="45" applyNumberFormat="1" applyFont="1" applyFill="1" applyBorder="1" applyAlignment="1" applyProtection="1">
      <alignment vertical="center"/>
    </xf>
    <xf numFmtId="3" fontId="11" fillId="0" borderId="76" xfId="39" applyNumberFormat="1" applyFont="1" applyFill="1" applyBorder="1" applyAlignment="1" applyProtection="1">
      <alignment vertical="center"/>
    </xf>
    <xf numFmtId="172" fontId="11" fillId="0" borderId="73" xfId="39" applyNumberFormat="1" applyFont="1" applyBorder="1" applyAlignment="1" applyProtection="1">
      <alignment vertical="center"/>
    </xf>
    <xf numFmtId="172" fontId="11" fillId="0" borderId="103" xfId="39" applyNumberFormat="1" applyFont="1" applyBorder="1" applyAlignment="1" applyProtection="1">
      <alignment vertical="center"/>
    </xf>
    <xf numFmtId="3" fontId="11" fillId="2" borderId="64" xfId="39" applyNumberFormat="1" applyFont="1" applyFill="1" applyBorder="1" applyAlignment="1" applyProtection="1">
      <alignment vertical="center"/>
      <protection locked="0"/>
    </xf>
    <xf numFmtId="3" fontId="11" fillId="2" borderId="102" xfId="39" applyNumberFormat="1" applyFont="1" applyFill="1" applyBorder="1" applyAlignment="1" applyProtection="1">
      <alignment vertical="center"/>
      <protection locked="0"/>
    </xf>
    <xf numFmtId="3" fontId="11" fillId="2" borderId="61" xfId="39" applyNumberFormat="1" applyFont="1" applyFill="1" applyBorder="1" applyAlignment="1" applyProtection="1">
      <alignment vertical="center"/>
      <protection locked="0"/>
    </xf>
    <xf numFmtId="3" fontId="11" fillId="2" borderId="73" xfId="39" applyNumberFormat="1" applyFont="1" applyFill="1" applyBorder="1" applyAlignment="1" applyProtection="1">
      <alignment vertical="center"/>
      <protection locked="0"/>
    </xf>
    <xf numFmtId="172" fontId="11" fillId="0" borderId="63" xfId="39" applyNumberFormat="1" applyFont="1" applyBorder="1" applyAlignment="1" applyProtection="1">
      <alignment horizontal="center" vertical="center"/>
    </xf>
    <xf numFmtId="172" fontId="11" fillId="0" borderId="75" xfId="39" applyNumberFormat="1" applyFont="1" applyBorder="1" applyAlignment="1" applyProtection="1">
      <alignment horizontal="center" vertical="center"/>
    </xf>
    <xf numFmtId="172" fontId="11" fillId="0" borderId="65" xfId="39" applyNumberFormat="1" applyFont="1" applyBorder="1" applyAlignment="1" applyProtection="1">
      <alignment horizontal="left" vertical="center"/>
    </xf>
    <xf numFmtId="172" fontId="11" fillId="0" borderId="78" xfId="39" applyNumberFormat="1" applyFont="1" applyBorder="1" applyAlignment="1" applyProtection="1">
      <alignment horizontal="left" vertical="center"/>
    </xf>
    <xf numFmtId="172" fontId="11" fillId="0" borderId="76" xfId="39" applyNumberFormat="1" applyFont="1" applyBorder="1" applyAlignment="1" applyProtection="1">
      <alignment vertical="center"/>
    </xf>
    <xf numFmtId="172" fontId="11" fillId="0" borderId="104" xfId="39" applyNumberFormat="1" applyFont="1" applyBorder="1" applyAlignment="1" applyProtection="1">
      <alignment vertical="center"/>
    </xf>
    <xf numFmtId="3" fontId="11" fillId="2" borderId="63" xfId="39" applyNumberFormat="1" applyFont="1" applyFill="1" applyBorder="1" applyAlignment="1" applyProtection="1">
      <alignment vertical="center"/>
      <protection locked="0"/>
    </xf>
    <xf numFmtId="0" fontId="11" fillId="0" borderId="0" xfId="39" applyFont="1" applyBorder="1" applyProtection="1"/>
    <xf numFmtId="0" fontId="22" fillId="0" borderId="0" xfId="39" applyFont="1" applyBorder="1" applyProtection="1"/>
    <xf numFmtId="0" fontId="22" fillId="0" borderId="0" xfId="39" applyFont="1" applyBorder="1" applyProtection="1">
      <protection locked="0"/>
    </xf>
    <xf numFmtId="0" fontId="11" fillId="0" borderId="103" xfId="39" applyFont="1" applyBorder="1" applyAlignment="1" applyProtection="1">
      <alignment vertical="center"/>
    </xf>
    <xf numFmtId="0" fontId="11" fillId="0" borderId="77" xfId="39" applyFont="1" applyBorder="1" applyAlignment="1" applyProtection="1">
      <alignment vertical="center"/>
    </xf>
    <xf numFmtId="0" fontId="11" fillId="0" borderId="77" xfId="18" applyFont="1" applyBorder="1" applyAlignment="1" applyProtection="1">
      <alignment vertical="center"/>
    </xf>
    <xf numFmtId="0" fontId="11" fillId="0" borderId="103" xfId="18" applyFont="1" applyBorder="1" applyAlignment="1" applyProtection="1">
      <alignment vertical="center"/>
    </xf>
    <xf numFmtId="0" fontId="11" fillId="0" borderId="65" xfId="39" applyFont="1" applyBorder="1" applyAlignment="1" applyProtection="1">
      <alignment horizontal="left" vertical="center"/>
    </xf>
    <xf numFmtId="0" fontId="11" fillId="0" borderId="78" xfId="39" applyFont="1" applyBorder="1" applyAlignment="1" applyProtection="1">
      <alignment horizontal="left" vertical="center"/>
    </xf>
    <xf numFmtId="0" fontId="11" fillId="0" borderId="77" xfId="39" applyFont="1" applyFill="1" applyBorder="1" applyAlignment="1" applyProtection="1">
      <alignment horizontal="left" vertical="center"/>
    </xf>
    <xf numFmtId="0" fontId="11" fillId="0" borderId="65" xfId="39" applyFont="1" applyFill="1" applyBorder="1" applyAlignment="1" applyProtection="1">
      <alignment horizontal="left" vertical="center"/>
    </xf>
    <xf numFmtId="0" fontId="11" fillId="0" borderId="78" xfId="39" applyFont="1" applyFill="1" applyBorder="1" applyAlignment="1" applyProtection="1">
      <alignment horizontal="left" vertical="center"/>
    </xf>
    <xf numFmtId="0" fontId="11" fillId="0" borderId="65" xfId="18" applyFont="1" applyBorder="1" applyAlignment="1" applyProtection="1">
      <alignment horizontal="left" vertical="center"/>
    </xf>
    <xf numFmtId="0" fontId="11" fillId="0" borderId="78" xfId="18" applyFont="1" applyBorder="1" applyAlignment="1" applyProtection="1">
      <alignment horizontal="left" vertical="center"/>
    </xf>
    <xf numFmtId="0" fontId="11" fillId="0" borderId="104" xfId="39" applyFont="1" applyBorder="1" applyAlignment="1" applyProtection="1">
      <alignment vertical="center"/>
    </xf>
    <xf numFmtId="0" fontId="11" fillId="0" borderId="63" xfId="39" applyFont="1" applyBorder="1" applyAlignment="1" applyProtection="1">
      <alignment horizontal="center" vertical="center"/>
    </xf>
    <xf numFmtId="0" fontId="11" fillId="0" borderId="76" xfId="39" applyFont="1" applyBorder="1" applyAlignment="1" applyProtection="1">
      <alignment vertical="center"/>
    </xf>
    <xf numFmtId="0" fontId="11" fillId="0" borderId="75" xfId="39" applyFont="1" applyBorder="1" applyAlignment="1" applyProtection="1">
      <alignment horizontal="center" vertical="center"/>
    </xf>
    <xf numFmtId="0" fontId="11" fillId="0" borderId="76" xfId="39" applyFont="1" applyBorder="1" applyAlignment="1" applyProtection="1">
      <alignment horizontal="center" vertical="center"/>
    </xf>
    <xf numFmtId="0" fontId="11" fillId="0" borderId="76" xfId="39" applyFont="1" applyFill="1" applyBorder="1" applyAlignment="1" applyProtection="1">
      <alignment horizontal="center" vertical="center"/>
    </xf>
    <xf numFmtId="0" fontId="11" fillId="0" borderId="63" xfId="39" applyFont="1" applyFill="1" applyBorder="1" applyAlignment="1" applyProtection="1">
      <alignment horizontal="center" vertical="center"/>
    </xf>
    <xf numFmtId="0" fontId="11" fillId="0" borderId="75" xfId="39" applyFont="1" applyFill="1" applyBorder="1" applyAlignment="1" applyProtection="1">
      <alignment horizontal="center" vertical="center"/>
    </xf>
    <xf numFmtId="0" fontId="11" fillId="0" borderId="104" xfId="39" applyFont="1" applyBorder="1" applyAlignment="1" applyProtection="1">
      <alignment horizontal="center" vertical="center"/>
    </xf>
    <xf numFmtId="0" fontId="11" fillId="0" borderId="76" xfId="18" applyFont="1" applyBorder="1" applyAlignment="1" applyProtection="1">
      <alignment vertical="center"/>
    </xf>
    <xf numFmtId="0" fontId="11" fillId="0" borderId="104" xfId="18" applyFont="1" applyBorder="1" applyAlignment="1" applyProtection="1">
      <alignment vertical="center"/>
    </xf>
    <xf numFmtId="0" fontId="11" fillId="0" borderId="63" xfId="18" applyFont="1" applyFill="1" applyBorder="1" applyAlignment="1" applyProtection="1">
      <alignment horizontal="center" vertical="center"/>
    </xf>
    <xf numFmtId="0" fontId="11" fillId="0" borderId="75" xfId="18" applyFont="1" applyFill="1" applyBorder="1" applyAlignment="1" applyProtection="1">
      <alignment horizontal="center" vertical="center"/>
    </xf>
    <xf numFmtId="0" fontId="11" fillId="0" borderId="76" xfId="18" applyFont="1" applyFill="1" applyBorder="1" applyAlignment="1" applyProtection="1">
      <alignment horizontal="center" vertical="center"/>
    </xf>
    <xf numFmtId="0" fontId="11" fillId="21" borderId="75" xfId="39" applyFont="1" applyFill="1" applyBorder="1" applyAlignment="1" applyProtection="1">
      <alignment horizontal="center" vertical="center"/>
    </xf>
    <xf numFmtId="3" fontId="11" fillId="2" borderId="76" xfId="39" applyNumberFormat="1" applyFont="1" applyFill="1" applyBorder="1" applyAlignment="1" applyProtection="1">
      <alignment vertical="center"/>
      <protection locked="0"/>
    </xf>
    <xf numFmtId="3" fontId="11" fillId="2" borderId="104" xfId="39" applyNumberFormat="1" applyFont="1" applyFill="1" applyBorder="1" applyAlignment="1" applyProtection="1">
      <alignment vertical="center"/>
      <protection locked="0"/>
    </xf>
    <xf numFmtId="3" fontId="11" fillId="2" borderId="63" xfId="18" applyNumberFormat="1" applyFont="1" applyFill="1" applyBorder="1" applyAlignment="1" applyProtection="1">
      <alignment vertical="center"/>
      <protection locked="0"/>
    </xf>
    <xf numFmtId="3" fontId="11" fillId="2" borderId="76" xfId="18" applyNumberFormat="1" applyFont="1" applyFill="1" applyBorder="1" applyAlignment="1" applyProtection="1">
      <alignment vertical="center"/>
      <protection locked="0"/>
    </xf>
    <xf numFmtId="3" fontId="11" fillId="11" borderId="63" xfId="39" applyNumberFormat="1" applyFont="1" applyFill="1" applyBorder="1" applyAlignment="1" applyProtection="1">
      <alignment vertical="center"/>
      <protection locked="0"/>
    </xf>
    <xf numFmtId="3" fontId="11" fillId="0" borderId="63" xfId="39" applyNumberFormat="1" applyFont="1" applyFill="1" applyBorder="1" applyAlignment="1" applyProtection="1">
      <alignment vertical="center"/>
    </xf>
    <xf numFmtId="172" fontId="11" fillId="0" borderId="65" xfId="39" applyNumberFormat="1" applyFont="1" applyBorder="1" applyAlignment="1" applyProtection="1">
      <alignment horizontal="left"/>
    </xf>
    <xf numFmtId="172" fontId="11" fillId="0" borderId="77" xfId="38" applyNumberFormat="1" applyFont="1" applyFill="1" applyBorder="1" applyAlignment="1" applyProtection="1">
      <alignment vertical="center"/>
    </xf>
    <xf numFmtId="172" fontId="11" fillId="0" borderId="74" xfId="38" applyNumberFormat="1" applyFont="1" applyFill="1" applyBorder="1" applyAlignment="1" applyProtection="1">
      <alignment vertical="center"/>
    </xf>
    <xf numFmtId="172" fontId="11" fillId="0" borderId="73" xfId="38" applyNumberFormat="1" applyFont="1" applyBorder="1" applyAlignment="1" applyProtection="1">
      <alignment vertical="center"/>
    </xf>
    <xf numFmtId="172" fontId="11" fillId="0" borderId="65" xfId="38" applyNumberFormat="1" applyFont="1" applyBorder="1" applyAlignment="1" applyProtection="1">
      <alignment horizontal="left" vertical="center"/>
    </xf>
    <xf numFmtId="172" fontId="11" fillId="0" borderId="78" xfId="38" applyNumberFormat="1" applyFont="1" applyBorder="1" applyAlignment="1" applyProtection="1">
      <alignment horizontal="left" vertical="center"/>
    </xf>
    <xf numFmtId="0" fontId="11" fillId="0" borderId="78" xfId="38" applyFont="1" applyBorder="1" applyAlignment="1" applyProtection="1">
      <alignment horizontal="left" vertical="center"/>
    </xf>
    <xf numFmtId="0" fontId="11" fillId="0" borderId="78" xfId="38" applyFont="1" applyFill="1" applyBorder="1" applyAlignment="1" applyProtection="1">
      <alignment horizontal="left" vertical="center"/>
    </xf>
    <xf numFmtId="0" fontId="11" fillId="0" borderId="77" xfId="38" applyFont="1" applyBorder="1" applyAlignment="1" applyProtection="1">
      <alignment horizontal="left" vertical="center"/>
    </xf>
    <xf numFmtId="0" fontId="15" fillId="3" borderId="77" xfId="38" applyFont="1" applyFill="1" applyBorder="1" applyAlignment="1" applyProtection="1">
      <alignment horizontal="left" vertical="center"/>
    </xf>
    <xf numFmtId="0" fontId="11" fillId="0" borderId="65" xfId="38" applyFont="1" applyBorder="1" applyAlignment="1" applyProtection="1">
      <alignment horizontal="left" vertical="center"/>
    </xf>
    <xf numFmtId="3" fontId="11" fillId="2" borderId="63" xfId="38" applyNumberFormat="1" applyFont="1" applyFill="1" applyBorder="1" applyAlignment="1" applyProtection="1">
      <alignment vertical="center"/>
      <protection locked="0"/>
    </xf>
    <xf numFmtId="3" fontId="11" fillId="0" borderId="63" xfId="38" applyNumberFormat="1" applyFont="1" applyFill="1" applyBorder="1" applyAlignment="1" applyProtection="1">
      <alignment vertical="center"/>
    </xf>
    <xf numFmtId="3" fontId="11" fillId="0" borderId="75" xfId="38" applyNumberFormat="1" applyFont="1" applyFill="1" applyBorder="1" applyAlignment="1" applyProtection="1">
      <alignment vertical="center"/>
    </xf>
    <xf numFmtId="3" fontId="11" fillId="2" borderId="75" xfId="38" applyNumberFormat="1" applyFont="1" applyFill="1" applyBorder="1" applyAlignment="1" applyProtection="1">
      <alignment vertical="center"/>
      <protection locked="0"/>
    </xf>
    <xf numFmtId="3" fontId="11" fillId="0" borderId="104" xfId="38" applyNumberFormat="1" applyFont="1" applyFill="1" applyBorder="1" applyAlignment="1" applyProtection="1">
      <alignment vertical="center"/>
    </xf>
    <xf numFmtId="3" fontId="11" fillId="2" borderId="64" xfId="38" applyNumberFormat="1" applyFont="1" applyFill="1" applyBorder="1" applyAlignment="1" applyProtection="1">
      <alignment vertical="center"/>
      <protection locked="0"/>
    </xf>
    <xf numFmtId="3" fontId="11" fillId="0" borderId="64" xfId="38" applyNumberFormat="1" applyFont="1" applyFill="1" applyBorder="1" applyAlignment="1" applyProtection="1">
      <alignment vertical="center"/>
    </xf>
    <xf numFmtId="3" fontId="11" fillId="0" borderId="102" xfId="38" applyNumberFormat="1" applyFont="1" applyFill="1" applyBorder="1" applyAlignment="1" applyProtection="1">
      <alignment vertical="center"/>
    </xf>
    <xf numFmtId="3" fontId="11" fillId="2" borderId="102" xfId="38" applyNumberFormat="1" applyFont="1" applyFill="1" applyBorder="1" applyAlignment="1" applyProtection="1">
      <alignment vertical="center"/>
      <protection locked="0"/>
    </xf>
    <xf numFmtId="3" fontId="11" fillId="0" borderId="73" xfId="38" applyNumberFormat="1" applyFont="1" applyFill="1" applyBorder="1" applyAlignment="1" applyProtection="1">
      <alignment vertical="center"/>
    </xf>
    <xf numFmtId="3" fontId="11" fillId="0" borderId="74" xfId="38" applyNumberFormat="1" applyFont="1" applyFill="1" applyBorder="1" applyAlignment="1" applyProtection="1">
      <alignment vertical="center"/>
    </xf>
    <xf numFmtId="172" fontId="11" fillId="0" borderId="104" xfId="38" applyNumberFormat="1" applyFont="1" applyBorder="1" applyAlignment="1" applyProtection="1">
      <alignment vertical="center"/>
    </xf>
    <xf numFmtId="172" fontId="11" fillId="0" borderId="63" xfId="38" applyNumberFormat="1" applyFont="1" applyBorder="1" applyAlignment="1" applyProtection="1">
      <alignment horizontal="center" vertical="center"/>
    </xf>
    <xf numFmtId="172" fontId="11" fillId="0" borderId="75" xfId="38" applyNumberFormat="1" applyFont="1" applyBorder="1" applyAlignment="1" applyProtection="1">
      <alignment horizontal="center" vertical="center"/>
    </xf>
    <xf numFmtId="0" fontId="11" fillId="0" borderId="75" xfId="38" applyFont="1" applyBorder="1" applyAlignment="1" applyProtection="1">
      <alignment horizontal="center" vertical="center"/>
    </xf>
    <xf numFmtId="0" fontId="11" fillId="0" borderId="75" xfId="38" applyFont="1" applyFill="1" applyBorder="1" applyAlignment="1" applyProtection="1">
      <alignment horizontal="center" vertical="center"/>
    </xf>
    <xf numFmtId="0" fontId="11" fillId="0" borderId="76" xfId="38" applyFont="1" applyBorder="1" applyAlignment="1" applyProtection="1">
      <alignment horizontal="center" vertical="center"/>
    </xf>
    <xf numFmtId="0" fontId="15" fillId="0" borderId="76" xfId="38" applyFont="1" applyBorder="1" applyAlignment="1" applyProtection="1">
      <alignment horizontal="center" vertical="center"/>
    </xf>
    <xf numFmtId="0" fontId="11" fillId="0" borderId="63" xfId="38" applyFont="1" applyBorder="1" applyAlignment="1" applyProtection="1">
      <alignment horizontal="center" vertical="center"/>
    </xf>
    <xf numFmtId="3" fontId="18" fillId="2" borderId="63" xfId="38" applyNumberFormat="1" applyFont="1" applyFill="1" applyBorder="1" applyAlignment="1" applyProtection="1">
      <alignment vertical="center"/>
      <protection locked="0"/>
    </xf>
    <xf numFmtId="3" fontId="11" fillId="11" borderId="63" xfId="38" applyNumberFormat="1" applyFont="1" applyFill="1" applyBorder="1" applyAlignment="1" applyProtection="1">
      <alignment vertical="center"/>
      <protection locked="0"/>
    </xf>
    <xf numFmtId="3" fontId="11" fillId="2" borderId="104" xfId="38" applyNumberFormat="1" applyFont="1" applyFill="1" applyBorder="1" applyAlignment="1" applyProtection="1">
      <alignment vertical="center"/>
      <protection locked="0"/>
    </xf>
    <xf numFmtId="3" fontId="11" fillId="11" borderId="75" xfId="38" applyNumberFormat="1" applyFont="1" applyFill="1" applyBorder="1" applyAlignment="1" applyProtection="1">
      <alignment vertical="center"/>
      <protection locked="0"/>
    </xf>
    <xf numFmtId="0" fontId="11" fillId="0" borderId="103" xfId="38" applyFont="1" applyBorder="1" applyAlignment="1" applyProtection="1"/>
    <xf numFmtId="0" fontId="11" fillId="0" borderId="104" xfId="38" applyFont="1" applyBorder="1" applyAlignment="1" applyProtection="1"/>
    <xf numFmtId="0" fontId="11" fillId="0" borderId="73" xfId="38" applyFont="1" applyBorder="1" applyAlignment="1" applyProtection="1"/>
    <xf numFmtId="3" fontId="15" fillId="0" borderId="76" xfId="38" applyNumberFormat="1" applyFont="1" applyFill="1" applyBorder="1" applyAlignment="1" applyProtection="1">
      <alignment vertical="center"/>
    </xf>
    <xf numFmtId="0" fontId="11" fillId="0" borderId="76" xfId="38" applyFont="1" applyFill="1" applyBorder="1" applyAlignment="1" applyProtection="1">
      <alignment vertical="center"/>
    </xf>
    <xf numFmtId="0" fontId="12" fillId="0" borderId="0" xfId="38" applyFont="1" applyBorder="1" applyAlignment="1" applyProtection="1">
      <alignment vertical="center"/>
    </xf>
    <xf numFmtId="0" fontId="15" fillId="0" borderId="77" xfId="37" applyFont="1" applyFill="1" applyBorder="1" applyAlignment="1" applyProtection="1">
      <alignment vertical="center"/>
    </xf>
    <xf numFmtId="38" fontId="11" fillId="0" borderId="101" xfId="37" applyNumberFormat="1" applyFont="1" applyBorder="1" applyAlignment="1" applyProtection="1">
      <alignment horizontal="left" vertical="center"/>
    </xf>
    <xf numFmtId="172" fontId="11" fillId="0" borderId="63" xfId="37" applyNumberFormat="1" applyFont="1" applyBorder="1" applyAlignment="1" applyProtection="1">
      <alignment horizontal="center" vertical="center"/>
    </xf>
    <xf numFmtId="172" fontId="11" fillId="0" borderId="75" xfId="37" applyNumberFormat="1" applyFont="1" applyBorder="1" applyAlignment="1" applyProtection="1">
      <alignment horizontal="center" vertical="center"/>
    </xf>
    <xf numFmtId="172" fontId="11" fillId="0" borderId="63" xfId="37" applyNumberFormat="1" applyFont="1" applyFill="1" applyBorder="1" applyAlignment="1" applyProtection="1">
      <alignment horizontal="center" vertical="center"/>
    </xf>
    <xf numFmtId="0" fontId="15" fillId="0" borderId="104" xfId="37" applyFont="1" applyBorder="1" applyAlignment="1" applyProtection="1">
      <alignment horizontal="center" vertical="center"/>
    </xf>
    <xf numFmtId="0" fontId="11" fillId="0" borderId="63" xfId="37" applyFont="1" applyBorder="1" applyAlignment="1" applyProtection="1">
      <alignment horizontal="center" vertical="center"/>
    </xf>
    <xf numFmtId="0" fontId="15" fillId="0" borderId="63" xfId="37" applyFont="1" applyBorder="1" applyAlignment="1" applyProtection="1">
      <alignment horizontal="center" vertical="center"/>
    </xf>
    <xf numFmtId="3" fontId="11" fillId="2" borderId="104" xfId="37" applyNumberFormat="1" applyFont="1" applyFill="1" applyBorder="1" applyAlignment="1" applyProtection="1">
      <alignment vertical="center"/>
      <protection locked="0"/>
    </xf>
    <xf numFmtId="3" fontId="11" fillId="0" borderId="104" xfId="37" applyNumberFormat="1" applyFont="1" applyFill="1" applyBorder="1" applyAlignment="1" applyProtection="1">
      <alignment vertical="center"/>
    </xf>
    <xf numFmtId="3" fontId="11" fillId="2" borderId="63" xfId="37" applyNumberFormat="1" applyFont="1" applyFill="1" applyBorder="1" applyAlignment="1" applyProtection="1">
      <alignment vertical="center"/>
      <protection locked="0"/>
    </xf>
    <xf numFmtId="3" fontId="11" fillId="0" borderId="63" xfId="37" applyNumberFormat="1" applyFont="1" applyFill="1" applyBorder="1" applyAlignment="1" applyProtection="1">
      <alignment vertical="center"/>
    </xf>
    <xf numFmtId="3" fontId="11" fillId="0" borderId="75" xfId="37" applyNumberFormat="1" applyFont="1" applyFill="1" applyBorder="1" applyAlignment="1" applyProtection="1">
      <alignment vertical="center"/>
    </xf>
    <xf numFmtId="3" fontId="11" fillId="2" borderId="75" xfId="37" applyNumberFormat="1" applyFont="1" applyFill="1" applyBorder="1" applyAlignment="1" applyProtection="1">
      <alignment vertical="center"/>
      <protection locked="0"/>
    </xf>
    <xf numFmtId="3" fontId="11" fillId="11" borderId="63" xfId="37" applyNumberFormat="1" applyFont="1" applyFill="1" applyBorder="1" applyAlignment="1" applyProtection="1">
      <alignment vertical="center"/>
      <protection locked="0"/>
    </xf>
    <xf numFmtId="38" fontId="11" fillId="0" borderId="63" xfId="37" applyNumberFormat="1" applyFont="1" applyFill="1" applyBorder="1" applyAlignment="1" applyProtection="1">
      <alignment horizontal="right" vertical="center"/>
    </xf>
    <xf numFmtId="38" fontId="11" fillId="0" borderId="63" xfId="37" applyNumberFormat="1" applyFont="1" applyFill="1" applyBorder="1" applyAlignment="1" applyProtection="1">
      <alignment vertical="center"/>
    </xf>
    <xf numFmtId="172" fontId="11" fillId="0" borderId="65" xfId="37" applyNumberFormat="1" applyFont="1" applyBorder="1" applyAlignment="1" applyProtection="1">
      <alignment horizontal="left" vertical="center"/>
    </xf>
    <xf numFmtId="172" fontId="11" fillId="0" borderId="78" xfId="37" applyNumberFormat="1" applyFont="1" applyBorder="1" applyAlignment="1" applyProtection="1">
      <alignment horizontal="left" vertical="center"/>
    </xf>
    <xf numFmtId="172" fontId="11" fillId="0" borderId="65" xfId="37" applyNumberFormat="1" applyFont="1" applyFill="1" applyBorder="1" applyAlignment="1" applyProtection="1">
      <alignment horizontal="left" vertical="center"/>
    </xf>
    <xf numFmtId="0" fontId="11" fillId="0" borderId="78" xfId="37" applyFont="1" applyBorder="1" applyAlignment="1" applyProtection="1">
      <alignment horizontal="left" vertical="center"/>
    </xf>
    <xf numFmtId="0" fontId="15" fillId="3" borderId="103" xfId="37" applyFont="1" applyFill="1" applyBorder="1" applyAlignment="1" applyProtection="1">
      <alignment horizontal="left" vertical="center"/>
    </xf>
    <xf numFmtId="0" fontId="11" fillId="0" borderId="65" xfId="37" applyFont="1" applyBorder="1" applyAlignment="1" applyProtection="1">
      <alignment horizontal="left" vertical="center"/>
    </xf>
    <xf numFmtId="172" fontId="11" fillId="0" borderId="104" xfId="37" applyNumberFormat="1" applyFont="1" applyBorder="1" applyAlignment="1" applyProtection="1">
      <alignment vertical="center"/>
    </xf>
    <xf numFmtId="3" fontId="15" fillId="0" borderId="76" xfId="37" applyNumberFormat="1" applyFont="1" applyFill="1" applyBorder="1" applyAlignment="1" applyProtection="1">
      <alignment vertical="center"/>
    </xf>
    <xf numFmtId="0" fontId="11" fillId="0" borderId="103" xfId="37" applyFont="1" applyBorder="1" applyAlignment="1" applyProtection="1">
      <alignment vertical="center"/>
    </xf>
    <xf numFmtId="0" fontId="11" fillId="0" borderId="104" xfId="37" applyFont="1" applyBorder="1" applyAlignment="1" applyProtection="1">
      <alignment vertical="center"/>
    </xf>
    <xf numFmtId="167" fontId="22" fillId="0" borderId="0" xfId="36" applyNumberFormat="1" applyFont="1" applyProtection="1"/>
    <xf numFmtId="0" fontId="15" fillId="0" borderId="77" xfId="36" applyFont="1" applyFill="1" applyBorder="1" applyAlignment="1" applyProtection="1">
      <alignment vertical="center"/>
    </xf>
    <xf numFmtId="0" fontId="15" fillId="0" borderId="74" xfId="36" applyFont="1" applyFill="1" applyBorder="1" applyAlignment="1" applyProtection="1">
      <alignment vertical="center"/>
    </xf>
    <xf numFmtId="172" fontId="11" fillId="0" borderId="73" xfId="36" applyNumberFormat="1" applyFont="1" applyBorder="1" applyAlignment="1" applyProtection="1">
      <alignment vertical="center"/>
    </xf>
    <xf numFmtId="3" fontId="11" fillId="0" borderId="75" xfId="36" applyNumberFormat="1" applyFont="1" applyFill="1" applyBorder="1" applyAlignment="1" applyProtection="1">
      <alignment vertical="center"/>
    </xf>
    <xf numFmtId="172" fontId="11" fillId="0" borderId="65" xfId="36" applyNumberFormat="1" applyFont="1" applyBorder="1" applyAlignment="1" applyProtection="1">
      <alignment horizontal="left" vertical="center"/>
    </xf>
    <xf numFmtId="172" fontId="11" fillId="0" borderId="78" xfId="36" applyNumberFormat="1" applyFont="1" applyBorder="1" applyAlignment="1" applyProtection="1">
      <alignment horizontal="left" vertical="center"/>
    </xf>
    <xf numFmtId="172" fontId="11" fillId="0" borderId="65" xfId="36" applyNumberFormat="1" applyFont="1" applyFill="1" applyBorder="1" applyAlignment="1" applyProtection="1">
      <alignment horizontal="left" vertical="center"/>
    </xf>
    <xf numFmtId="0" fontId="11" fillId="0" borderId="78" xfId="36" applyFont="1" applyBorder="1" applyAlignment="1" applyProtection="1">
      <alignment horizontal="left" vertical="center"/>
    </xf>
    <xf numFmtId="0" fontId="15" fillId="3" borderId="103" xfId="36" applyFont="1" applyFill="1" applyBorder="1" applyAlignment="1" applyProtection="1">
      <alignment horizontal="left" vertical="center"/>
    </xf>
    <xf numFmtId="0" fontId="11" fillId="0" borderId="103" xfId="36" applyFont="1" applyBorder="1" applyAlignment="1" applyProtection="1">
      <alignment horizontal="left" vertical="center"/>
    </xf>
    <xf numFmtId="0" fontId="11" fillId="0" borderId="65" xfId="36" applyFont="1" applyBorder="1" applyAlignment="1" applyProtection="1">
      <alignment horizontal="center" vertical="center"/>
    </xf>
    <xf numFmtId="3" fontId="11" fillId="2" borderId="104" xfId="36" applyNumberFormat="1" applyFont="1" applyFill="1" applyBorder="1" applyAlignment="1" applyProtection="1">
      <alignment vertical="center"/>
      <protection locked="0"/>
    </xf>
    <xf numFmtId="3" fontId="11" fillId="0" borderId="104" xfId="36" applyNumberFormat="1" applyFont="1" applyFill="1" applyBorder="1" applyAlignment="1" applyProtection="1">
      <alignment vertical="center"/>
    </xf>
    <xf numFmtId="3" fontId="11" fillId="0" borderId="63" xfId="36" applyNumberFormat="1" applyFont="1" applyFill="1" applyBorder="1" applyAlignment="1" applyProtection="1">
      <alignment vertical="center"/>
    </xf>
    <xf numFmtId="3" fontId="11" fillId="2" borderId="63" xfId="36" applyNumberFormat="1" applyFont="1" applyFill="1" applyBorder="1" applyAlignment="1" applyProtection="1">
      <alignment vertical="center"/>
      <protection locked="0"/>
    </xf>
    <xf numFmtId="3" fontId="15" fillId="0" borderId="76" xfId="36" applyNumberFormat="1" applyFont="1" applyFill="1" applyBorder="1" applyAlignment="1" applyProtection="1">
      <alignment vertical="center"/>
    </xf>
    <xf numFmtId="3" fontId="11" fillId="2" borderId="73" xfId="36" applyNumberFormat="1" applyFont="1" applyFill="1" applyBorder="1" applyAlignment="1" applyProtection="1">
      <alignment vertical="center"/>
      <protection locked="0"/>
    </xf>
    <xf numFmtId="3" fontId="11" fillId="0" borderId="64" xfId="36" applyNumberFormat="1" applyFont="1" applyFill="1" applyBorder="1" applyAlignment="1" applyProtection="1">
      <alignment vertical="center"/>
    </xf>
    <xf numFmtId="3" fontId="11" fillId="0" borderId="102" xfId="36" applyNumberFormat="1" applyFont="1" applyFill="1" applyBorder="1" applyAlignment="1" applyProtection="1">
      <alignment vertical="center"/>
    </xf>
    <xf numFmtId="3" fontId="11" fillId="0" borderId="74" xfId="36" applyNumberFormat="1" applyFont="1" applyFill="1" applyBorder="1" applyAlignment="1" applyProtection="1">
      <alignment vertical="center"/>
    </xf>
    <xf numFmtId="172" fontId="11" fillId="0" borderId="104" xfId="36" applyNumberFormat="1" applyFont="1" applyBorder="1" applyAlignment="1" applyProtection="1">
      <alignment vertical="center"/>
    </xf>
    <xf numFmtId="172" fontId="11" fillId="0" borderId="63" xfId="36" applyNumberFormat="1" applyFont="1" applyBorder="1" applyAlignment="1" applyProtection="1">
      <alignment horizontal="center" vertical="center"/>
    </xf>
    <xf numFmtId="172" fontId="11" fillId="0" borderId="75" xfId="36" applyNumberFormat="1" applyFont="1" applyBorder="1" applyAlignment="1" applyProtection="1">
      <alignment horizontal="center" vertical="center"/>
    </xf>
    <xf numFmtId="172" fontId="11" fillId="0" borderId="76" xfId="36" applyNumberFormat="1" applyFont="1" applyBorder="1" applyAlignment="1" applyProtection="1">
      <alignment horizontal="center" vertical="center"/>
    </xf>
    <xf numFmtId="172" fontId="11" fillId="0" borderId="63" xfId="36" applyNumberFormat="1" applyFont="1" applyFill="1" applyBorder="1" applyAlignment="1" applyProtection="1">
      <alignment horizontal="center" vertical="center"/>
    </xf>
    <xf numFmtId="0" fontId="11" fillId="0" borderId="75" xfId="36" applyFont="1" applyBorder="1" applyAlignment="1" applyProtection="1">
      <alignment horizontal="center" vertical="center"/>
    </xf>
    <xf numFmtId="0" fontId="15" fillId="0" borderId="104" xfId="36" applyFont="1" applyBorder="1" applyAlignment="1" applyProtection="1">
      <alignment horizontal="center" vertical="center"/>
    </xf>
    <xf numFmtId="0" fontId="11" fillId="0" borderId="104" xfId="36" applyFont="1" applyBorder="1" applyAlignment="1" applyProtection="1">
      <alignment horizontal="center" vertical="center"/>
    </xf>
    <xf numFmtId="3" fontId="11" fillId="2" borderId="75" xfId="36" applyNumberFormat="1" applyFont="1" applyFill="1" applyBorder="1" applyAlignment="1" applyProtection="1">
      <alignment vertical="center"/>
      <protection locked="0"/>
    </xf>
    <xf numFmtId="3" fontId="11" fillId="11" borderId="63" xfId="36" applyNumberFormat="1" applyFont="1" applyFill="1" applyBorder="1" applyAlignment="1" applyProtection="1">
      <alignment vertical="center"/>
      <protection locked="0"/>
    </xf>
    <xf numFmtId="172" fontId="11" fillId="0" borderId="77" xfId="35" applyNumberFormat="1" applyFont="1" applyBorder="1" applyAlignment="1" applyProtection="1">
      <alignment vertical="center"/>
    </xf>
    <xf numFmtId="172" fontId="11" fillId="0" borderId="74" xfId="35" applyNumberFormat="1" applyFont="1" applyBorder="1" applyAlignment="1" applyProtection="1">
      <alignment vertical="center"/>
    </xf>
    <xf numFmtId="3" fontId="11" fillId="0" borderId="75" xfId="35" applyNumberFormat="1" applyFont="1" applyFill="1" applyBorder="1" applyAlignment="1" applyProtection="1">
      <alignment vertical="center"/>
    </xf>
    <xf numFmtId="172" fontId="11" fillId="0" borderId="65" xfId="35" applyNumberFormat="1" applyFont="1" applyBorder="1" applyAlignment="1" applyProtection="1">
      <alignment horizontal="left" vertical="center"/>
    </xf>
    <xf numFmtId="172" fontId="11" fillId="0" borderId="78" xfId="35" applyNumberFormat="1" applyFont="1" applyBorder="1" applyAlignment="1" applyProtection="1">
      <alignment horizontal="left" vertical="center"/>
    </xf>
    <xf numFmtId="0" fontId="11" fillId="0" borderId="78" xfId="35" applyFont="1" applyBorder="1" applyAlignment="1" applyProtection="1">
      <alignment horizontal="left" vertical="center"/>
    </xf>
    <xf numFmtId="0" fontId="11" fillId="0" borderId="78" xfId="35" applyFont="1" applyFill="1" applyBorder="1" applyAlignment="1" applyProtection="1">
      <alignment horizontal="left" vertical="center"/>
    </xf>
    <xf numFmtId="0" fontId="11" fillId="0" borderId="65" xfId="35" applyFont="1" applyBorder="1" applyAlignment="1" applyProtection="1">
      <alignment horizontal="left" vertical="center"/>
    </xf>
    <xf numFmtId="0" fontId="11" fillId="0" borderId="103" xfId="35" applyFont="1" applyFill="1" applyBorder="1" applyAlignment="1" applyProtection="1">
      <alignment horizontal="left" vertical="center"/>
    </xf>
    <xf numFmtId="0" fontId="15" fillId="3" borderId="103" xfId="35" applyFont="1" applyFill="1" applyBorder="1" applyAlignment="1" applyProtection="1">
      <alignment horizontal="left" vertical="center"/>
    </xf>
    <xf numFmtId="0" fontId="11" fillId="0" borderId="78" xfId="35" applyFont="1" applyBorder="1" applyAlignment="1" applyProtection="1">
      <alignment horizontal="center" vertical="center"/>
    </xf>
    <xf numFmtId="0" fontId="11" fillId="0" borderId="65" xfId="35" applyFont="1" applyBorder="1" applyAlignment="1" applyProtection="1">
      <alignment horizontal="center" vertical="center"/>
    </xf>
    <xf numFmtId="3" fontId="11" fillId="2" borderId="63" xfId="35" applyNumberFormat="1" applyFont="1" applyFill="1" applyBorder="1" applyAlignment="1" applyProtection="1">
      <alignment vertical="center"/>
      <protection locked="0"/>
    </xf>
    <xf numFmtId="3" fontId="11" fillId="2" borderId="75" xfId="35" applyNumberFormat="1" applyFont="1" applyFill="1" applyBorder="1" applyAlignment="1" applyProtection="1">
      <alignment vertical="center"/>
      <protection locked="0"/>
    </xf>
    <xf numFmtId="3" fontId="11" fillId="0" borderId="104" xfId="35" applyNumberFormat="1" applyFont="1" applyFill="1" applyBorder="1" applyAlignment="1" applyProtection="1">
      <alignment vertical="center"/>
    </xf>
    <xf numFmtId="3" fontId="11" fillId="0" borderId="63" xfId="35" applyNumberFormat="1" applyFont="1" applyFill="1" applyBorder="1" applyAlignment="1" applyProtection="1">
      <alignment vertical="center"/>
    </xf>
    <xf numFmtId="3" fontId="11" fillId="2" borderId="64" xfId="35" applyNumberFormat="1" applyFont="1" applyFill="1" applyBorder="1" applyAlignment="1" applyProtection="1">
      <alignment vertical="center"/>
      <protection locked="0"/>
    </xf>
    <xf numFmtId="3" fontId="11" fillId="2" borderId="102" xfId="35" applyNumberFormat="1" applyFont="1" applyFill="1" applyBorder="1" applyAlignment="1" applyProtection="1">
      <alignment vertical="center"/>
      <protection locked="0"/>
    </xf>
    <xf numFmtId="3" fontId="11" fillId="0" borderId="102" xfId="35" applyNumberFormat="1" applyFont="1" applyFill="1" applyBorder="1" applyAlignment="1" applyProtection="1">
      <alignment vertical="center"/>
    </xf>
    <xf numFmtId="3" fontId="11" fillId="0" borderId="74" xfId="35" applyNumberFormat="1" applyFont="1" applyFill="1" applyBorder="1" applyAlignment="1" applyProtection="1">
      <alignment vertical="center"/>
    </xf>
    <xf numFmtId="3" fontId="11" fillId="0" borderId="73" xfId="35" applyNumberFormat="1" applyFont="1" applyFill="1" applyBorder="1" applyAlignment="1" applyProtection="1">
      <alignment vertical="center"/>
    </xf>
    <xf numFmtId="3" fontId="11" fillId="0" borderId="64" xfId="35" applyNumberFormat="1" applyFont="1" applyFill="1" applyBorder="1" applyAlignment="1" applyProtection="1">
      <alignment vertical="center"/>
    </xf>
    <xf numFmtId="3" fontId="11" fillId="11" borderId="102" xfId="35" applyNumberFormat="1" applyFont="1" applyFill="1" applyBorder="1" applyAlignment="1" applyProtection="1">
      <alignment vertical="center"/>
      <protection locked="0"/>
    </xf>
    <xf numFmtId="172" fontId="11" fillId="0" borderId="104" xfId="35" applyNumberFormat="1" applyFont="1" applyBorder="1" applyAlignment="1" applyProtection="1">
      <alignment vertical="center"/>
    </xf>
    <xf numFmtId="172" fontId="11" fillId="0" borderId="63" xfId="35" applyNumberFormat="1" applyFont="1" applyBorder="1" applyAlignment="1" applyProtection="1">
      <alignment horizontal="center" vertical="center"/>
    </xf>
    <xf numFmtId="172" fontId="11" fillId="0" borderId="75" xfId="35" applyNumberFormat="1" applyFont="1" applyBorder="1" applyAlignment="1" applyProtection="1">
      <alignment horizontal="center" vertical="center"/>
    </xf>
    <xf numFmtId="0" fontId="11" fillId="0" borderId="75" xfId="35" applyFont="1" applyBorder="1" applyAlignment="1" applyProtection="1">
      <alignment horizontal="center" vertical="center"/>
    </xf>
    <xf numFmtId="0" fontId="11" fillId="0" borderId="75" xfId="35" applyFont="1" applyFill="1" applyBorder="1" applyAlignment="1" applyProtection="1">
      <alignment horizontal="center" vertical="center"/>
    </xf>
    <xf numFmtId="0" fontId="11" fillId="0" borderId="104" xfId="35" applyFont="1" applyBorder="1" applyAlignment="1" applyProtection="1">
      <alignment vertical="center"/>
    </xf>
    <xf numFmtId="0" fontId="11" fillId="0" borderId="63" xfId="35" applyFont="1" applyFill="1" applyBorder="1" applyAlignment="1" applyProtection="1">
      <alignment horizontal="center" vertical="center"/>
    </xf>
    <xf numFmtId="0" fontId="11" fillId="0" borderId="104" xfId="35" applyFont="1" applyFill="1" applyBorder="1" applyAlignment="1" applyProtection="1">
      <alignment horizontal="center" vertical="center"/>
    </xf>
    <xf numFmtId="0" fontId="18" fillId="0" borderId="63" xfId="35" applyFont="1" applyBorder="1" applyAlignment="1" applyProtection="1">
      <alignment horizontal="center" vertical="center"/>
    </xf>
    <xf numFmtId="0" fontId="11" fillId="0" borderId="104" xfId="35" applyFont="1" applyBorder="1" applyAlignment="1" applyProtection="1">
      <alignment horizontal="center" vertical="center"/>
    </xf>
    <xf numFmtId="0" fontId="11" fillId="0" borderId="63" xfId="35" applyFont="1" applyBorder="1" applyAlignment="1" applyProtection="1">
      <alignment horizontal="center" vertical="center"/>
    </xf>
    <xf numFmtId="3" fontId="11" fillId="11" borderId="63" xfId="35" applyNumberFormat="1" applyFont="1" applyFill="1" applyBorder="1" applyAlignment="1" applyProtection="1">
      <alignment vertical="center"/>
      <protection locked="0"/>
    </xf>
    <xf numFmtId="3" fontId="11" fillId="2" borderId="104" xfId="35" applyNumberFormat="1" applyFont="1" applyFill="1" applyBorder="1" applyAlignment="1" applyProtection="1">
      <alignment vertical="center"/>
      <protection locked="0"/>
    </xf>
    <xf numFmtId="3" fontId="11" fillId="11" borderId="104" xfId="35" applyNumberFormat="1" applyFont="1" applyFill="1" applyBorder="1" applyAlignment="1" applyProtection="1">
      <alignment vertical="center"/>
      <protection locked="0"/>
    </xf>
    <xf numFmtId="172" fontId="11" fillId="0" borderId="77" xfId="34" applyNumberFormat="1" applyFont="1" applyBorder="1" applyAlignment="1" applyProtection="1">
      <alignment vertical="center"/>
    </xf>
    <xf numFmtId="172" fontId="11" fillId="0" borderId="74" xfId="34" applyNumberFormat="1" applyFont="1" applyBorder="1" applyAlignment="1" applyProtection="1">
      <alignment vertical="center"/>
    </xf>
    <xf numFmtId="172" fontId="11" fillId="0" borderId="103" xfId="34" applyNumberFormat="1" applyFont="1" applyBorder="1" applyAlignment="1" applyProtection="1">
      <alignment vertical="center"/>
    </xf>
    <xf numFmtId="172" fontId="11" fillId="0" borderId="73" xfId="34" applyNumberFormat="1" applyFont="1" applyBorder="1" applyAlignment="1" applyProtection="1">
      <alignment vertical="center"/>
    </xf>
    <xf numFmtId="3" fontId="11" fillId="0" borderId="75" xfId="34" applyNumberFormat="1" applyFont="1" applyFill="1" applyBorder="1" applyAlignment="1" applyProtection="1">
      <alignment vertical="center"/>
    </xf>
    <xf numFmtId="3" fontId="11" fillId="0" borderId="102" xfId="34" applyNumberFormat="1" applyFont="1" applyFill="1" applyBorder="1" applyAlignment="1" applyProtection="1">
      <alignment vertical="center"/>
    </xf>
    <xf numFmtId="3" fontId="11" fillId="0" borderId="74" xfId="34" applyNumberFormat="1" applyFont="1" applyFill="1" applyBorder="1" applyAlignment="1" applyProtection="1">
      <alignment vertical="center"/>
    </xf>
    <xf numFmtId="3" fontId="11" fillId="0" borderId="64" xfId="34" applyNumberFormat="1" applyFont="1" applyFill="1" applyBorder="1" applyAlignment="1" applyProtection="1">
      <alignment vertical="center"/>
    </xf>
    <xf numFmtId="172" fontId="11" fillId="0" borderId="65" xfId="34" applyNumberFormat="1" applyFont="1" applyBorder="1" applyAlignment="1" applyProtection="1">
      <alignment horizontal="left" vertical="center"/>
    </xf>
    <xf numFmtId="172" fontId="11" fillId="0" borderId="78" xfId="34" applyNumberFormat="1" applyFont="1" applyBorder="1" applyAlignment="1" applyProtection="1">
      <alignment horizontal="left" vertical="center"/>
    </xf>
    <xf numFmtId="0" fontId="11" fillId="0" borderId="78" xfId="34" applyFont="1" applyBorder="1" applyAlignment="1" applyProtection="1">
      <alignment horizontal="left" vertical="center"/>
    </xf>
    <xf numFmtId="0" fontId="11" fillId="0" borderId="78" xfId="34" applyFont="1" applyFill="1" applyBorder="1" applyAlignment="1" applyProtection="1">
      <alignment horizontal="left" vertical="center"/>
    </xf>
    <xf numFmtId="0" fontId="11" fillId="0" borderId="65" xfId="34" applyFont="1" applyBorder="1" applyAlignment="1" applyProtection="1">
      <alignment horizontal="left" vertical="center"/>
    </xf>
    <xf numFmtId="0" fontId="11" fillId="0" borderId="65" xfId="34" applyFont="1" applyFill="1" applyBorder="1" applyAlignment="1" applyProtection="1">
      <alignment horizontal="left" vertical="center"/>
    </xf>
    <xf numFmtId="0" fontId="11" fillId="0" borderId="103" xfId="34" applyFont="1" applyFill="1" applyBorder="1" applyAlignment="1" applyProtection="1">
      <alignment horizontal="left" vertical="center"/>
    </xf>
    <xf numFmtId="0" fontId="15" fillId="3" borderId="103" xfId="34" applyFont="1" applyFill="1" applyBorder="1" applyAlignment="1" applyProtection="1">
      <alignment horizontal="left" vertical="center"/>
    </xf>
    <xf numFmtId="0" fontId="15" fillId="0" borderId="78" xfId="34" applyFont="1" applyBorder="1" applyAlignment="1" applyProtection="1">
      <alignment horizontal="left" vertical="center"/>
    </xf>
    <xf numFmtId="0" fontId="11" fillId="0" borderId="75" xfId="34" applyFont="1" applyBorder="1" applyAlignment="1" applyProtection="1">
      <alignment horizontal="center" vertical="center"/>
    </xf>
    <xf numFmtId="3" fontId="11" fillId="2" borderId="64" xfId="34" applyNumberFormat="1" applyFont="1" applyFill="1" applyBorder="1" applyAlignment="1" applyProtection="1">
      <alignment vertical="center"/>
      <protection locked="0"/>
    </xf>
    <xf numFmtId="3" fontId="11" fillId="2" borderId="102" xfId="34" applyNumberFormat="1" applyFont="1" applyFill="1" applyBorder="1" applyAlignment="1" applyProtection="1">
      <alignment vertical="center"/>
      <protection locked="0"/>
    </xf>
    <xf numFmtId="3" fontId="11" fillId="0" borderId="73" xfId="34" applyNumberFormat="1" applyFont="1" applyFill="1" applyBorder="1" applyAlignment="1" applyProtection="1">
      <alignment vertical="center"/>
    </xf>
    <xf numFmtId="3" fontId="11" fillId="2" borderId="74" xfId="34" applyNumberFormat="1" applyFont="1" applyFill="1" applyBorder="1" applyAlignment="1" applyProtection="1">
      <alignment vertical="center"/>
      <protection locked="0"/>
    </xf>
    <xf numFmtId="3" fontId="11" fillId="11" borderId="102" xfId="34" applyNumberFormat="1" applyFont="1" applyFill="1" applyBorder="1" applyAlignment="1" applyProtection="1">
      <alignment vertical="center"/>
      <protection locked="0"/>
    </xf>
    <xf numFmtId="3" fontId="11" fillId="11" borderId="73" xfId="34" applyNumberFormat="1" applyFont="1" applyFill="1" applyBorder="1" applyAlignment="1" applyProtection="1">
      <alignment vertical="center"/>
      <protection locked="0"/>
    </xf>
    <xf numFmtId="172" fontId="11" fillId="0" borderId="76" xfId="34" applyNumberFormat="1" applyFont="1" applyBorder="1" applyAlignment="1" applyProtection="1">
      <alignment vertical="center"/>
    </xf>
    <xf numFmtId="172" fontId="11" fillId="0" borderId="104" xfId="34" applyNumberFormat="1" applyFont="1" applyBorder="1" applyAlignment="1" applyProtection="1">
      <alignment vertical="center"/>
    </xf>
    <xf numFmtId="172" fontId="11" fillId="0" borderId="63" xfId="34" applyNumberFormat="1" applyFont="1" applyBorder="1" applyAlignment="1" applyProtection="1">
      <alignment horizontal="center" vertical="center"/>
    </xf>
    <xf numFmtId="172" fontId="11" fillId="0" borderId="75" xfId="34" applyNumberFormat="1" applyFont="1" applyBorder="1" applyAlignment="1" applyProtection="1">
      <alignment horizontal="center" vertical="center"/>
    </xf>
    <xf numFmtId="172" fontId="11" fillId="0" borderId="104" xfId="34" applyNumberFormat="1" applyFont="1" applyBorder="1" applyAlignment="1" applyProtection="1">
      <alignment horizontal="center" vertical="center"/>
    </xf>
    <xf numFmtId="0" fontId="11" fillId="0" borderId="75" xfId="34" applyFont="1" applyFill="1" applyBorder="1" applyAlignment="1" applyProtection="1">
      <alignment horizontal="center" vertical="center"/>
    </xf>
    <xf numFmtId="0" fontId="11" fillId="0" borderId="76" xfId="34" applyFont="1" applyFill="1" applyBorder="1" applyAlignment="1" applyProtection="1">
      <alignment horizontal="center" vertical="center"/>
    </xf>
    <xf numFmtId="0" fontId="11" fillId="0" borderId="76" xfId="34" applyFont="1" applyBorder="1" applyAlignment="1" applyProtection="1">
      <alignment vertical="center"/>
    </xf>
    <xf numFmtId="0" fontId="11" fillId="0" borderId="63" xfId="34" applyFont="1" applyFill="1" applyBorder="1" applyAlignment="1" applyProtection="1">
      <alignment horizontal="center" vertical="center"/>
    </xf>
    <xf numFmtId="0" fontId="11" fillId="0" borderId="104" xfId="34" applyFont="1" applyFill="1" applyBorder="1" applyAlignment="1" applyProtection="1">
      <alignment horizontal="center" vertical="center"/>
    </xf>
    <xf numFmtId="0" fontId="18" fillId="0" borderId="63" xfId="34" applyFont="1" applyBorder="1" applyAlignment="1" applyProtection="1">
      <alignment horizontal="center" vertical="center"/>
    </xf>
    <xf numFmtId="0" fontId="11" fillId="0" borderId="104" xfId="34" applyFont="1" applyBorder="1" applyAlignment="1" applyProtection="1">
      <alignment horizontal="center" vertical="center"/>
    </xf>
    <xf numFmtId="3" fontId="11" fillId="2" borderId="75" xfId="34" applyNumberFormat="1" applyFont="1" applyFill="1" applyBorder="1" applyAlignment="1" applyProtection="1">
      <alignment vertical="center"/>
      <protection locked="0"/>
    </xf>
    <xf numFmtId="3" fontId="11" fillId="11" borderId="63" xfId="34" applyNumberFormat="1" applyFont="1" applyFill="1" applyBorder="1" applyAlignment="1" applyProtection="1">
      <alignment vertical="center"/>
      <protection locked="0"/>
    </xf>
    <xf numFmtId="3" fontId="11" fillId="11" borderId="104" xfId="34" applyNumberFormat="1" applyFont="1" applyFill="1" applyBorder="1" applyAlignment="1" applyProtection="1">
      <alignment vertical="center"/>
      <protection locked="0"/>
    </xf>
    <xf numFmtId="0" fontId="11" fillId="0" borderId="104" xfId="34" applyFont="1" applyBorder="1" applyAlignment="1" applyProtection="1">
      <alignment vertical="center"/>
    </xf>
    <xf numFmtId="0" fontId="11" fillId="0" borderId="103" xfId="34" applyFont="1" applyBorder="1" applyAlignment="1" applyProtection="1">
      <alignment vertical="center"/>
    </xf>
    <xf numFmtId="0" fontId="11" fillId="0" borderId="73" xfId="34" applyFont="1" applyBorder="1" applyAlignment="1" applyProtection="1">
      <alignment vertical="center"/>
    </xf>
    <xf numFmtId="3" fontId="11" fillId="81" borderId="63" xfId="34" applyNumberFormat="1" applyFont="1" applyFill="1" applyBorder="1" applyAlignment="1" applyProtection="1">
      <protection locked="0"/>
    </xf>
    <xf numFmtId="3" fontId="11" fillId="82" borderId="75" xfId="34" applyNumberFormat="1" applyFont="1" applyFill="1" applyBorder="1" applyAlignment="1" applyProtection="1">
      <protection locked="0"/>
    </xf>
    <xf numFmtId="3" fontId="11" fillId="4" borderId="75" xfId="34" applyNumberFormat="1" applyFont="1" applyFill="1" applyBorder="1" applyAlignment="1" applyProtection="1">
      <protection locked="0"/>
    </xf>
    <xf numFmtId="3" fontId="11" fillId="2" borderId="75" xfId="34" applyNumberFormat="1" applyFont="1" applyFill="1" applyBorder="1" applyAlignment="1" applyProtection="1">
      <protection locked="0"/>
    </xf>
    <xf numFmtId="3" fontId="11" fillId="5" borderId="75" xfId="34" applyNumberFormat="1" applyFont="1" applyFill="1" applyBorder="1" applyAlignment="1" applyProtection="1">
      <protection locked="0"/>
    </xf>
    <xf numFmtId="172" fontId="61" fillId="0" borderId="103" xfId="21" applyNumberFormat="1" applyFont="1" applyFill="1" applyBorder="1" applyAlignment="1" applyProtection="1">
      <alignment vertical="top"/>
    </xf>
    <xf numFmtId="0" fontId="61" fillId="0" borderId="103" xfId="33" applyFont="1" applyFill="1" applyBorder="1" applyAlignment="1" applyProtection="1"/>
    <xf numFmtId="0" fontId="61" fillId="0" borderId="0" xfId="33" applyFont="1" applyFill="1" applyBorder="1" applyAlignment="1" applyProtection="1"/>
    <xf numFmtId="0" fontId="61" fillId="0" borderId="77" xfId="33" applyFont="1" applyFill="1" applyBorder="1" applyAlignment="1" applyProtection="1"/>
    <xf numFmtId="0" fontId="61" fillId="0" borderId="74" xfId="33" applyFont="1" applyFill="1" applyBorder="1" applyAlignment="1" applyProtection="1"/>
    <xf numFmtId="0" fontId="61" fillId="0" borderId="103" xfId="33" applyFont="1" applyFill="1" applyBorder="1" applyAlignment="1" applyProtection="1">
      <alignment vertical="top"/>
    </xf>
    <xf numFmtId="0" fontId="61" fillId="0" borderId="77" xfId="33" applyFont="1" applyFill="1" applyBorder="1" applyAlignment="1" applyProtection="1">
      <alignment vertical="top"/>
    </xf>
    <xf numFmtId="3" fontId="11" fillId="21" borderId="75" xfId="45" applyNumberFormat="1" applyFont="1" applyFill="1" applyBorder="1" applyAlignment="1" applyProtection="1">
      <alignment horizontal="center" vertical="center"/>
    </xf>
    <xf numFmtId="3" fontId="61" fillId="0" borderId="7" xfId="33" applyNumberFormat="1" applyFont="1" applyFill="1" applyBorder="1" applyAlignment="1" applyProtection="1">
      <alignment vertical="top"/>
    </xf>
    <xf numFmtId="3" fontId="61" fillId="0" borderId="7" xfId="21" applyNumberFormat="1" applyFont="1" applyFill="1" applyBorder="1" applyAlignment="1" applyProtection="1">
      <alignment vertical="top"/>
    </xf>
    <xf numFmtId="0" fontId="0" fillId="0" borderId="103" xfId="0" applyBorder="1" applyAlignment="1" applyProtection="1"/>
    <xf numFmtId="0" fontId="61" fillId="0" borderId="73" xfId="33" applyFont="1" applyFill="1" applyBorder="1" applyAlignment="1" applyProtection="1">
      <alignment vertical="top"/>
    </xf>
    <xf numFmtId="3" fontId="61" fillId="0" borderId="76" xfId="33" applyNumberFormat="1" applyFont="1" applyFill="1" applyBorder="1" applyAlignment="1" applyProtection="1">
      <alignment vertical="top"/>
    </xf>
    <xf numFmtId="0" fontId="0" fillId="0" borderId="65" xfId="0" applyBorder="1" applyProtection="1"/>
    <xf numFmtId="0" fontId="11" fillId="0" borderId="65" xfId="0" applyFont="1" applyBorder="1" applyProtection="1"/>
    <xf numFmtId="0" fontId="61" fillId="0" borderId="65" xfId="33" applyFont="1" applyFill="1" applyBorder="1" applyAlignment="1" applyProtection="1">
      <alignment vertical="top"/>
    </xf>
    <xf numFmtId="0" fontId="15" fillId="10" borderId="78" xfId="33" applyFont="1" applyFill="1" applyBorder="1" applyAlignment="1" applyProtection="1">
      <alignment vertical="top"/>
    </xf>
    <xf numFmtId="3" fontId="0" fillId="11" borderId="63" xfId="0" applyNumberFormat="1" applyFill="1" applyBorder="1" applyProtection="1">
      <protection locked="0"/>
    </xf>
    <xf numFmtId="3" fontId="0" fillId="11" borderId="75" xfId="0" applyNumberFormat="1" applyFill="1" applyBorder="1" applyProtection="1">
      <protection locked="0"/>
    </xf>
    <xf numFmtId="3" fontId="61" fillId="20" borderId="75" xfId="33" applyNumberFormat="1" applyFont="1" applyFill="1" applyBorder="1" applyAlignment="1" applyProtection="1">
      <alignment vertical="top"/>
      <protection locked="0"/>
    </xf>
    <xf numFmtId="3" fontId="61" fillId="20" borderId="63" xfId="33" applyNumberFormat="1" applyFont="1" applyFill="1" applyBorder="1" applyAlignment="1" applyProtection="1">
      <alignment vertical="top"/>
      <protection locked="0"/>
    </xf>
    <xf numFmtId="3" fontId="61" fillId="0" borderId="101" xfId="33" applyNumberFormat="1" applyFont="1" applyFill="1" applyBorder="1" applyAlignment="1" applyProtection="1">
      <alignment vertical="top"/>
    </xf>
    <xf numFmtId="0" fontId="0" fillId="0" borderId="73" xfId="0" applyBorder="1" applyAlignment="1" applyProtection="1"/>
    <xf numFmtId="3" fontId="61" fillId="0" borderId="73" xfId="33" applyNumberFormat="1" applyFont="1" applyFill="1" applyBorder="1" applyAlignment="1" applyProtection="1">
      <alignment vertical="top"/>
    </xf>
    <xf numFmtId="0" fontId="0" fillId="0" borderId="104" xfId="0" applyBorder="1" applyAlignment="1" applyProtection="1"/>
    <xf numFmtId="0" fontId="0" fillId="0" borderId="63" xfId="0" applyBorder="1" applyAlignment="1" applyProtection="1">
      <alignment horizontal="center"/>
    </xf>
    <xf numFmtId="0" fontId="0" fillId="0" borderId="75" xfId="0" applyBorder="1" applyAlignment="1" applyProtection="1">
      <alignment horizontal="center"/>
    </xf>
    <xf numFmtId="0" fontId="61" fillId="0" borderId="104" xfId="33" applyFont="1" applyFill="1" applyBorder="1" applyAlignment="1" applyProtection="1">
      <alignment vertical="top"/>
    </xf>
    <xf numFmtId="172" fontId="61" fillId="0" borderId="63" xfId="33" applyNumberFormat="1" applyFont="1" applyFill="1" applyBorder="1" applyAlignment="1" applyProtection="1">
      <alignment horizontal="center" vertical="top"/>
    </xf>
    <xf numFmtId="3" fontId="0" fillId="11" borderId="104" xfId="0" applyNumberFormat="1" applyFill="1" applyBorder="1" applyProtection="1">
      <protection locked="0"/>
    </xf>
    <xf numFmtId="3" fontId="61" fillId="11" borderId="63" xfId="33" applyNumberFormat="1" applyFont="1" applyFill="1" applyBorder="1" applyAlignment="1" applyProtection="1">
      <alignment vertical="top"/>
      <protection locked="0"/>
    </xf>
    <xf numFmtId="3" fontId="61" fillId="0" borderId="63" xfId="33" applyNumberFormat="1" applyFont="1" applyFill="1" applyBorder="1" applyAlignment="1" applyProtection="1">
      <alignment vertical="top"/>
    </xf>
    <xf numFmtId="3" fontId="61" fillId="0" borderId="104" xfId="21" applyNumberFormat="1" applyFont="1" applyFill="1" applyBorder="1" applyAlignment="1" applyProtection="1">
      <alignment vertical="top"/>
    </xf>
    <xf numFmtId="0" fontId="61" fillId="0" borderId="65" xfId="33" applyFont="1" applyFill="1" applyBorder="1" applyProtection="1"/>
    <xf numFmtId="0" fontId="61" fillId="0" borderId="78" xfId="33" applyFont="1" applyFill="1" applyBorder="1" applyProtection="1"/>
    <xf numFmtId="0" fontId="18" fillId="0" borderId="65" xfId="33" applyFont="1" applyFill="1" applyBorder="1" applyProtection="1"/>
    <xf numFmtId="0" fontId="61" fillId="0" borderId="65" xfId="21" applyFont="1" applyFill="1" applyBorder="1" applyAlignment="1" applyProtection="1">
      <alignment horizontal="left" vertical="top"/>
    </xf>
    <xf numFmtId="172" fontId="61" fillId="0" borderId="65" xfId="21" applyNumberFormat="1" applyFont="1" applyFill="1" applyBorder="1" applyAlignment="1" applyProtection="1">
      <alignment horizontal="left" vertical="top"/>
    </xf>
    <xf numFmtId="0" fontId="61" fillId="0" borderId="78" xfId="21" applyFont="1" applyFill="1" applyBorder="1" applyAlignment="1" applyProtection="1">
      <alignment horizontal="left" vertical="top"/>
    </xf>
    <xf numFmtId="3" fontId="61" fillId="11" borderId="101" xfId="21" applyNumberFormat="1" applyFont="1" applyFill="1" applyBorder="1" applyAlignment="1" applyProtection="1">
      <alignment vertical="top"/>
      <protection locked="0"/>
    </xf>
    <xf numFmtId="0" fontId="61" fillId="0" borderId="73" xfId="33" applyFont="1" applyFill="1" applyBorder="1" applyAlignment="1" applyProtection="1"/>
    <xf numFmtId="3" fontId="61" fillId="0" borderId="73" xfId="33" applyNumberFormat="1" applyFont="1" applyFill="1" applyBorder="1" applyAlignment="1" applyProtection="1"/>
    <xf numFmtId="0" fontId="61" fillId="0" borderId="73" xfId="21" applyFont="1" applyFill="1" applyBorder="1" applyAlignment="1" applyProtection="1">
      <alignment vertical="top"/>
    </xf>
    <xf numFmtId="3" fontId="61" fillId="0" borderId="73" xfId="21" applyNumberFormat="1" applyFont="1" applyFill="1" applyBorder="1" applyAlignment="1" applyProtection="1">
      <alignment vertical="top"/>
    </xf>
    <xf numFmtId="172" fontId="61" fillId="0" borderId="73" xfId="21" applyNumberFormat="1" applyFont="1" applyFill="1" applyBorder="1" applyAlignment="1" applyProtection="1">
      <alignment vertical="top"/>
    </xf>
    <xf numFmtId="0" fontId="61" fillId="0" borderId="104" xfId="33" applyFont="1" applyFill="1" applyBorder="1" applyAlignment="1" applyProtection="1"/>
    <xf numFmtId="172" fontId="61" fillId="0" borderId="63" xfId="33" applyNumberFormat="1" applyFont="1" applyFill="1" applyBorder="1" applyAlignment="1" applyProtection="1">
      <alignment horizontal="center"/>
    </xf>
    <xf numFmtId="172" fontId="61" fillId="0" borderId="75" xfId="33" applyNumberFormat="1" applyFont="1" applyFill="1" applyBorder="1" applyAlignment="1" applyProtection="1">
      <alignment horizontal="center"/>
    </xf>
    <xf numFmtId="0" fontId="61" fillId="0" borderId="104" xfId="21" applyFont="1" applyFill="1" applyBorder="1" applyAlignment="1" applyProtection="1">
      <alignment vertical="top"/>
    </xf>
    <xf numFmtId="0" fontId="18" fillId="0" borderId="63" xfId="21" applyFont="1" applyFill="1" applyBorder="1" applyAlignment="1" applyProtection="1">
      <alignment horizontal="center" vertical="top"/>
    </xf>
    <xf numFmtId="172" fontId="61" fillId="0" borderId="104" xfId="21" applyNumberFormat="1" applyFont="1" applyFill="1" applyBorder="1" applyAlignment="1" applyProtection="1">
      <alignment vertical="top"/>
    </xf>
    <xf numFmtId="172" fontId="18" fillId="0" borderId="63" xfId="21" applyNumberFormat="1" applyFont="1" applyFill="1" applyBorder="1" applyAlignment="1" applyProtection="1">
      <alignment horizontal="center" vertical="top"/>
    </xf>
    <xf numFmtId="0" fontId="18" fillId="0" borderId="75" xfId="21" applyFont="1" applyFill="1" applyBorder="1" applyAlignment="1" applyProtection="1">
      <alignment horizontal="center" vertical="top"/>
    </xf>
    <xf numFmtId="3" fontId="61" fillId="11" borderId="104" xfId="33" applyNumberFormat="1" applyFont="1" applyFill="1" applyBorder="1" applyAlignment="1" applyProtection="1">
      <protection locked="0"/>
    </xf>
    <xf numFmtId="3" fontId="61" fillId="11" borderId="75" xfId="33" applyNumberFormat="1" applyFont="1" applyFill="1" applyBorder="1" applyAlignment="1" applyProtection="1">
      <protection locked="0"/>
    </xf>
    <xf numFmtId="3" fontId="61" fillId="11" borderId="63" xfId="21" applyNumberFormat="1" applyFont="1" applyFill="1" applyBorder="1" applyAlignment="1" applyProtection="1">
      <alignment vertical="top"/>
      <protection locked="0"/>
    </xf>
    <xf numFmtId="3" fontId="61" fillId="11" borderId="104" xfId="21" applyNumberFormat="1" applyFont="1" applyFill="1" applyBorder="1" applyAlignment="1" applyProtection="1">
      <alignment vertical="top"/>
      <protection locked="0"/>
    </xf>
    <xf numFmtId="3" fontId="61" fillId="11" borderId="75" xfId="21" applyNumberFormat="1" applyFont="1" applyFill="1" applyBorder="1" applyAlignment="1" applyProtection="1">
      <alignment vertical="top"/>
      <protection locked="0"/>
    </xf>
    <xf numFmtId="3" fontId="61" fillId="20" borderId="63" xfId="33" applyNumberFormat="1" applyFont="1" applyFill="1" applyBorder="1" applyAlignment="1" applyProtection="1">
      <protection locked="0"/>
    </xf>
    <xf numFmtId="3" fontId="61" fillId="20" borderId="75" xfId="33" applyNumberFormat="1" applyFont="1" applyFill="1" applyBorder="1" applyAlignment="1" applyProtection="1">
      <protection locked="0"/>
    </xf>
    <xf numFmtId="3" fontId="61" fillId="20" borderId="63" xfId="21" applyNumberFormat="1" applyFont="1" applyFill="1" applyBorder="1" applyAlignment="1" applyProtection="1">
      <alignment vertical="top"/>
      <protection locked="0"/>
    </xf>
    <xf numFmtId="0" fontId="0" fillId="0" borderId="103" xfId="0" applyBorder="1" applyAlignment="1" applyProtection="1">
      <alignment vertical="center"/>
    </xf>
    <xf numFmtId="0" fontId="0" fillId="0" borderId="7" xfId="0" applyFill="1" applyBorder="1" applyAlignment="1" applyProtection="1">
      <alignment vertical="center"/>
    </xf>
    <xf numFmtId="172" fontId="11" fillId="0" borderId="73" xfId="31" applyNumberFormat="1" applyFont="1" applyFill="1" applyBorder="1" applyAlignment="1" applyProtection="1">
      <alignment vertical="center"/>
    </xf>
    <xf numFmtId="0" fontId="0" fillId="0" borderId="104" xfId="0" applyFill="1" applyBorder="1" applyAlignment="1" applyProtection="1">
      <alignment vertical="center"/>
    </xf>
    <xf numFmtId="0" fontId="0" fillId="0" borderId="73" xfId="0" applyFill="1" applyBorder="1" applyAlignment="1" applyProtection="1">
      <alignment vertical="center"/>
    </xf>
    <xf numFmtId="172" fontId="0" fillId="0" borderId="73" xfId="31" applyNumberFormat="1" applyFont="1" applyFill="1" applyBorder="1" applyAlignment="1" applyProtection="1">
      <alignment vertical="center"/>
    </xf>
    <xf numFmtId="172" fontId="11" fillId="0" borderId="63" xfId="31" applyNumberFormat="1" applyFont="1" applyFill="1" applyBorder="1" applyAlignment="1" applyProtection="1">
      <alignment horizontal="center" vertical="center"/>
    </xf>
    <xf numFmtId="172" fontId="11" fillId="0" borderId="63" xfId="31" applyNumberFormat="1" applyFont="1" applyBorder="1" applyAlignment="1" applyProtection="1">
      <alignment horizontal="center" vertical="center"/>
    </xf>
    <xf numFmtId="172" fontId="11" fillId="0" borderId="75" xfId="31" applyNumberFormat="1" applyFont="1" applyBorder="1" applyAlignment="1" applyProtection="1">
      <alignment horizontal="center" vertical="center"/>
    </xf>
    <xf numFmtId="172" fontId="18" fillId="0" borderId="63" xfId="31" applyNumberFormat="1" applyFont="1" applyBorder="1" applyAlignment="1" applyProtection="1">
      <alignment horizontal="center" vertical="center"/>
    </xf>
    <xf numFmtId="172" fontId="18" fillId="0" borderId="104" xfId="31" applyNumberFormat="1" applyFont="1" applyBorder="1" applyAlignment="1" applyProtection="1">
      <alignment horizontal="center" vertical="center"/>
    </xf>
    <xf numFmtId="172" fontId="18" fillId="0" borderId="75" xfId="31" applyNumberFormat="1" applyFont="1" applyBorder="1" applyAlignment="1" applyProtection="1">
      <alignment horizontal="center" vertical="center"/>
    </xf>
    <xf numFmtId="3" fontId="11" fillId="2" borderId="63" xfId="31" applyNumberFormat="1" applyFont="1" applyFill="1" applyBorder="1" applyAlignment="1" applyProtection="1">
      <alignment vertical="center"/>
      <protection locked="0"/>
    </xf>
    <xf numFmtId="172" fontId="11" fillId="0" borderId="65" xfId="31" applyNumberFormat="1" applyFont="1" applyFill="1" applyBorder="1" applyAlignment="1" applyProtection="1">
      <alignment horizontal="left" vertical="center"/>
    </xf>
    <xf numFmtId="172" fontId="11" fillId="0" borderId="65" xfId="31" applyNumberFormat="1" applyFont="1" applyBorder="1" applyAlignment="1" applyProtection="1">
      <alignment horizontal="left" vertical="center"/>
    </xf>
    <xf numFmtId="172" fontId="11" fillId="0" borderId="78" xfId="31" applyNumberFormat="1" applyFont="1" applyBorder="1" applyAlignment="1" applyProtection="1">
      <alignment horizontal="left" vertical="center"/>
    </xf>
    <xf numFmtId="0" fontId="0" fillId="0" borderId="65" xfId="0" applyBorder="1" applyAlignment="1" applyProtection="1">
      <alignment vertical="center"/>
    </xf>
    <xf numFmtId="172" fontId="11" fillId="0" borderId="78" xfId="31" applyNumberFormat="1" applyFont="1" applyFill="1" applyBorder="1" applyAlignment="1" applyProtection="1">
      <alignment horizontal="left" vertical="center"/>
    </xf>
    <xf numFmtId="3" fontId="11" fillId="2" borderId="61" xfId="31" applyNumberFormat="1" applyFont="1" applyFill="1" applyBorder="1" applyAlignment="1" applyProtection="1">
      <alignment vertical="center"/>
      <protection locked="0"/>
    </xf>
    <xf numFmtId="3" fontId="11" fillId="2" borderId="101" xfId="31" applyNumberFormat="1" applyFont="1" applyFill="1" applyBorder="1" applyAlignment="1" applyProtection="1">
      <alignment vertical="center"/>
      <protection locked="0"/>
    </xf>
    <xf numFmtId="172" fontId="11" fillId="0" borderId="76" xfId="31" applyNumberFormat="1" applyFont="1" applyBorder="1" applyAlignment="1" applyProtection="1">
      <alignment vertical="center"/>
    </xf>
    <xf numFmtId="172" fontId="11" fillId="0" borderId="104" xfId="31" applyNumberFormat="1" applyFont="1" applyBorder="1" applyAlignment="1" applyProtection="1">
      <alignment vertical="center"/>
    </xf>
    <xf numFmtId="0" fontId="0" fillId="0" borderId="104" xfId="0" applyBorder="1" applyAlignment="1" applyProtection="1">
      <alignment vertical="center"/>
    </xf>
    <xf numFmtId="172" fontId="0" fillId="0" borderId="104" xfId="31" applyNumberFormat="1" applyFont="1" applyBorder="1" applyAlignment="1" applyProtection="1">
      <alignment vertical="center"/>
    </xf>
    <xf numFmtId="3" fontId="11" fillId="11" borderId="63" xfId="31" applyNumberFormat="1" applyFont="1" applyFill="1" applyBorder="1" applyAlignment="1" applyProtection="1">
      <alignment vertical="center"/>
      <protection locked="0"/>
    </xf>
    <xf numFmtId="3" fontId="11" fillId="0" borderId="63" xfId="31" applyNumberFormat="1" applyFont="1" applyFill="1" applyBorder="1" applyAlignment="1" applyProtection="1">
      <alignment vertical="center"/>
    </xf>
    <xf numFmtId="3" fontId="11" fillId="0" borderId="104" xfId="31" applyNumberFormat="1" applyFont="1" applyFill="1" applyBorder="1" applyAlignment="1" applyProtection="1">
      <alignment vertical="center"/>
    </xf>
    <xf numFmtId="1" fontId="11" fillId="0" borderId="103" xfId="30" applyNumberFormat="1" applyFont="1" applyBorder="1" applyAlignment="1" applyProtection="1">
      <alignment vertical="center"/>
    </xf>
    <xf numFmtId="1" fontId="11" fillId="0" borderId="77" xfId="30" applyNumberFormat="1" applyFont="1" applyBorder="1" applyAlignment="1" applyProtection="1">
      <alignment vertical="center"/>
    </xf>
    <xf numFmtId="172" fontId="11" fillId="0" borderId="103" xfId="21" applyNumberFormat="1" applyFont="1" applyBorder="1" applyAlignment="1" applyProtection="1">
      <alignment vertical="center"/>
    </xf>
    <xf numFmtId="0" fontId="11" fillId="0" borderId="103" xfId="30" applyFont="1" applyFill="1" applyBorder="1" applyAlignment="1" applyProtection="1">
      <alignment vertical="center"/>
    </xf>
    <xf numFmtId="0" fontId="11" fillId="0" borderId="103" xfId="30" applyFont="1" applyBorder="1" applyAlignment="1" applyProtection="1">
      <alignment vertical="center"/>
    </xf>
    <xf numFmtId="0" fontId="11" fillId="0" borderId="77" xfId="30" applyFont="1" applyBorder="1" applyAlignment="1" applyProtection="1">
      <alignment vertical="center"/>
    </xf>
    <xf numFmtId="0" fontId="11" fillId="0" borderId="7" xfId="30" applyFont="1" applyFill="1" applyBorder="1" applyAlignment="1" applyProtection="1">
      <alignment vertical="center"/>
    </xf>
    <xf numFmtId="0" fontId="11" fillId="0" borderId="63" xfId="30" applyFont="1" applyFill="1" applyBorder="1" applyAlignment="1" applyProtection="1">
      <alignment vertical="center"/>
    </xf>
    <xf numFmtId="1" fontId="11" fillId="0" borderId="13" xfId="33" applyNumberFormat="1" applyFont="1" applyFill="1" applyBorder="1" applyAlignment="1" applyProtection="1">
      <alignment horizontal="left"/>
    </xf>
    <xf numFmtId="0" fontId="173" fillId="0" borderId="0" xfId="21" applyFont="1" applyFill="1" applyBorder="1" applyAlignment="1" applyProtection="1">
      <alignment horizontal="left" vertical="top"/>
    </xf>
    <xf numFmtId="0" fontId="11" fillId="0" borderId="65" xfId="30" applyFont="1" applyBorder="1" applyAlignment="1" applyProtection="1">
      <alignment vertical="center"/>
    </xf>
    <xf numFmtId="0" fontId="11" fillId="0" borderId="78" xfId="30" applyFont="1" applyBorder="1" applyAlignment="1" applyProtection="1">
      <alignment vertical="center"/>
    </xf>
    <xf numFmtId="0" fontId="11" fillId="0" borderId="78" xfId="30" applyFont="1" applyFill="1" applyBorder="1" applyAlignment="1" applyProtection="1">
      <alignment vertical="center"/>
    </xf>
    <xf numFmtId="0" fontId="11" fillId="0" borderId="77" xfId="30" applyFont="1" applyFill="1" applyBorder="1" applyAlignment="1" applyProtection="1">
      <alignment vertical="center"/>
    </xf>
    <xf numFmtId="1" fontId="11" fillId="0" borderId="65" xfId="30" applyNumberFormat="1" applyFont="1" applyBorder="1" applyAlignment="1" applyProtection="1">
      <alignment horizontal="left" vertical="center"/>
    </xf>
    <xf numFmtId="1" fontId="11" fillId="0" borderId="78" xfId="30" applyNumberFormat="1" applyFont="1" applyBorder="1" applyAlignment="1" applyProtection="1">
      <alignment horizontal="left" vertical="center"/>
    </xf>
    <xf numFmtId="3" fontId="11" fillId="2" borderId="76" xfId="30" applyNumberFormat="1" applyFont="1" applyFill="1" applyBorder="1" applyAlignment="1" applyProtection="1">
      <alignment vertical="center"/>
      <protection locked="0"/>
    </xf>
    <xf numFmtId="172" fontId="11" fillId="0" borderId="75" xfId="30" applyNumberFormat="1" applyFont="1" applyFill="1" applyBorder="1" applyAlignment="1" applyProtection="1">
      <alignment horizontal="center" vertical="center"/>
    </xf>
    <xf numFmtId="0" fontId="11" fillId="0" borderId="63" xfId="30" applyFont="1" applyFill="1" applyBorder="1" applyAlignment="1" applyProtection="1">
      <alignment horizontal="center" vertical="center"/>
    </xf>
    <xf numFmtId="3" fontId="11" fillId="2" borderId="104" xfId="30" applyNumberFormat="1" applyFont="1" applyFill="1" applyBorder="1" applyAlignment="1" applyProtection="1">
      <alignment vertical="center"/>
      <protection locked="0"/>
    </xf>
    <xf numFmtId="3" fontId="11" fillId="2" borderId="63" xfId="21" applyNumberFormat="1" applyFont="1" applyFill="1" applyBorder="1" applyAlignment="1" applyProtection="1">
      <alignment vertical="center"/>
      <protection locked="0"/>
    </xf>
    <xf numFmtId="3" fontId="11" fillId="2" borderId="75" xfId="21" applyNumberFormat="1" applyFont="1" applyFill="1" applyBorder="1" applyAlignment="1" applyProtection="1">
      <alignment vertical="center"/>
      <protection locked="0"/>
    </xf>
    <xf numFmtId="3" fontId="11" fillId="11" borderId="63" xfId="30" applyNumberFormat="1" applyFont="1" applyFill="1" applyBorder="1" applyAlignment="1" applyProtection="1">
      <alignment vertical="center"/>
      <protection locked="0"/>
    </xf>
    <xf numFmtId="0" fontId="11" fillId="0" borderId="73" xfId="30" applyFont="1" applyBorder="1" applyAlignment="1" applyProtection="1">
      <alignment vertical="center"/>
    </xf>
    <xf numFmtId="0" fontId="11" fillId="0" borderId="73" xfId="30" applyFont="1" applyFill="1" applyBorder="1" applyAlignment="1" applyProtection="1">
      <alignment vertical="center"/>
    </xf>
    <xf numFmtId="3" fontId="11" fillId="0" borderId="73" xfId="30" applyNumberFormat="1" applyFont="1" applyFill="1" applyBorder="1" applyAlignment="1" applyProtection="1">
      <alignment vertical="center"/>
    </xf>
    <xf numFmtId="1" fontId="11" fillId="0" borderId="73" xfId="30" applyNumberFormat="1" applyFont="1" applyFill="1" applyBorder="1" applyAlignment="1" applyProtection="1">
      <alignment vertical="center"/>
    </xf>
    <xf numFmtId="0" fontId="11" fillId="0" borderId="73" xfId="21" applyFont="1" applyFill="1" applyBorder="1" applyAlignment="1" applyProtection="1">
      <alignment vertical="center"/>
    </xf>
    <xf numFmtId="3" fontId="11" fillId="0" borderId="73" xfId="21" applyNumberFormat="1" applyFont="1" applyFill="1" applyBorder="1" applyAlignment="1" applyProtection="1">
      <alignment vertical="center"/>
    </xf>
    <xf numFmtId="172" fontId="11" fillId="0" borderId="73" xfId="21" applyNumberFormat="1" applyFont="1" applyFill="1" applyBorder="1" applyAlignment="1" applyProtection="1">
      <alignment vertical="center"/>
    </xf>
    <xf numFmtId="3" fontId="11" fillId="2" borderId="104" xfId="21" applyNumberFormat="1" applyFont="1" applyFill="1" applyBorder="1" applyAlignment="1" applyProtection="1">
      <alignment vertical="center"/>
      <protection locked="0"/>
    </xf>
    <xf numFmtId="172" fontId="11" fillId="0" borderId="75" xfId="30" applyNumberFormat="1" applyFont="1" applyBorder="1" applyAlignment="1" applyProtection="1">
      <alignment horizontal="center" vertical="center"/>
    </xf>
    <xf numFmtId="172" fontId="18" fillId="0" borderId="75" xfId="21" applyNumberFormat="1" applyFont="1" applyBorder="1" applyAlignment="1" applyProtection="1">
      <alignment horizontal="center" vertical="center"/>
    </xf>
    <xf numFmtId="0" fontId="18" fillId="0" borderId="75" xfId="21" applyFont="1" applyBorder="1" applyAlignment="1" applyProtection="1">
      <alignment horizontal="center" vertical="center"/>
    </xf>
    <xf numFmtId="172" fontId="11" fillId="0" borderId="75" xfId="21" applyNumberFormat="1" applyFont="1" applyBorder="1" applyAlignment="1" applyProtection="1">
      <alignment horizontal="center" vertical="center"/>
    </xf>
    <xf numFmtId="3" fontId="11" fillId="0" borderId="104" xfId="21" applyNumberFormat="1" applyFont="1" applyFill="1" applyBorder="1" applyAlignment="1" applyProtection="1">
      <alignment vertical="center"/>
    </xf>
    <xf numFmtId="0" fontId="11" fillId="0" borderId="104" xfId="30" applyFont="1" applyFill="1" applyBorder="1" applyAlignment="1" applyProtection="1">
      <alignment vertical="center"/>
    </xf>
    <xf numFmtId="0" fontId="11" fillId="0" borderId="104" xfId="30" applyFont="1" applyBorder="1" applyAlignment="1" applyProtection="1">
      <alignment vertical="center"/>
    </xf>
    <xf numFmtId="172" fontId="11" fillId="0" borderId="63" xfId="30" applyNumberFormat="1" applyFont="1" applyBorder="1" applyAlignment="1" applyProtection="1">
      <alignment horizontal="center" vertical="center"/>
    </xf>
    <xf numFmtId="172" fontId="11" fillId="0" borderId="63" xfId="30" applyNumberFormat="1" applyFont="1" applyFill="1" applyBorder="1" applyAlignment="1" applyProtection="1">
      <alignment horizontal="center" vertical="center"/>
    </xf>
    <xf numFmtId="172" fontId="11" fillId="0" borderId="76" xfId="30" applyNumberFormat="1" applyFont="1" applyBorder="1" applyAlignment="1" applyProtection="1">
      <alignment horizontal="center" vertical="center"/>
    </xf>
    <xf numFmtId="0" fontId="11" fillId="0" borderId="76" xfId="30" applyFont="1" applyBorder="1" applyAlignment="1" applyProtection="1">
      <alignment vertical="center"/>
    </xf>
    <xf numFmtId="172" fontId="11" fillId="0" borderId="76" xfId="30" applyNumberFormat="1" applyFont="1" applyFill="1" applyBorder="1" applyAlignment="1" applyProtection="1">
      <alignment horizontal="center" vertical="center"/>
    </xf>
    <xf numFmtId="172" fontId="11" fillId="0" borderId="104" xfId="30" applyNumberFormat="1" applyFont="1" applyBorder="1" applyAlignment="1" applyProtection="1">
      <alignment horizontal="center" vertical="center"/>
    </xf>
    <xf numFmtId="0" fontId="11" fillId="0" borderId="104" xfId="30" applyFont="1" applyFill="1" applyBorder="1" applyAlignment="1" applyProtection="1">
      <alignment horizontal="center" vertical="center"/>
    </xf>
    <xf numFmtId="0" fontId="11" fillId="0" borderId="76" xfId="30" applyFont="1" applyFill="1" applyBorder="1" applyAlignment="1" applyProtection="1">
      <alignment horizontal="center" vertical="center"/>
    </xf>
    <xf numFmtId="1" fontId="11" fillId="0" borderId="104" xfId="30" applyNumberFormat="1" applyFont="1" applyBorder="1" applyAlignment="1" applyProtection="1">
      <alignment vertical="center"/>
    </xf>
    <xf numFmtId="0" fontId="11" fillId="0" borderId="63" xfId="21" applyFont="1" applyBorder="1" applyAlignment="1" applyProtection="1">
      <alignment horizontal="center" vertical="center"/>
    </xf>
    <xf numFmtId="172" fontId="11" fillId="0" borderId="104" xfId="21" applyNumberFormat="1" applyFont="1" applyBorder="1" applyAlignment="1" applyProtection="1">
      <alignment vertical="center"/>
    </xf>
    <xf numFmtId="172" fontId="18" fillId="0" borderId="63" xfId="21" applyNumberFormat="1" applyFont="1" applyBorder="1" applyAlignment="1" applyProtection="1">
      <alignment horizontal="center" vertical="center"/>
    </xf>
    <xf numFmtId="0" fontId="18" fillId="0" borderId="63" xfId="21" applyFont="1" applyBorder="1" applyAlignment="1" applyProtection="1">
      <alignment horizontal="center" vertical="center"/>
    </xf>
    <xf numFmtId="0" fontId="18" fillId="0" borderId="76" xfId="21" applyFont="1" applyBorder="1" applyAlignment="1" applyProtection="1">
      <alignment horizontal="center" vertical="center"/>
    </xf>
    <xf numFmtId="1" fontId="11" fillId="0" borderId="76" xfId="30" applyNumberFormat="1" applyFont="1" applyBorder="1" applyAlignment="1" applyProtection="1">
      <alignment vertical="center"/>
    </xf>
    <xf numFmtId="172" fontId="18" fillId="0" borderId="75" xfId="30" applyNumberFormat="1" applyFont="1" applyBorder="1" applyAlignment="1" applyProtection="1">
      <alignment horizontal="center" vertical="center"/>
    </xf>
    <xf numFmtId="172" fontId="18" fillId="0" borderId="75" xfId="30" applyNumberFormat="1" applyFont="1" applyFill="1" applyBorder="1" applyAlignment="1" applyProtection="1">
      <alignment horizontal="center" vertical="center"/>
    </xf>
    <xf numFmtId="0" fontId="69" fillId="0" borderId="7" xfId="0" applyFont="1" applyFill="1" applyBorder="1" applyAlignment="1" applyProtection="1">
      <alignment vertical="center"/>
    </xf>
    <xf numFmtId="3" fontId="11" fillId="0" borderId="63" xfId="30" applyNumberFormat="1" applyFont="1" applyFill="1" applyBorder="1" applyAlignment="1" applyProtection="1">
      <alignment vertical="center"/>
    </xf>
    <xf numFmtId="172" fontId="11" fillId="0" borderId="73" xfId="23" applyNumberFormat="1" applyFont="1" applyBorder="1" applyAlignment="1" applyProtection="1">
      <alignment vertical="center"/>
    </xf>
    <xf numFmtId="172" fontId="11" fillId="0" borderId="103" xfId="23" applyNumberFormat="1" applyFont="1" applyBorder="1" applyAlignment="1" applyProtection="1">
      <alignment vertical="center"/>
    </xf>
    <xf numFmtId="3" fontId="11" fillId="2" borderId="64" xfId="23" applyNumberFormat="1" applyFont="1" applyFill="1" applyBorder="1" applyAlignment="1" applyProtection="1">
      <alignment vertical="center"/>
      <protection locked="0"/>
    </xf>
    <xf numFmtId="3" fontId="11" fillId="0" borderId="64" xfId="23" applyNumberFormat="1" applyFont="1" applyFill="1" applyBorder="1" applyAlignment="1" applyProtection="1">
      <alignment vertical="center"/>
    </xf>
    <xf numFmtId="3" fontId="11" fillId="0" borderId="102" xfId="27" applyNumberFormat="1" applyFont="1" applyFill="1" applyBorder="1" applyAlignment="1" applyProtection="1">
      <alignment vertical="center"/>
    </xf>
    <xf numFmtId="172" fontId="11" fillId="0" borderId="104" xfId="23" applyNumberFormat="1" applyFont="1" applyFill="1" applyBorder="1" applyAlignment="1" applyProtection="1">
      <alignment horizontal="center" vertical="center"/>
    </xf>
    <xf numFmtId="172" fontId="11" fillId="0" borderId="63" xfId="23" applyNumberFormat="1" applyFont="1" applyFill="1" applyBorder="1" applyAlignment="1" applyProtection="1">
      <alignment horizontal="center" vertical="center"/>
    </xf>
    <xf numFmtId="0" fontId="11" fillId="0" borderId="75" xfId="27" applyFont="1" applyBorder="1" applyAlignment="1" applyProtection="1">
      <alignment horizontal="center" vertical="center"/>
    </xf>
    <xf numFmtId="172" fontId="11" fillId="0" borderId="103" xfId="23" applyNumberFormat="1" applyFont="1" applyBorder="1" applyAlignment="1" applyProtection="1">
      <alignment horizontal="left" vertical="center"/>
    </xf>
    <xf numFmtId="0" fontId="15" fillId="3" borderId="77" xfId="23" applyFont="1" applyFill="1" applyBorder="1" applyAlignment="1" applyProtection="1">
      <alignment horizontal="left" vertical="center"/>
    </xf>
    <xf numFmtId="0" fontId="11" fillId="0" borderId="65" xfId="27" applyFont="1" applyBorder="1" applyAlignment="1" applyProtection="1">
      <alignment horizontal="left" vertical="center"/>
    </xf>
    <xf numFmtId="0" fontId="11" fillId="0" borderId="78" xfId="27" applyFont="1" applyBorder="1" applyAlignment="1" applyProtection="1">
      <alignment horizontal="left" vertical="center"/>
    </xf>
    <xf numFmtId="0" fontId="11" fillId="0" borderId="65" xfId="27" applyFont="1" applyBorder="1" applyAlignment="1" applyProtection="1">
      <alignment horizontal="center" vertical="center"/>
    </xf>
    <xf numFmtId="172" fontId="11" fillId="0" borderId="104" xfId="23" applyNumberFormat="1" applyFont="1" applyBorder="1" applyAlignment="1" applyProtection="1">
      <alignment vertical="center"/>
    </xf>
    <xf numFmtId="0" fontId="11" fillId="0" borderId="76" xfId="27" applyFont="1" applyBorder="1" applyAlignment="1" applyProtection="1">
      <alignment vertical="center"/>
    </xf>
    <xf numFmtId="3" fontId="11" fillId="0" borderId="104" xfId="23" applyNumberFormat="1" applyFont="1" applyFill="1" applyBorder="1" applyAlignment="1" applyProtection="1">
      <alignment vertical="center"/>
    </xf>
    <xf numFmtId="3" fontId="11" fillId="2" borderId="63" xfId="23" applyNumberFormat="1" applyFont="1" applyFill="1" applyBorder="1" applyAlignment="1" applyProtection="1">
      <alignment vertical="center"/>
      <protection locked="0"/>
    </xf>
    <xf numFmtId="3" fontId="11" fillId="2" borderId="104" xfId="23" applyNumberFormat="1" applyFont="1" applyFill="1" applyBorder="1" applyAlignment="1" applyProtection="1">
      <alignment vertical="center"/>
      <protection locked="0"/>
    </xf>
    <xf numFmtId="3" fontId="11" fillId="11" borderId="63" xfId="23" applyNumberFormat="1" applyFont="1" applyFill="1" applyBorder="1" applyAlignment="1" applyProtection="1">
      <alignment vertical="center"/>
      <protection locked="0"/>
    </xf>
    <xf numFmtId="3" fontId="11" fillId="0" borderId="63" xfId="27" applyNumberFormat="1" applyFont="1" applyFill="1" applyBorder="1" applyAlignment="1" applyProtection="1">
      <alignment vertical="center"/>
    </xf>
    <xf numFmtId="3" fontId="11" fillId="0" borderId="63" xfId="23" applyNumberFormat="1" applyFont="1" applyFill="1" applyBorder="1" applyAlignment="1" applyProtection="1">
      <alignment vertical="center"/>
    </xf>
    <xf numFmtId="3" fontId="11" fillId="0" borderId="75" xfId="27" applyNumberFormat="1" applyFont="1" applyFill="1" applyBorder="1" applyAlignment="1" applyProtection="1">
      <alignment vertical="center"/>
    </xf>
    <xf numFmtId="172" fontId="11" fillId="0" borderId="63" xfId="28" applyNumberFormat="1" applyFont="1" applyBorder="1" applyAlignment="1" applyProtection="1">
      <alignment horizontal="left" vertical="center"/>
    </xf>
    <xf numFmtId="172" fontId="18" fillId="0" borderId="63" xfId="28" applyNumberFormat="1" applyFont="1" applyBorder="1" applyAlignment="1" applyProtection="1">
      <alignment horizontal="center" vertical="center"/>
    </xf>
    <xf numFmtId="3" fontId="11" fillId="2" borderId="63" xfId="28" applyNumberFormat="1" applyFont="1" applyFill="1" applyBorder="1" applyAlignment="1" applyProtection="1">
      <alignment vertical="center"/>
      <protection locked="0"/>
    </xf>
    <xf numFmtId="172" fontId="11" fillId="0" borderId="103" xfId="28" applyNumberFormat="1" applyFont="1" applyBorder="1" applyAlignment="1" applyProtection="1">
      <alignment vertical="center"/>
    </xf>
    <xf numFmtId="172" fontId="11" fillId="0" borderId="73" xfId="28" applyNumberFormat="1" applyFont="1" applyBorder="1" applyAlignment="1" applyProtection="1">
      <alignment vertical="center"/>
    </xf>
    <xf numFmtId="172" fontId="11" fillId="0" borderId="65" xfId="28" applyNumberFormat="1" applyFont="1" applyBorder="1" applyAlignment="1" applyProtection="1">
      <alignment horizontal="left" vertical="center"/>
    </xf>
    <xf numFmtId="172" fontId="11" fillId="0" borderId="78" xfId="28" applyNumberFormat="1" applyFont="1" applyBorder="1" applyAlignment="1" applyProtection="1">
      <alignment horizontal="left" vertical="center"/>
    </xf>
    <xf numFmtId="172" fontId="11" fillId="0" borderId="65" xfId="28" applyNumberFormat="1" applyFont="1" applyFill="1" applyBorder="1" applyAlignment="1" applyProtection="1">
      <alignment horizontal="left" vertical="center"/>
    </xf>
    <xf numFmtId="172" fontId="15" fillId="3" borderId="103" xfId="28" applyNumberFormat="1" applyFont="1" applyFill="1" applyBorder="1" applyAlignment="1" applyProtection="1">
      <alignment horizontal="left" vertical="center"/>
    </xf>
    <xf numFmtId="172" fontId="11" fillId="0" borderId="73" xfId="28" applyNumberFormat="1" applyFont="1" applyFill="1" applyBorder="1" applyAlignment="1" applyProtection="1">
      <alignment vertical="center"/>
    </xf>
    <xf numFmtId="172" fontId="11" fillId="0" borderId="104" xfId="28" applyNumberFormat="1" applyFont="1" applyBorder="1" applyAlignment="1" applyProtection="1">
      <alignment vertical="center"/>
    </xf>
    <xf numFmtId="172" fontId="18" fillId="0" borderId="75" xfId="28" applyNumberFormat="1" applyFont="1" applyBorder="1" applyAlignment="1" applyProtection="1">
      <alignment horizontal="center" vertical="center"/>
    </xf>
    <xf numFmtId="3" fontId="11" fillId="2" borderId="75" xfId="28" applyNumberFormat="1" applyFont="1" applyFill="1" applyBorder="1" applyAlignment="1" applyProtection="1">
      <alignment vertical="center"/>
      <protection locked="0"/>
    </xf>
    <xf numFmtId="172" fontId="18" fillId="0" borderId="63" xfId="28" applyNumberFormat="1" applyFont="1" applyFill="1" applyBorder="1" applyAlignment="1" applyProtection="1">
      <alignment horizontal="center" vertical="center"/>
    </xf>
    <xf numFmtId="3" fontId="18" fillId="0" borderId="76" xfId="28" applyNumberFormat="1" applyFont="1" applyFill="1" applyBorder="1" applyAlignment="1" applyProtection="1">
      <alignment vertical="center"/>
    </xf>
    <xf numFmtId="3" fontId="18" fillId="2" borderId="75" xfId="28" applyNumberFormat="1" applyFont="1" applyFill="1" applyBorder="1" applyAlignment="1" applyProtection="1">
      <alignment vertical="center"/>
      <protection locked="0"/>
    </xf>
    <xf numFmtId="172" fontId="11" fillId="0" borderId="104" xfId="28" applyNumberFormat="1" applyFont="1" applyFill="1" applyBorder="1" applyAlignment="1" applyProtection="1">
      <alignment vertical="center"/>
    </xf>
    <xf numFmtId="172" fontId="11" fillId="0" borderId="63" xfId="28" applyNumberFormat="1" applyFont="1" applyFill="1" applyBorder="1" applyAlignment="1" applyProtection="1">
      <alignment horizontal="center" vertical="center"/>
    </xf>
    <xf numFmtId="3" fontId="18" fillId="0" borderId="63" xfId="28" applyNumberFormat="1" applyFont="1" applyFill="1" applyBorder="1" applyAlignment="1" applyProtection="1">
      <alignment vertical="center"/>
    </xf>
    <xf numFmtId="38" fontId="11" fillId="0" borderId="73" xfId="28" applyNumberFormat="1" applyFont="1" applyFill="1" applyBorder="1" applyAlignment="1" applyProtection="1">
      <alignment horizontal="right" vertical="center"/>
    </xf>
    <xf numFmtId="38" fontId="18" fillId="0" borderId="73" xfId="28" applyNumberFormat="1" applyFont="1" applyFill="1" applyBorder="1" applyAlignment="1" applyProtection="1">
      <alignment horizontal="left" vertical="center"/>
    </xf>
    <xf numFmtId="38" fontId="11" fillId="0" borderId="104" xfId="28" applyNumberFormat="1" applyFont="1" applyFill="1" applyBorder="1" applyAlignment="1" applyProtection="1">
      <alignment horizontal="right" vertical="center"/>
    </xf>
    <xf numFmtId="38" fontId="11" fillId="0" borderId="7" xfId="28" applyNumberFormat="1" applyFont="1" applyFill="1" applyBorder="1" applyAlignment="1" applyProtection="1">
      <alignment horizontal="right" vertical="center"/>
    </xf>
    <xf numFmtId="38" fontId="15" fillId="0" borderId="7" xfId="28" applyNumberFormat="1" applyFont="1" applyFill="1" applyBorder="1" applyAlignment="1" applyProtection="1">
      <alignment horizontal="right" vertical="center"/>
    </xf>
    <xf numFmtId="0" fontId="11" fillId="0" borderId="12" xfId="28" applyFont="1" applyFill="1" applyBorder="1" applyAlignment="1" applyProtection="1">
      <alignment vertical="center"/>
    </xf>
    <xf numFmtId="38" fontId="11" fillId="0" borderId="76" xfId="28" applyNumberFormat="1" applyFont="1" applyFill="1" applyBorder="1" applyAlignment="1" applyProtection="1">
      <alignment horizontal="right" vertical="center"/>
    </xf>
    <xf numFmtId="172" fontId="11" fillId="0" borderId="77" xfId="27" applyNumberFormat="1" applyFont="1" applyFill="1" applyBorder="1" applyAlignment="1" applyProtection="1"/>
    <xf numFmtId="172" fontId="11" fillId="0" borderId="65" xfId="27" applyNumberFormat="1" applyFont="1" applyBorder="1" applyAlignment="1" applyProtection="1">
      <alignment horizontal="left"/>
    </xf>
    <xf numFmtId="172" fontId="11" fillId="0" borderId="78" xfId="27" applyNumberFormat="1" applyFont="1" applyBorder="1" applyAlignment="1" applyProtection="1">
      <alignment horizontal="left"/>
    </xf>
    <xf numFmtId="172" fontId="11" fillId="0" borderId="65" xfId="27" applyNumberFormat="1" applyFont="1" applyFill="1" applyBorder="1" applyAlignment="1" applyProtection="1">
      <alignment horizontal="left"/>
    </xf>
    <xf numFmtId="0" fontId="15" fillId="3" borderId="103" xfId="27" applyFont="1" applyFill="1" applyBorder="1" applyAlignment="1" applyProtection="1">
      <alignment horizontal="left"/>
    </xf>
    <xf numFmtId="3" fontId="11" fillId="0" borderId="64" xfId="27" applyNumberFormat="1" applyFont="1" applyFill="1" applyBorder="1" applyAlignment="1" applyProtection="1"/>
    <xf numFmtId="3" fontId="11" fillId="0" borderId="102" xfId="27" applyNumberFormat="1" applyFont="1" applyFill="1" applyBorder="1" applyAlignment="1" applyProtection="1"/>
    <xf numFmtId="172" fontId="11" fillId="0" borderId="104" xfId="27" applyNumberFormat="1" applyFont="1" applyBorder="1" applyAlignment="1" applyProtection="1"/>
    <xf numFmtId="172" fontId="11" fillId="0" borderId="63" xfId="27" applyNumberFormat="1" applyFont="1" applyBorder="1" applyAlignment="1" applyProtection="1">
      <alignment horizontal="center"/>
    </xf>
    <xf numFmtId="172" fontId="11" fillId="0" borderId="75" xfId="27" applyNumberFormat="1" applyFont="1" applyBorder="1" applyAlignment="1" applyProtection="1">
      <alignment horizontal="center"/>
    </xf>
    <xf numFmtId="3" fontId="11" fillId="2" borderId="75" xfId="27" applyNumberFormat="1" applyFont="1" applyFill="1" applyBorder="1" applyAlignment="1" applyProtection="1">
      <protection locked="0"/>
    </xf>
    <xf numFmtId="3" fontId="11" fillId="0" borderId="76" xfId="27" applyNumberFormat="1" applyFont="1" applyBorder="1" applyAlignment="1" applyProtection="1"/>
    <xf numFmtId="172" fontId="11" fillId="0" borderId="76" xfId="27" applyNumberFormat="1" applyFont="1" applyBorder="1" applyAlignment="1" applyProtection="1"/>
    <xf numFmtId="3" fontId="11" fillId="2" borderId="104" xfId="27" applyNumberFormat="1" applyFont="1" applyFill="1" applyBorder="1" applyAlignment="1" applyProtection="1">
      <protection locked="0"/>
    </xf>
    <xf numFmtId="172" fontId="11" fillId="0" borderId="63" xfId="27" applyNumberFormat="1" applyFont="1" applyFill="1" applyBorder="1" applyAlignment="1" applyProtection="1">
      <alignment horizontal="center"/>
    </xf>
    <xf numFmtId="3" fontId="11" fillId="11" borderId="75" xfId="27" applyNumberFormat="1" applyFont="1" applyFill="1" applyBorder="1" applyAlignment="1" applyProtection="1">
      <protection locked="0"/>
    </xf>
    <xf numFmtId="0" fontId="11" fillId="0" borderId="104" xfId="27" applyFont="1" applyBorder="1" applyAlignment="1" applyProtection="1">
      <alignment horizontal="center"/>
    </xf>
    <xf numFmtId="3" fontId="11" fillId="0" borderId="104" xfId="27" applyNumberFormat="1" applyFont="1" applyFill="1" applyBorder="1" applyAlignment="1" applyProtection="1"/>
    <xf numFmtId="0" fontId="11" fillId="0" borderId="104" xfId="27" applyFont="1" applyBorder="1" applyAlignment="1" applyProtection="1"/>
    <xf numFmtId="3" fontId="11" fillId="0" borderId="76" xfId="27" applyNumberFormat="1" applyFont="1" applyFill="1" applyBorder="1" applyAlignment="1" applyProtection="1"/>
    <xf numFmtId="172" fontId="11" fillId="0" borderId="65" xfId="26" applyNumberFormat="1" applyFont="1" applyBorder="1" applyAlignment="1" applyProtection="1">
      <alignment horizontal="left"/>
    </xf>
    <xf numFmtId="172" fontId="11" fillId="0" borderId="78" xfId="26" applyNumberFormat="1" applyFont="1" applyBorder="1" applyAlignment="1" applyProtection="1">
      <alignment horizontal="left"/>
    </xf>
    <xf numFmtId="172" fontId="11" fillId="0" borderId="65" xfId="26" applyNumberFormat="1" applyFont="1" applyFill="1" applyBorder="1" applyAlignment="1" applyProtection="1">
      <alignment horizontal="left"/>
    </xf>
    <xf numFmtId="0" fontId="11" fillId="0" borderId="77" xfId="26" applyFont="1" applyBorder="1" applyAlignment="1" applyProtection="1">
      <alignment horizontal="left"/>
    </xf>
    <xf numFmtId="0" fontId="15" fillId="3" borderId="103" xfId="26" applyFont="1" applyFill="1" applyBorder="1" applyAlignment="1" applyProtection="1">
      <alignment horizontal="left"/>
    </xf>
    <xf numFmtId="0" fontId="11" fillId="0" borderId="65" xfId="26" applyFont="1" applyBorder="1" applyAlignment="1" applyProtection="1">
      <alignment horizontal="left"/>
    </xf>
    <xf numFmtId="172" fontId="11" fillId="0" borderId="76" xfId="26" applyNumberFormat="1" applyFont="1" applyBorder="1" applyAlignment="1" applyProtection="1"/>
    <xf numFmtId="172" fontId="11" fillId="0" borderId="104" xfId="26" applyNumberFormat="1" applyFont="1" applyBorder="1" applyAlignment="1" applyProtection="1"/>
    <xf numFmtId="172" fontId="11" fillId="0" borderId="63" xfId="26" applyNumberFormat="1" applyFont="1" applyBorder="1" applyAlignment="1" applyProtection="1">
      <alignment horizontal="center"/>
    </xf>
    <xf numFmtId="3" fontId="11" fillId="2" borderId="63" xfId="26" applyNumberFormat="1" applyFont="1" applyFill="1" applyBorder="1" applyAlignment="1" applyProtection="1">
      <protection locked="0"/>
    </xf>
    <xf numFmtId="172" fontId="11" fillId="0" borderId="75" xfId="26" applyNumberFormat="1" applyFont="1" applyBorder="1" applyAlignment="1" applyProtection="1">
      <alignment horizontal="center"/>
    </xf>
    <xf numFmtId="3" fontId="11" fillId="2" borderId="75" xfId="26" applyNumberFormat="1" applyFont="1" applyFill="1" applyBorder="1" applyAlignment="1" applyProtection="1">
      <protection locked="0"/>
    </xf>
    <xf numFmtId="3" fontId="11" fillId="0" borderId="63" xfId="26" applyNumberFormat="1" applyFont="1" applyFill="1" applyBorder="1" applyAlignment="1" applyProtection="1"/>
    <xf numFmtId="3" fontId="11" fillId="0" borderId="75" xfId="26" applyNumberFormat="1" applyFont="1" applyFill="1" applyBorder="1" applyAlignment="1" applyProtection="1"/>
    <xf numFmtId="3" fontId="11" fillId="11" borderId="75" xfId="26" applyNumberFormat="1" applyFont="1" applyFill="1" applyBorder="1" applyAlignment="1" applyProtection="1">
      <protection locked="0"/>
    </xf>
    <xf numFmtId="172" fontId="11" fillId="0" borderId="63" xfId="26" applyNumberFormat="1" applyFont="1" applyFill="1" applyBorder="1" applyAlignment="1" applyProtection="1">
      <alignment horizontal="center"/>
    </xf>
    <xf numFmtId="3" fontId="11" fillId="11" borderId="63" xfId="26" applyNumberFormat="1" applyFont="1" applyFill="1" applyBorder="1" applyAlignment="1" applyProtection="1">
      <protection locked="0"/>
    </xf>
    <xf numFmtId="3" fontId="11" fillId="2" borderId="104" xfId="26" applyNumberFormat="1" applyFont="1" applyFill="1" applyBorder="1" applyAlignment="1" applyProtection="1">
      <protection locked="0"/>
    </xf>
    <xf numFmtId="0" fontId="11" fillId="0" borderId="76" xfId="26" applyFont="1" applyBorder="1" applyAlignment="1" applyProtection="1">
      <alignment horizontal="center"/>
    </xf>
    <xf numFmtId="0" fontId="11" fillId="0" borderId="104" xfId="26" applyFont="1" applyBorder="1" applyAlignment="1" applyProtection="1">
      <alignment horizontal="center"/>
    </xf>
    <xf numFmtId="3" fontId="11" fillId="0" borderId="104" xfId="26" applyNumberFormat="1" applyFont="1" applyFill="1" applyBorder="1" applyAlignment="1" applyProtection="1"/>
    <xf numFmtId="0" fontId="11" fillId="0" borderId="104" xfId="26" applyFont="1" applyBorder="1" applyAlignment="1" applyProtection="1"/>
    <xf numFmtId="0" fontId="11" fillId="0" borderId="63" xfId="26" applyFont="1" applyBorder="1" applyAlignment="1" applyProtection="1">
      <alignment horizontal="center"/>
    </xf>
    <xf numFmtId="38" fontId="11" fillId="0" borderId="63" xfId="26" applyNumberFormat="1" applyFont="1" applyFill="1" applyBorder="1" applyAlignment="1" applyProtection="1">
      <alignment horizontal="right"/>
    </xf>
    <xf numFmtId="3" fontId="15" fillId="0" borderId="76" xfId="26" applyNumberFormat="1" applyFont="1" applyFill="1" applyBorder="1" applyAlignment="1" applyProtection="1"/>
    <xf numFmtId="0" fontId="15" fillId="0" borderId="77" xfId="25" applyFont="1" applyFill="1" applyBorder="1" applyAlignment="1" applyProtection="1">
      <alignment vertical="center"/>
    </xf>
    <xf numFmtId="0" fontId="15" fillId="0" borderId="74" xfId="25" applyFont="1" applyFill="1" applyBorder="1" applyAlignment="1" applyProtection="1">
      <alignment vertical="center"/>
    </xf>
    <xf numFmtId="0" fontId="11" fillId="0" borderId="73" xfId="25" applyFont="1" applyBorder="1" applyAlignment="1" applyProtection="1">
      <alignment vertical="center"/>
    </xf>
    <xf numFmtId="172" fontId="11" fillId="0" borderId="65" xfId="25" applyNumberFormat="1" applyFont="1" applyBorder="1" applyAlignment="1" applyProtection="1">
      <alignment horizontal="left" vertical="center"/>
    </xf>
    <xf numFmtId="172" fontId="11" fillId="0" borderId="78" xfId="25" applyNumberFormat="1" applyFont="1" applyBorder="1" applyAlignment="1" applyProtection="1">
      <alignment horizontal="left" vertical="center"/>
    </xf>
    <xf numFmtId="172" fontId="11" fillId="0" borderId="78" xfId="25" applyNumberFormat="1" applyFont="1" applyFill="1" applyBorder="1" applyAlignment="1" applyProtection="1">
      <alignment horizontal="left" vertical="center"/>
    </xf>
    <xf numFmtId="172" fontId="11" fillId="0" borderId="65" xfId="25" applyNumberFormat="1" applyFont="1" applyFill="1" applyBorder="1" applyAlignment="1" applyProtection="1">
      <alignment horizontal="left" vertical="center"/>
    </xf>
    <xf numFmtId="0" fontId="11" fillId="0" borderId="78" xfId="25" applyFont="1" applyBorder="1" applyAlignment="1" applyProtection="1">
      <alignment horizontal="left" vertical="center"/>
    </xf>
    <xf numFmtId="172" fontId="18" fillId="0" borderId="78" xfId="25" applyNumberFormat="1" applyFont="1" applyBorder="1" applyAlignment="1" applyProtection="1">
      <alignment horizontal="left" vertical="center"/>
    </xf>
    <xf numFmtId="172" fontId="18" fillId="0" borderId="65" xfId="25" applyNumberFormat="1" applyFont="1" applyBorder="1" applyAlignment="1" applyProtection="1">
      <alignment horizontal="left" vertical="center"/>
    </xf>
    <xf numFmtId="172" fontId="11" fillId="0" borderId="104" xfId="25" applyNumberFormat="1" applyFont="1" applyBorder="1" applyAlignment="1" applyProtection="1">
      <alignment vertical="center"/>
    </xf>
    <xf numFmtId="172" fontId="11" fillId="0" borderId="63" xfId="25" applyNumberFormat="1" applyFont="1" applyBorder="1" applyAlignment="1" applyProtection="1">
      <alignment horizontal="center" vertical="center"/>
    </xf>
    <xf numFmtId="3" fontId="11" fillId="2" borderId="63" xfId="25" applyNumberFormat="1" applyFont="1" applyFill="1" applyBorder="1" applyAlignment="1" applyProtection="1">
      <alignment vertical="center"/>
      <protection locked="0"/>
    </xf>
    <xf numFmtId="3" fontId="11" fillId="0" borderId="104" xfId="25" applyNumberFormat="1" applyFont="1" applyFill="1" applyBorder="1" applyAlignment="1" applyProtection="1">
      <alignment vertical="center"/>
    </xf>
    <xf numFmtId="172" fontId="11" fillId="0" borderId="75" xfId="25" applyNumberFormat="1" applyFont="1" applyBorder="1" applyAlignment="1" applyProtection="1">
      <alignment horizontal="center" vertical="center"/>
    </xf>
    <xf numFmtId="3" fontId="11" fillId="0" borderId="76" xfId="25" applyNumberFormat="1" applyFont="1" applyFill="1" applyBorder="1" applyAlignment="1" applyProtection="1">
      <alignment vertical="center"/>
    </xf>
    <xf numFmtId="3" fontId="11" fillId="0" borderId="63" xfId="25" applyNumberFormat="1" applyFont="1" applyFill="1" applyBorder="1" applyAlignment="1" applyProtection="1">
      <alignment vertical="center"/>
    </xf>
    <xf numFmtId="172" fontId="11" fillId="0" borderId="75" xfId="25" applyNumberFormat="1" applyFont="1" applyFill="1" applyBorder="1" applyAlignment="1" applyProtection="1">
      <alignment horizontal="center" vertical="center"/>
    </xf>
    <xf numFmtId="3" fontId="11" fillId="11" borderId="63" xfId="25" applyNumberFormat="1" applyFont="1" applyFill="1" applyBorder="1" applyAlignment="1" applyProtection="1">
      <alignment vertical="center"/>
      <protection locked="0"/>
    </xf>
    <xf numFmtId="3" fontId="11" fillId="0" borderId="76" xfId="25" applyNumberFormat="1" applyFont="1" applyBorder="1" applyAlignment="1" applyProtection="1">
      <alignment vertical="center"/>
    </xf>
    <xf numFmtId="3" fontId="11" fillId="0" borderId="104" xfId="25" applyNumberFormat="1" applyFont="1" applyBorder="1" applyAlignment="1" applyProtection="1">
      <alignment vertical="center"/>
    </xf>
    <xf numFmtId="172" fontId="11" fillId="0" borderId="63" xfId="25" applyNumberFormat="1" applyFont="1" applyFill="1" applyBorder="1" applyAlignment="1" applyProtection="1">
      <alignment horizontal="center" vertical="center"/>
    </xf>
    <xf numFmtId="3" fontId="11" fillId="2" borderId="104" xfId="25" applyNumberFormat="1" applyFont="1" applyFill="1" applyBorder="1" applyAlignment="1" applyProtection="1">
      <alignment vertical="center"/>
      <protection locked="0"/>
    </xf>
    <xf numFmtId="0" fontId="11" fillId="0" borderId="75" xfId="25" applyFont="1" applyBorder="1" applyAlignment="1" applyProtection="1">
      <alignment horizontal="center" vertical="center"/>
    </xf>
    <xf numFmtId="172" fontId="18" fillId="0" borderId="63" xfId="25" applyNumberFormat="1" applyFont="1" applyBorder="1" applyAlignment="1" applyProtection="1">
      <alignment horizontal="center" vertical="center"/>
    </xf>
    <xf numFmtId="3" fontId="18" fillId="0" borderId="63" xfId="25" applyNumberFormat="1" applyFont="1" applyFill="1" applyBorder="1" applyAlignment="1" applyProtection="1">
      <alignment vertical="center"/>
    </xf>
    <xf numFmtId="172" fontId="18" fillId="0" borderId="75" xfId="25" applyNumberFormat="1" applyFont="1" applyBorder="1" applyAlignment="1" applyProtection="1">
      <alignment horizontal="center" vertical="center"/>
    </xf>
    <xf numFmtId="3" fontId="21" fillId="0" borderId="104" xfId="25" applyNumberFormat="1" applyFont="1" applyFill="1" applyBorder="1" applyAlignment="1" applyProtection="1">
      <alignment vertical="center"/>
    </xf>
    <xf numFmtId="3" fontId="18" fillId="0" borderId="75" xfId="25" applyNumberFormat="1" applyFont="1" applyFill="1" applyBorder="1" applyAlignment="1" applyProtection="1">
      <alignment vertical="center"/>
    </xf>
    <xf numFmtId="0" fontId="11" fillId="0" borderId="65" xfId="25" applyFont="1" applyBorder="1" applyAlignment="1" applyProtection="1">
      <alignment horizontal="left" vertical="center"/>
    </xf>
    <xf numFmtId="3" fontId="11" fillId="0" borderId="73" xfId="25" applyNumberFormat="1" applyFont="1" applyFill="1" applyBorder="1" applyAlignment="1" applyProtection="1">
      <alignment vertical="center"/>
    </xf>
    <xf numFmtId="3" fontId="11" fillId="0" borderId="64" xfId="25" applyNumberFormat="1" applyFont="1" applyFill="1" applyBorder="1" applyAlignment="1" applyProtection="1">
      <alignment vertical="center"/>
    </xf>
    <xf numFmtId="0" fontId="11" fillId="0" borderId="104" xfId="25" applyFont="1" applyBorder="1" applyAlignment="1" applyProtection="1">
      <alignment vertical="center"/>
    </xf>
    <xf numFmtId="0" fontId="11" fillId="0" borderId="63" xfId="25" applyFont="1" applyBorder="1" applyAlignment="1" applyProtection="1">
      <alignment horizontal="center" vertical="center"/>
    </xf>
    <xf numFmtId="3" fontId="18" fillId="0" borderId="76" xfId="0" applyNumberFormat="1" applyFont="1" applyFill="1" applyBorder="1" applyAlignment="1" applyProtection="1">
      <alignment vertical="center"/>
    </xf>
    <xf numFmtId="1" fontId="11" fillId="0" borderId="77" xfId="0" applyNumberFormat="1" applyFont="1" applyBorder="1" applyAlignment="1" applyProtection="1">
      <alignment vertical="center"/>
    </xf>
    <xf numFmtId="1" fontId="11" fillId="0" borderId="103" xfId="0" applyNumberFormat="1" applyFont="1" applyBorder="1" applyAlignment="1" applyProtection="1">
      <alignment vertical="center"/>
    </xf>
    <xf numFmtId="1" fontId="18" fillId="0" borderId="77" xfId="0" applyNumberFormat="1" applyFont="1" applyBorder="1" applyAlignment="1" applyProtection="1">
      <alignment vertical="center"/>
    </xf>
    <xf numFmtId="1" fontId="18" fillId="0" borderId="103" xfId="0" applyNumberFormat="1" applyFont="1" applyBorder="1" applyAlignment="1" applyProtection="1">
      <alignment vertical="center"/>
    </xf>
    <xf numFmtId="0" fontId="18" fillId="0" borderId="103" xfId="0" applyFont="1" applyBorder="1" applyAlignment="1" applyProtection="1">
      <alignment vertical="center"/>
    </xf>
    <xf numFmtId="0" fontId="18" fillId="0" borderId="73" xfId="0" applyFont="1" applyBorder="1" applyAlignment="1" applyProtection="1">
      <alignment vertical="center"/>
    </xf>
    <xf numFmtId="1" fontId="11" fillId="0" borderId="13" xfId="0" applyNumberFormat="1" applyFont="1" applyBorder="1" applyAlignment="1" applyProtection="1">
      <alignment horizontal="left" vertical="center"/>
    </xf>
    <xf numFmtId="0" fontId="18" fillId="0" borderId="65" xfId="0" applyFont="1" applyBorder="1" applyAlignment="1" applyProtection="1">
      <alignment vertical="center"/>
    </xf>
    <xf numFmtId="0" fontId="18" fillId="0" borderId="78" xfId="0" applyFont="1" applyBorder="1" applyAlignment="1" applyProtection="1">
      <alignment vertical="center"/>
    </xf>
    <xf numFmtId="0" fontId="18" fillId="0" borderId="77" xfId="0" applyFont="1" applyFill="1" applyBorder="1" applyAlignment="1" applyProtection="1">
      <alignment vertical="center"/>
    </xf>
    <xf numFmtId="0" fontId="18" fillId="0" borderId="103" xfId="0" applyFont="1" applyFill="1" applyBorder="1" applyAlignment="1" applyProtection="1">
      <alignment vertical="center"/>
    </xf>
    <xf numFmtId="0" fontId="18" fillId="0" borderId="65" xfId="0" applyFont="1" applyFill="1" applyBorder="1" applyAlignment="1" applyProtection="1">
      <alignment vertical="center"/>
    </xf>
    <xf numFmtId="1" fontId="18" fillId="0" borderId="65" xfId="0" applyNumberFormat="1" applyFont="1" applyBorder="1" applyAlignment="1" applyProtection="1">
      <alignment horizontal="left" vertical="center"/>
    </xf>
    <xf numFmtId="1" fontId="18" fillId="0" borderId="78" xfId="0" applyNumberFormat="1" applyFont="1" applyBorder="1" applyAlignment="1" applyProtection="1">
      <alignment horizontal="left" vertical="center"/>
    </xf>
    <xf numFmtId="1" fontId="11" fillId="0" borderId="65" xfId="0" applyNumberFormat="1" applyFont="1" applyBorder="1" applyAlignment="1" applyProtection="1">
      <alignment horizontal="left" vertical="center"/>
    </xf>
    <xf numFmtId="0" fontId="18" fillId="0" borderId="104" xfId="0" applyFont="1" applyBorder="1" applyAlignment="1" applyProtection="1">
      <alignment vertical="center"/>
    </xf>
    <xf numFmtId="172" fontId="18" fillId="0" borderId="63" xfId="0" applyNumberFormat="1" applyFont="1" applyBorder="1" applyAlignment="1" applyProtection="1">
      <alignment horizontal="center" vertical="center"/>
    </xf>
    <xf numFmtId="172" fontId="18" fillId="0" borderId="104" xfId="0" applyNumberFormat="1" applyFont="1" applyFill="1" applyBorder="1" applyAlignment="1" applyProtection="1">
      <alignment horizontal="center" vertical="center"/>
    </xf>
    <xf numFmtId="172" fontId="18" fillId="0" borderId="76" xfId="0" applyNumberFormat="1" applyFont="1" applyBorder="1" applyAlignment="1" applyProtection="1">
      <alignment horizontal="center" vertical="center"/>
    </xf>
    <xf numFmtId="172" fontId="18" fillId="0" borderId="75" xfId="0" applyNumberFormat="1" applyFont="1" applyFill="1" applyBorder="1" applyAlignment="1" applyProtection="1">
      <alignment horizontal="center" vertical="center"/>
    </xf>
    <xf numFmtId="172" fontId="18" fillId="0" borderId="63" xfId="0" applyNumberFormat="1" applyFont="1" applyFill="1" applyBorder="1" applyAlignment="1" applyProtection="1">
      <alignment horizontal="center" vertical="center"/>
    </xf>
    <xf numFmtId="1" fontId="18" fillId="0" borderId="76" xfId="0" applyNumberFormat="1" applyFont="1" applyBorder="1" applyAlignment="1" applyProtection="1">
      <alignment vertical="center"/>
    </xf>
    <xf numFmtId="1" fontId="18" fillId="0" borderId="104" xfId="0" applyNumberFormat="1" applyFont="1" applyBorder="1" applyAlignment="1" applyProtection="1">
      <alignment vertical="center"/>
    </xf>
    <xf numFmtId="3" fontId="18" fillId="2" borderId="104" xfId="0" applyNumberFormat="1" applyFont="1" applyFill="1" applyBorder="1" applyAlignment="1" applyProtection="1">
      <alignment vertical="center"/>
      <protection locked="0"/>
    </xf>
    <xf numFmtId="172" fontId="18" fillId="0" borderId="76" xfId="0" applyNumberFormat="1" applyFont="1" applyFill="1" applyBorder="1" applyAlignment="1" applyProtection="1">
      <alignment horizontal="center" vertical="center"/>
    </xf>
    <xf numFmtId="1" fontId="11" fillId="0" borderId="76" xfId="0" applyNumberFormat="1" applyFont="1" applyBorder="1" applyAlignment="1" applyProtection="1">
      <alignment vertical="center"/>
    </xf>
    <xf numFmtId="38" fontId="18" fillId="11" borderId="63" xfId="0" applyNumberFormat="1" applyFont="1" applyFill="1" applyBorder="1" applyAlignment="1" applyProtection="1">
      <alignment horizontal="right" vertical="center"/>
      <protection locked="0"/>
    </xf>
    <xf numFmtId="1" fontId="11" fillId="0" borderId="104" xfId="0" applyNumberFormat="1" applyFont="1" applyBorder="1" applyAlignment="1" applyProtection="1">
      <alignment vertical="center"/>
    </xf>
    <xf numFmtId="3" fontId="18" fillId="2" borderId="73" xfId="0" applyNumberFormat="1" applyFont="1" applyFill="1" applyBorder="1" applyAlignment="1" applyProtection="1">
      <alignment vertical="center"/>
      <protection locked="0"/>
    </xf>
    <xf numFmtId="0" fontId="18" fillId="0" borderId="65" xfId="0" applyFont="1" applyBorder="1" applyAlignment="1" applyProtection="1">
      <alignment horizontal="left" vertical="center" indent="1"/>
    </xf>
    <xf numFmtId="0" fontId="18" fillId="0" borderId="78" xfId="0" applyFont="1" applyBorder="1" applyAlignment="1" applyProtection="1">
      <alignment horizontal="left" vertical="center" indent="1"/>
    </xf>
    <xf numFmtId="0" fontId="18" fillId="0" borderId="103" xfId="0" applyFont="1" applyBorder="1" applyAlignment="1" applyProtection="1">
      <alignment horizontal="left" vertical="center" indent="1"/>
    </xf>
    <xf numFmtId="0" fontId="11" fillId="0" borderId="65" xfId="0" applyFont="1" applyBorder="1" applyAlignment="1" applyProtection="1">
      <alignment horizontal="left" vertical="center" indent="1"/>
    </xf>
    <xf numFmtId="0" fontId="11" fillId="0" borderId="76" xfId="0" applyFont="1" applyBorder="1" applyAlignment="1" applyProtection="1">
      <alignment vertical="center"/>
    </xf>
    <xf numFmtId="172" fontId="11" fillId="0" borderId="77" xfId="22" applyNumberFormat="1" applyFont="1" applyBorder="1" applyAlignment="1" applyProtection="1">
      <alignment vertical="top"/>
    </xf>
    <xf numFmtId="172" fontId="11" fillId="0" borderId="103" xfId="22" applyNumberFormat="1" applyFont="1" applyBorder="1" applyAlignment="1" applyProtection="1">
      <alignment vertical="top"/>
    </xf>
    <xf numFmtId="0" fontId="11" fillId="0" borderId="77" xfId="18" applyFont="1" applyBorder="1" applyAlignment="1" applyProtection="1">
      <alignment vertical="top"/>
    </xf>
    <xf numFmtId="0" fontId="11" fillId="0" borderId="103" xfId="18" applyFont="1" applyBorder="1" applyAlignment="1" applyProtection="1">
      <alignment vertical="top"/>
    </xf>
    <xf numFmtId="172" fontId="11" fillId="0" borderId="103" xfId="22" applyNumberFormat="1" applyFont="1" applyBorder="1" applyAlignment="1" applyProtection="1"/>
    <xf numFmtId="172" fontId="11" fillId="0" borderId="77" xfId="22" applyNumberFormat="1" applyFont="1" applyBorder="1" applyAlignment="1" applyProtection="1"/>
    <xf numFmtId="0" fontId="11" fillId="0" borderId="77" xfId="22" applyFont="1" applyBorder="1" applyAlignment="1" applyProtection="1"/>
    <xf numFmtId="0" fontId="11" fillId="0" borderId="103" xfId="22" applyFont="1" applyBorder="1" applyAlignment="1" applyProtection="1"/>
    <xf numFmtId="0" fontId="11" fillId="0" borderId="103" xfId="22" applyFont="1" applyBorder="1" applyAlignment="1" applyProtection="1">
      <alignment vertical="top"/>
    </xf>
    <xf numFmtId="0" fontId="11" fillId="0" borderId="77" xfId="22" applyFont="1" applyBorder="1" applyAlignment="1" applyProtection="1">
      <alignment vertical="top"/>
    </xf>
    <xf numFmtId="0" fontId="11" fillId="0" borderId="77" xfId="22" applyFont="1" applyBorder="1" applyAlignment="1" applyProtection="1">
      <alignment vertical="center"/>
    </xf>
    <xf numFmtId="0" fontId="11" fillId="0" borderId="103" xfId="22" applyFont="1" applyBorder="1" applyAlignment="1" applyProtection="1">
      <alignment vertical="center"/>
    </xf>
    <xf numFmtId="172" fontId="11" fillId="0" borderId="103" xfId="22" applyNumberFormat="1" applyFont="1" applyBorder="1" applyAlignment="1" applyProtection="1">
      <alignment vertical="center"/>
    </xf>
    <xf numFmtId="0" fontId="11" fillId="0" borderId="65" xfId="22" applyFont="1" applyBorder="1" applyAlignment="1" applyProtection="1">
      <alignment horizontal="left" vertical="top"/>
    </xf>
    <xf numFmtId="0" fontId="11" fillId="0" borderId="78" xfId="22" applyFont="1" applyBorder="1" applyAlignment="1" applyProtection="1">
      <alignment horizontal="left" vertical="top"/>
    </xf>
    <xf numFmtId="0" fontId="11" fillId="0" borderId="77" xfId="22" applyFont="1" applyFill="1" applyBorder="1" applyAlignment="1" applyProtection="1">
      <alignment horizontal="left" vertical="top"/>
    </xf>
    <xf numFmtId="0" fontId="11" fillId="0" borderId="78" xfId="22" applyFont="1" applyFill="1" applyBorder="1" applyAlignment="1" applyProtection="1">
      <alignment horizontal="left" vertical="top"/>
    </xf>
    <xf numFmtId="0" fontId="11" fillId="0" borderId="65" xfId="22" applyFont="1" applyBorder="1" applyAlignment="1" applyProtection="1">
      <alignment horizontal="left"/>
    </xf>
    <xf numFmtId="0" fontId="11" fillId="0" borderId="78" xfId="22" applyFont="1" applyBorder="1" applyAlignment="1" applyProtection="1">
      <alignment horizontal="left"/>
    </xf>
    <xf numFmtId="0" fontId="11" fillId="0" borderId="77" xfId="22" applyFont="1" applyFill="1" applyBorder="1" applyAlignment="1" applyProtection="1">
      <alignment horizontal="left"/>
    </xf>
    <xf numFmtId="172" fontId="11" fillId="0" borderId="65" xfId="22" applyNumberFormat="1" applyFont="1" applyBorder="1" applyAlignment="1" applyProtection="1">
      <alignment horizontal="left"/>
    </xf>
    <xf numFmtId="172" fontId="11" fillId="0" borderId="78" xfId="22" applyNumberFormat="1" applyFont="1" applyBorder="1" applyAlignment="1" applyProtection="1">
      <alignment horizontal="left"/>
    </xf>
    <xf numFmtId="172" fontId="11" fillId="0" borderId="65" xfId="22" applyNumberFormat="1" applyFont="1" applyBorder="1" applyAlignment="1" applyProtection="1">
      <alignment horizontal="left" vertical="top"/>
    </xf>
    <xf numFmtId="172" fontId="11" fillId="0" borderId="78" xfId="22" applyNumberFormat="1" applyFont="1" applyBorder="1" applyAlignment="1" applyProtection="1">
      <alignment horizontal="left" vertical="top"/>
    </xf>
    <xf numFmtId="0" fontId="11" fillId="0" borderId="65" xfId="18" applyFont="1" applyBorder="1" applyAlignment="1" applyProtection="1">
      <alignment horizontal="left" vertical="top"/>
    </xf>
    <xf numFmtId="0" fontId="11" fillId="0" borderId="78" xfId="18" applyFont="1" applyBorder="1" applyAlignment="1" applyProtection="1">
      <alignment horizontal="left" vertical="top"/>
    </xf>
    <xf numFmtId="8" fontId="11" fillId="0" borderId="78" xfId="22" applyNumberFormat="1" applyFont="1" applyBorder="1" applyAlignment="1" applyProtection="1">
      <alignment horizontal="left" vertical="top"/>
    </xf>
    <xf numFmtId="172" fontId="11" fillId="0" borderId="65" xfId="22" applyNumberFormat="1" applyFont="1" applyBorder="1" applyAlignment="1" applyProtection="1">
      <alignment horizontal="left" vertical="center"/>
    </xf>
    <xf numFmtId="172" fontId="11" fillId="0" borderId="78" xfId="22" applyNumberFormat="1" applyFont="1" applyBorder="1" applyAlignment="1" applyProtection="1">
      <alignment horizontal="left" vertical="center"/>
    </xf>
    <xf numFmtId="0" fontId="11" fillId="0" borderId="65" xfId="22" applyFont="1" applyBorder="1" applyAlignment="1" applyProtection="1">
      <alignment horizontal="left" vertical="center"/>
    </xf>
    <xf numFmtId="0" fontId="11" fillId="0" borderId="78" xfId="22" applyFont="1" applyBorder="1" applyAlignment="1" applyProtection="1">
      <alignment horizontal="left" vertical="center"/>
    </xf>
    <xf numFmtId="0" fontId="18" fillId="0" borderId="77" xfId="22" applyFont="1" applyBorder="1" applyAlignment="1" applyProtection="1">
      <alignment horizontal="left" vertical="center"/>
    </xf>
    <xf numFmtId="0" fontId="11" fillId="0" borderId="76" xfId="22" applyFont="1" applyBorder="1" applyAlignment="1" applyProtection="1">
      <alignment vertical="top"/>
    </xf>
    <xf numFmtId="0" fontId="11" fillId="0" borderId="104" xfId="22" applyFont="1" applyBorder="1" applyAlignment="1" applyProtection="1">
      <alignment vertical="top"/>
    </xf>
    <xf numFmtId="0" fontId="11" fillId="0" borderId="63" xfId="22" applyFont="1" applyBorder="1" applyAlignment="1" applyProtection="1">
      <alignment horizontal="center" vertical="center"/>
    </xf>
    <xf numFmtId="0" fontId="11" fillId="0" borderId="75" xfId="22" applyFont="1" applyBorder="1" applyAlignment="1" applyProtection="1">
      <alignment horizontal="center" vertical="center"/>
    </xf>
    <xf numFmtId="0" fontId="11" fillId="0" borderId="76" xfId="22" applyFont="1" applyFill="1" applyBorder="1" applyAlignment="1" applyProtection="1">
      <alignment horizontal="center" vertical="center"/>
    </xf>
    <xf numFmtId="0" fontId="11" fillId="0" borderId="75" xfId="22" applyFont="1" applyFill="1" applyBorder="1" applyAlignment="1" applyProtection="1">
      <alignment horizontal="center" vertical="center"/>
    </xf>
    <xf numFmtId="172" fontId="11" fillId="0" borderId="76" xfId="22" applyNumberFormat="1" applyFont="1" applyBorder="1" applyAlignment="1" applyProtection="1">
      <alignment vertical="top"/>
    </xf>
    <xf numFmtId="0" fontId="11" fillId="0" borderId="76" xfId="22" applyFont="1" applyBorder="1" applyAlignment="1" applyProtection="1"/>
    <xf numFmtId="0" fontId="11" fillId="0" borderId="76" xfId="22" applyFont="1" applyBorder="1" applyAlignment="1" applyProtection="1">
      <alignment horizontal="center" vertical="center"/>
    </xf>
    <xf numFmtId="0" fontId="11" fillId="0" borderId="104" xfId="22" applyFont="1" applyBorder="1" applyAlignment="1" applyProtection="1"/>
    <xf numFmtId="0" fontId="11" fillId="0" borderId="104" xfId="22" applyFont="1" applyBorder="1" applyAlignment="1" applyProtection="1">
      <alignment horizontal="center" vertical="center"/>
    </xf>
    <xf numFmtId="172" fontId="11" fillId="0" borderId="76" xfId="22" applyNumberFormat="1" applyFont="1" applyBorder="1" applyAlignment="1" applyProtection="1"/>
    <xf numFmtId="172" fontId="11" fillId="0" borderId="104" xfId="22" applyNumberFormat="1" applyFont="1" applyBorder="1" applyAlignment="1" applyProtection="1"/>
    <xf numFmtId="172" fontId="11" fillId="0" borderId="63" xfId="22" applyNumberFormat="1" applyFont="1" applyBorder="1" applyAlignment="1" applyProtection="1">
      <alignment horizontal="center" vertical="center"/>
    </xf>
    <xf numFmtId="0" fontId="11" fillId="0" borderId="76" xfId="18" applyFont="1" applyBorder="1" applyAlignment="1" applyProtection="1">
      <alignment vertical="top"/>
    </xf>
    <xf numFmtId="0" fontId="11" fillId="0" borderId="104" xfId="18" applyFont="1" applyBorder="1" applyAlignment="1" applyProtection="1">
      <alignment vertical="top"/>
    </xf>
    <xf numFmtId="172" fontId="11" fillId="0" borderId="104" xfId="22" applyNumberFormat="1" applyFont="1" applyBorder="1" applyAlignment="1" applyProtection="1">
      <alignment vertical="top"/>
    </xf>
    <xf numFmtId="172" fontId="11" fillId="0" borderId="104" xfId="22" applyNumberFormat="1" applyFont="1" applyBorder="1" applyAlignment="1" applyProtection="1">
      <alignment horizontal="center" vertical="center"/>
    </xf>
    <xf numFmtId="3" fontId="11" fillId="2" borderId="104" xfId="22" applyNumberFormat="1" applyFont="1" applyFill="1" applyBorder="1" applyAlignment="1" applyProtection="1">
      <alignment vertical="center"/>
      <protection locked="0"/>
    </xf>
    <xf numFmtId="172" fontId="11" fillId="0" borderId="63" xfId="22" applyNumberFormat="1" applyFont="1" applyFill="1" applyBorder="1" applyAlignment="1" applyProtection="1">
      <alignment horizontal="center" vertical="center"/>
    </xf>
    <xf numFmtId="38" fontId="11" fillId="11" borderId="63" xfId="22" applyNumberFormat="1" applyFont="1" applyFill="1" applyBorder="1" applyAlignment="1" applyProtection="1">
      <alignment vertical="center"/>
      <protection locked="0"/>
    </xf>
    <xf numFmtId="172" fontId="11" fillId="0" borderId="75" xfId="22" applyNumberFormat="1" applyFont="1" applyFill="1" applyBorder="1" applyAlignment="1" applyProtection="1">
      <alignment horizontal="center" vertical="center"/>
    </xf>
    <xf numFmtId="172" fontId="11" fillId="0" borderId="76" xfId="22" applyNumberFormat="1" applyFont="1" applyFill="1" applyBorder="1" applyAlignment="1" applyProtection="1">
      <alignment horizontal="center" vertical="center"/>
    </xf>
    <xf numFmtId="172" fontId="11" fillId="0" borderId="76" xfId="22" applyNumberFormat="1" applyFont="1" applyBorder="1" applyAlignment="1" applyProtection="1">
      <alignment vertical="center"/>
    </xf>
    <xf numFmtId="172" fontId="11" fillId="0" borderId="104" xfId="22" applyNumberFormat="1" applyFont="1" applyBorder="1" applyAlignment="1" applyProtection="1">
      <alignment vertical="center"/>
    </xf>
    <xf numFmtId="3" fontId="11" fillId="2" borderId="63" xfId="22" applyNumberFormat="1" applyFont="1" applyFill="1" applyBorder="1" applyAlignment="1" applyProtection="1">
      <alignment horizontal="right" vertical="center"/>
      <protection locked="0"/>
    </xf>
    <xf numFmtId="3" fontId="11" fillId="2" borderId="75" xfId="22" applyNumberFormat="1" applyFont="1" applyFill="1" applyBorder="1" applyAlignment="1" applyProtection="1">
      <alignment horizontal="right" vertical="center"/>
      <protection locked="0"/>
    </xf>
    <xf numFmtId="3" fontId="11" fillId="11" borderId="75" xfId="22" applyNumberFormat="1" applyFont="1" applyFill="1" applyBorder="1" applyAlignment="1" applyProtection="1">
      <alignment horizontal="right" vertical="center"/>
      <protection locked="0"/>
    </xf>
    <xf numFmtId="3" fontId="11" fillId="2" borderId="104" xfId="22" applyNumberFormat="1" applyFont="1" applyFill="1" applyBorder="1" applyAlignment="1" applyProtection="1">
      <alignment horizontal="right" vertical="center"/>
      <protection locked="0"/>
    </xf>
    <xf numFmtId="3" fontId="11" fillId="0" borderId="63" xfId="22" applyNumberFormat="1" applyFont="1" applyFill="1" applyBorder="1" applyAlignment="1" applyProtection="1">
      <alignment horizontal="right" vertical="center"/>
    </xf>
    <xf numFmtId="0" fontId="11" fillId="0" borderId="76" xfId="22" applyFont="1" applyBorder="1" applyAlignment="1" applyProtection="1">
      <alignment vertical="center"/>
    </xf>
    <xf numFmtId="0" fontId="11" fillId="0" borderId="104" xfId="22" applyFont="1" applyBorder="1" applyAlignment="1" applyProtection="1">
      <alignment vertical="center"/>
    </xf>
    <xf numFmtId="0" fontId="0" fillId="0" borderId="104" xfId="0" applyBorder="1" applyAlignment="1" applyProtection="1">
      <alignment horizontal="center" vertical="center"/>
    </xf>
    <xf numFmtId="3" fontId="11" fillId="2" borderId="76" xfId="22" applyNumberFormat="1" applyFont="1" applyFill="1" applyBorder="1" applyAlignment="1" applyProtection="1">
      <alignment horizontal="right" vertical="center"/>
      <protection locked="0"/>
    </xf>
    <xf numFmtId="3" fontId="11" fillId="0" borderId="63" xfId="22" applyNumberFormat="1" applyFont="1" applyFill="1" applyBorder="1" applyAlignment="1" applyProtection="1">
      <alignment vertical="center"/>
    </xf>
    <xf numFmtId="3" fontId="11" fillId="0" borderId="76" xfId="22" applyNumberFormat="1" applyFont="1" applyFill="1" applyBorder="1" applyAlignment="1" applyProtection="1">
      <alignment horizontal="left" vertical="center"/>
    </xf>
    <xf numFmtId="3" fontId="11" fillId="0" borderId="76" xfId="22" applyNumberFormat="1" applyFont="1" applyFill="1" applyBorder="1" applyAlignment="1" applyProtection="1">
      <alignment horizontal="right" vertical="center"/>
    </xf>
    <xf numFmtId="0" fontId="15" fillId="3" borderId="77" xfId="27" applyFont="1" applyFill="1" applyBorder="1" applyAlignment="1" applyProtection="1">
      <alignment horizontal="left"/>
    </xf>
    <xf numFmtId="0" fontId="11" fillId="0" borderId="65" xfId="27" applyFont="1" applyBorder="1" applyAlignment="1" applyProtection="1">
      <alignment horizontal="left"/>
    </xf>
    <xf numFmtId="0" fontId="11" fillId="0" borderId="78" xfId="27" applyFont="1" applyBorder="1" applyAlignment="1" applyProtection="1">
      <alignment horizontal="left"/>
    </xf>
    <xf numFmtId="0" fontId="11" fillId="0" borderId="76" xfId="27" applyFont="1" applyBorder="1" applyAlignment="1" applyProtection="1">
      <alignment horizontal="center"/>
    </xf>
    <xf numFmtId="0" fontId="11" fillId="0" borderId="63" xfId="27" applyFont="1" applyBorder="1" applyAlignment="1" applyProtection="1">
      <alignment horizontal="center"/>
    </xf>
    <xf numFmtId="0" fontId="11" fillId="0" borderId="75" xfId="27" applyFont="1" applyBorder="1" applyAlignment="1" applyProtection="1">
      <alignment horizontal="center"/>
    </xf>
    <xf numFmtId="3" fontId="11" fillId="0" borderId="63" xfId="27" applyNumberFormat="1" applyFont="1" applyFill="1" applyBorder="1" applyAlignment="1" applyProtection="1">
      <alignment horizontal="right"/>
    </xf>
    <xf numFmtId="169" fontId="44" fillId="8" borderId="0" xfId="0" applyNumberFormat="1" applyFont="1" applyFill="1" applyAlignment="1" applyProtection="1">
      <alignment horizontal="left"/>
    </xf>
    <xf numFmtId="172" fontId="11" fillId="0" borderId="103" xfId="20" applyNumberFormat="1" applyFont="1" applyBorder="1" applyAlignment="1" applyProtection="1">
      <alignment vertical="center"/>
    </xf>
    <xf numFmtId="0" fontId="11" fillId="0" borderId="77" xfId="20" applyFont="1" applyBorder="1" applyAlignment="1" applyProtection="1">
      <alignment vertical="center"/>
    </xf>
    <xf numFmtId="0" fontId="11" fillId="0" borderId="103" xfId="20" applyFont="1" applyBorder="1" applyAlignment="1" applyProtection="1">
      <alignment vertical="center"/>
    </xf>
    <xf numFmtId="0" fontId="11" fillId="0" borderId="78" xfId="20" applyFont="1" applyBorder="1" applyAlignment="1" applyProtection="1">
      <alignment horizontal="left" vertical="center"/>
    </xf>
    <xf numFmtId="0" fontId="11" fillId="0" borderId="103" xfId="20" applyFont="1" applyFill="1" applyBorder="1" applyAlignment="1" applyProtection="1">
      <alignment horizontal="left" vertical="center"/>
    </xf>
    <xf numFmtId="0" fontId="11" fillId="0" borderId="103" xfId="20" applyFont="1" applyBorder="1" applyAlignment="1" applyProtection="1">
      <alignment horizontal="left" vertical="center" indent="3"/>
    </xf>
    <xf numFmtId="0" fontId="11" fillId="0" borderId="77" xfId="20" applyFont="1" applyBorder="1" applyAlignment="1" applyProtection="1">
      <alignment horizontal="left" vertical="center" indent="3"/>
    </xf>
    <xf numFmtId="0" fontId="11" fillId="0" borderId="78" xfId="20" applyFont="1" applyFill="1" applyBorder="1" applyAlignment="1" applyProtection="1">
      <alignment horizontal="left" vertical="center"/>
    </xf>
    <xf numFmtId="172" fontId="11" fillId="0" borderId="78" xfId="20" applyNumberFormat="1" applyFont="1" applyBorder="1" applyAlignment="1" applyProtection="1">
      <alignment horizontal="left" vertical="center"/>
    </xf>
    <xf numFmtId="172" fontId="11" fillId="0" borderId="65" xfId="20" applyNumberFormat="1" applyFont="1" applyBorder="1" applyAlignment="1" applyProtection="1">
      <alignment horizontal="left" vertical="center"/>
    </xf>
    <xf numFmtId="0" fontId="11" fillId="0" borderId="65" xfId="20" applyFont="1" applyBorder="1" applyAlignment="1" applyProtection="1">
      <alignment horizontal="left" vertical="center"/>
    </xf>
    <xf numFmtId="172" fontId="11" fillId="0" borderId="76" xfId="20" applyNumberFormat="1" applyFont="1" applyBorder="1" applyAlignment="1" applyProtection="1">
      <alignment vertical="center"/>
    </xf>
    <xf numFmtId="172" fontId="11" fillId="0" borderId="104" xfId="20" applyNumberFormat="1" applyFont="1" applyBorder="1" applyAlignment="1" applyProtection="1">
      <alignment vertical="center"/>
    </xf>
    <xf numFmtId="0" fontId="11" fillId="0" borderId="104" xfId="20" applyFont="1" applyBorder="1" applyAlignment="1" applyProtection="1">
      <alignment horizontal="center" vertical="center"/>
    </xf>
    <xf numFmtId="3" fontId="11" fillId="2" borderId="104" xfId="20" applyNumberFormat="1" applyFont="1" applyFill="1" applyBorder="1" applyAlignment="1" applyProtection="1">
      <alignment vertical="center"/>
      <protection locked="0"/>
    </xf>
    <xf numFmtId="0" fontId="11" fillId="0" borderId="76" xfId="20" applyFont="1" applyBorder="1" applyAlignment="1" applyProtection="1">
      <alignment horizontal="center" vertical="center"/>
    </xf>
    <xf numFmtId="3" fontId="11" fillId="2" borderId="76" xfId="20" applyNumberFormat="1" applyFont="1" applyFill="1" applyBorder="1" applyAlignment="1" applyProtection="1">
      <alignment vertical="center"/>
      <protection locked="0"/>
    </xf>
    <xf numFmtId="0" fontId="11" fillId="0" borderId="76" xfId="20" applyFont="1" applyBorder="1" applyAlignment="1" applyProtection="1">
      <alignment vertical="center"/>
    </xf>
    <xf numFmtId="0" fontId="11" fillId="0" borderId="75" xfId="20" applyFont="1" applyBorder="1" applyAlignment="1" applyProtection="1">
      <alignment horizontal="center" vertical="center"/>
    </xf>
    <xf numFmtId="0" fontId="11" fillId="0" borderId="104" xfId="20" applyFont="1" applyFill="1" applyBorder="1" applyAlignment="1" applyProtection="1">
      <alignment horizontal="center" vertical="center"/>
    </xf>
    <xf numFmtId="0" fontId="11" fillId="0" borderId="104" xfId="20" applyFont="1" applyBorder="1" applyAlignment="1" applyProtection="1">
      <alignment vertical="center"/>
    </xf>
    <xf numFmtId="0" fontId="11" fillId="0" borderId="75" xfId="20" applyFont="1" applyFill="1" applyBorder="1" applyAlignment="1" applyProtection="1">
      <alignment horizontal="center" vertical="center"/>
    </xf>
    <xf numFmtId="172" fontId="11" fillId="0" borderId="104" xfId="20" applyNumberFormat="1" applyFont="1" applyBorder="1" applyAlignment="1" applyProtection="1">
      <alignment horizontal="center" vertical="center"/>
    </xf>
    <xf numFmtId="172" fontId="11" fillId="0" borderId="75" xfId="20" applyNumberFormat="1" applyFont="1" applyBorder="1" applyAlignment="1" applyProtection="1">
      <alignment horizontal="center" vertical="center"/>
    </xf>
    <xf numFmtId="172" fontId="11" fillId="0" borderId="63" xfId="20" applyNumberFormat="1" applyFont="1" applyBorder="1" applyAlignment="1" applyProtection="1">
      <alignment horizontal="center" vertical="center"/>
    </xf>
    <xf numFmtId="3" fontId="11" fillId="2" borderId="63" xfId="20" applyNumberFormat="1" applyFont="1" applyFill="1" applyBorder="1" applyAlignment="1" applyProtection="1">
      <alignment vertical="center"/>
      <protection locked="0"/>
    </xf>
    <xf numFmtId="172" fontId="11" fillId="0" borderId="76" xfId="20" applyNumberFormat="1" applyFont="1" applyBorder="1" applyAlignment="1" applyProtection="1">
      <alignment horizontal="center" vertical="center"/>
    </xf>
    <xf numFmtId="0" fontId="11" fillId="0" borderId="63" xfId="20" applyFont="1" applyBorder="1" applyAlignment="1" applyProtection="1">
      <alignment horizontal="center" vertical="center"/>
    </xf>
    <xf numFmtId="172" fontId="11" fillId="0" borderId="104" xfId="20" applyNumberFormat="1" applyFont="1" applyFill="1" applyBorder="1" applyAlignment="1" applyProtection="1">
      <alignment horizontal="center" vertical="center"/>
    </xf>
    <xf numFmtId="3" fontId="11" fillId="11" borderId="63" xfId="20" applyNumberFormat="1" applyFont="1" applyFill="1" applyBorder="1" applyAlignment="1" applyProtection="1">
      <alignment vertical="center"/>
      <protection locked="0"/>
    </xf>
    <xf numFmtId="172" fontId="11" fillId="0" borderId="76" xfId="20" applyNumberFormat="1" applyFont="1" applyFill="1" applyBorder="1" applyAlignment="1" applyProtection="1">
      <alignment horizontal="center" vertical="center"/>
    </xf>
    <xf numFmtId="172" fontId="11" fillId="0" borderId="75" xfId="20" applyNumberFormat="1" applyFont="1" applyFill="1" applyBorder="1" applyAlignment="1" applyProtection="1">
      <alignment horizontal="center" vertical="center"/>
    </xf>
    <xf numFmtId="3" fontId="11" fillId="11" borderId="63" xfId="20" applyNumberFormat="1" applyFont="1" applyFill="1" applyBorder="1" applyAlignment="1" applyProtection="1">
      <alignment horizontal="right" vertical="center"/>
      <protection locked="0"/>
    </xf>
    <xf numFmtId="3" fontId="11" fillId="0" borderId="63" xfId="20" applyNumberFormat="1" applyFont="1" applyFill="1" applyBorder="1" applyAlignment="1" applyProtection="1">
      <alignment vertical="center"/>
    </xf>
    <xf numFmtId="3" fontId="11" fillId="0" borderId="76" xfId="20" applyNumberFormat="1" applyFont="1" applyFill="1" applyBorder="1" applyAlignment="1" applyProtection="1">
      <alignment vertical="center"/>
    </xf>
    <xf numFmtId="0" fontId="11" fillId="0" borderId="77" xfId="19" applyFont="1" applyBorder="1" applyAlignment="1" applyProtection="1">
      <alignment vertical="center"/>
    </xf>
    <xf numFmtId="0" fontId="11" fillId="0" borderId="103" xfId="19" applyFont="1" applyBorder="1" applyAlignment="1" applyProtection="1">
      <alignment vertical="center"/>
    </xf>
    <xf numFmtId="172" fontId="11" fillId="0" borderId="103" xfId="19" applyNumberFormat="1" applyFont="1" applyBorder="1" applyAlignment="1" applyProtection="1">
      <alignment vertical="center"/>
    </xf>
    <xf numFmtId="0" fontId="11" fillId="0" borderId="65" xfId="19" applyFont="1" applyBorder="1" applyAlignment="1" applyProtection="1">
      <alignment horizontal="left" vertical="center"/>
    </xf>
    <xf numFmtId="0" fontId="11" fillId="0" borderId="78" xfId="19" applyFont="1" applyBorder="1" applyAlignment="1" applyProtection="1">
      <alignment horizontal="left" vertical="center"/>
    </xf>
    <xf numFmtId="0" fontId="11" fillId="0" borderId="103" xfId="19" applyFont="1" applyFill="1" applyBorder="1" applyAlignment="1" applyProtection="1">
      <alignment horizontal="left" vertical="center"/>
    </xf>
    <xf numFmtId="0" fontId="11" fillId="0" borderId="78" xfId="19" applyFont="1" applyFill="1" applyBorder="1" applyAlignment="1" applyProtection="1">
      <alignment horizontal="left" vertical="center"/>
    </xf>
    <xf numFmtId="0" fontId="11" fillId="0" borderId="65" xfId="19" applyFont="1" applyFill="1" applyBorder="1" applyAlignment="1" applyProtection="1">
      <alignment horizontal="left" vertical="center"/>
    </xf>
    <xf numFmtId="172" fontId="11" fillId="0" borderId="65" xfId="19" applyNumberFormat="1" applyFont="1" applyBorder="1" applyAlignment="1" applyProtection="1">
      <alignment horizontal="left" vertical="center"/>
    </xf>
    <xf numFmtId="172" fontId="11" fillId="0" borderId="78" xfId="19" applyNumberFormat="1" applyFont="1" applyBorder="1" applyAlignment="1" applyProtection="1">
      <alignment horizontal="left" vertical="center"/>
    </xf>
    <xf numFmtId="172" fontId="11" fillId="0" borderId="76" xfId="19" applyNumberFormat="1" applyFont="1" applyBorder="1" applyAlignment="1" applyProtection="1">
      <alignment vertical="center"/>
    </xf>
    <xf numFmtId="172" fontId="11" fillId="0" borderId="104" xfId="19" applyNumberFormat="1" applyFont="1" applyBorder="1" applyAlignment="1" applyProtection="1">
      <alignment vertical="center"/>
    </xf>
    <xf numFmtId="0" fontId="11" fillId="0" borderId="63" xfId="19" applyFont="1" applyBorder="1" applyAlignment="1" applyProtection="1">
      <alignment horizontal="center" vertical="center"/>
    </xf>
    <xf numFmtId="3" fontId="11" fillId="2" borderId="63" xfId="19" applyNumberFormat="1" applyFont="1" applyFill="1" applyBorder="1" applyAlignment="1" applyProtection="1">
      <alignment vertical="center"/>
      <protection locked="0"/>
    </xf>
    <xf numFmtId="0" fontId="11" fillId="0" borderId="75" xfId="19" applyFont="1" applyBorder="1" applyAlignment="1" applyProtection="1">
      <alignment horizontal="center" vertical="center"/>
    </xf>
    <xf numFmtId="0" fontId="11" fillId="0" borderId="76" xfId="19" applyFont="1" applyBorder="1" applyAlignment="1" applyProtection="1">
      <alignment vertical="center"/>
    </xf>
    <xf numFmtId="0" fontId="11" fillId="0" borderId="104" xfId="19" applyFont="1" applyFill="1" applyBorder="1" applyAlignment="1" applyProtection="1">
      <alignment horizontal="center" vertical="center"/>
    </xf>
    <xf numFmtId="3" fontId="11" fillId="2" borderId="104" xfId="19" applyNumberFormat="1" applyFont="1" applyFill="1" applyBorder="1" applyAlignment="1" applyProtection="1">
      <alignment vertical="center"/>
      <protection locked="0"/>
    </xf>
    <xf numFmtId="0" fontId="11" fillId="0" borderId="104" xfId="19" applyFont="1" applyBorder="1" applyAlignment="1" applyProtection="1">
      <alignment vertical="center"/>
    </xf>
    <xf numFmtId="0" fontId="11" fillId="0" borderId="75" xfId="19" applyFont="1" applyFill="1" applyBorder="1" applyAlignment="1" applyProtection="1">
      <alignment horizontal="center" vertical="center"/>
    </xf>
    <xf numFmtId="3" fontId="11" fillId="0" borderId="104" xfId="19" applyNumberFormat="1" applyFont="1" applyBorder="1" applyAlignment="1" applyProtection="1">
      <alignment vertical="center"/>
    </xf>
    <xf numFmtId="0" fontId="11" fillId="0" borderId="63" xfId="19" applyFont="1" applyFill="1" applyBorder="1" applyAlignment="1" applyProtection="1">
      <alignment horizontal="center" vertical="center"/>
    </xf>
    <xf numFmtId="172" fontId="11" fillId="0" borderId="63" xfId="19" applyNumberFormat="1" applyFont="1" applyBorder="1" applyAlignment="1" applyProtection="1">
      <alignment horizontal="center" vertical="center"/>
    </xf>
    <xf numFmtId="172" fontId="11" fillId="0" borderId="75" xfId="19" applyNumberFormat="1" applyFont="1" applyBorder="1" applyAlignment="1" applyProtection="1">
      <alignment horizontal="center" vertical="center"/>
    </xf>
    <xf numFmtId="172" fontId="11" fillId="0" borderId="76" xfId="19" applyNumberFormat="1" applyFont="1" applyBorder="1" applyAlignment="1" applyProtection="1">
      <alignment horizontal="center" vertical="center"/>
    </xf>
    <xf numFmtId="3" fontId="11" fillId="2" borderId="76" xfId="19" applyNumberFormat="1" applyFont="1" applyFill="1" applyBorder="1" applyAlignment="1" applyProtection="1">
      <alignment vertical="center"/>
      <protection locked="0"/>
    </xf>
    <xf numFmtId="0" fontId="11" fillId="0" borderId="76" xfId="19" applyFont="1" applyBorder="1" applyAlignment="1" applyProtection="1">
      <alignment horizontal="center" vertical="center"/>
    </xf>
    <xf numFmtId="38" fontId="11" fillId="11" borderId="63" xfId="33" applyNumberFormat="1" applyFont="1" applyFill="1" applyBorder="1" applyAlignment="1" applyProtection="1">
      <alignment horizontal="right" vertical="center"/>
      <protection locked="0"/>
    </xf>
    <xf numFmtId="37" fontId="11" fillId="11" borderId="104" xfId="33" applyNumberFormat="1" applyFont="1" applyFill="1" applyBorder="1" applyAlignment="1" applyProtection="1">
      <alignment horizontal="right" vertical="center"/>
      <protection locked="0"/>
    </xf>
    <xf numFmtId="37" fontId="11" fillId="11" borderId="63" xfId="33" applyNumberFormat="1" applyFont="1" applyFill="1" applyBorder="1" applyAlignment="1" applyProtection="1">
      <alignment horizontal="right" vertical="center"/>
      <protection locked="0"/>
    </xf>
    <xf numFmtId="37" fontId="11" fillId="11" borderId="75" xfId="33" applyNumberFormat="1" applyFont="1" applyFill="1" applyBorder="1" applyAlignment="1" applyProtection="1">
      <alignment horizontal="right" vertical="center"/>
      <protection locked="0"/>
    </xf>
    <xf numFmtId="38" fontId="11" fillId="2" borderId="63" xfId="19" applyNumberFormat="1" applyFont="1" applyFill="1" applyBorder="1" applyAlignment="1" applyProtection="1">
      <alignment horizontal="right" vertical="center"/>
      <protection locked="0"/>
    </xf>
    <xf numFmtId="3" fontId="11" fillId="11" borderId="75" xfId="19" applyNumberFormat="1" applyFont="1" applyFill="1" applyBorder="1" applyAlignment="1" applyProtection="1">
      <alignment horizontal="right" vertical="center"/>
      <protection locked="0"/>
    </xf>
    <xf numFmtId="3" fontId="0" fillId="2" borderId="63" xfId="0" applyNumberFormat="1" applyFill="1" applyBorder="1" applyAlignment="1" applyProtection="1">
      <alignment vertical="center"/>
      <protection locked="0"/>
    </xf>
    <xf numFmtId="172" fontId="11" fillId="0" borderId="103" xfId="18" applyNumberFormat="1" applyFont="1" applyBorder="1" applyAlignment="1" applyProtection="1">
      <alignment vertical="center"/>
    </xf>
    <xf numFmtId="0" fontId="11" fillId="0" borderId="77" xfId="18" applyFont="1" applyFill="1" applyBorder="1" applyAlignment="1" applyProtection="1">
      <alignment horizontal="left" vertical="center"/>
    </xf>
    <xf numFmtId="172" fontId="11" fillId="0" borderId="65" xfId="18" applyNumberFormat="1" applyFont="1" applyBorder="1" applyAlignment="1" applyProtection="1">
      <alignment horizontal="left" vertical="center"/>
    </xf>
    <xf numFmtId="172" fontId="11" fillId="0" borderId="78" xfId="18" applyNumberFormat="1" applyFont="1" applyBorder="1" applyAlignment="1" applyProtection="1">
      <alignment horizontal="left" vertical="center"/>
    </xf>
    <xf numFmtId="172" fontId="11" fillId="0" borderId="76" xfId="18" applyNumberFormat="1" applyFont="1" applyBorder="1" applyAlignment="1" applyProtection="1">
      <alignment vertical="center"/>
    </xf>
    <xf numFmtId="172" fontId="11" fillId="0" borderId="104" xfId="18" applyNumberFormat="1" applyFont="1" applyBorder="1" applyAlignment="1" applyProtection="1">
      <alignment vertical="center"/>
    </xf>
    <xf numFmtId="0" fontId="11" fillId="0" borderId="63" xfId="18" applyFont="1" applyBorder="1" applyAlignment="1" applyProtection="1">
      <alignment horizontal="center" vertical="center"/>
    </xf>
    <xf numFmtId="0" fontId="11" fillId="0" borderId="75" xfId="18" applyFont="1" applyBorder="1" applyAlignment="1" applyProtection="1">
      <alignment horizontal="center" vertical="center"/>
    </xf>
    <xf numFmtId="0" fontId="11" fillId="0" borderId="76" xfId="18" applyFont="1" applyBorder="1" applyAlignment="1" applyProtection="1">
      <alignment horizontal="center" vertical="center"/>
    </xf>
    <xf numFmtId="0" fontId="11" fillId="0" borderId="104" xfId="18" applyFont="1" applyBorder="1" applyAlignment="1" applyProtection="1">
      <alignment horizontal="center" vertical="center"/>
    </xf>
    <xf numFmtId="3" fontId="11" fillId="2" borderId="104" xfId="18" applyNumberFormat="1" applyFont="1" applyFill="1" applyBorder="1" applyAlignment="1" applyProtection="1">
      <alignment vertical="center"/>
      <protection locked="0"/>
    </xf>
    <xf numFmtId="172" fontId="11" fillId="0" borderId="76" xfId="18" applyNumberFormat="1" applyFont="1" applyBorder="1" applyAlignment="1" applyProtection="1">
      <alignment horizontal="center" vertical="center"/>
    </xf>
    <xf numFmtId="172" fontId="11" fillId="0" borderId="63" xfId="18" applyNumberFormat="1" applyFont="1" applyBorder="1" applyAlignment="1" applyProtection="1">
      <alignment horizontal="center" vertical="center"/>
    </xf>
    <xf numFmtId="172" fontId="11" fillId="0" borderId="75" xfId="18" applyNumberFormat="1" applyFont="1" applyBorder="1" applyAlignment="1" applyProtection="1">
      <alignment horizontal="center" vertical="center"/>
    </xf>
    <xf numFmtId="3" fontId="11" fillId="11" borderId="75" xfId="18" applyNumberFormat="1" applyFont="1" applyFill="1" applyBorder="1" applyAlignment="1" applyProtection="1">
      <alignment horizontal="right" vertical="center"/>
      <protection locked="0"/>
    </xf>
    <xf numFmtId="172" fontId="77" fillId="0" borderId="63" xfId="18" applyNumberFormat="1" applyFont="1" applyBorder="1" applyAlignment="1" applyProtection="1">
      <alignment horizontal="center" vertical="center"/>
    </xf>
    <xf numFmtId="3" fontId="11" fillId="0" borderId="76" xfId="18" applyNumberFormat="1" applyFont="1" applyFill="1" applyBorder="1" applyAlignment="1" applyProtection="1">
      <alignment vertical="center"/>
    </xf>
    <xf numFmtId="3" fontId="11" fillId="0" borderId="76" xfId="17" applyNumberFormat="1" applyFont="1" applyFill="1" applyBorder="1" applyAlignment="1" applyProtection="1">
      <alignment vertical="center"/>
    </xf>
    <xf numFmtId="0" fontId="11" fillId="0" borderId="77" xfId="17" applyFont="1" applyBorder="1" applyAlignment="1" applyProtection="1">
      <alignment vertical="top"/>
    </xf>
    <xf numFmtId="0" fontId="11" fillId="0" borderId="103" xfId="17" applyFont="1" applyBorder="1" applyAlignment="1" applyProtection="1">
      <alignment vertical="top"/>
    </xf>
    <xf numFmtId="172" fontId="11" fillId="0" borderId="103" xfId="17" applyNumberFormat="1" applyFont="1" applyBorder="1" applyAlignment="1" applyProtection="1">
      <alignment vertical="center"/>
    </xf>
    <xf numFmtId="172" fontId="11" fillId="0" borderId="103" xfId="17" applyNumberFormat="1" applyFont="1" applyBorder="1" applyAlignment="1" applyProtection="1">
      <alignment vertical="top"/>
    </xf>
    <xf numFmtId="3" fontId="11" fillId="0" borderId="76" xfId="17" applyNumberFormat="1" applyFont="1" applyFill="1" applyBorder="1" applyAlignment="1" applyProtection="1">
      <alignment horizontal="center" vertical="center"/>
    </xf>
    <xf numFmtId="3" fontId="11" fillId="0" borderId="104" xfId="17" applyNumberFormat="1" applyFont="1" applyFill="1" applyBorder="1" applyAlignment="1" applyProtection="1">
      <alignment horizontal="center" vertical="center"/>
    </xf>
    <xf numFmtId="172" fontId="11" fillId="0" borderId="65" xfId="17" applyNumberFormat="1" applyFont="1" applyBorder="1" applyAlignment="1" applyProtection="1">
      <alignment horizontal="left" vertical="center"/>
    </xf>
    <xf numFmtId="172" fontId="11" fillId="0" borderId="78" xfId="17" applyNumberFormat="1" applyFont="1" applyBorder="1" applyAlignment="1" applyProtection="1">
      <alignment horizontal="left" vertical="center"/>
    </xf>
    <xf numFmtId="0" fontId="11" fillId="0" borderId="65" xfId="17" applyFont="1" applyBorder="1" applyAlignment="1" applyProtection="1">
      <alignment horizontal="left" vertical="top"/>
    </xf>
    <xf numFmtId="0" fontId="11" fillId="0" borderId="78" xfId="17" applyFont="1" applyBorder="1" applyAlignment="1" applyProtection="1">
      <alignment horizontal="left" vertical="top"/>
    </xf>
    <xf numFmtId="0" fontId="11" fillId="0" borderId="77" xfId="17" applyFont="1" applyFill="1" applyBorder="1" applyAlignment="1" applyProtection="1">
      <alignment horizontal="left" vertical="top"/>
    </xf>
    <xf numFmtId="172" fontId="11" fillId="0" borderId="76" xfId="17" applyNumberFormat="1" applyFont="1" applyBorder="1" applyAlignment="1" applyProtection="1">
      <alignment vertical="center"/>
    </xf>
    <xf numFmtId="172" fontId="11" fillId="0" borderId="104" xfId="17" applyNumberFormat="1" applyFont="1" applyBorder="1" applyAlignment="1" applyProtection="1">
      <alignment vertical="center"/>
    </xf>
    <xf numFmtId="172" fontId="11" fillId="0" borderId="63" xfId="17" applyNumberFormat="1" applyFont="1" applyBorder="1" applyAlignment="1" applyProtection="1">
      <alignment horizontal="center" vertical="center"/>
    </xf>
    <xf numFmtId="3" fontId="11" fillId="11" borderId="63" xfId="17" applyNumberFormat="1" applyFont="1" applyFill="1" applyBorder="1" applyAlignment="1" applyProtection="1">
      <alignment horizontal="right" vertical="center"/>
      <protection locked="0"/>
    </xf>
    <xf numFmtId="3" fontId="11" fillId="2" borderId="63" xfId="17" applyNumberFormat="1" applyFont="1" applyFill="1" applyBorder="1" applyAlignment="1" applyProtection="1">
      <alignment vertical="center"/>
      <protection locked="0"/>
    </xf>
    <xf numFmtId="172" fontId="11" fillId="0" borderId="76" xfId="17" applyNumberFormat="1" applyFont="1" applyBorder="1" applyAlignment="1" applyProtection="1">
      <alignment horizontal="center" vertical="center"/>
    </xf>
    <xf numFmtId="3" fontId="11" fillId="2" borderId="76" xfId="17" applyNumberFormat="1" applyFont="1" applyFill="1" applyBorder="1" applyAlignment="1" applyProtection="1">
      <alignment vertical="center"/>
      <protection locked="0"/>
    </xf>
    <xf numFmtId="172" fontId="11" fillId="0" borderId="75" xfId="17" applyNumberFormat="1" applyFont="1" applyBorder="1" applyAlignment="1" applyProtection="1">
      <alignment horizontal="center" vertical="center"/>
    </xf>
    <xf numFmtId="172" fontId="11" fillId="0" borderId="104" xfId="17" applyNumberFormat="1" applyFont="1" applyBorder="1" applyAlignment="1" applyProtection="1">
      <alignment vertical="top"/>
    </xf>
    <xf numFmtId="0" fontId="11" fillId="0" borderId="104" xfId="17" applyFont="1" applyBorder="1" applyAlignment="1" applyProtection="1">
      <alignment vertical="top"/>
    </xf>
    <xf numFmtId="0" fontId="11" fillId="0" borderId="63" xfId="17" applyFont="1" applyBorder="1" applyAlignment="1" applyProtection="1">
      <alignment horizontal="center" vertical="center"/>
    </xf>
    <xf numFmtId="0" fontId="11" fillId="0" borderId="75" xfId="17" applyFont="1" applyBorder="1" applyAlignment="1" applyProtection="1">
      <alignment horizontal="center" vertical="center"/>
    </xf>
    <xf numFmtId="0" fontId="11" fillId="0" borderId="76" xfId="17" applyFont="1" applyBorder="1" applyAlignment="1" applyProtection="1">
      <alignment vertical="top"/>
    </xf>
    <xf numFmtId="0" fontId="11" fillId="0" borderId="76" xfId="17" applyFont="1" applyBorder="1" applyAlignment="1" applyProtection="1">
      <alignment horizontal="center" vertical="center"/>
    </xf>
    <xf numFmtId="0" fontId="11" fillId="0" borderId="76" xfId="17" applyFont="1" applyFill="1" applyBorder="1" applyAlignment="1" applyProtection="1">
      <alignment horizontal="center" vertical="center"/>
    </xf>
    <xf numFmtId="0" fontId="11" fillId="0" borderId="104" xfId="17" applyFont="1" applyBorder="1" applyAlignment="1" applyProtection="1">
      <alignment horizontal="center" vertical="center"/>
    </xf>
    <xf numFmtId="3" fontId="11" fillId="2" borderId="104" xfId="17" applyNumberFormat="1" applyFont="1" applyFill="1" applyBorder="1" applyAlignment="1" applyProtection="1">
      <alignment vertical="center"/>
      <protection locked="0"/>
    </xf>
    <xf numFmtId="0" fontId="11" fillId="0" borderId="63" xfId="17" applyFont="1" applyFill="1" applyBorder="1" applyAlignment="1" applyProtection="1">
      <alignment horizontal="center" vertical="center"/>
    </xf>
    <xf numFmtId="3" fontId="11" fillId="11" borderId="63" xfId="17" applyNumberFormat="1" applyFont="1" applyFill="1" applyBorder="1" applyAlignment="1" applyProtection="1">
      <alignment vertical="center"/>
      <protection locked="0"/>
    </xf>
    <xf numFmtId="0" fontId="11" fillId="0" borderId="104" xfId="17" applyFont="1" applyFill="1" applyBorder="1" applyAlignment="1" applyProtection="1">
      <alignment horizontal="center" vertical="center"/>
    </xf>
    <xf numFmtId="0" fontId="11" fillId="0" borderId="75" xfId="17" applyFont="1" applyFill="1" applyBorder="1" applyAlignment="1" applyProtection="1">
      <alignment horizontal="center" vertical="center"/>
    </xf>
    <xf numFmtId="1" fontId="18" fillId="0" borderId="77" xfId="0" applyNumberFormat="1" applyFont="1" applyBorder="1" applyAlignment="1" applyProtection="1">
      <alignment horizontal="left" vertical="center"/>
    </xf>
    <xf numFmtId="1" fontId="18" fillId="0" borderId="103" xfId="0" applyNumberFormat="1" applyFont="1" applyBorder="1" applyAlignment="1" applyProtection="1">
      <alignment horizontal="left" vertical="center"/>
    </xf>
    <xf numFmtId="1" fontId="11" fillId="0" borderId="76" xfId="40" applyNumberFormat="1" applyFont="1" applyBorder="1" applyAlignment="1" applyProtection="1">
      <alignment horizontal="center" vertical="center"/>
    </xf>
    <xf numFmtId="1" fontId="11" fillId="0" borderId="63" xfId="40" applyNumberFormat="1" applyFont="1" applyBorder="1" applyAlignment="1" applyProtection="1">
      <alignment horizontal="center" vertical="center"/>
    </xf>
    <xf numFmtId="3" fontId="0" fillId="0" borderId="58" xfId="0" applyNumberFormat="1" applyBorder="1" applyAlignment="1" applyProtection="1">
      <alignment horizontal="right" vertical="center"/>
    </xf>
    <xf numFmtId="0" fontId="11" fillId="0" borderId="77" xfId="16" applyFont="1" applyBorder="1" applyAlignment="1" applyProtection="1">
      <alignment vertical="center"/>
    </xf>
    <xf numFmtId="0" fontId="11" fillId="0" borderId="103" xfId="16" applyFont="1" applyBorder="1" applyAlignment="1" applyProtection="1">
      <alignment vertical="center"/>
    </xf>
    <xf numFmtId="172" fontId="11" fillId="0" borderId="103" xfId="16" applyNumberFormat="1" applyFont="1" applyBorder="1" applyAlignment="1" applyProtection="1">
      <alignment vertical="center"/>
    </xf>
    <xf numFmtId="0" fontId="11" fillId="0" borderId="65" xfId="16" applyFont="1" applyBorder="1" applyAlignment="1" applyProtection="1">
      <alignment horizontal="left" vertical="center"/>
    </xf>
    <xf numFmtId="0" fontId="11" fillId="0" borderId="78" xfId="16" applyFont="1" applyBorder="1" applyAlignment="1" applyProtection="1">
      <alignment horizontal="left" vertical="center"/>
    </xf>
    <xf numFmtId="172" fontId="11" fillId="0" borderId="65" xfId="16" applyNumberFormat="1" applyFont="1" applyBorder="1" applyAlignment="1" applyProtection="1">
      <alignment horizontal="left" vertical="center"/>
    </xf>
    <xf numFmtId="172" fontId="11" fillId="0" borderId="65" xfId="16" applyNumberFormat="1" applyFont="1" applyBorder="1" applyAlignment="1" applyProtection="1">
      <alignment horizontal="left" vertical="center" indent="2"/>
    </xf>
    <xf numFmtId="172" fontId="11" fillId="0" borderId="78" xfId="16" applyNumberFormat="1" applyFont="1" applyBorder="1" applyAlignment="1" applyProtection="1">
      <alignment horizontal="left" vertical="center" indent="2"/>
    </xf>
    <xf numFmtId="172" fontId="11" fillId="0" borderId="77" xfId="16" applyNumberFormat="1" applyFont="1" applyBorder="1" applyAlignment="1" applyProtection="1">
      <alignment horizontal="left" vertical="center" indent="2"/>
    </xf>
    <xf numFmtId="0" fontId="0" fillId="0" borderId="78" xfId="0" applyBorder="1" applyAlignment="1" applyProtection="1">
      <alignment vertical="center"/>
    </xf>
    <xf numFmtId="172" fontId="11" fillId="0" borderId="76" xfId="16" applyNumberFormat="1" applyFont="1" applyBorder="1" applyAlignment="1" applyProtection="1">
      <alignment vertical="center"/>
    </xf>
    <xf numFmtId="172" fontId="11" fillId="0" borderId="104" xfId="16" applyNumberFormat="1" applyFont="1" applyBorder="1" applyAlignment="1" applyProtection="1">
      <alignment vertical="center"/>
    </xf>
    <xf numFmtId="0" fontId="11" fillId="0" borderId="63" xfId="16" applyFont="1" applyBorder="1" applyAlignment="1" applyProtection="1">
      <alignment horizontal="center" vertical="center"/>
    </xf>
    <xf numFmtId="3" fontId="11" fillId="2" borderId="63" xfId="16" applyNumberFormat="1" applyFont="1" applyFill="1" applyBorder="1" applyAlignment="1" applyProtection="1">
      <alignment vertical="center"/>
      <protection locked="0"/>
    </xf>
    <xf numFmtId="0" fontId="11" fillId="0" borderId="76" xfId="16" applyFont="1" applyBorder="1" applyAlignment="1" applyProtection="1">
      <alignment vertical="center"/>
    </xf>
    <xf numFmtId="0" fontId="11" fillId="0" borderId="75" xfId="16" applyFont="1" applyBorder="1" applyAlignment="1" applyProtection="1">
      <alignment horizontal="center" vertical="center"/>
    </xf>
    <xf numFmtId="0" fontId="11" fillId="0" borderId="76" xfId="16" applyFont="1" applyBorder="1" applyAlignment="1" applyProtection="1">
      <alignment horizontal="center" vertical="center"/>
    </xf>
    <xf numFmtId="0" fontId="11" fillId="0" borderId="104" xfId="16" applyFont="1" applyBorder="1" applyAlignment="1" applyProtection="1">
      <alignment vertical="center"/>
    </xf>
    <xf numFmtId="3" fontId="11" fillId="2" borderId="76" xfId="16" applyNumberFormat="1" applyFont="1" applyFill="1" applyBorder="1" applyAlignment="1" applyProtection="1">
      <alignment vertical="center"/>
      <protection locked="0"/>
    </xf>
    <xf numFmtId="3" fontId="11" fillId="11" borderId="63" xfId="16" applyNumberFormat="1" applyFont="1" applyFill="1" applyBorder="1" applyAlignment="1" applyProtection="1">
      <alignment horizontal="right" vertical="center"/>
      <protection locked="0"/>
    </xf>
    <xf numFmtId="3" fontId="11" fillId="11" borderId="104" xfId="22" applyNumberFormat="1" applyFont="1" applyFill="1" applyBorder="1" applyAlignment="1" applyProtection="1">
      <alignment horizontal="right" vertical="center"/>
      <protection locked="0"/>
    </xf>
    <xf numFmtId="3" fontId="11" fillId="0" borderId="63" xfId="16" applyNumberFormat="1" applyFont="1" applyFill="1" applyBorder="1" applyAlignment="1" applyProtection="1">
      <alignment vertical="center"/>
    </xf>
    <xf numFmtId="172" fontId="11" fillId="0" borderId="75" xfId="16" applyNumberFormat="1" applyFont="1" applyBorder="1" applyAlignment="1" applyProtection="1">
      <alignment horizontal="center" vertical="center"/>
    </xf>
    <xf numFmtId="3" fontId="11" fillId="0" borderId="104" xfId="16" applyNumberFormat="1" applyFont="1" applyFill="1" applyBorder="1" applyAlignment="1" applyProtection="1">
      <alignment vertical="center"/>
    </xf>
    <xf numFmtId="3" fontId="11" fillId="2" borderId="104" xfId="16" applyNumberFormat="1" applyFont="1" applyFill="1" applyBorder="1" applyAlignment="1" applyProtection="1">
      <alignment vertical="center"/>
      <protection locked="0"/>
    </xf>
    <xf numFmtId="3" fontId="0" fillId="11" borderId="75" xfId="0" applyNumberFormat="1" applyFill="1" applyBorder="1" applyAlignment="1" applyProtection="1">
      <alignment vertical="center"/>
      <protection locked="0"/>
    </xf>
    <xf numFmtId="3" fontId="11" fillId="0" borderId="76" xfId="16" applyNumberFormat="1" applyFont="1" applyFill="1" applyBorder="1" applyAlignment="1" applyProtection="1">
      <alignment vertical="center"/>
    </xf>
    <xf numFmtId="0" fontId="11" fillId="0" borderId="77" xfId="15" applyFont="1" applyBorder="1" applyAlignment="1" applyProtection="1">
      <alignment vertical="center"/>
    </xf>
    <xf numFmtId="0" fontId="11" fillId="0" borderId="103" xfId="15" applyFont="1" applyBorder="1" applyAlignment="1" applyProtection="1">
      <alignment vertical="center"/>
    </xf>
    <xf numFmtId="172" fontId="11" fillId="0" borderId="77" xfId="15" applyNumberFormat="1" applyFont="1" applyBorder="1" applyAlignment="1" applyProtection="1">
      <alignment vertical="center"/>
    </xf>
    <xf numFmtId="172" fontId="11" fillId="0" borderId="103" xfId="15" applyNumberFormat="1" applyFont="1" applyBorder="1" applyAlignment="1" applyProtection="1">
      <alignment vertical="center"/>
    </xf>
    <xf numFmtId="0" fontId="0" fillId="0" borderId="77" xfId="0" applyBorder="1" applyAlignment="1" applyProtection="1">
      <alignment vertical="center"/>
    </xf>
    <xf numFmtId="172" fontId="11" fillId="0" borderId="77" xfId="15" applyNumberFormat="1" applyFont="1" applyBorder="1" applyAlignment="1" applyProtection="1"/>
    <xf numFmtId="172" fontId="11" fillId="0" borderId="65" xfId="15" applyNumberFormat="1" applyFont="1" applyBorder="1" applyAlignment="1" applyProtection="1">
      <alignment horizontal="left" vertical="center"/>
    </xf>
    <xf numFmtId="172" fontId="11" fillId="0" borderId="78" xfId="15" applyNumberFormat="1" applyFont="1" applyBorder="1" applyAlignment="1" applyProtection="1">
      <alignment horizontal="left" vertical="center"/>
    </xf>
    <xf numFmtId="172" fontId="11" fillId="0" borderId="77" xfId="15" applyNumberFormat="1" applyFont="1" applyFill="1" applyBorder="1" applyAlignment="1" applyProtection="1">
      <alignment horizontal="left" vertical="center"/>
    </xf>
    <xf numFmtId="172" fontId="11" fillId="0" borderId="65" xfId="15" applyNumberFormat="1" applyFont="1" applyFill="1" applyBorder="1" applyAlignment="1" applyProtection="1">
      <alignment horizontal="left" vertical="center"/>
    </xf>
    <xf numFmtId="172" fontId="11" fillId="0" borderId="78" xfId="15" applyNumberFormat="1" applyFont="1" applyFill="1" applyBorder="1" applyAlignment="1" applyProtection="1">
      <alignment horizontal="left" vertical="center"/>
    </xf>
    <xf numFmtId="0" fontId="11" fillId="0" borderId="65" xfId="15" applyFont="1" applyBorder="1" applyAlignment="1" applyProtection="1">
      <alignment horizontal="left" vertical="center"/>
    </xf>
    <xf numFmtId="0" fontId="11" fillId="0" borderId="78" xfId="15" applyFont="1" applyBorder="1" applyAlignment="1" applyProtection="1">
      <alignment horizontal="left" vertical="center"/>
    </xf>
    <xf numFmtId="172" fontId="11" fillId="0" borderId="76" xfId="15" applyNumberFormat="1" applyFont="1" applyBorder="1" applyAlignment="1" applyProtection="1">
      <alignment vertical="center"/>
    </xf>
    <xf numFmtId="172" fontId="11" fillId="0" borderId="104" xfId="15" applyNumberFormat="1" applyFont="1" applyBorder="1" applyAlignment="1" applyProtection="1">
      <alignment vertical="center"/>
    </xf>
    <xf numFmtId="172" fontId="11" fillId="0" borderId="63" xfId="15" applyNumberFormat="1" applyFont="1" applyBorder="1" applyAlignment="1" applyProtection="1">
      <alignment horizontal="center" vertical="center"/>
    </xf>
    <xf numFmtId="3" fontId="11" fillId="2" borderId="63" xfId="15" applyNumberFormat="1" applyFont="1" applyFill="1" applyBorder="1" applyAlignment="1" applyProtection="1">
      <alignment vertical="center"/>
      <protection locked="0"/>
    </xf>
    <xf numFmtId="172" fontId="11" fillId="0" borderId="75" xfId="15" applyNumberFormat="1" applyFont="1" applyBorder="1" applyAlignment="1" applyProtection="1">
      <alignment horizontal="center" vertical="center"/>
    </xf>
    <xf numFmtId="172" fontId="11" fillId="0" borderId="76" xfId="15" applyNumberFormat="1" applyFont="1" applyBorder="1" applyAlignment="1" applyProtection="1">
      <alignment horizontal="center" vertical="center"/>
    </xf>
    <xf numFmtId="3" fontId="11" fillId="2" borderId="76" xfId="15" applyNumberFormat="1" applyFont="1" applyFill="1" applyBorder="1" applyAlignment="1" applyProtection="1">
      <alignment vertical="center"/>
      <protection locked="0"/>
    </xf>
    <xf numFmtId="172" fontId="11" fillId="0" borderId="76" xfId="15" applyNumberFormat="1" applyFont="1" applyFill="1" applyBorder="1" applyAlignment="1" applyProtection="1">
      <alignment horizontal="center" vertical="center"/>
    </xf>
    <xf numFmtId="172" fontId="11" fillId="0" borderId="63" xfId="15" applyNumberFormat="1" applyFont="1" applyFill="1" applyBorder="1" applyAlignment="1" applyProtection="1">
      <alignment horizontal="center" vertical="center"/>
    </xf>
    <xf numFmtId="172" fontId="11" fillId="0" borderId="75" xfId="15" applyNumberFormat="1" applyFont="1" applyFill="1" applyBorder="1" applyAlignment="1" applyProtection="1">
      <alignment horizontal="center" vertical="center"/>
    </xf>
    <xf numFmtId="0" fontId="11" fillId="0" borderId="76" xfId="15" applyFont="1" applyBorder="1" applyAlignment="1" applyProtection="1">
      <alignment vertical="center"/>
    </xf>
    <xf numFmtId="0" fontId="11" fillId="0" borderId="63" xfId="15" applyFont="1" applyBorder="1" applyAlignment="1" applyProtection="1">
      <alignment horizontal="center" vertical="center"/>
    </xf>
    <xf numFmtId="0" fontId="11" fillId="0" borderId="75" xfId="15" applyFont="1" applyBorder="1" applyAlignment="1" applyProtection="1">
      <alignment horizontal="center" vertical="center"/>
    </xf>
    <xf numFmtId="0" fontId="11" fillId="0" borderId="104" xfId="15" applyFont="1" applyBorder="1" applyAlignment="1" applyProtection="1">
      <alignment vertical="center"/>
    </xf>
    <xf numFmtId="0" fontId="11" fillId="0" borderId="63" xfId="15" applyFont="1" applyFill="1" applyBorder="1" applyAlignment="1" applyProtection="1">
      <alignment horizontal="center" vertical="center"/>
    </xf>
    <xf numFmtId="3" fontId="11" fillId="11" borderId="63" xfId="15" applyNumberFormat="1" applyFont="1" applyFill="1" applyBorder="1" applyAlignment="1" applyProtection="1">
      <alignment vertical="center"/>
      <protection locked="0"/>
    </xf>
    <xf numFmtId="0" fontId="11" fillId="0" borderId="75" xfId="15" applyFont="1" applyFill="1" applyBorder="1" applyAlignment="1" applyProtection="1">
      <alignment horizontal="center" vertical="center"/>
    </xf>
    <xf numFmtId="3" fontId="11" fillId="11" borderId="75" xfId="15" applyNumberFormat="1" applyFont="1" applyFill="1" applyBorder="1" applyAlignment="1" applyProtection="1">
      <alignment horizontal="right" vertical="center"/>
      <protection locked="0"/>
    </xf>
    <xf numFmtId="0" fontId="0" fillId="0" borderId="76" xfId="0" applyBorder="1" applyAlignment="1" applyProtection="1">
      <alignment vertical="center"/>
    </xf>
    <xf numFmtId="3" fontId="11" fillId="0" borderId="63" xfId="15" applyNumberFormat="1" applyFont="1" applyFill="1" applyBorder="1" applyAlignment="1" applyProtection="1">
      <alignment vertical="center"/>
    </xf>
    <xf numFmtId="0" fontId="11" fillId="0" borderId="77" xfId="13" applyFont="1" applyBorder="1" applyAlignment="1" applyProtection="1">
      <alignment vertical="center"/>
    </xf>
    <xf numFmtId="0" fontId="11" fillId="0" borderId="103" xfId="13" applyFont="1" applyBorder="1" applyAlignment="1" applyProtection="1">
      <alignment vertical="center"/>
    </xf>
    <xf numFmtId="0" fontId="11" fillId="0" borderId="77" xfId="13" applyFont="1" applyBorder="1" applyAlignment="1" applyProtection="1">
      <alignment vertical="center" wrapText="1"/>
    </xf>
    <xf numFmtId="172" fontId="11" fillId="0" borderId="103" xfId="13" applyNumberFormat="1" applyFont="1" applyBorder="1" applyAlignment="1" applyProtection="1">
      <alignment vertical="center"/>
    </xf>
    <xf numFmtId="172" fontId="11" fillId="0" borderId="65" xfId="13" applyNumberFormat="1" applyFont="1" applyBorder="1" applyAlignment="1" applyProtection="1">
      <alignment horizontal="left" vertical="center"/>
    </xf>
    <xf numFmtId="172" fontId="11" fillId="0" borderId="78" xfId="13" applyNumberFormat="1" applyFont="1" applyBorder="1" applyAlignment="1" applyProtection="1">
      <alignment horizontal="left" vertical="center"/>
    </xf>
    <xf numFmtId="172" fontId="11" fillId="0" borderId="77" xfId="13" applyNumberFormat="1" applyFont="1" applyFill="1" applyBorder="1" applyAlignment="1" applyProtection="1">
      <alignment horizontal="left" vertical="center"/>
    </xf>
    <xf numFmtId="172" fontId="11" fillId="0" borderId="65" xfId="13" applyNumberFormat="1" applyFont="1" applyFill="1" applyBorder="1" applyAlignment="1" applyProtection="1">
      <alignment horizontal="left" vertical="center"/>
    </xf>
    <xf numFmtId="0" fontId="11" fillId="0" borderId="65" xfId="13" applyFont="1" applyBorder="1" applyAlignment="1" applyProtection="1">
      <alignment horizontal="left" vertical="center"/>
    </xf>
    <xf numFmtId="0" fontId="11" fillId="0" borderId="78" xfId="13" applyFont="1" applyBorder="1" applyAlignment="1" applyProtection="1">
      <alignment horizontal="left" vertical="center"/>
    </xf>
    <xf numFmtId="172" fontId="18" fillId="0" borderId="103" xfId="13" applyNumberFormat="1" applyFont="1" applyBorder="1" applyAlignment="1" applyProtection="1">
      <alignment horizontal="left" vertical="center"/>
    </xf>
    <xf numFmtId="172" fontId="11" fillId="0" borderId="76" xfId="13" applyNumberFormat="1" applyFont="1" applyBorder="1" applyAlignment="1" applyProtection="1">
      <alignment vertical="center"/>
    </xf>
    <xf numFmtId="172" fontId="11" fillId="0" borderId="104" xfId="13" applyNumberFormat="1" applyFont="1" applyBorder="1" applyAlignment="1" applyProtection="1">
      <alignment vertical="center"/>
    </xf>
    <xf numFmtId="172" fontId="11" fillId="0" borderId="63" xfId="13" applyNumberFormat="1" applyFont="1" applyBorder="1" applyAlignment="1" applyProtection="1">
      <alignment horizontal="center" vertical="center"/>
    </xf>
    <xf numFmtId="3" fontId="11" fillId="2" borderId="63" xfId="13" applyNumberFormat="1" applyFont="1" applyFill="1" applyBorder="1" applyAlignment="1" applyProtection="1">
      <alignment vertical="center"/>
      <protection locked="0"/>
    </xf>
    <xf numFmtId="172" fontId="11" fillId="0" borderId="75" xfId="13" applyNumberFormat="1" applyFont="1" applyBorder="1" applyAlignment="1" applyProtection="1">
      <alignment horizontal="center" vertical="center"/>
    </xf>
    <xf numFmtId="172" fontId="11" fillId="0" borderId="76" xfId="13" applyNumberFormat="1" applyFont="1" applyBorder="1" applyAlignment="1" applyProtection="1">
      <alignment horizontal="center" vertical="center"/>
    </xf>
    <xf numFmtId="172" fontId="11" fillId="0" borderId="76" xfId="13" applyNumberFormat="1" applyFont="1" applyFill="1" applyBorder="1" applyAlignment="1" applyProtection="1">
      <alignment horizontal="center" vertical="center"/>
    </xf>
    <xf numFmtId="172" fontId="11" fillId="0" borderId="63" xfId="13" applyNumberFormat="1" applyFont="1" applyFill="1" applyBorder="1" applyAlignment="1" applyProtection="1">
      <alignment horizontal="center" vertical="center"/>
    </xf>
    <xf numFmtId="172" fontId="11" fillId="0" borderId="104" xfId="13" applyNumberFormat="1" applyFont="1" applyBorder="1" applyAlignment="1" applyProtection="1">
      <alignment horizontal="center" vertical="center"/>
    </xf>
    <xf numFmtId="3" fontId="11" fillId="2" borderId="104" xfId="13" applyNumberFormat="1" applyFont="1" applyFill="1" applyBorder="1" applyAlignment="1" applyProtection="1">
      <alignment vertical="center"/>
      <protection locked="0"/>
    </xf>
    <xf numFmtId="0" fontId="11" fillId="0" borderId="76" xfId="13" applyFont="1" applyBorder="1" applyAlignment="1" applyProtection="1">
      <alignment vertical="center"/>
    </xf>
    <xf numFmtId="0" fontId="11" fillId="0" borderId="63" xfId="13" applyFont="1" applyBorder="1" applyAlignment="1" applyProtection="1">
      <alignment horizontal="center" vertical="center"/>
    </xf>
    <xf numFmtId="0" fontId="11" fillId="0" borderId="75" xfId="13" applyFont="1" applyBorder="1" applyAlignment="1" applyProtection="1">
      <alignment horizontal="center" vertical="center"/>
    </xf>
    <xf numFmtId="0" fontId="11" fillId="0" borderId="76" xfId="13" applyFont="1" applyBorder="1" applyAlignment="1" applyProtection="1">
      <alignment horizontal="center" vertical="center"/>
    </xf>
    <xf numFmtId="0" fontId="11" fillId="0" borderId="76" xfId="13" applyFont="1" applyBorder="1" applyAlignment="1" applyProtection="1">
      <alignment vertical="center" wrapText="1"/>
    </xf>
    <xf numFmtId="0" fontId="11" fillId="0" borderId="104" xfId="13" applyFont="1" applyBorder="1" applyAlignment="1" applyProtection="1">
      <alignment vertical="center"/>
    </xf>
    <xf numFmtId="0" fontId="11" fillId="0" borderId="63" xfId="13" applyFont="1" applyFill="1" applyBorder="1" applyAlignment="1" applyProtection="1">
      <alignment horizontal="center" vertical="center"/>
    </xf>
    <xf numFmtId="3" fontId="11" fillId="11" borderId="63" xfId="13" applyNumberFormat="1" applyFont="1" applyFill="1" applyBorder="1" applyAlignment="1" applyProtection="1">
      <alignment vertical="center"/>
      <protection locked="0"/>
    </xf>
    <xf numFmtId="0" fontId="11" fillId="0" borderId="75" xfId="13" applyFont="1" applyFill="1" applyBorder="1" applyAlignment="1" applyProtection="1">
      <alignment horizontal="center" vertical="center"/>
    </xf>
    <xf numFmtId="0" fontId="0" fillId="0" borderId="63" xfId="0" applyFill="1" applyBorder="1" applyAlignment="1" applyProtection="1">
      <alignment horizontal="center" vertical="center"/>
    </xf>
    <xf numFmtId="3" fontId="11" fillId="0" borderId="76" xfId="13" applyNumberFormat="1" applyFont="1" applyFill="1" applyBorder="1" applyAlignment="1" applyProtection="1">
      <alignment vertical="center"/>
    </xf>
    <xf numFmtId="3" fontId="11" fillId="11" borderId="63" xfId="13" applyNumberFormat="1" applyFont="1" applyFill="1" applyBorder="1" applyAlignment="1" applyProtection="1">
      <alignment horizontal="right" vertical="center"/>
      <protection locked="0"/>
    </xf>
    <xf numFmtId="3" fontId="11" fillId="0" borderId="63" xfId="13" applyNumberFormat="1" applyFont="1" applyFill="1" applyBorder="1" applyAlignment="1" applyProtection="1">
      <alignment vertical="center"/>
    </xf>
    <xf numFmtId="172" fontId="18" fillId="0" borderId="76" xfId="13" applyNumberFormat="1" applyFont="1" applyBorder="1" applyAlignment="1" applyProtection="1">
      <alignment vertical="center"/>
    </xf>
    <xf numFmtId="0" fontId="11" fillId="0" borderId="103" xfId="12" applyFont="1" applyBorder="1" applyAlignment="1" applyProtection="1">
      <alignment vertical="center"/>
    </xf>
    <xf numFmtId="0" fontId="18" fillId="0" borderId="77" xfId="12" applyFont="1" applyBorder="1" applyAlignment="1" applyProtection="1">
      <alignment vertical="center"/>
    </xf>
    <xf numFmtId="172" fontId="11" fillId="0" borderId="78" xfId="12" applyNumberFormat="1" applyFont="1" applyBorder="1" applyAlignment="1" applyProtection="1">
      <alignment horizontal="left" vertical="center"/>
    </xf>
    <xf numFmtId="0" fontId="11" fillId="0" borderId="65" xfId="12" applyFont="1" applyBorder="1" applyAlignment="1" applyProtection="1">
      <alignment horizontal="left" vertical="center"/>
    </xf>
    <xf numFmtId="172" fontId="11" fillId="0" borderId="65" xfId="12" applyNumberFormat="1" applyFont="1" applyBorder="1" applyAlignment="1" applyProtection="1">
      <alignment horizontal="left" vertical="center"/>
    </xf>
    <xf numFmtId="0" fontId="11" fillId="0" borderId="78" xfId="12" applyFont="1" applyBorder="1" applyAlignment="1" applyProtection="1">
      <alignment horizontal="left" vertical="center"/>
    </xf>
    <xf numFmtId="0" fontId="11" fillId="0" borderId="65" xfId="12" quotePrefix="1" applyFont="1" applyBorder="1" applyAlignment="1" applyProtection="1">
      <alignment horizontal="left" vertical="center"/>
    </xf>
    <xf numFmtId="0" fontId="11" fillId="0" borderId="65" xfId="12" applyFont="1" applyFill="1" applyBorder="1" applyAlignment="1" applyProtection="1">
      <alignment horizontal="left" vertical="center"/>
    </xf>
    <xf numFmtId="172" fontId="11" fillId="0" borderId="78" xfId="12" applyNumberFormat="1" applyFont="1" applyFill="1" applyBorder="1" applyAlignment="1" applyProtection="1">
      <alignment horizontal="left" vertical="center"/>
    </xf>
    <xf numFmtId="0" fontId="11" fillId="0" borderId="77" xfId="12" applyFont="1" applyFill="1" applyBorder="1" applyAlignment="1" applyProtection="1">
      <alignment horizontal="left" vertical="center"/>
    </xf>
    <xf numFmtId="172" fontId="11" fillId="0" borderId="76" xfId="12" applyNumberFormat="1" applyFont="1" applyBorder="1" applyAlignment="1" applyProtection="1">
      <alignment vertical="center"/>
    </xf>
    <xf numFmtId="172" fontId="11" fillId="0" borderId="104" xfId="12" applyNumberFormat="1" applyFont="1" applyFill="1" applyBorder="1" applyAlignment="1" applyProtection="1">
      <alignment horizontal="center" vertical="center"/>
    </xf>
    <xf numFmtId="3" fontId="11" fillId="11" borderId="104" xfId="12" applyNumberFormat="1" applyFont="1" applyFill="1" applyBorder="1" applyAlignment="1" applyProtection="1">
      <alignment vertical="center"/>
      <protection locked="0"/>
    </xf>
    <xf numFmtId="3" fontId="11" fillId="11" borderId="63" xfId="12" applyNumberFormat="1" applyFont="1" applyFill="1" applyBorder="1" applyAlignment="1" applyProtection="1">
      <alignment vertical="center"/>
      <protection locked="0"/>
    </xf>
    <xf numFmtId="172" fontId="11" fillId="0" borderId="75" xfId="12" applyNumberFormat="1" applyFont="1" applyFill="1" applyBorder="1" applyAlignment="1" applyProtection="1">
      <alignment horizontal="center" vertical="center"/>
    </xf>
    <xf numFmtId="3" fontId="11" fillId="11" borderId="75" xfId="12" applyNumberFormat="1" applyFont="1" applyFill="1" applyBorder="1" applyAlignment="1" applyProtection="1">
      <alignment vertical="center"/>
      <protection locked="0"/>
    </xf>
    <xf numFmtId="0" fontId="11" fillId="0" borderId="63" xfId="12" applyFont="1" applyFill="1" applyBorder="1" applyAlignment="1" applyProtection="1">
      <alignment horizontal="center" vertical="center"/>
    </xf>
    <xf numFmtId="3" fontId="11" fillId="2" borderId="104" xfId="12" applyNumberFormat="1" applyFont="1" applyFill="1" applyBorder="1" applyAlignment="1" applyProtection="1">
      <alignment vertical="center"/>
      <protection locked="0"/>
    </xf>
    <xf numFmtId="3" fontId="11" fillId="2" borderId="63" xfId="12" applyNumberFormat="1" applyFont="1" applyFill="1" applyBorder="1" applyAlignment="1" applyProtection="1">
      <alignment vertical="center"/>
      <protection locked="0"/>
    </xf>
    <xf numFmtId="172" fontId="11" fillId="0" borderId="104" xfId="12" applyNumberFormat="1" applyFont="1" applyBorder="1" applyAlignment="1" applyProtection="1">
      <alignment vertical="center"/>
    </xf>
    <xf numFmtId="3" fontId="11" fillId="2" borderId="76" xfId="12" applyNumberFormat="1" applyFont="1" applyFill="1" applyBorder="1" applyAlignment="1" applyProtection="1">
      <alignment vertical="center"/>
      <protection locked="0"/>
    </xf>
    <xf numFmtId="172" fontId="11" fillId="0" borderId="63" xfId="12" applyNumberFormat="1" applyFont="1" applyBorder="1" applyAlignment="1" applyProtection="1">
      <alignment horizontal="center" vertical="center"/>
    </xf>
    <xf numFmtId="3" fontId="11" fillId="11" borderId="76" xfId="12" applyNumberFormat="1" applyFont="1" applyFill="1" applyBorder="1" applyAlignment="1" applyProtection="1">
      <alignment vertical="center"/>
      <protection locked="0"/>
    </xf>
    <xf numFmtId="0" fontId="11" fillId="0" borderId="76" xfId="12" applyFont="1" applyBorder="1" applyAlignment="1" applyProtection="1">
      <alignment vertical="center"/>
    </xf>
    <xf numFmtId="0" fontId="11" fillId="0" borderId="75" xfId="12" applyFont="1" applyFill="1" applyBorder="1" applyAlignment="1" applyProtection="1">
      <alignment horizontal="center" vertical="center"/>
    </xf>
    <xf numFmtId="0" fontId="11" fillId="0" borderId="75" xfId="12" applyFont="1" applyBorder="1" applyAlignment="1" applyProtection="1">
      <alignment horizontal="center" vertical="center"/>
    </xf>
    <xf numFmtId="0" fontId="11" fillId="0" borderId="76" xfId="12" applyFont="1" applyBorder="1" applyAlignment="1" applyProtection="1">
      <alignment horizontal="center" vertical="center"/>
    </xf>
    <xf numFmtId="0" fontId="18" fillId="0" borderId="76" xfId="12" applyFont="1" applyBorder="1" applyAlignment="1" applyProtection="1">
      <alignment vertical="center"/>
    </xf>
    <xf numFmtId="0" fontId="11" fillId="0" borderId="104" xfId="12" applyFont="1" applyBorder="1" applyAlignment="1" applyProtection="1">
      <alignment vertical="center"/>
    </xf>
    <xf numFmtId="0" fontId="18" fillId="0" borderId="104" xfId="12" applyFont="1" applyBorder="1" applyAlignment="1" applyProtection="1">
      <alignment horizontal="center" vertical="center"/>
    </xf>
    <xf numFmtId="0" fontId="18" fillId="0" borderId="63" xfId="12" applyFont="1" applyBorder="1" applyAlignment="1" applyProtection="1">
      <alignment horizontal="center" vertical="center"/>
    </xf>
    <xf numFmtId="0" fontId="18" fillId="0" borderId="63" xfId="12" applyFont="1" applyFill="1" applyBorder="1" applyAlignment="1" applyProtection="1">
      <alignment horizontal="center" vertical="center"/>
    </xf>
    <xf numFmtId="0" fontId="11" fillId="0" borderId="63" xfId="12" applyFont="1" applyBorder="1" applyAlignment="1" applyProtection="1">
      <alignment horizontal="center" vertical="center"/>
    </xf>
    <xf numFmtId="172" fontId="11" fillId="0" borderId="104" xfId="12" applyNumberFormat="1" applyFont="1" applyBorder="1" applyAlignment="1" applyProtection="1">
      <alignment horizontal="center" vertical="center"/>
    </xf>
    <xf numFmtId="172" fontId="11" fillId="0" borderId="75" xfId="12" applyNumberFormat="1" applyFont="1" applyBorder="1" applyAlignment="1" applyProtection="1">
      <alignment horizontal="center" vertical="center"/>
    </xf>
    <xf numFmtId="3" fontId="11" fillId="0" borderId="104" xfId="12" applyNumberFormat="1" applyFont="1" applyFill="1" applyBorder="1" applyAlignment="1" applyProtection="1">
      <alignment vertical="center"/>
    </xf>
    <xf numFmtId="3" fontId="11" fillId="0" borderId="63" xfId="12" applyNumberFormat="1" applyFont="1" applyFill="1" applyBorder="1" applyAlignment="1" applyProtection="1">
      <alignment vertical="center"/>
    </xf>
    <xf numFmtId="3" fontId="11" fillId="0" borderId="63" xfId="12" applyNumberFormat="1" applyFont="1" applyFill="1" applyBorder="1" applyAlignment="1" applyProtection="1">
      <alignment horizontal="right" vertical="center"/>
    </xf>
    <xf numFmtId="3" fontId="11" fillId="0" borderId="76" xfId="12" applyNumberFormat="1" applyFont="1" applyFill="1" applyBorder="1" applyAlignment="1" applyProtection="1">
      <alignment vertical="center"/>
    </xf>
    <xf numFmtId="0" fontId="11" fillId="0" borderId="103" xfId="23" applyFont="1" applyBorder="1" applyAlignment="1" applyProtection="1"/>
    <xf numFmtId="0" fontId="11" fillId="0" borderId="77" xfId="23" applyFont="1" applyBorder="1" applyAlignment="1" applyProtection="1">
      <alignment vertical="top"/>
    </xf>
    <xf numFmtId="172" fontId="11" fillId="0" borderId="77" xfId="23" applyNumberFormat="1" applyFont="1" applyBorder="1" applyAlignment="1" applyProtection="1">
      <alignment vertical="top"/>
    </xf>
    <xf numFmtId="172" fontId="11" fillId="0" borderId="103" xfId="23" applyNumberFormat="1" applyFont="1" applyBorder="1" applyAlignment="1" applyProtection="1">
      <alignment vertical="top"/>
    </xf>
    <xf numFmtId="0" fontId="11" fillId="0" borderId="77" xfId="33" applyFont="1" applyBorder="1" applyAlignment="1" applyProtection="1"/>
    <xf numFmtId="0" fontId="11" fillId="0" borderId="103" xfId="33" applyFont="1" applyBorder="1" applyAlignment="1" applyProtection="1"/>
    <xf numFmtId="0" fontId="11" fillId="0" borderId="65" xfId="23" applyFont="1" applyBorder="1" applyAlignment="1" applyProtection="1">
      <alignment horizontal="left"/>
    </xf>
    <xf numFmtId="0" fontId="11" fillId="0" borderId="78" xfId="23" applyFont="1" applyBorder="1" applyAlignment="1" applyProtection="1">
      <alignment horizontal="left"/>
    </xf>
    <xf numFmtId="0" fontId="11" fillId="0" borderId="77" xfId="23" applyFont="1" applyFill="1" applyBorder="1" applyAlignment="1" applyProtection="1">
      <alignment horizontal="left"/>
    </xf>
    <xf numFmtId="0" fontId="11" fillId="0" borderId="65" xfId="23" applyFont="1" applyFill="1" applyBorder="1" applyAlignment="1" applyProtection="1">
      <alignment horizontal="left"/>
    </xf>
    <xf numFmtId="0" fontId="11" fillId="0" borderId="78" xfId="23" applyFont="1" applyFill="1" applyBorder="1" applyAlignment="1" applyProtection="1">
      <alignment horizontal="left"/>
    </xf>
    <xf numFmtId="0" fontId="11" fillId="0" borderId="65" xfId="23" applyFont="1" applyBorder="1" applyAlignment="1" applyProtection="1">
      <alignment horizontal="left" vertical="top"/>
    </xf>
    <xf numFmtId="172" fontId="11" fillId="0" borderId="78" xfId="23" applyNumberFormat="1" applyFont="1" applyBorder="1" applyAlignment="1" applyProtection="1">
      <alignment horizontal="left" vertical="top"/>
    </xf>
    <xf numFmtId="172" fontId="11" fillId="0" borderId="65" xfId="23" applyNumberFormat="1" applyFont="1" applyBorder="1" applyAlignment="1" applyProtection="1">
      <alignment horizontal="left" vertical="top"/>
    </xf>
    <xf numFmtId="0" fontId="11" fillId="0" borderId="65" xfId="33" applyFont="1" applyBorder="1" applyProtection="1"/>
    <xf numFmtId="0" fontId="11" fillId="0" borderId="78" xfId="33" applyFont="1" applyBorder="1" applyProtection="1"/>
    <xf numFmtId="0" fontId="11" fillId="0" borderId="78" xfId="23" applyFont="1" applyBorder="1" applyAlignment="1" applyProtection="1">
      <alignment horizontal="left" vertical="top"/>
    </xf>
    <xf numFmtId="172" fontId="11" fillId="0" borderId="65" xfId="23" applyNumberFormat="1" applyFont="1" applyBorder="1" applyAlignment="1" applyProtection="1">
      <alignment horizontal="left"/>
    </xf>
    <xf numFmtId="172" fontId="11" fillId="0" borderId="76" xfId="23" applyNumberFormat="1" applyFont="1" applyBorder="1" applyAlignment="1" applyProtection="1"/>
    <xf numFmtId="172" fontId="11" fillId="0" borderId="104" xfId="23" applyNumberFormat="1" applyFont="1" applyBorder="1" applyAlignment="1" applyProtection="1"/>
    <xf numFmtId="0" fontId="11" fillId="0" borderId="63" xfId="23" applyFont="1" applyBorder="1" applyAlignment="1" applyProtection="1">
      <alignment horizontal="center" vertical="center"/>
    </xf>
    <xf numFmtId="0" fontId="11" fillId="0" borderId="75" xfId="23" applyFont="1" applyBorder="1" applyAlignment="1" applyProtection="1">
      <alignment horizontal="center" vertical="center"/>
    </xf>
    <xf numFmtId="3" fontId="11" fillId="2" borderId="75" xfId="23" applyNumberFormat="1" applyFont="1" applyFill="1" applyBorder="1" applyAlignment="1" applyProtection="1">
      <alignment vertical="center"/>
      <protection locked="0"/>
    </xf>
    <xf numFmtId="0" fontId="11" fillId="0" borderId="76" xfId="23" applyFont="1" applyBorder="1" applyAlignment="1" applyProtection="1"/>
    <xf numFmtId="0" fontId="11" fillId="0" borderId="76" xfId="23" applyFont="1" applyBorder="1" applyAlignment="1" applyProtection="1">
      <alignment horizontal="center" vertical="center"/>
    </xf>
    <xf numFmtId="3" fontId="11" fillId="2" borderId="76" xfId="23" applyNumberFormat="1" applyFont="1" applyFill="1" applyBorder="1" applyAlignment="1" applyProtection="1">
      <alignment vertical="center"/>
      <protection locked="0"/>
    </xf>
    <xf numFmtId="0" fontId="11" fillId="0" borderId="76" xfId="23" applyFont="1" applyFill="1" applyBorder="1" applyAlignment="1" applyProtection="1">
      <alignment horizontal="center" vertical="center"/>
    </xf>
    <xf numFmtId="0" fontId="11" fillId="0" borderId="104" xfId="23" applyFont="1" applyBorder="1" applyAlignment="1" applyProtection="1"/>
    <xf numFmtId="0" fontId="11" fillId="0" borderId="63" xfId="23" applyFont="1" applyFill="1" applyBorder="1" applyAlignment="1" applyProtection="1">
      <alignment horizontal="center" vertical="center"/>
    </xf>
    <xf numFmtId="0" fontId="11" fillId="0" borderId="75" xfId="23" applyFont="1" applyFill="1" applyBorder="1" applyAlignment="1" applyProtection="1">
      <alignment horizontal="center" vertical="center"/>
    </xf>
    <xf numFmtId="0" fontId="11" fillId="0" borderId="76" xfId="23" applyFont="1" applyBorder="1" applyAlignment="1" applyProtection="1">
      <alignment vertical="top"/>
    </xf>
    <xf numFmtId="172" fontId="11" fillId="0" borderId="75" xfId="23" applyNumberFormat="1" applyFont="1" applyBorder="1" applyAlignment="1" applyProtection="1">
      <alignment horizontal="center" vertical="center"/>
    </xf>
    <xf numFmtId="172" fontId="11" fillId="0" borderId="76" xfId="23" applyNumberFormat="1" applyFont="1" applyBorder="1" applyAlignment="1" applyProtection="1">
      <alignment vertical="top"/>
    </xf>
    <xf numFmtId="172" fontId="11" fillId="0" borderId="104" xfId="23" applyNumberFormat="1" applyFont="1" applyBorder="1" applyAlignment="1" applyProtection="1">
      <alignment vertical="top"/>
    </xf>
    <xf numFmtId="172" fontId="11" fillId="0" borderId="63" xfId="23" applyNumberFormat="1" applyFont="1" applyBorder="1" applyAlignment="1" applyProtection="1">
      <alignment horizontal="center" vertical="center"/>
    </xf>
    <xf numFmtId="0" fontId="11" fillId="0" borderId="76" xfId="33" applyFont="1" applyBorder="1" applyAlignment="1" applyProtection="1"/>
    <xf numFmtId="0" fontId="11" fillId="0" borderId="104" xfId="33" applyFont="1" applyBorder="1" applyAlignment="1" applyProtection="1"/>
    <xf numFmtId="172" fontId="11" fillId="0" borderId="76" xfId="23" applyNumberFormat="1" applyFont="1" applyBorder="1" applyAlignment="1" applyProtection="1">
      <alignment horizontal="center" vertical="center"/>
    </xf>
    <xf numFmtId="172" fontId="11" fillId="0" borderId="77" xfId="11" applyNumberFormat="1" applyFont="1" applyBorder="1" applyAlignment="1" applyProtection="1">
      <alignment vertical="center"/>
    </xf>
    <xf numFmtId="172" fontId="11" fillId="0" borderId="103" xfId="11" applyNumberFormat="1" applyFont="1" applyBorder="1" applyAlignment="1" applyProtection="1">
      <alignment vertical="center"/>
    </xf>
    <xf numFmtId="0" fontId="11" fillId="0" borderId="77" xfId="11" applyFont="1" applyBorder="1" applyAlignment="1" applyProtection="1">
      <alignment vertical="center"/>
    </xf>
    <xf numFmtId="0" fontId="11" fillId="0" borderId="103" xfId="11" applyFont="1" applyBorder="1" applyAlignment="1" applyProtection="1">
      <alignment vertical="center"/>
    </xf>
    <xf numFmtId="3" fontId="11" fillId="0" borderId="76" xfId="11" applyNumberFormat="1" applyFont="1" applyFill="1" applyBorder="1" applyAlignment="1" applyProtection="1">
      <alignment vertical="center"/>
    </xf>
    <xf numFmtId="172" fontId="11" fillId="0" borderId="65" xfId="11" applyNumberFormat="1" applyFont="1" applyBorder="1" applyAlignment="1" applyProtection="1">
      <alignment horizontal="left" vertical="center"/>
    </xf>
    <xf numFmtId="172" fontId="11" fillId="0" borderId="78" xfId="11" applyNumberFormat="1" applyFont="1" applyBorder="1" applyAlignment="1" applyProtection="1">
      <alignment horizontal="left" vertical="center"/>
    </xf>
    <xf numFmtId="172" fontId="18" fillId="0" borderId="103" xfId="11" applyNumberFormat="1" applyFont="1" applyBorder="1" applyAlignment="1" applyProtection="1">
      <alignment horizontal="left" vertical="center"/>
    </xf>
    <xf numFmtId="172" fontId="11" fillId="0" borderId="77" xfId="11" applyNumberFormat="1" applyFont="1" applyFill="1" applyBorder="1" applyAlignment="1" applyProtection="1">
      <alignment horizontal="left" vertical="center"/>
    </xf>
    <xf numFmtId="172" fontId="11" fillId="0" borderId="78" xfId="11" applyNumberFormat="1" applyFont="1" applyFill="1" applyBorder="1" applyAlignment="1" applyProtection="1">
      <alignment horizontal="left" vertical="center"/>
    </xf>
    <xf numFmtId="172" fontId="11" fillId="0" borderId="65" xfId="11" applyNumberFormat="1" applyFont="1" applyFill="1" applyBorder="1" applyAlignment="1" applyProtection="1">
      <alignment horizontal="left" vertical="center"/>
    </xf>
    <xf numFmtId="0" fontId="11" fillId="0" borderId="65" xfId="11" applyFont="1" applyBorder="1" applyAlignment="1" applyProtection="1">
      <alignment horizontal="left" vertical="center"/>
    </xf>
    <xf numFmtId="0" fontId="11" fillId="0" borderId="78" xfId="11" applyFont="1" applyBorder="1" applyAlignment="1" applyProtection="1">
      <alignment horizontal="left" vertical="center"/>
    </xf>
    <xf numFmtId="172" fontId="11" fillId="0" borderId="76" xfId="11" applyNumberFormat="1" applyFont="1" applyBorder="1" applyAlignment="1" applyProtection="1">
      <alignment horizontal="center" vertical="center"/>
    </xf>
    <xf numFmtId="172" fontId="11" fillId="0" borderId="76" xfId="11" applyNumberFormat="1" applyFont="1" applyBorder="1" applyAlignment="1" applyProtection="1">
      <alignment vertical="center"/>
    </xf>
    <xf numFmtId="172" fontId="11" fillId="0" borderId="104" xfId="11" applyNumberFormat="1" applyFont="1" applyBorder="1" applyAlignment="1" applyProtection="1">
      <alignment vertical="center"/>
    </xf>
    <xf numFmtId="172" fontId="11" fillId="0" borderId="63" xfId="11" applyNumberFormat="1" applyFont="1" applyBorder="1" applyAlignment="1" applyProtection="1">
      <alignment horizontal="center" vertical="center"/>
    </xf>
    <xf numFmtId="3" fontId="11" fillId="11" borderId="63" xfId="11" applyNumberFormat="1" applyFont="1" applyFill="1" applyBorder="1" applyAlignment="1" applyProtection="1">
      <alignment horizontal="right" vertical="center"/>
      <protection locked="0"/>
    </xf>
    <xf numFmtId="3" fontId="11" fillId="2" borderId="63" xfId="11" applyNumberFormat="1" applyFont="1" applyFill="1" applyBorder="1" applyAlignment="1" applyProtection="1">
      <alignment vertical="center"/>
      <protection locked="0"/>
    </xf>
    <xf numFmtId="172" fontId="11" fillId="0" borderId="75" xfId="11" applyNumberFormat="1" applyFont="1" applyBorder="1" applyAlignment="1" applyProtection="1">
      <alignment horizontal="center" vertical="center"/>
    </xf>
    <xf numFmtId="3" fontId="11" fillId="2" borderId="104" xfId="11" applyNumberFormat="1" applyFont="1" applyFill="1" applyBorder="1" applyAlignment="1" applyProtection="1">
      <alignment vertical="center"/>
      <protection locked="0"/>
    </xf>
    <xf numFmtId="3" fontId="11" fillId="0" borderId="63" xfId="11" applyNumberFormat="1" applyFont="1" applyFill="1" applyBorder="1" applyAlignment="1" applyProtection="1">
      <alignment vertical="center"/>
    </xf>
    <xf numFmtId="172" fontId="11" fillId="0" borderId="76" xfId="11" applyNumberFormat="1" applyFont="1" applyFill="1" applyBorder="1" applyAlignment="1" applyProtection="1">
      <alignment horizontal="center" vertical="center"/>
    </xf>
    <xf numFmtId="172" fontId="11" fillId="0" borderId="75" xfId="11" applyNumberFormat="1" applyFont="1" applyFill="1" applyBorder="1" applyAlignment="1" applyProtection="1">
      <alignment horizontal="center" vertical="center"/>
    </xf>
    <xf numFmtId="172" fontId="11" fillId="0" borderId="63" xfId="11" applyNumberFormat="1" applyFont="1" applyFill="1" applyBorder="1" applyAlignment="1" applyProtection="1">
      <alignment horizontal="center" vertical="center"/>
    </xf>
    <xf numFmtId="0" fontId="11" fillId="0" borderId="76" xfId="11" applyFont="1" applyBorder="1" applyAlignment="1" applyProtection="1">
      <alignment vertical="center"/>
    </xf>
    <xf numFmtId="0" fontId="11" fillId="0" borderId="63" xfId="11" applyFont="1" applyBorder="1" applyAlignment="1" applyProtection="1">
      <alignment horizontal="center" vertical="center"/>
    </xf>
    <xf numFmtId="0" fontId="11" fillId="0" borderId="75" xfId="11" applyFont="1" applyBorder="1" applyAlignment="1" applyProtection="1">
      <alignment horizontal="center" vertical="center"/>
    </xf>
    <xf numFmtId="0" fontId="11" fillId="0" borderId="76" xfId="11" applyFont="1" applyBorder="1" applyAlignment="1" applyProtection="1">
      <alignment horizontal="center" vertical="center"/>
    </xf>
    <xf numFmtId="0" fontId="11" fillId="0" borderId="104" xfId="11" applyFont="1" applyBorder="1" applyAlignment="1" applyProtection="1">
      <alignment horizontal="center" vertical="center"/>
    </xf>
    <xf numFmtId="0" fontId="11" fillId="0" borderId="104" xfId="11" applyFont="1" applyBorder="1" applyAlignment="1" applyProtection="1">
      <alignment vertical="center"/>
    </xf>
    <xf numFmtId="0" fontId="11" fillId="0" borderId="63" xfId="11" applyFont="1" applyFill="1" applyBorder="1" applyAlignment="1" applyProtection="1">
      <alignment horizontal="center" vertical="center"/>
    </xf>
    <xf numFmtId="3" fontId="11" fillId="11" borderId="63" xfId="11" applyNumberFormat="1" applyFont="1" applyFill="1" applyBorder="1" applyAlignment="1" applyProtection="1">
      <alignment vertical="center"/>
      <protection locked="0"/>
    </xf>
    <xf numFmtId="0" fontId="11" fillId="0" borderId="75" xfId="11" applyFont="1" applyFill="1" applyBorder="1" applyAlignment="1" applyProtection="1">
      <alignment horizontal="center" vertical="center"/>
    </xf>
    <xf numFmtId="0" fontId="11" fillId="0" borderId="77" xfId="22" applyFont="1" applyFill="1" applyBorder="1" applyAlignment="1" applyProtection="1">
      <alignment horizontal="left" vertical="center"/>
    </xf>
    <xf numFmtId="0" fontId="11" fillId="0" borderId="78" xfId="22" applyFont="1" applyFill="1" applyBorder="1" applyAlignment="1" applyProtection="1">
      <alignment horizontal="left" vertical="center"/>
    </xf>
    <xf numFmtId="8" fontId="11" fillId="0" borderId="78" xfId="22" applyNumberFormat="1" applyFont="1" applyBorder="1" applyAlignment="1" applyProtection="1">
      <alignment horizontal="left" vertical="center"/>
    </xf>
    <xf numFmtId="3" fontId="11" fillId="11" borderId="63" xfId="22" applyNumberFormat="1" applyFont="1" applyFill="1" applyBorder="1" applyAlignment="1" applyProtection="1">
      <alignment vertical="center"/>
      <protection locked="0"/>
    </xf>
    <xf numFmtId="3" fontId="11" fillId="0" borderId="104" xfId="22" applyNumberFormat="1" applyFont="1" applyFill="1" applyBorder="1" applyAlignment="1" applyProtection="1">
      <alignment horizontal="right" vertical="center"/>
    </xf>
    <xf numFmtId="3" fontId="11" fillId="6" borderId="63" xfId="22" applyNumberFormat="1" applyFont="1" applyFill="1" applyBorder="1" applyAlignment="1" applyProtection="1">
      <alignment vertical="center"/>
    </xf>
    <xf numFmtId="3" fontId="11" fillId="0" borderId="76" xfId="10" applyNumberFormat="1" applyFont="1" applyFill="1" applyBorder="1" applyAlignment="1" applyProtection="1">
      <alignment vertical="center"/>
    </xf>
    <xf numFmtId="172" fontId="11" fillId="0" borderId="77" xfId="10" applyNumberFormat="1" applyFont="1" applyBorder="1" applyAlignment="1" applyProtection="1">
      <alignment vertical="center"/>
    </xf>
    <xf numFmtId="172" fontId="11" fillId="0" borderId="103" xfId="10" applyNumberFormat="1" applyFont="1" applyBorder="1" applyAlignment="1" applyProtection="1">
      <alignment vertical="center"/>
    </xf>
    <xf numFmtId="0" fontId="11" fillId="0" borderId="103" xfId="10" applyFont="1" applyBorder="1" applyAlignment="1" applyProtection="1">
      <alignment vertical="center"/>
    </xf>
    <xf numFmtId="0" fontId="11" fillId="0" borderId="65" xfId="10" applyFont="1" applyBorder="1" applyAlignment="1" applyProtection="1">
      <alignment horizontal="left" vertical="center"/>
    </xf>
    <xf numFmtId="0" fontId="11" fillId="0" borderId="78" xfId="10" applyFont="1" applyBorder="1" applyAlignment="1" applyProtection="1">
      <alignment horizontal="left" vertical="center"/>
    </xf>
    <xf numFmtId="172" fontId="11" fillId="0" borderId="65" xfId="10" applyNumberFormat="1" applyFont="1" applyBorder="1" applyAlignment="1" applyProtection="1">
      <alignment horizontal="left" vertical="center"/>
    </xf>
    <xf numFmtId="172" fontId="11" fillId="0" borderId="78" xfId="10" applyNumberFormat="1" applyFont="1" applyBorder="1" applyAlignment="1" applyProtection="1">
      <alignment horizontal="left" vertical="center"/>
    </xf>
    <xf numFmtId="172" fontId="11" fillId="0" borderId="77" xfId="10" applyNumberFormat="1" applyFont="1" applyFill="1" applyBorder="1" applyAlignment="1" applyProtection="1">
      <alignment horizontal="left" vertical="center"/>
    </xf>
    <xf numFmtId="172" fontId="11" fillId="0" borderId="65" xfId="10" applyNumberFormat="1" applyFont="1" applyFill="1" applyBorder="1" applyAlignment="1" applyProtection="1">
      <alignment horizontal="left" vertical="center"/>
    </xf>
    <xf numFmtId="0" fontId="11" fillId="0" borderId="76" xfId="10" applyFont="1" applyBorder="1" applyAlignment="1" applyProtection="1">
      <alignment vertical="center"/>
    </xf>
    <xf numFmtId="0" fontId="11" fillId="0" borderId="104" xfId="10" applyFont="1" applyBorder="1" applyAlignment="1" applyProtection="1">
      <alignment vertical="center"/>
    </xf>
    <xf numFmtId="172" fontId="11" fillId="0" borderId="63" xfId="10" applyNumberFormat="1" applyFont="1" applyBorder="1" applyAlignment="1" applyProtection="1">
      <alignment horizontal="center" vertical="center"/>
    </xf>
    <xf numFmtId="3" fontId="11" fillId="2" borderId="63" xfId="10" applyNumberFormat="1" applyFont="1" applyFill="1" applyBorder="1" applyAlignment="1" applyProtection="1">
      <alignment vertical="center"/>
      <protection locked="0"/>
    </xf>
    <xf numFmtId="172" fontId="11" fillId="0" borderId="75" xfId="10" applyNumberFormat="1" applyFont="1" applyBorder="1" applyAlignment="1" applyProtection="1">
      <alignment horizontal="center" vertical="center"/>
    </xf>
    <xf numFmtId="3" fontId="11" fillId="11" borderId="75" xfId="10" applyNumberFormat="1" applyFont="1" applyFill="1" applyBorder="1" applyAlignment="1" applyProtection="1">
      <alignment horizontal="right" vertical="center"/>
      <protection locked="0"/>
    </xf>
    <xf numFmtId="3" fontId="11" fillId="2" borderId="75" xfId="10" applyNumberFormat="1" applyFont="1" applyFill="1" applyBorder="1" applyAlignment="1" applyProtection="1">
      <alignment vertical="center"/>
      <protection locked="0"/>
    </xf>
    <xf numFmtId="3" fontId="11" fillId="0" borderId="63" xfId="10" applyNumberFormat="1" applyFont="1" applyFill="1" applyBorder="1" applyAlignment="1" applyProtection="1">
      <alignment vertical="center"/>
    </xf>
    <xf numFmtId="172" fontId="11" fillId="0" borderId="104" xfId="10" applyNumberFormat="1" applyFont="1" applyBorder="1" applyAlignment="1" applyProtection="1">
      <alignment vertical="center"/>
    </xf>
    <xf numFmtId="172" fontId="11" fillId="0" borderId="76" xfId="10" applyNumberFormat="1" applyFont="1" applyBorder="1" applyAlignment="1" applyProtection="1">
      <alignment vertical="center"/>
    </xf>
    <xf numFmtId="172" fontId="11" fillId="0" borderId="76" xfId="10" applyNumberFormat="1" applyFont="1" applyBorder="1" applyAlignment="1" applyProtection="1">
      <alignment horizontal="center" vertical="center"/>
    </xf>
    <xf numFmtId="3" fontId="11" fillId="2" borderId="76" xfId="10" applyNumberFormat="1" applyFont="1" applyFill="1" applyBorder="1" applyAlignment="1" applyProtection="1">
      <alignment vertical="center"/>
      <protection locked="0"/>
    </xf>
    <xf numFmtId="172" fontId="11" fillId="0" borderId="76" xfId="10" applyNumberFormat="1" applyFont="1" applyFill="1" applyBorder="1" applyAlignment="1" applyProtection="1">
      <alignment horizontal="center" vertical="center"/>
    </xf>
    <xf numFmtId="172" fontId="11" fillId="0" borderId="63" xfId="10" applyNumberFormat="1" applyFont="1" applyFill="1" applyBorder="1" applyAlignment="1" applyProtection="1">
      <alignment horizontal="center" vertical="center"/>
    </xf>
    <xf numFmtId="3" fontId="11" fillId="2" borderId="104" xfId="10" applyNumberFormat="1" applyFont="1" applyFill="1" applyBorder="1" applyAlignment="1" applyProtection="1">
      <alignment vertical="center"/>
      <protection locked="0"/>
    </xf>
    <xf numFmtId="172" fontId="11" fillId="0" borderId="104" xfId="10" applyNumberFormat="1" applyFont="1" applyFill="1" applyBorder="1" applyAlignment="1" applyProtection="1">
      <alignment horizontal="center" vertical="center"/>
    </xf>
    <xf numFmtId="172" fontId="11" fillId="0" borderId="75" xfId="10" applyNumberFormat="1" applyFont="1" applyFill="1" applyBorder="1" applyAlignment="1" applyProtection="1">
      <alignment horizontal="center" vertical="center"/>
    </xf>
    <xf numFmtId="3" fontId="11" fillId="2" borderId="75" xfId="22" applyNumberFormat="1" applyFont="1" applyFill="1" applyBorder="1" applyAlignment="1" applyProtection="1">
      <alignment horizontal="right"/>
      <protection locked="0"/>
    </xf>
    <xf numFmtId="3" fontId="11" fillId="2" borderId="76" xfId="22" applyNumberFormat="1" applyFont="1" applyFill="1" applyBorder="1" applyAlignment="1" applyProtection="1">
      <alignment horizontal="right"/>
      <protection locked="0"/>
    </xf>
    <xf numFmtId="3" fontId="11" fillId="0" borderId="104" xfId="22" applyNumberFormat="1" applyFont="1" applyFill="1" applyBorder="1" applyAlignment="1" applyProtection="1">
      <alignment vertical="center"/>
    </xf>
    <xf numFmtId="3" fontId="11" fillId="6" borderId="75" xfId="22" applyNumberFormat="1" applyFont="1" applyFill="1" applyBorder="1" applyAlignment="1" applyProtection="1">
      <alignment vertical="center"/>
    </xf>
    <xf numFmtId="0" fontId="11" fillId="0" borderId="77" xfId="9" applyFont="1" applyBorder="1" applyAlignment="1" applyProtection="1">
      <alignment vertical="center"/>
    </xf>
    <xf numFmtId="3" fontId="11" fillId="0" borderId="104" xfId="9" applyNumberFormat="1" applyFont="1" applyFill="1" applyBorder="1" applyAlignment="1" applyProtection="1">
      <alignment vertical="center"/>
    </xf>
    <xf numFmtId="172" fontId="11" fillId="0" borderId="78" xfId="9" applyNumberFormat="1" applyFont="1" applyBorder="1" applyAlignment="1" applyProtection="1">
      <alignment horizontal="left" vertical="center"/>
    </xf>
    <xf numFmtId="172" fontId="11" fillId="0" borderId="65" xfId="9" applyNumberFormat="1" applyFont="1" applyBorder="1" applyAlignment="1" applyProtection="1">
      <alignment horizontal="left" vertical="center"/>
    </xf>
    <xf numFmtId="172" fontId="11" fillId="0" borderId="77" xfId="9" applyNumberFormat="1" applyFont="1" applyFill="1" applyBorder="1" applyAlignment="1" applyProtection="1">
      <alignment horizontal="left" vertical="center"/>
    </xf>
    <xf numFmtId="0" fontId="11" fillId="0" borderId="65" xfId="9" applyFont="1" applyBorder="1" applyAlignment="1" applyProtection="1">
      <alignment horizontal="left" vertical="center"/>
    </xf>
    <xf numFmtId="0" fontId="11" fillId="0" borderId="78" xfId="9" applyFont="1" applyBorder="1" applyAlignment="1" applyProtection="1">
      <alignment horizontal="left" vertical="center"/>
    </xf>
    <xf numFmtId="0" fontId="11" fillId="0" borderId="78" xfId="9" applyFont="1" applyFill="1" applyBorder="1" applyAlignment="1" applyProtection="1">
      <alignment horizontal="left" vertical="center"/>
    </xf>
    <xf numFmtId="0" fontId="15" fillId="3" borderId="65" xfId="9" applyFont="1" applyFill="1" applyBorder="1" applyAlignment="1" applyProtection="1">
      <alignment horizontal="left" vertical="center"/>
    </xf>
    <xf numFmtId="0" fontId="11" fillId="0" borderId="78" xfId="9" applyFont="1" applyBorder="1" applyAlignment="1" applyProtection="1">
      <alignment vertical="center"/>
    </xf>
    <xf numFmtId="172" fontId="11" fillId="0" borderId="65" xfId="9" applyNumberFormat="1" applyFont="1" applyFill="1" applyBorder="1" applyAlignment="1" applyProtection="1">
      <alignment horizontal="left" vertical="center"/>
    </xf>
    <xf numFmtId="0" fontId="11" fillId="0" borderId="65" xfId="9" applyFont="1" applyBorder="1" applyAlignment="1" applyProtection="1">
      <alignment vertical="center"/>
    </xf>
    <xf numFmtId="172" fontId="11" fillId="0" borderId="76" xfId="9" applyNumberFormat="1" applyFont="1" applyBorder="1" applyAlignment="1" applyProtection="1">
      <alignment vertical="center"/>
    </xf>
    <xf numFmtId="172" fontId="11" fillId="0" borderId="104" xfId="9" applyNumberFormat="1" applyFont="1" applyBorder="1" applyAlignment="1" applyProtection="1">
      <alignment vertical="center"/>
    </xf>
    <xf numFmtId="0" fontId="11" fillId="0" borderId="104" xfId="9" applyFont="1" applyBorder="1" applyAlignment="1" applyProtection="1">
      <alignment vertical="center"/>
    </xf>
    <xf numFmtId="3" fontId="11" fillId="2" borderId="63" xfId="9" applyNumberFormat="1" applyFont="1" applyFill="1" applyBorder="1" applyAlignment="1" applyProtection="1">
      <alignment vertical="center"/>
      <protection locked="0"/>
    </xf>
    <xf numFmtId="3" fontId="11" fillId="2" borderId="104" xfId="9" applyNumberFormat="1" applyFont="1" applyFill="1" applyBorder="1" applyAlignment="1" applyProtection="1">
      <alignment vertical="center"/>
      <protection locked="0"/>
    </xf>
    <xf numFmtId="3" fontId="11" fillId="11" borderId="63" xfId="9" applyNumberFormat="1" applyFont="1" applyFill="1" applyBorder="1" applyAlignment="1" applyProtection="1">
      <alignment horizontal="right" vertical="center"/>
      <protection locked="0"/>
    </xf>
    <xf numFmtId="172" fontId="11" fillId="0" borderId="63" xfId="9" applyNumberFormat="1" applyFont="1" applyBorder="1" applyAlignment="1" applyProtection="1">
      <alignment horizontal="center" vertical="center"/>
    </xf>
    <xf numFmtId="3" fontId="11" fillId="0" borderId="76" xfId="9" applyNumberFormat="1" applyFont="1" applyFill="1" applyBorder="1" applyAlignment="1" applyProtection="1">
      <alignment vertical="center"/>
    </xf>
    <xf numFmtId="1" fontId="11" fillId="0" borderId="63" xfId="9" applyNumberFormat="1" applyFont="1" applyFill="1" applyBorder="1" applyAlignment="1" applyProtection="1">
      <alignment vertical="center"/>
    </xf>
    <xf numFmtId="172" fontId="11" fillId="0" borderId="76" xfId="9" applyNumberFormat="1" applyFont="1" applyFill="1" applyBorder="1" applyAlignment="1" applyProtection="1">
      <alignment horizontal="center" vertical="center"/>
    </xf>
    <xf numFmtId="3" fontId="11" fillId="11" borderId="63" xfId="9" applyNumberFormat="1" applyFont="1" applyFill="1" applyBorder="1" applyAlignment="1" applyProtection="1">
      <alignment vertical="center"/>
      <protection locked="0"/>
    </xf>
    <xf numFmtId="0" fontId="11" fillId="0" borderId="63" xfId="9" applyFont="1" applyBorder="1" applyAlignment="1" applyProtection="1">
      <alignment horizontal="center" vertical="center"/>
    </xf>
    <xf numFmtId="0" fontId="11" fillId="0" borderId="75" xfId="9" applyFont="1" applyBorder="1" applyAlignment="1" applyProtection="1">
      <alignment horizontal="center" vertical="center"/>
    </xf>
    <xf numFmtId="0" fontId="11" fillId="0" borderId="75" xfId="9" applyFont="1" applyFill="1" applyBorder="1" applyAlignment="1" applyProtection="1">
      <alignment horizontal="center" vertical="center"/>
    </xf>
    <xf numFmtId="0" fontId="15" fillId="0" borderId="63" xfId="9" applyFont="1" applyBorder="1" applyAlignment="1" applyProtection="1">
      <alignment horizontal="center" vertical="center"/>
    </xf>
    <xf numFmtId="3" fontId="11" fillId="2" borderId="76" xfId="9" applyNumberFormat="1" applyFont="1" applyFill="1" applyBorder="1" applyAlignment="1" applyProtection="1">
      <alignment vertical="center"/>
      <protection locked="0"/>
    </xf>
    <xf numFmtId="172" fontId="11" fillId="0" borderId="63" xfId="9" applyNumberFormat="1" applyFont="1" applyFill="1" applyBorder="1" applyAlignment="1" applyProtection="1">
      <alignment horizontal="center" vertical="center"/>
    </xf>
    <xf numFmtId="0" fontId="11" fillId="0" borderId="76" xfId="9" applyFont="1" applyBorder="1" applyAlignment="1" applyProtection="1">
      <alignment vertical="center"/>
    </xf>
    <xf numFmtId="0" fontId="11" fillId="0" borderId="104" xfId="9" applyFont="1" applyBorder="1" applyAlignment="1" applyProtection="1">
      <alignment horizontal="center" vertical="center"/>
    </xf>
    <xf numFmtId="0" fontId="11" fillId="0" borderId="76" xfId="9" applyFont="1" applyBorder="1" applyAlignment="1" applyProtection="1">
      <alignment horizontal="center" vertical="center"/>
    </xf>
    <xf numFmtId="3" fontId="11" fillId="0" borderId="63" xfId="40" applyNumberFormat="1" applyFont="1" applyFill="1" applyBorder="1" applyAlignment="1" applyProtection="1">
      <alignment vertical="center"/>
    </xf>
    <xf numFmtId="3" fontId="11" fillId="0" borderId="75" xfId="40" applyNumberFormat="1" applyFont="1" applyFill="1" applyBorder="1" applyAlignment="1" applyProtection="1">
      <alignment vertical="center"/>
    </xf>
    <xf numFmtId="3" fontId="11" fillId="0" borderId="76" xfId="40" applyNumberFormat="1" applyFont="1" applyFill="1" applyBorder="1" applyAlignment="1" applyProtection="1">
      <alignment vertical="center"/>
    </xf>
    <xf numFmtId="3" fontId="11" fillId="2" borderId="63" xfId="40" applyNumberFormat="1" applyFont="1" applyFill="1" applyBorder="1" applyAlignment="1" applyProtection="1">
      <alignment vertical="center"/>
      <protection locked="0"/>
    </xf>
    <xf numFmtId="3" fontId="11" fillId="2" borderId="104" xfId="40" applyNumberFormat="1" applyFont="1" applyFill="1" applyBorder="1" applyAlignment="1" applyProtection="1">
      <alignment vertical="center"/>
      <protection locked="0"/>
    </xf>
    <xf numFmtId="3" fontId="11" fillId="11" borderId="63" xfId="40" applyNumberFormat="1" applyFont="1" applyFill="1" applyBorder="1" applyAlignment="1" applyProtection="1">
      <alignment vertical="center"/>
      <protection locked="0"/>
    </xf>
    <xf numFmtId="3" fontId="11" fillId="11" borderId="75" xfId="40" applyNumberFormat="1" applyFont="1" applyFill="1" applyBorder="1" applyAlignment="1" applyProtection="1">
      <alignment vertical="center"/>
      <protection locked="0"/>
    </xf>
    <xf numFmtId="3" fontId="11" fillId="0" borderId="104" xfId="40" applyNumberFormat="1" applyFont="1" applyFill="1" applyBorder="1" applyAlignment="1" applyProtection="1">
      <alignment vertical="center"/>
    </xf>
    <xf numFmtId="3" fontId="11" fillId="0" borderId="63" xfId="40" applyNumberFormat="1" applyFont="1" applyFill="1" applyBorder="1" applyAlignment="1" applyProtection="1">
      <alignment horizontal="right" vertical="center"/>
    </xf>
    <xf numFmtId="3" fontId="11" fillId="0" borderId="75" xfId="40" applyNumberFormat="1" applyFont="1" applyFill="1" applyBorder="1" applyAlignment="1" applyProtection="1">
      <alignment horizontal="right" vertical="center"/>
    </xf>
    <xf numFmtId="169" fontId="11" fillId="0" borderId="13" xfId="40" applyNumberFormat="1" applyFont="1" applyFill="1" applyBorder="1" applyAlignment="1" applyProtection="1">
      <alignment vertical="center"/>
    </xf>
    <xf numFmtId="1" fontId="11" fillId="0" borderId="78" xfId="40" applyNumberFormat="1" applyFont="1" applyFill="1" applyBorder="1" applyAlignment="1" applyProtection="1">
      <alignment horizontal="left" vertical="center"/>
    </xf>
    <xf numFmtId="1" fontId="18" fillId="0" borderId="78" xfId="40" applyNumberFormat="1" applyFont="1" applyBorder="1" applyAlignment="1" applyProtection="1">
      <alignment horizontal="left" vertical="center"/>
    </xf>
    <xf numFmtId="1" fontId="11" fillId="0" borderId="65" xfId="40" applyNumberFormat="1" applyFont="1" applyFill="1" applyBorder="1" applyAlignment="1" applyProtection="1">
      <alignment horizontal="left" vertical="center"/>
    </xf>
    <xf numFmtId="1" fontId="18" fillId="0" borderId="65" xfId="40" applyNumberFormat="1" applyFont="1" applyFill="1" applyBorder="1" applyAlignment="1" applyProtection="1">
      <alignment horizontal="left" vertical="center"/>
    </xf>
    <xf numFmtId="3" fontId="11" fillId="2" borderId="76" xfId="40" applyNumberFormat="1" applyFont="1" applyFill="1" applyBorder="1" applyAlignment="1" applyProtection="1">
      <alignment vertical="center"/>
      <protection locked="0"/>
    </xf>
    <xf numFmtId="3" fontId="11" fillId="11" borderId="104" xfId="40" applyNumberFormat="1" applyFont="1" applyFill="1" applyBorder="1" applyAlignment="1" applyProtection="1">
      <alignment vertical="center"/>
      <protection locked="0"/>
    </xf>
    <xf numFmtId="1" fontId="18" fillId="0" borderId="63" xfId="40" applyNumberFormat="1" applyFont="1" applyFill="1" applyBorder="1" applyAlignment="1" applyProtection="1">
      <alignment horizontal="center" vertical="center"/>
    </xf>
    <xf numFmtId="0" fontId="18" fillId="0" borderId="77" xfId="0" applyFont="1" applyBorder="1" applyAlignment="1" applyProtection="1">
      <alignment vertical="top"/>
    </xf>
    <xf numFmtId="0" fontId="11" fillId="0" borderId="65" xfId="0" applyFont="1" applyBorder="1" applyAlignment="1" applyProtection="1">
      <alignment vertical="center"/>
    </xf>
    <xf numFmtId="3" fontId="18" fillId="11" borderId="63" xfId="0" applyNumberFormat="1" applyFont="1" applyFill="1" applyBorder="1" applyAlignment="1" applyProtection="1">
      <alignment vertical="center"/>
      <protection locked="0"/>
    </xf>
    <xf numFmtId="0" fontId="11" fillId="0" borderId="103" xfId="0" applyFont="1" applyBorder="1" applyAlignment="1" applyProtection="1">
      <alignment vertical="center"/>
    </xf>
    <xf numFmtId="0" fontId="11" fillId="0" borderId="104" xfId="0" applyFont="1" applyBorder="1" applyAlignment="1" applyProtection="1">
      <alignment vertical="center"/>
    </xf>
    <xf numFmtId="0" fontId="11" fillId="0" borderId="0" xfId="32" applyFont="1" applyProtection="1"/>
    <xf numFmtId="172" fontId="11" fillId="0" borderId="0" xfId="33" applyNumberFormat="1" applyFont="1" applyAlignment="1" applyProtection="1">
      <alignment horizontal="center"/>
    </xf>
    <xf numFmtId="0" fontId="11" fillId="0" borderId="0" xfId="33" applyFont="1" applyAlignment="1" applyProtection="1">
      <alignment horizontal="left"/>
    </xf>
    <xf numFmtId="0" fontId="11" fillId="0" borderId="0" xfId="33" applyFont="1" applyProtection="1"/>
    <xf numFmtId="0" fontId="11" fillId="0" borderId="0" xfId="8" applyFont="1" applyFill="1" applyAlignment="1" applyProtection="1">
      <alignment horizontal="right" vertical="center"/>
    </xf>
    <xf numFmtId="0" fontId="104" fillId="0" borderId="0" xfId="1" applyFont="1" applyFill="1" applyAlignment="1" applyProtection="1"/>
    <xf numFmtId="0" fontId="22" fillId="0" borderId="0" xfId="33" applyFont="1" applyProtection="1"/>
    <xf numFmtId="0" fontId="22" fillId="0" borderId="0" xfId="33" applyFont="1" applyProtection="1">
      <protection locked="0"/>
    </xf>
    <xf numFmtId="0" fontId="11" fillId="0" borderId="0" xfId="33" applyFont="1" applyAlignment="1" applyProtection="1">
      <alignment horizontal="right"/>
    </xf>
    <xf numFmtId="0" fontId="11" fillId="0" borderId="0" xfId="33" applyFont="1" applyAlignment="1" applyProtection="1">
      <alignment vertical="center"/>
    </xf>
    <xf numFmtId="172" fontId="11" fillId="0" borderId="0" xfId="33" applyNumberFormat="1" applyFont="1" applyAlignment="1" applyProtection="1">
      <alignment horizontal="center" vertical="center"/>
    </xf>
    <xf numFmtId="0" fontId="22" fillId="0" borderId="0" xfId="33" applyFont="1" applyAlignment="1" applyProtection="1">
      <alignment vertical="center"/>
    </xf>
    <xf numFmtId="0" fontId="39" fillId="0" borderId="0" xfId="33" applyFont="1" applyAlignment="1" applyProtection="1">
      <alignment vertical="center"/>
    </xf>
    <xf numFmtId="172" fontId="11" fillId="0" borderId="77" xfId="33" applyNumberFormat="1" applyFont="1" applyBorder="1" applyAlignment="1" applyProtection="1">
      <alignment horizontal="center" vertical="center"/>
    </xf>
    <xf numFmtId="0" fontId="15" fillId="0" borderId="0" xfId="33" applyFont="1" applyAlignment="1" applyProtection="1">
      <alignment horizontal="center" vertical="center"/>
    </xf>
    <xf numFmtId="172" fontId="11" fillId="0" borderId="8" xfId="33" applyNumberFormat="1" applyFont="1" applyBorder="1" applyAlignment="1" applyProtection="1">
      <alignment horizontal="center" vertical="center"/>
    </xf>
    <xf numFmtId="0" fontId="11" fillId="0" borderId="0" xfId="33" applyFont="1" applyFill="1" applyAlignment="1" applyProtection="1">
      <alignment vertical="center"/>
    </xf>
    <xf numFmtId="168" fontId="11" fillId="0" borderId="0" xfId="33" applyNumberFormat="1" applyFont="1" applyAlignment="1" applyProtection="1">
      <alignment vertical="center"/>
    </xf>
    <xf numFmtId="172" fontId="11" fillId="0" borderId="12" xfId="33" applyNumberFormat="1" applyFont="1" applyBorder="1" applyAlignment="1" applyProtection="1">
      <alignment horizontal="center" vertical="center"/>
    </xf>
    <xf numFmtId="3" fontId="11" fillId="11" borderId="13" xfId="33" applyNumberFormat="1" applyFont="1" applyFill="1" applyBorder="1" applyAlignment="1" applyProtection="1">
      <alignment horizontal="right" vertical="center"/>
      <protection locked="0"/>
    </xf>
    <xf numFmtId="3" fontId="11" fillId="0" borderId="14" xfId="33" applyNumberFormat="1" applyFont="1" applyFill="1" applyBorder="1" applyAlignment="1" applyProtection="1">
      <alignment horizontal="right" vertical="center"/>
    </xf>
    <xf numFmtId="3" fontId="11" fillId="0" borderId="76" xfId="33" applyNumberFormat="1" applyFont="1" applyFill="1" applyBorder="1" applyAlignment="1" applyProtection="1">
      <alignment horizontal="right" vertical="center"/>
    </xf>
    <xf numFmtId="0" fontId="11" fillId="0" borderId="75" xfId="33" applyFont="1" applyBorder="1" applyAlignment="1" applyProtection="1">
      <alignment horizontal="left" vertical="center"/>
    </xf>
    <xf numFmtId="172" fontId="11" fillId="0" borderId="78" xfId="33" applyNumberFormat="1" applyFont="1" applyBorder="1" applyAlignment="1" applyProtection="1">
      <alignment horizontal="center" vertical="center"/>
    </xf>
    <xf numFmtId="3" fontId="11" fillId="11" borderId="75" xfId="33" applyNumberFormat="1" applyFont="1" applyFill="1" applyBorder="1" applyAlignment="1" applyProtection="1">
      <alignment horizontal="right" vertical="center"/>
      <protection locked="0"/>
    </xf>
    <xf numFmtId="0" fontId="15" fillId="0" borderId="0" xfId="33" applyFont="1" applyAlignment="1" applyProtection="1">
      <alignment horizontal="right" vertical="center"/>
    </xf>
    <xf numFmtId="0" fontId="15" fillId="0" borderId="0" xfId="33" applyFont="1" applyFill="1" applyAlignment="1" applyProtection="1">
      <alignment vertical="center"/>
    </xf>
    <xf numFmtId="0" fontId="22" fillId="0" borderId="0" xfId="33" applyFont="1" applyAlignment="1" applyProtection="1">
      <alignment vertical="top"/>
    </xf>
    <xf numFmtId="0" fontId="22" fillId="0" borderId="0" xfId="33" applyFont="1" applyAlignment="1" applyProtection="1">
      <alignment vertical="top"/>
      <protection locked="0"/>
    </xf>
    <xf numFmtId="168" fontId="11" fillId="0" borderId="0" xfId="33" applyNumberFormat="1" applyFont="1" applyFill="1" applyAlignment="1" applyProtection="1">
      <alignment horizontal="right" vertical="center"/>
    </xf>
    <xf numFmtId="0" fontId="11" fillId="0" borderId="103" xfId="33" applyFont="1" applyFill="1" applyBorder="1" applyAlignment="1" applyProtection="1">
      <alignment vertical="center"/>
    </xf>
    <xf numFmtId="0" fontId="15" fillId="0" borderId="0" xfId="0" applyFont="1" applyFill="1" applyAlignment="1" applyProtection="1">
      <alignment vertical="center"/>
    </xf>
    <xf numFmtId="0" fontId="11" fillId="0" borderId="103" xfId="33" applyFont="1" applyFill="1" applyBorder="1" applyAlignment="1" applyProtection="1">
      <alignment horizontal="left" vertical="center" indent="1"/>
    </xf>
    <xf numFmtId="0" fontId="11" fillId="0" borderId="104" xfId="33" applyFont="1" applyFill="1" applyBorder="1" applyAlignment="1" applyProtection="1">
      <alignment vertical="center"/>
    </xf>
    <xf numFmtId="0" fontId="11" fillId="0" borderId="0" xfId="0" applyFont="1" applyFill="1" applyAlignment="1" applyProtection="1">
      <alignment vertical="center"/>
    </xf>
    <xf numFmtId="3" fontId="11" fillId="11" borderId="63" xfId="33" applyNumberFormat="1" applyFont="1" applyFill="1" applyBorder="1" applyAlignment="1" applyProtection="1">
      <alignment horizontal="right" vertical="center"/>
      <protection locked="0"/>
    </xf>
    <xf numFmtId="3" fontId="11" fillId="11" borderId="76" xfId="33" applyNumberFormat="1" applyFont="1" applyFill="1" applyBorder="1" applyAlignment="1" applyProtection="1">
      <alignment horizontal="right" vertical="center"/>
      <protection locked="0"/>
    </xf>
    <xf numFmtId="172" fontId="11" fillId="0" borderId="76" xfId="33" applyNumberFormat="1" applyFont="1" applyFill="1" applyBorder="1" applyAlignment="1" applyProtection="1">
      <alignment horizontal="center" vertical="center"/>
    </xf>
    <xf numFmtId="0" fontId="72" fillId="0" borderId="0" xfId="33" applyFont="1" applyAlignment="1" applyProtection="1">
      <alignment vertical="center"/>
    </xf>
    <xf numFmtId="0" fontId="174" fillId="0" borderId="0" xfId="33" applyFont="1" applyAlignment="1" applyProtection="1">
      <alignment vertical="center"/>
    </xf>
    <xf numFmtId="5" fontId="11" fillId="0" borderId="0" xfId="33" applyNumberFormat="1" applyFont="1" applyFill="1" applyAlignment="1" applyProtection="1">
      <alignment vertical="center"/>
    </xf>
    <xf numFmtId="0" fontId="12" fillId="0" borderId="0" xfId="33" applyFont="1" applyAlignment="1" applyProtection="1">
      <alignment vertical="center"/>
    </xf>
    <xf numFmtId="0" fontId="11" fillId="0" borderId="77" xfId="33" applyFont="1" applyFill="1" applyBorder="1" applyAlignment="1" applyProtection="1">
      <alignment horizontal="left" vertical="center"/>
    </xf>
    <xf numFmtId="0" fontId="11" fillId="0" borderId="0" xfId="33" quotePrefix="1" applyFont="1" applyAlignment="1" applyProtection="1">
      <alignment horizontal="right" vertical="center"/>
    </xf>
    <xf numFmtId="0" fontId="175" fillId="0" borderId="0" xfId="33" quotePrefix="1" applyFont="1" applyBorder="1" applyAlignment="1" applyProtection="1">
      <alignment horizontal="right" vertical="center"/>
    </xf>
    <xf numFmtId="5" fontId="11" fillId="0" borderId="61" xfId="33" applyNumberFormat="1" applyFont="1" applyFill="1" applyBorder="1" applyAlignment="1" applyProtection="1">
      <alignment horizontal="right" vertical="center"/>
    </xf>
    <xf numFmtId="3" fontId="11" fillId="0" borderId="63" xfId="33" applyNumberFormat="1" applyFont="1" applyFill="1" applyBorder="1" applyAlignment="1" applyProtection="1">
      <alignment horizontal="right" vertical="center"/>
    </xf>
    <xf numFmtId="0" fontId="11" fillId="0" borderId="0" xfId="33" applyFont="1" applyAlignment="1" applyProtection="1">
      <alignment horizontal="right" vertical="center"/>
    </xf>
    <xf numFmtId="5" fontId="11" fillId="0" borderId="0" xfId="33" applyNumberFormat="1" applyFont="1" applyFill="1" applyBorder="1" applyAlignment="1" applyProtection="1">
      <alignment vertical="center"/>
    </xf>
    <xf numFmtId="0" fontId="86" fillId="0" borderId="0" xfId="33" applyFont="1" applyAlignment="1" applyProtection="1">
      <alignment vertical="center"/>
    </xf>
    <xf numFmtId="3" fontId="11" fillId="0" borderId="0" xfId="33" applyNumberFormat="1" applyFont="1" applyFill="1" applyAlignment="1" applyProtection="1">
      <alignment vertical="center"/>
    </xf>
    <xf numFmtId="3" fontId="11" fillId="0" borderId="75" xfId="33" applyNumberFormat="1" applyFont="1" applyFill="1" applyBorder="1" applyAlignment="1" applyProtection="1">
      <alignment horizontal="right" vertical="center"/>
    </xf>
    <xf numFmtId="168" fontId="11" fillId="0" borderId="0" xfId="33" applyNumberFormat="1" applyFont="1" applyAlignment="1" applyProtection="1">
      <alignment horizontal="right" vertical="center"/>
    </xf>
    <xf numFmtId="0" fontId="72" fillId="0" borderId="0" xfId="33" applyFont="1" applyAlignment="1" applyProtection="1">
      <alignment horizontal="right" vertical="center"/>
    </xf>
    <xf numFmtId="0" fontId="11" fillId="0" borderId="0" xfId="33" applyFont="1" applyAlignment="1" applyProtection="1">
      <alignment horizontal="left" vertical="center"/>
    </xf>
    <xf numFmtId="3" fontId="11" fillId="0" borderId="13" xfId="33" applyNumberFormat="1" applyFont="1" applyFill="1" applyBorder="1" applyAlignment="1" applyProtection="1">
      <alignment horizontal="right" vertical="center"/>
    </xf>
    <xf numFmtId="5" fontId="11" fillId="0" borderId="1" xfId="33" applyNumberFormat="1" applyFont="1" applyFill="1" applyBorder="1" applyAlignment="1" applyProtection="1">
      <alignment vertical="center"/>
    </xf>
    <xf numFmtId="5" fontId="11" fillId="0" borderId="72" xfId="33" applyNumberFormat="1" applyFont="1" applyFill="1" applyBorder="1" applyAlignment="1" applyProtection="1">
      <alignment vertical="center"/>
    </xf>
    <xf numFmtId="0" fontId="12" fillId="0" borderId="0" xfId="33" applyFont="1" applyAlignment="1" applyProtection="1">
      <alignment horizontal="left" vertical="center"/>
    </xf>
    <xf numFmtId="0" fontId="11" fillId="0" borderId="0" xfId="32" applyFont="1" applyAlignment="1" applyProtection="1">
      <alignment vertical="center"/>
    </xf>
    <xf numFmtId="172" fontId="11" fillId="0" borderId="76" xfId="33" applyNumberFormat="1" applyFont="1" applyBorder="1" applyAlignment="1" applyProtection="1">
      <alignment horizontal="center" vertical="center"/>
    </xf>
    <xf numFmtId="172" fontId="11" fillId="0" borderId="7" xfId="33" applyNumberFormat="1" applyFont="1" applyBorder="1" applyAlignment="1" applyProtection="1">
      <alignment horizontal="center" vertical="center"/>
    </xf>
    <xf numFmtId="172" fontId="11" fillId="0" borderId="63" xfId="33" applyNumberFormat="1" applyFont="1" applyBorder="1" applyAlignment="1" applyProtection="1">
      <alignment horizontal="center" vertical="center"/>
    </xf>
    <xf numFmtId="0" fontId="11" fillId="0" borderId="77" xfId="33" applyFont="1" applyFill="1" applyBorder="1" applyAlignment="1" applyProtection="1">
      <alignment vertical="center"/>
    </xf>
    <xf numFmtId="0" fontId="15" fillId="0" borderId="0" xfId="33" applyFont="1" applyAlignment="1" applyProtection="1">
      <alignment vertical="center"/>
    </xf>
    <xf numFmtId="3" fontId="11" fillId="11" borderId="12" xfId="33" applyNumberFormat="1" applyFont="1" applyFill="1" applyBorder="1" applyAlignment="1" applyProtection="1">
      <alignment vertical="center"/>
      <protection locked="0"/>
    </xf>
    <xf numFmtId="3" fontId="11" fillId="11" borderId="13" xfId="33" applyNumberFormat="1" applyFont="1" applyFill="1" applyBorder="1" applyAlignment="1" applyProtection="1">
      <alignment vertical="center"/>
      <protection locked="0"/>
    </xf>
    <xf numFmtId="0" fontId="11" fillId="0" borderId="77" xfId="33" applyFont="1" applyFill="1" applyBorder="1" applyAlignment="1" applyProtection="1">
      <alignment horizontal="left" vertical="center" indent="3"/>
    </xf>
    <xf numFmtId="0" fontId="11" fillId="0" borderId="0" xfId="33" applyFont="1" applyAlignment="1" applyProtection="1">
      <alignment horizontal="centerContinuous" vertical="center"/>
    </xf>
    <xf numFmtId="3" fontId="11" fillId="11" borderId="75" xfId="33" applyNumberFormat="1" applyFont="1" applyFill="1" applyBorder="1" applyAlignment="1" applyProtection="1">
      <alignment vertical="center"/>
      <protection locked="0"/>
    </xf>
    <xf numFmtId="0" fontId="11" fillId="0" borderId="77" xfId="33" applyFont="1" applyFill="1" applyBorder="1" applyAlignment="1" applyProtection="1">
      <alignment horizontal="left" vertical="center" indent="1"/>
    </xf>
    <xf numFmtId="0" fontId="11" fillId="0" borderId="77" xfId="33" applyFont="1" applyBorder="1" applyAlignment="1" applyProtection="1">
      <alignment horizontal="left" vertical="center" indent="3"/>
    </xf>
    <xf numFmtId="0" fontId="11" fillId="0" borderId="78" xfId="33" applyFont="1" applyBorder="1" applyAlignment="1" applyProtection="1">
      <alignment horizontal="left" vertical="center" indent="3"/>
    </xf>
    <xf numFmtId="0" fontId="11" fillId="0" borderId="75" xfId="33" applyFont="1" applyFill="1" applyBorder="1" applyAlignment="1" applyProtection="1">
      <alignment horizontal="left" vertical="center" indent="3"/>
    </xf>
    <xf numFmtId="0" fontId="11" fillId="0" borderId="77" xfId="33" applyFont="1" applyFill="1" applyBorder="1" applyAlignment="1" applyProtection="1">
      <alignment horizontal="left" vertical="center" indent="4"/>
    </xf>
    <xf numFmtId="0" fontId="11" fillId="0" borderId="77" xfId="33" applyFont="1" applyFill="1" applyBorder="1" applyAlignment="1" applyProtection="1">
      <alignment horizontal="left" vertical="center" indent="2"/>
    </xf>
    <xf numFmtId="3" fontId="11" fillId="11" borderId="11" xfId="33" applyNumberFormat="1" applyFont="1" applyFill="1" applyBorder="1" applyAlignment="1" applyProtection="1">
      <alignment vertical="center"/>
      <protection locked="0"/>
    </xf>
    <xf numFmtId="0" fontId="11" fillId="0" borderId="103" xfId="33" applyFont="1" applyFill="1" applyBorder="1" applyAlignment="1" applyProtection="1">
      <alignment horizontal="left" vertical="center" indent="3"/>
    </xf>
    <xf numFmtId="3" fontId="11" fillId="11" borderId="63" xfId="33" applyNumberFormat="1" applyFont="1" applyFill="1" applyBorder="1" applyAlignment="1" applyProtection="1">
      <alignment vertical="center"/>
      <protection locked="0"/>
    </xf>
    <xf numFmtId="3" fontId="11" fillId="11" borderId="75" xfId="21" applyNumberFormat="1" applyFont="1" applyFill="1" applyBorder="1" applyAlignment="1" applyProtection="1">
      <alignment vertical="center"/>
      <protection locked="0"/>
    </xf>
    <xf numFmtId="0" fontId="11" fillId="0" borderId="103" xfId="33" applyFont="1" applyFill="1" applyBorder="1" applyAlignment="1" applyProtection="1">
      <alignment horizontal="left" vertical="center" indent="2"/>
    </xf>
    <xf numFmtId="3" fontId="11" fillId="11" borderId="63" xfId="21" applyNumberFormat="1" applyFont="1" applyFill="1" applyBorder="1" applyAlignment="1" applyProtection="1">
      <alignment vertical="center"/>
      <protection locked="0"/>
    </xf>
    <xf numFmtId="0" fontId="11" fillId="0" borderId="78" xfId="33" applyFont="1" applyFill="1" applyBorder="1" applyAlignment="1" applyProtection="1">
      <alignment vertical="center"/>
    </xf>
    <xf numFmtId="3" fontId="11" fillId="0" borderId="75" xfId="33" applyNumberFormat="1" applyFont="1" applyFill="1" applyBorder="1" applyAlignment="1" applyProtection="1">
      <alignment vertical="center"/>
    </xf>
    <xf numFmtId="0" fontId="12" fillId="0" borderId="72" xfId="33" applyFont="1" applyBorder="1" applyAlignment="1" applyProtection="1">
      <alignment vertical="center"/>
    </xf>
    <xf numFmtId="172" fontId="22" fillId="0" borderId="0" xfId="33" applyNumberFormat="1" applyFont="1" applyAlignment="1" applyProtection="1">
      <alignment horizontal="center"/>
    </xf>
    <xf numFmtId="0" fontId="11" fillId="83" borderId="96" xfId="33" applyFont="1" applyFill="1" applyBorder="1" applyAlignment="1" applyProtection="1">
      <alignment horizontal="center" vertical="center"/>
    </xf>
    <xf numFmtId="0" fontId="11" fillId="0" borderId="65" xfId="33" applyFont="1" applyBorder="1" applyAlignment="1" applyProtection="1">
      <alignment horizontal="left" vertical="center" indent="2"/>
    </xf>
    <xf numFmtId="0" fontId="11" fillId="0" borderId="65" xfId="33" applyFont="1" applyBorder="1" applyAlignment="1" applyProtection="1">
      <alignment horizontal="left" vertical="center" indent="1"/>
    </xf>
    <xf numFmtId="0" fontId="11" fillId="0" borderId="78" xfId="33" applyFont="1" applyFill="1" applyBorder="1" applyAlignment="1" applyProtection="1">
      <alignment horizontal="left" vertical="center" indent="2"/>
    </xf>
    <xf numFmtId="0" fontId="11" fillId="0" borderId="78" xfId="33" applyFont="1" applyBorder="1" applyAlignment="1" applyProtection="1">
      <alignment horizontal="left" vertical="center" indent="1"/>
    </xf>
    <xf numFmtId="0" fontId="11" fillId="0" borderId="77" xfId="33" applyFont="1" applyBorder="1" applyAlignment="1" applyProtection="1">
      <alignment horizontal="left" vertical="center" indent="1"/>
    </xf>
    <xf numFmtId="0" fontId="11" fillId="0" borderId="103" xfId="33" applyFont="1" applyBorder="1" applyAlignment="1" applyProtection="1">
      <alignment vertical="center" wrapText="1"/>
    </xf>
    <xf numFmtId="0" fontId="11" fillId="0" borderId="103" xfId="33" applyFont="1" applyBorder="1" applyAlignment="1" applyProtection="1">
      <alignment horizontal="left" vertical="center" indent="4"/>
    </xf>
    <xf numFmtId="0" fontId="11" fillId="0" borderId="77" xfId="33" applyFont="1" applyBorder="1" applyAlignment="1" applyProtection="1">
      <alignment horizontal="left" vertical="center" indent="4"/>
    </xf>
    <xf numFmtId="0" fontId="11" fillId="0" borderId="103" xfId="33" applyFont="1" applyFill="1" applyBorder="1" applyAlignment="1" applyProtection="1">
      <alignment horizontal="left" vertical="center" indent="4"/>
    </xf>
    <xf numFmtId="0" fontId="11" fillId="0" borderId="65" xfId="33" applyFont="1" applyBorder="1" applyAlignment="1" applyProtection="1">
      <alignment horizontal="left" vertical="center" indent="5"/>
    </xf>
    <xf numFmtId="0" fontId="11" fillId="0" borderId="77" xfId="33" applyFont="1" applyBorder="1" applyAlignment="1" applyProtection="1">
      <alignment horizontal="left" vertical="center" indent="5"/>
    </xf>
    <xf numFmtId="0" fontId="11" fillId="0" borderId="78" xfId="33" applyFont="1" applyBorder="1" applyAlignment="1" applyProtection="1">
      <alignment horizontal="left" vertical="center" indent="5"/>
    </xf>
    <xf numFmtId="0" fontId="11" fillId="0" borderId="78" xfId="33" applyFont="1" applyBorder="1" applyAlignment="1" applyProtection="1">
      <alignment horizontal="left" vertical="center" indent="4"/>
    </xf>
    <xf numFmtId="0" fontId="11" fillId="0" borderId="103" xfId="33" applyFont="1" applyBorder="1" applyAlignment="1" applyProtection="1">
      <alignment horizontal="left" vertical="center" indent="3"/>
    </xf>
    <xf numFmtId="0" fontId="11" fillId="0" borderId="65" xfId="33" applyFont="1" applyFill="1" applyBorder="1" applyAlignment="1" applyProtection="1">
      <alignment horizontal="left" vertical="center" indent="4"/>
    </xf>
    <xf numFmtId="0" fontId="11" fillId="0" borderId="65" xfId="33" applyFont="1" applyBorder="1" applyAlignment="1" applyProtection="1">
      <alignment horizontal="left" vertical="center" indent="4"/>
    </xf>
    <xf numFmtId="0" fontId="11" fillId="0" borderId="78" xfId="33" applyFont="1" applyFill="1" applyBorder="1" applyAlignment="1" applyProtection="1">
      <alignment horizontal="left" vertical="center" indent="3"/>
    </xf>
    <xf numFmtId="0" fontId="11" fillId="0" borderId="65" xfId="33" applyFont="1" applyFill="1" applyBorder="1" applyAlignment="1" applyProtection="1">
      <alignment horizontal="left" vertical="center" indent="3"/>
    </xf>
    <xf numFmtId="172" fontId="11" fillId="0" borderId="75" xfId="33" applyNumberFormat="1" applyFont="1" applyBorder="1" applyAlignment="1" applyProtection="1">
      <alignment horizontal="center" vertical="center"/>
    </xf>
    <xf numFmtId="3" fontId="11" fillId="0" borderId="104" xfId="33" applyNumberFormat="1" applyFont="1" applyFill="1" applyBorder="1" applyAlignment="1" applyProtection="1">
      <alignment horizontal="right" vertical="center"/>
    </xf>
    <xf numFmtId="3" fontId="11" fillId="0" borderId="76" xfId="0" applyNumberFormat="1" applyFont="1" applyBorder="1" applyAlignment="1" applyProtection="1">
      <alignment horizontal="right" vertical="center"/>
    </xf>
    <xf numFmtId="3" fontId="11" fillId="0" borderId="76" xfId="33" applyNumberFormat="1" applyFont="1" applyFill="1" applyBorder="1" applyAlignment="1" applyProtection="1">
      <alignment vertical="center"/>
    </xf>
    <xf numFmtId="3" fontId="11" fillId="0" borderId="104" xfId="33" applyNumberFormat="1" applyFont="1" applyFill="1" applyBorder="1" applyAlignment="1" applyProtection="1">
      <alignment vertical="center"/>
    </xf>
    <xf numFmtId="3" fontId="11" fillId="11" borderId="76" xfId="33" applyNumberFormat="1" applyFont="1" applyFill="1" applyBorder="1" applyAlignment="1" applyProtection="1">
      <alignment vertical="center"/>
      <protection locked="0"/>
    </xf>
    <xf numFmtId="172" fontId="11" fillId="0" borderId="76" xfId="33" applyNumberFormat="1" applyFont="1" applyFill="1" applyBorder="1" applyAlignment="1" applyProtection="1">
      <alignment horizontal="centerContinuous" vertical="center"/>
    </xf>
    <xf numFmtId="171" fontId="11" fillId="0" borderId="76" xfId="33" applyNumberFormat="1" applyFont="1" applyFill="1" applyBorder="1" applyAlignment="1" applyProtection="1">
      <alignment horizontal="center" vertical="center"/>
    </xf>
    <xf numFmtId="171" fontId="11" fillId="0" borderId="104" xfId="33" applyNumberFormat="1" applyFont="1" applyFill="1" applyBorder="1" applyAlignment="1" applyProtection="1">
      <alignment horizontal="center" vertical="center"/>
    </xf>
    <xf numFmtId="37" fontId="11" fillId="0" borderId="76" xfId="33" applyNumberFormat="1" applyFont="1" applyFill="1" applyBorder="1" applyAlignment="1" applyProtection="1">
      <alignment horizontal="right" vertical="center"/>
    </xf>
    <xf numFmtId="37" fontId="11" fillId="0" borderId="104" xfId="33" applyNumberFormat="1" applyFont="1" applyFill="1" applyBorder="1" applyAlignment="1" applyProtection="1">
      <alignment horizontal="right" vertical="center"/>
    </xf>
    <xf numFmtId="3" fontId="11" fillId="11" borderId="104" xfId="33" applyNumberFormat="1" applyFont="1" applyFill="1" applyBorder="1" applyAlignment="1" applyProtection="1">
      <alignment vertical="center"/>
      <protection locked="0"/>
    </xf>
    <xf numFmtId="0" fontId="11" fillId="0" borderId="76" xfId="21" applyFont="1" applyFill="1" applyBorder="1" applyAlignment="1" applyProtection="1">
      <alignment horizontal="center" vertical="center"/>
    </xf>
    <xf numFmtId="3" fontId="11" fillId="0" borderId="76" xfId="21" applyNumberFormat="1" applyFont="1" applyFill="1" applyBorder="1" applyAlignment="1" applyProtection="1">
      <alignment vertical="center"/>
    </xf>
    <xf numFmtId="0" fontId="11" fillId="0" borderId="104" xfId="21" applyFont="1" applyFill="1" applyBorder="1" applyAlignment="1" applyProtection="1">
      <alignment horizontal="center" vertical="center"/>
    </xf>
    <xf numFmtId="172" fontId="11" fillId="0" borderId="76" xfId="21" applyNumberFormat="1" applyFont="1" applyFill="1" applyBorder="1" applyAlignment="1" applyProtection="1">
      <alignment horizontal="center" vertical="center"/>
    </xf>
    <xf numFmtId="172" fontId="11" fillId="0" borderId="63" xfId="21" applyNumberFormat="1" applyFont="1" applyBorder="1" applyAlignment="1" applyProtection="1">
      <alignment horizontal="center" vertical="center"/>
    </xf>
    <xf numFmtId="3" fontId="11" fillId="11" borderId="104" xfId="21" applyNumberFormat="1" applyFont="1" applyFill="1" applyBorder="1" applyAlignment="1" applyProtection="1">
      <alignment vertical="center"/>
      <protection locked="0"/>
    </xf>
    <xf numFmtId="0" fontId="11" fillId="0" borderId="75" xfId="21" applyFont="1" applyBorder="1" applyAlignment="1" applyProtection="1">
      <alignment horizontal="center" vertical="center"/>
    </xf>
    <xf numFmtId="0" fontId="11" fillId="0" borderId="76" xfId="21" applyFont="1" applyBorder="1" applyAlignment="1" applyProtection="1">
      <alignment horizontal="center" vertical="center"/>
    </xf>
    <xf numFmtId="3" fontId="11" fillId="11" borderId="76" xfId="21" applyNumberFormat="1" applyFont="1" applyFill="1" applyBorder="1" applyAlignment="1" applyProtection="1">
      <alignment vertical="center"/>
      <protection locked="0"/>
    </xf>
    <xf numFmtId="3" fontId="11" fillId="0" borderId="63" xfId="33" applyNumberFormat="1" applyFont="1" applyFill="1" applyBorder="1" applyAlignment="1" applyProtection="1">
      <alignment vertical="center"/>
    </xf>
    <xf numFmtId="172" fontId="15" fillId="0" borderId="2" xfId="33" applyNumberFormat="1" applyFont="1" applyFill="1" applyBorder="1" applyAlignment="1" applyProtection="1">
      <alignment horizontal="center" vertical="center"/>
    </xf>
    <xf numFmtId="3" fontId="15" fillId="0" borderId="13" xfId="33" applyNumberFormat="1" applyFont="1" applyFill="1" applyBorder="1" applyAlignment="1" applyProtection="1">
      <alignment horizontal="right" vertical="center"/>
    </xf>
    <xf numFmtId="3" fontId="15" fillId="0" borderId="1" xfId="33" applyNumberFormat="1" applyFont="1" applyFill="1" applyBorder="1" applyAlignment="1" applyProtection="1">
      <alignment horizontal="right" vertical="center"/>
    </xf>
    <xf numFmtId="3" fontId="15" fillId="0" borderId="63" xfId="33" applyNumberFormat="1" applyFont="1" applyFill="1" applyBorder="1" applyAlignment="1" applyProtection="1">
      <alignment horizontal="right" vertical="center"/>
    </xf>
    <xf numFmtId="0" fontId="11" fillId="0" borderId="75" xfId="33" applyFont="1" applyBorder="1" applyAlignment="1" applyProtection="1">
      <alignment vertical="top"/>
    </xf>
    <xf numFmtId="0" fontId="18" fillId="0" borderId="75" xfId="0" applyFont="1" applyBorder="1" applyProtection="1"/>
    <xf numFmtId="3" fontId="18" fillId="0" borderId="75" xfId="0" applyNumberFormat="1" applyFont="1" applyBorder="1" applyProtection="1"/>
    <xf numFmtId="3" fontId="18" fillId="0" borderId="75" xfId="0" applyNumberFormat="1" applyFont="1" applyFill="1" applyBorder="1" applyProtection="1"/>
    <xf numFmtId="0" fontId="11" fillId="0" borderId="75" xfId="0" applyFont="1" applyBorder="1" applyProtection="1"/>
    <xf numFmtId="0" fontId="18" fillId="0" borderId="75" xfId="0" applyFont="1" applyFill="1" applyBorder="1" applyProtection="1"/>
    <xf numFmtId="0" fontId="11" fillId="3" borderId="75" xfId="0" applyFont="1" applyFill="1" applyBorder="1" applyProtection="1"/>
    <xf numFmtId="0" fontId="11" fillId="0" borderId="0" xfId="0" applyFont="1" applyAlignment="1" applyProtection="1">
      <alignment horizontal="center"/>
    </xf>
    <xf numFmtId="0" fontId="11" fillId="0" borderId="75" xfId="0" applyFont="1" applyBorder="1" applyAlignment="1" applyProtection="1">
      <alignment horizontal="center"/>
    </xf>
    <xf numFmtId="3" fontId="0" fillId="0" borderId="12" xfId="0" applyNumberFormat="1" applyBorder="1" applyProtection="1"/>
    <xf numFmtId="0" fontId="11" fillId="3" borderId="88" xfId="0" applyFont="1" applyFill="1" applyBorder="1" applyProtection="1"/>
    <xf numFmtId="3" fontId="18" fillId="0" borderId="88" xfId="0" applyNumberFormat="1" applyFont="1" applyFill="1" applyBorder="1" applyProtection="1"/>
    <xf numFmtId="0" fontId="0" fillId="0" borderId="88" xfId="0" applyBorder="1" applyProtection="1"/>
    <xf numFmtId="0" fontId="11" fillId="0" borderId="0" xfId="33" applyFont="1" applyFill="1" applyAlignment="1" applyProtection="1">
      <alignment horizontal="left" vertical="center"/>
    </xf>
    <xf numFmtId="3" fontId="11" fillId="0" borderId="0" xfId="33" applyNumberFormat="1" applyFont="1" applyFill="1" applyAlignment="1" applyProtection="1">
      <alignment horizontal="left" vertical="center"/>
    </xf>
    <xf numFmtId="0" fontId="11" fillId="0" borderId="0" xfId="33" applyFont="1" applyAlignment="1" applyProtection="1">
      <alignment horizontal="left" vertical="center"/>
    </xf>
    <xf numFmtId="3" fontId="11" fillId="21" borderId="102" xfId="45" applyNumberFormat="1" applyFont="1" applyFill="1" applyBorder="1" applyAlignment="1" applyProtection="1">
      <alignment horizontal="center" vertical="center"/>
    </xf>
    <xf numFmtId="3" fontId="11" fillId="21" borderId="111" xfId="45" applyNumberFormat="1" applyFont="1" applyFill="1" applyBorder="1" applyAlignment="1" applyProtection="1">
      <alignment horizontal="center" vertical="center"/>
    </xf>
    <xf numFmtId="0" fontId="69" fillId="0" borderId="0" xfId="0" applyFont="1" applyAlignment="1" applyProtection="1"/>
    <xf numFmtId="0" fontId="22" fillId="0" borderId="0" xfId="22" applyFont="1" applyAlignment="1" applyProtection="1"/>
    <xf numFmtId="0" fontId="22" fillId="0" borderId="0" xfId="22" applyFont="1" applyAlignment="1" applyProtection="1">
      <protection locked="0"/>
    </xf>
    <xf numFmtId="172" fontId="11" fillId="0" borderId="78" xfId="22" applyNumberFormat="1" applyFont="1" applyBorder="1" applyAlignment="1" applyProtection="1">
      <alignment horizontal="left" wrapText="1"/>
    </xf>
    <xf numFmtId="172" fontId="11" fillId="0" borderId="0" xfId="10" applyNumberFormat="1" applyFont="1" applyBorder="1" applyAlignment="1" applyProtection="1">
      <alignment horizontal="right"/>
    </xf>
    <xf numFmtId="0" fontId="11" fillId="0" borderId="0" xfId="10" applyFont="1" applyAlignment="1" applyProtection="1"/>
    <xf numFmtId="0" fontId="34" fillId="0" borderId="0" xfId="10" applyFont="1" applyAlignment="1" applyProtection="1"/>
    <xf numFmtId="0" fontId="22" fillId="0" borderId="0" xfId="10" applyFont="1" applyAlignment="1" applyProtection="1"/>
    <xf numFmtId="0" fontId="22" fillId="0" borderId="0" xfId="10" applyFont="1" applyAlignment="1" applyProtection="1">
      <protection locked="0"/>
    </xf>
    <xf numFmtId="3" fontId="11" fillId="0" borderId="0" xfId="22" applyNumberFormat="1" applyFont="1" applyFill="1" applyBorder="1" applyAlignment="1" applyProtection="1"/>
    <xf numFmtId="0" fontId="18" fillId="0" borderId="0" xfId="22" applyFont="1" applyAlignment="1" applyProtection="1"/>
    <xf numFmtId="172" fontId="11" fillId="0" borderId="0" xfId="11" applyNumberFormat="1" applyFont="1" applyFill="1" applyBorder="1" applyAlignment="1" applyProtection="1">
      <alignment horizontal="right"/>
    </xf>
    <xf numFmtId="3" fontId="11" fillId="0" borderId="0" xfId="11" applyNumberFormat="1" applyFont="1" applyFill="1" applyBorder="1" applyAlignment="1" applyProtection="1"/>
    <xf numFmtId="0" fontId="11" fillId="0" borderId="0" xfId="11" applyFont="1" applyAlignment="1" applyProtection="1"/>
    <xf numFmtId="0" fontId="30" fillId="0" borderId="0" xfId="11" applyFont="1" applyAlignment="1" applyProtection="1"/>
    <xf numFmtId="0" fontId="22" fillId="0" borderId="0" xfId="11" applyFont="1" applyAlignment="1" applyProtection="1"/>
    <xf numFmtId="0" fontId="22" fillId="0" borderId="0" xfId="11" applyFont="1" applyAlignment="1" applyProtection="1">
      <protection locked="0"/>
    </xf>
    <xf numFmtId="0" fontId="11" fillId="0" borderId="0" xfId="23" applyFont="1" applyAlignment="1" applyProtection="1">
      <alignment horizontal="center"/>
    </xf>
    <xf numFmtId="0" fontId="11" fillId="0" borderId="0" xfId="23" applyFont="1" applyAlignment="1" applyProtection="1"/>
    <xf numFmtId="0" fontId="22" fillId="0" borderId="0" xfId="23" applyFont="1" applyAlignment="1" applyProtection="1"/>
    <xf numFmtId="172" fontId="11" fillId="0" borderId="0" xfId="12" applyNumberFormat="1" applyFont="1" applyAlignment="1" applyProtection="1">
      <alignment horizontal="right"/>
    </xf>
    <xf numFmtId="0" fontId="11" fillId="0" borderId="0" xfId="12" applyFont="1" applyAlignment="1" applyProtection="1">
      <alignment horizontal="center"/>
    </xf>
    <xf numFmtId="0" fontId="11" fillId="0" borderId="0" xfId="12" applyFont="1" applyAlignment="1" applyProtection="1">
      <alignment horizontal="left"/>
    </xf>
    <xf numFmtId="0" fontId="22" fillId="0" borderId="0" xfId="12" applyFont="1" applyAlignment="1" applyProtection="1"/>
    <xf numFmtId="172" fontId="11" fillId="0" borderId="0" xfId="13" applyNumberFormat="1" applyFont="1" applyBorder="1" applyAlignment="1" applyProtection="1">
      <alignment horizontal="right"/>
    </xf>
    <xf numFmtId="3" fontId="11" fillId="0" borderId="0" xfId="13" applyNumberFormat="1" applyFont="1" applyFill="1" applyBorder="1" applyAlignment="1" applyProtection="1"/>
    <xf numFmtId="0" fontId="11" fillId="0" borderId="0" xfId="13" applyFont="1" applyAlignment="1" applyProtection="1"/>
    <xf numFmtId="0" fontId="58" fillId="0" borderId="0" xfId="13" applyFont="1" applyAlignment="1" applyProtection="1"/>
    <xf numFmtId="0" fontId="33" fillId="0" borderId="0" xfId="13" applyFont="1" applyAlignment="1" applyProtection="1"/>
    <xf numFmtId="0" fontId="22" fillId="0" borderId="0" xfId="13" applyFont="1" applyAlignment="1" applyProtection="1"/>
    <xf numFmtId="0" fontId="22" fillId="0" borderId="0" xfId="13" applyFont="1" applyAlignment="1" applyProtection="1">
      <protection locked="0"/>
    </xf>
    <xf numFmtId="172" fontId="11" fillId="0" borderId="0" xfId="15" applyNumberFormat="1" applyFont="1" applyBorder="1" applyAlignment="1" applyProtection="1">
      <alignment horizontal="right"/>
    </xf>
    <xf numFmtId="3" fontId="11" fillId="0" borderId="0" xfId="15" applyNumberFormat="1" applyFont="1" applyFill="1" applyBorder="1" applyAlignment="1" applyProtection="1"/>
    <xf numFmtId="3" fontId="18" fillId="0" borderId="0" xfId="15" applyNumberFormat="1" applyFont="1" applyFill="1" applyBorder="1" applyAlignment="1" applyProtection="1">
      <alignment horizontal="right"/>
    </xf>
    <xf numFmtId="0" fontId="11" fillId="0" borderId="0" xfId="15" applyFont="1" applyAlignment="1" applyProtection="1"/>
    <xf numFmtId="0" fontId="33" fillId="0" borderId="0" xfId="15" applyFont="1" applyAlignment="1" applyProtection="1"/>
    <xf numFmtId="0" fontId="22" fillId="0" borderId="0" xfId="15" applyFont="1" applyAlignment="1" applyProtection="1"/>
    <xf numFmtId="0" fontId="22" fillId="0" borderId="0" xfId="15" applyFont="1" applyAlignment="1" applyProtection="1">
      <protection locked="0"/>
    </xf>
    <xf numFmtId="172" fontId="11" fillId="0" borderId="0" xfId="17" applyNumberFormat="1" applyFont="1" applyFill="1" applyBorder="1" applyAlignment="1" applyProtection="1">
      <alignment horizontal="right"/>
    </xf>
    <xf numFmtId="3" fontId="11" fillId="0" borderId="0" xfId="17" applyNumberFormat="1" applyFont="1" applyFill="1" applyBorder="1" applyAlignment="1" applyProtection="1"/>
    <xf numFmtId="0" fontId="11" fillId="0" borderId="0" xfId="17" applyFont="1" applyAlignment="1" applyProtection="1"/>
    <xf numFmtId="0" fontId="22" fillId="0" borderId="0" xfId="17" applyFont="1" applyAlignment="1" applyProtection="1"/>
    <xf numFmtId="0" fontId="22" fillId="0" borderId="0" xfId="17" applyFont="1" applyAlignment="1" applyProtection="1">
      <protection locked="0"/>
    </xf>
    <xf numFmtId="0" fontId="11" fillId="0" borderId="0" xfId="18" applyFont="1" applyBorder="1" applyAlignment="1" applyProtection="1">
      <alignment horizontal="right"/>
    </xf>
    <xf numFmtId="0" fontId="11" fillId="0" borderId="0" xfId="18" applyFont="1" applyBorder="1" applyAlignment="1" applyProtection="1">
      <alignment horizontal="left"/>
    </xf>
    <xf numFmtId="3" fontId="11" fillId="0" borderId="0" xfId="18" applyNumberFormat="1" applyFont="1" applyFill="1" applyBorder="1" applyAlignment="1" applyProtection="1"/>
    <xf numFmtId="0" fontId="11" fillId="0" borderId="0" xfId="18" applyFont="1" applyAlignment="1" applyProtection="1"/>
    <xf numFmtId="0" fontId="63" fillId="0" borderId="0" xfId="0" applyFont="1" applyAlignment="1" applyProtection="1"/>
    <xf numFmtId="0" fontId="33" fillId="0" borderId="0" xfId="18" applyFont="1" applyAlignment="1" applyProtection="1"/>
    <xf numFmtId="0" fontId="22" fillId="0" borderId="0" xfId="18" applyFont="1" applyAlignment="1" applyProtection="1"/>
    <xf numFmtId="0" fontId="11" fillId="0" borderId="0" xfId="19" applyFont="1" applyBorder="1" applyAlignment="1" applyProtection="1">
      <alignment horizontal="right"/>
    </xf>
    <xf numFmtId="0" fontId="11" fillId="0" borderId="0" xfId="19" applyFont="1" applyBorder="1" applyAlignment="1" applyProtection="1">
      <alignment horizontal="left"/>
    </xf>
    <xf numFmtId="3" fontId="11" fillId="0" borderId="0" xfId="19" applyNumberFormat="1" applyFont="1" applyFill="1" applyBorder="1" applyAlignment="1" applyProtection="1"/>
    <xf numFmtId="0" fontId="11" fillId="0" borderId="0" xfId="19" applyFont="1" applyAlignment="1" applyProtection="1"/>
    <xf numFmtId="0" fontId="65" fillId="0" borderId="0" xfId="19" applyFont="1" applyAlignment="1" applyProtection="1"/>
    <xf numFmtId="0" fontId="33" fillId="0" borderId="0" xfId="19" applyFont="1" applyAlignment="1" applyProtection="1"/>
    <xf numFmtId="0" fontId="22" fillId="0" borderId="0" xfId="19" applyFont="1" applyAlignment="1" applyProtection="1"/>
    <xf numFmtId="0" fontId="22" fillId="0" borderId="0" xfId="19" applyFont="1" applyAlignment="1" applyProtection="1">
      <protection locked="0"/>
    </xf>
    <xf numFmtId="0" fontId="11" fillId="0" borderId="0" xfId="22" applyFont="1" applyFill="1" applyBorder="1" applyAlignment="1" applyProtection="1">
      <alignment horizontal="right"/>
    </xf>
    <xf numFmtId="0" fontId="65" fillId="0" borderId="0" xfId="22" applyFont="1" applyAlignment="1" applyProtection="1"/>
    <xf numFmtId="0" fontId="115" fillId="0" borderId="0" xfId="22" applyFont="1" applyAlignment="1" applyProtection="1"/>
    <xf numFmtId="0" fontId="11" fillId="0" borderId="0" xfId="30" applyFont="1" applyFill="1" applyBorder="1" applyAlignment="1" applyProtection="1">
      <alignment horizontal="right"/>
    </xf>
    <xf numFmtId="3" fontId="11" fillId="0" borderId="0" xfId="30" applyNumberFormat="1" applyFont="1" applyFill="1" applyBorder="1" applyAlignment="1" applyProtection="1"/>
    <xf numFmtId="0" fontId="11" fillId="0" borderId="0" xfId="30" applyFont="1" applyFill="1" applyAlignment="1" applyProtection="1"/>
    <xf numFmtId="0" fontId="22" fillId="0" borderId="0" xfId="30" applyFont="1" applyFill="1" applyAlignment="1" applyProtection="1"/>
    <xf numFmtId="3" fontId="22" fillId="0" borderId="0" xfId="30" applyNumberFormat="1" applyFont="1" applyFill="1" applyAlignment="1" applyProtection="1"/>
    <xf numFmtId="0" fontId="22" fillId="0" borderId="0" xfId="30" applyFont="1" applyFill="1" applyAlignment="1" applyProtection="1">
      <protection locked="0"/>
    </xf>
    <xf numFmtId="0" fontId="154" fillId="0" borderId="72" xfId="30" applyFont="1" applyBorder="1" applyAlignment="1" applyProtection="1">
      <alignment vertical="center"/>
    </xf>
    <xf numFmtId="0" fontId="154" fillId="0" borderId="74" xfId="35" applyFont="1" applyBorder="1" applyAlignment="1" applyProtection="1">
      <alignment vertical="center" wrapText="1"/>
    </xf>
    <xf numFmtId="0" fontId="154" fillId="0" borderId="73" xfId="35" applyFont="1" applyBorder="1" applyAlignment="1" applyProtection="1">
      <alignment vertical="center" wrapText="1"/>
    </xf>
    <xf numFmtId="0" fontId="154" fillId="0" borderId="74" xfId="34" applyFont="1" applyBorder="1" applyAlignment="1" applyProtection="1">
      <alignment vertical="center" wrapText="1"/>
    </xf>
    <xf numFmtId="0" fontId="154" fillId="0" borderId="73" xfId="34" applyFont="1" applyBorder="1" applyAlignment="1" applyProtection="1">
      <alignment vertical="center" wrapText="1"/>
    </xf>
    <xf numFmtId="0" fontId="154" fillId="0" borderId="72" xfId="39" applyFont="1" applyBorder="1" applyAlignment="1" applyProtection="1"/>
    <xf numFmtId="172" fontId="11" fillId="0" borderId="0" xfId="39" applyNumberFormat="1" applyFont="1" applyBorder="1" applyAlignment="1" applyProtection="1">
      <alignment horizontal="right"/>
    </xf>
    <xf numFmtId="172" fontId="154" fillId="0" borderId="0" xfId="39" applyNumberFormat="1" applyFont="1" applyBorder="1" applyAlignment="1" applyProtection="1"/>
    <xf numFmtId="0" fontId="11" fillId="0" borderId="0" xfId="39" applyFont="1" applyAlignment="1" applyProtection="1"/>
    <xf numFmtId="0" fontId="22" fillId="0" borderId="0" xfId="39" applyFont="1" applyAlignment="1" applyProtection="1"/>
    <xf numFmtId="0" fontId="22" fillId="0" borderId="0" xfId="39" applyFont="1" applyAlignment="1" applyProtection="1">
      <protection locked="0"/>
    </xf>
    <xf numFmtId="172" fontId="15" fillId="0" borderId="76" xfId="46" applyNumberFormat="1" applyFont="1" applyFill="1" applyBorder="1" applyAlignment="1" applyProtection="1"/>
    <xf numFmtId="3" fontId="21" fillId="0" borderId="76" xfId="46" applyNumberFormat="1" applyFont="1" applyFill="1" applyBorder="1" applyAlignment="1" applyProtection="1">
      <alignment vertical="center"/>
    </xf>
    <xf numFmtId="3" fontId="21" fillId="0" borderId="63" xfId="46" applyNumberFormat="1" applyFont="1" applyFill="1" applyBorder="1" applyAlignment="1" applyProtection="1">
      <alignment vertical="center"/>
    </xf>
    <xf numFmtId="0" fontId="15" fillId="0" borderId="103" xfId="46" applyFont="1" applyFill="1" applyBorder="1" applyAlignment="1" applyProtection="1"/>
    <xf numFmtId="0" fontId="15" fillId="0" borderId="73" xfId="46" applyFont="1" applyFill="1" applyBorder="1" applyAlignment="1" applyProtection="1"/>
    <xf numFmtId="3" fontId="18" fillId="0" borderId="128" xfId="46" applyNumberFormat="1" applyFont="1" applyFill="1" applyBorder="1" applyAlignment="1" applyProtection="1">
      <alignment vertical="center"/>
    </xf>
    <xf numFmtId="0" fontId="15" fillId="0" borderId="74" xfId="46" applyFont="1" applyFill="1" applyBorder="1" applyAlignment="1" applyProtection="1"/>
    <xf numFmtId="0" fontId="15" fillId="0" borderId="76" xfId="46" applyFont="1" applyFill="1" applyBorder="1" applyAlignment="1" applyProtection="1"/>
    <xf numFmtId="3" fontId="21" fillId="0" borderId="128" xfId="46" applyNumberFormat="1" applyFont="1" applyFill="1" applyBorder="1" applyAlignment="1" applyProtection="1">
      <alignment vertical="center"/>
    </xf>
    <xf numFmtId="3" fontId="21" fillId="0" borderId="88" xfId="46" applyNumberFormat="1" applyFont="1" applyFill="1" applyBorder="1" applyAlignment="1" applyProtection="1">
      <alignment vertical="center"/>
    </xf>
    <xf numFmtId="3" fontId="11" fillId="21" borderId="76" xfId="45" applyNumberFormat="1" applyFont="1" applyFill="1" applyBorder="1" applyAlignment="1" applyProtection="1">
      <alignment horizontal="center" vertical="center"/>
    </xf>
    <xf numFmtId="0" fontId="20" fillId="0" borderId="0" xfId="0" applyFont="1" applyAlignment="1" applyProtection="1">
      <alignment vertical="center"/>
    </xf>
    <xf numFmtId="0" fontId="11" fillId="0" borderId="78" xfId="0" applyFont="1" applyBorder="1" applyProtection="1"/>
    <xf numFmtId="0" fontId="12" fillId="0" borderId="0" xfId="33" applyFont="1" applyFill="1" applyAlignment="1" applyProtection="1">
      <alignment vertical="center"/>
    </xf>
    <xf numFmtId="0" fontId="74" fillId="0" borderId="0" xfId="33" applyFont="1" applyFill="1" applyBorder="1" applyAlignment="1" applyProtection="1">
      <alignment vertical="center"/>
      <protection locked="0"/>
    </xf>
    <xf numFmtId="0" fontId="22" fillId="0" borderId="0" xfId="33" applyFont="1" applyFill="1" applyBorder="1" applyProtection="1"/>
    <xf numFmtId="0" fontId="11" fillId="0" borderId="90" xfId="33" applyFont="1" applyFill="1" applyBorder="1" applyAlignment="1" applyProtection="1">
      <alignment vertical="center"/>
      <protection locked="0"/>
    </xf>
    <xf numFmtId="0" fontId="11" fillId="0" borderId="0" xfId="33" applyFont="1" applyFill="1" applyBorder="1" applyAlignment="1" applyProtection="1">
      <alignment vertical="center"/>
      <protection locked="0"/>
    </xf>
    <xf numFmtId="3" fontId="18" fillId="0" borderId="65" xfId="46" applyNumberFormat="1" applyFont="1" applyFill="1" applyBorder="1" applyAlignment="1" applyProtection="1">
      <alignment vertical="center"/>
    </xf>
    <xf numFmtId="3" fontId="18" fillId="0" borderId="78" xfId="46" applyNumberFormat="1" applyFont="1" applyFill="1" applyBorder="1" applyAlignment="1" applyProtection="1">
      <alignment vertical="center"/>
    </xf>
    <xf numFmtId="169" fontId="18" fillId="0" borderId="78" xfId="46" applyNumberFormat="1" applyFont="1" applyFill="1" applyBorder="1" applyAlignment="1" applyProtection="1">
      <alignment horizontal="right" vertical="center"/>
    </xf>
    <xf numFmtId="3" fontId="18" fillId="0" borderId="78" xfId="46" applyNumberFormat="1" applyFont="1" applyFill="1" applyBorder="1" applyAlignment="1" applyProtection="1">
      <alignment horizontal="right" vertical="center"/>
    </xf>
    <xf numFmtId="0" fontId="15" fillId="0" borderId="77" xfId="46" applyFont="1" applyFill="1" applyBorder="1" applyAlignment="1" applyProtection="1"/>
    <xf numFmtId="169" fontId="18" fillId="0" borderId="64" xfId="46" applyNumberFormat="1" applyFont="1" applyFill="1" applyBorder="1" applyAlignment="1" applyProtection="1">
      <alignment vertical="center"/>
    </xf>
    <xf numFmtId="169" fontId="18" fillId="0" borderId="102" xfId="46" applyNumberFormat="1" applyFont="1" applyFill="1" applyBorder="1" applyAlignment="1" applyProtection="1">
      <alignment vertical="center"/>
    </xf>
    <xf numFmtId="0" fontId="15" fillId="0" borderId="104" xfId="46" applyFont="1" applyFill="1" applyBorder="1" applyAlignment="1" applyProtection="1"/>
    <xf numFmtId="171" fontId="18" fillId="0" borderId="104" xfId="46" applyNumberFormat="1" applyFont="1" applyFill="1" applyBorder="1" applyAlignment="1" applyProtection="1">
      <alignment horizontal="center" vertical="center"/>
    </xf>
    <xf numFmtId="3" fontId="21" fillId="0" borderId="104" xfId="46" applyNumberFormat="1" applyFont="1" applyFill="1" applyBorder="1" applyAlignment="1" applyProtection="1">
      <alignment vertical="center"/>
    </xf>
    <xf numFmtId="0" fontId="167" fillId="0" borderId="0" xfId="176" applyFont="1" applyFill="1" applyProtection="1"/>
    <xf numFmtId="172" fontId="79" fillId="0" borderId="65" xfId="0" applyNumberFormat="1" applyFont="1" applyFill="1" applyBorder="1" applyAlignment="1" applyProtection="1">
      <alignment horizontal="center" vertical="center"/>
    </xf>
    <xf numFmtId="172" fontId="18" fillId="0" borderId="10" xfId="0" applyNumberFormat="1" applyFont="1" applyFill="1" applyBorder="1" applyAlignment="1" applyProtection="1">
      <alignment horizontal="center" vertical="center"/>
    </xf>
    <xf numFmtId="172" fontId="11" fillId="0" borderId="65" xfId="0" applyNumberFormat="1" applyFont="1" applyFill="1" applyBorder="1" applyAlignment="1" applyProtection="1">
      <alignment horizontal="center" vertical="center"/>
    </xf>
    <xf numFmtId="172" fontId="18" fillId="0" borderId="76" xfId="0" applyNumberFormat="1" applyFont="1" applyBorder="1" applyAlignment="1" applyProtection="1">
      <alignment vertical="center"/>
    </xf>
    <xf numFmtId="172" fontId="18" fillId="0" borderId="104" xfId="0" applyNumberFormat="1" applyFont="1" applyBorder="1" applyAlignment="1" applyProtection="1">
      <alignment horizontal="center" vertical="center"/>
    </xf>
    <xf numFmtId="172" fontId="11" fillId="0" borderId="76" xfId="0" applyNumberFormat="1" applyFont="1" applyBorder="1" applyAlignment="1" applyProtection="1">
      <alignment vertical="center"/>
    </xf>
    <xf numFmtId="172" fontId="11" fillId="0" borderId="63" xfId="0" applyNumberFormat="1" applyFont="1" applyBorder="1" applyAlignment="1" applyProtection="1">
      <alignment horizontal="center" vertical="center"/>
    </xf>
    <xf numFmtId="172" fontId="11" fillId="0" borderId="10" xfId="0" applyNumberFormat="1" applyFont="1" applyBorder="1" applyAlignment="1" applyProtection="1">
      <alignment horizontal="center" vertical="center"/>
    </xf>
    <xf numFmtId="3" fontId="18" fillId="0" borderId="76" xfId="0" applyNumberFormat="1" applyFont="1" applyFill="1" applyBorder="1" applyAlignment="1" applyProtection="1">
      <alignment vertical="center"/>
      <protection locked="0"/>
    </xf>
    <xf numFmtId="3" fontId="18" fillId="0" borderId="74" xfId="0" applyNumberFormat="1" applyFont="1" applyFill="1" applyBorder="1" applyAlignment="1" applyProtection="1">
      <alignment vertical="center"/>
      <protection locked="0"/>
    </xf>
    <xf numFmtId="0" fontId="11" fillId="65" borderId="96" xfId="40" applyFont="1" applyFill="1" applyBorder="1" applyAlignment="1" applyProtection="1">
      <alignment horizontal="center"/>
    </xf>
    <xf numFmtId="0" fontId="11" fillId="0" borderId="103" xfId="27" applyFont="1" applyBorder="1" applyAlignment="1" applyProtection="1">
      <alignment vertical="center"/>
    </xf>
    <xf numFmtId="0" fontId="11" fillId="0" borderId="104" xfId="27" applyFont="1" applyBorder="1" applyAlignment="1" applyProtection="1">
      <alignment vertical="center"/>
    </xf>
    <xf numFmtId="0" fontId="11" fillId="0" borderId="73" xfId="27" applyFont="1" applyBorder="1" applyAlignment="1" applyProtection="1">
      <alignment vertical="center"/>
    </xf>
    <xf numFmtId="0" fontId="12" fillId="75" borderId="72" xfId="176" applyFont="1" applyFill="1" applyBorder="1" applyAlignment="1" applyProtection="1">
      <alignment vertical="top"/>
    </xf>
    <xf numFmtId="0" fontId="15" fillId="0" borderId="0" xfId="180" applyFont="1" applyAlignment="1" applyProtection="1">
      <alignment horizontal="center"/>
    </xf>
    <xf numFmtId="0" fontId="11" fillId="0" borderId="0" xfId="180" applyFont="1" applyAlignment="1" applyProtection="1">
      <alignment horizontal="center"/>
    </xf>
    <xf numFmtId="0" fontId="11" fillId="0" borderId="0" xfId="180" applyFont="1" applyAlignment="1" applyProtection="1">
      <alignment horizontal="center" vertical="top"/>
    </xf>
    <xf numFmtId="0" fontId="11" fillId="0" borderId="61" xfId="180" applyFont="1" applyBorder="1" applyProtection="1"/>
    <xf numFmtId="0" fontId="22" fillId="0" borderId="61" xfId="180" applyFont="1" applyBorder="1" applyAlignment="1" applyProtection="1">
      <alignment horizontal="right"/>
    </xf>
    <xf numFmtId="0" fontId="11" fillId="0" borderId="0" xfId="180" applyFont="1" applyAlignment="1" applyProtection="1">
      <alignment wrapText="1"/>
    </xf>
    <xf numFmtId="0" fontId="11" fillId="0" borderId="0" xfId="180" quotePrefix="1" applyFont="1" applyAlignment="1" applyProtection="1">
      <alignment vertical="center"/>
    </xf>
    <xf numFmtId="0" fontId="81" fillId="0" borderId="0" xfId="180" quotePrefix="1" applyFont="1" applyAlignment="1" applyProtection="1">
      <alignment vertical="center"/>
    </xf>
    <xf numFmtId="0" fontId="121" fillId="0" borderId="0" xfId="176" applyFont="1" applyFill="1" applyBorder="1" applyAlignment="1" applyProtection="1"/>
    <xf numFmtId="0" fontId="11" fillId="75" borderId="92" xfId="176" applyFont="1" applyFill="1" applyBorder="1" applyAlignment="1" applyProtection="1">
      <alignment horizontal="right"/>
    </xf>
    <xf numFmtId="0" fontId="11" fillId="75" borderId="93" xfId="176" applyFont="1" applyFill="1" applyBorder="1" applyAlignment="1" applyProtection="1">
      <alignment horizontal="left"/>
    </xf>
    <xf numFmtId="0" fontId="11" fillId="75" borderId="94" xfId="176" applyFont="1" applyFill="1" applyBorder="1" applyAlignment="1" applyProtection="1">
      <alignment horizontal="right"/>
    </xf>
    <xf numFmtId="0" fontId="11" fillId="75" borderId="16" xfId="176" applyFont="1" applyFill="1" applyBorder="1" applyAlignment="1" applyProtection="1">
      <alignment horizontal="right"/>
    </xf>
    <xf numFmtId="0" fontId="11" fillId="0" borderId="0" xfId="176" applyFont="1" applyFill="1" applyProtection="1"/>
    <xf numFmtId="0" fontId="11" fillId="0" borderId="0" xfId="46" applyFont="1" applyFill="1" applyAlignment="1" applyProtection="1"/>
    <xf numFmtId="0" fontId="15" fillId="0" borderId="0" xfId="46" applyFont="1" applyFill="1" applyProtection="1"/>
    <xf numFmtId="0" fontId="11" fillId="0" borderId="92" xfId="176" applyFill="1" applyBorder="1" applyAlignment="1" applyProtection="1">
      <protection locked="0"/>
    </xf>
    <xf numFmtId="0" fontId="11" fillId="0" borderId="0" xfId="180" quotePrefix="1" applyFont="1" applyAlignment="1" applyProtection="1">
      <alignment horizontal="left" vertical="center" indent="3"/>
    </xf>
    <xf numFmtId="0" fontId="11" fillId="2" borderId="75" xfId="176" applyFont="1" applyFill="1" applyBorder="1" applyAlignment="1" applyProtection="1">
      <alignment horizontal="center"/>
      <protection locked="0"/>
    </xf>
    <xf numFmtId="0" fontId="11" fillId="75" borderId="95" xfId="176" applyFont="1" applyFill="1" applyBorder="1" applyAlignment="1" applyProtection="1">
      <alignment horizontal="left"/>
    </xf>
    <xf numFmtId="0" fontId="11" fillId="0" borderId="0" xfId="180" applyFont="1" applyAlignment="1" applyProtection="1">
      <alignment horizontal="left" vertical="center"/>
    </xf>
    <xf numFmtId="0" fontId="11" fillId="0" borderId="0" xfId="180" applyFont="1" applyAlignment="1" applyProtection="1">
      <alignment horizontal="right" vertical="center"/>
    </xf>
    <xf numFmtId="0" fontId="11" fillId="2" borderId="101" xfId="176" applyFont="1" applyFill="1" applyBorder="1" applyAlignment="1" applyProtection="1">
      <alignment horizontal="left"/>
      <protection locked="0"/>
    </xf>
    <xf numFmtId="49" fontId="11" fillId="2" borderId="77" xfId="176" applyNumberFormat="1" applyFill="1" applyBorder="1" applyAlignment="1" applyProtection="1">
      <alignment horizontal="center"/>
      <protection locked="0"/>
    </xf>
    <xf numFmtId="0" fontId="11" fillId="0" borderId="0" xfId="29" applyFont="1" applyFill="1" applyAlignment="1" applyProtection="1">
      <alignment horizontal="centerContinuous" vertical="center"/>
    </xf>
    <xf numFmtId="0" fontId="74" fillId="0" borderId="0" xfId="29" applyFont="1" applyFill="1" applyAlignment="1" applyProtection="1">
      <alignment horizontal="center" vertical="center"/>
    </xf>
    <xf numFmtId="0" fontId="26" fillId="0" borderId="0" xfId="46" applyFont="1" applyFill="1" applyBorder="1" applyAlignment="1" applyProtection="1">
      <alignment horizontal="center"/>
    </xf>
    <xf numFmtId="0" fontId="74" fillId="0" borderId="0" xfId="176" applyFont="1" applyFill="1" applyBorder="1" applyAlignment="1" applyProtection="1">
      <alignment horizontal="right" wrapText="1"/>
    </xf>
    <xf numFmtId="0" fontId="11" fillId="0" borderId="0" xfId="176" applyFill="1" applyBorder="1" applyAlignment="1" applyProtection="1">
      <alignment horizontal="left"/>
    </xf>
    <xf numFmtId="0" fontId="74" fillId="0" borderId="16" xfId="176" applyFont="1" applyFill="1" applyBorder="1" applyAlignment="1" applyProtection="1">
      <alignment horizontal="right" vertical="center" wrapText="1"/>
    </xf>
    <xf numFmtId="0" fontId="74" fillId="0" borderId="16" xfId="176" applyFont="1" applyFill="1" applyBorder="1" applyAlignment="1" applyProtection="1">
      <alignment horizontal="right" wrapText="1"/>
    </xf>
    <xf numFmtId="0" fontId="165" fillId="0" borderId="16" xfId="176" applyFont="1" applyFill="1" applyBorder="1" applyAlignment="1" applyProtection="1">
      <alignment horizontal="left" wrapText="1"/>
    </xf>
    <xf numFmtId="172" fontId="11" fillId="0" borderId="78" xfId="20" applyNumberFormat="1" applyFont="1" applyFill="1" applyBorder="1" applyAlignment="1" applyProtection="1">
      <alignment horizontal="left" vertical="center"/>
    </xf>
    <xf numFmtId="1" fontId="11" fillId="0" borderId="63" xfId="40" applyNumberFormat="1" applyFont="1" applyBorder="1" applyAlignment="1" applyProtection="1">
      <alignment horizontal="center" vertical="center"/>
    </xf>
    <xf numFmtId="0" fontId="15" fillId="0" borderId="9" xfId="43" applyFont="1" applyBorder="1" applyAlignment="1" applyProtection="1">
      <alignment horizontal="center" vertical="center" wrapText="1"/>
    </xf>
    <xf numFmtId="3" fontId="11" fillId="81" borderId="84" xfId="34" applyNumberFormat="1" applyFont="1" applyFill="1" applyBorder="1" applyAlignment="1" applyProtection="1">
      <protection locked="0"/>
    </xf>
    <xf numFmtId="3" fontId="11" fillId="82" borderId="84" xfId="34" applyNumberFormat="1" applyFont="1" applyFill="1" applyBorder="1" applyAlignment="1" applyProtection="1">
      <protection locked="0"/>
    </xf>
    <xf numFmtId="3" fontId="11" fillId="4" borderId="84" xfId="34" applyNumberFormat="1" applyFont="1" applyFill="1" applyBorder="1" applyAlignment="1" applyProtection="1">
      <protection locked="0"/>
    </xf>
    <xf numFmtId="3" fontId="11" fillId="5" borderId="84" xfId="34" applyNumberFormat="1" applyFont="1" applyFill="1" applyBorder="1" applyAlignment="1" applyProtection="1">
      <protection locked="0"/>
    </xf>
    <xf numFmtId="3" fontId="11" fillId="81" borderId="88" xfId="34" applyNumberFormat="1" applyFont="1" applyFill="1" applyBorder="1" applyAlignment="1" applyProtection="1">
      <protection locked="0"/>
    </xf>
    <xf numFmtId="3" fontId="11" fillId="82" borderId="88" xfId="34" applyNumberFormat="1" applyFont="1" applyFill="1" applyBorder="1" applyAlignment="1" applyProtection="1">
      <protection locked="0"/>
    </xf>
    <xf numFmtId="3" fontId="11" fillId="4" borderId="88" xfId="34" applyNumberFormat="1" applyFont="1" applyFill="1" applyBorder="1" applyAlignment="1" applyProtection="1">
      <protection locked="0"/>
    </xf>
    <xf numFmtId="3" fontId="11" fillId="5" borderId="88" xfId="34" applyNumberFormat="1" applyFont="1" applyFill="1" applyBorder="1" applyAlignment="1" applyProtection="1">
      <protection locked="0"/>
    </xf>
    <xf numFmtId="3" fontId="15" fillId="81" borderId="63" xfId="34" applyNumberFormat="1" applyFont="1" applyFill="1" applyBorder="1" applyAlignment="1" applyProtection="1">
      <protection locked="0"/>
    </xf>
    <xf numFmtId="3" fontId="15" fillId="82" borderId="63" xfId="34" applyNumberFormat="1" applyFont="1" applyFill="1" applyBorder="1" applyAlignment="1" applyProtection="1">
      <protection locked="0"/>
    </xf>
    <xf numFmtId="3" fontId="15" fillId="4" borderId="63" xfId="34" applyNumberFormat="1" applyFont="1" applyFill="1" applyBorder="1" applyAlignment="1" applyProtection="1">
      <protection locked="0"/>
    </xf>
    <xf numFmtId="3" fontId="15" fillId="5" borderId="63" xfId="34" applyNumberFormat="1" applyFont="1" applyFill="1" applyBorder="1" applyAlignment="1" applyProtection="1">
      <protection locked="0"/>
    </xf>
    <xf numFmtId="168" fontId="81" fillId="0" borderId="0" xfId="22" applyNumberFormat="1" applyFont="1" applyAlignment="1" applyProtection="1">
      <alignment horizontal="left" vertical="top"/>
    </xf>
    <xf numFmtId="1" fontId="18" fillId="0" borderId="75" xfId="0" applyNumberFormat="1" applyFont="1" applyBorder="1" applyAlignment="1" applyProtection="1">
      <alignment horizontal="left" vertical="center"/>
    </xf>
    <xf numFmtId="3" fontId="11" fillId="0" borderId="7" xfId="40" applyNumberFormat="1" applyFont="1" applyFill="1" applyBorder="1" applyAlignment="1" applyProtection="1">
      <alignment vertical="center"/>
    </xf>
    <xf numFmtId="0" fontId="11" fillId="0" borderId="0" xfId="29" applyFont="1" applyFill="1" applyAlignment="1" applyProtection="1">
      <alignment vertical="center"/>
    </xf>
    <xf numFmtId="0" fontId="11" fillId="11" borderId="100" xfId="33" applyFont="1" applyFill="1" applyBorder="1" applyAlignment="1" applyProtection="1">
      <alignment vertical="center"/>
      <protection locked="0"/>
    </xf>
    <xf numFmtId="0" fontId="11" fillId="11" borderId="100" xfId="33" applyFont="1" applyFill="1" applyBorder="1" applyAlignment="1" applyProtection="1">
      <alignment horizontal="right" vertical="center"/>
      <protection locked="0"/>
    </xf>
    <xf numFmtId="3" fontId="11" fillId="11" borderId="100" xfId="33" applyNumberFormat="1" applyFont="1" applyFill="1" applyBorder="1" applyAlignment="1" applyProtection="1">
      <alignment vertical="center"/>
      <protection locked="0"/>
    </xf>
    <xf numFmtId="0" fontId="11" fillId="11" borderId="100" xfId="40" applyFont="1" applyFill="1" applyBorder="1" applyAlignment="1" applyProtection="1">
      <alignment vertical="center"/>
      <protection locked="0"/>
    </xf>
    <xf numFmtId="0" fontId="11" fillId="11" borderId="100" xfId="40" applyFont="1" applyFill="1" applyBorder="1" applyAlignment="1" applyProtection="1">
      <alignment horizontal="center" vertical="center"/>
      <protection locked="0"/>
    </xf>
    <xf numFmtId="0" fontId="11" fillId="11" borderId="97" xfId="33" applyFont="1" applyFill="1" applyBorder="1" applyAlignment="1" applyProtection="1">
      <alignment vertical="center"/>
      <protection locked="0"/>
    </xf>
    <xf numFmtId="3" fontId="11" fillId="0" borderId="76" xfId="45" applyNumberFormat="1" applyFont="1" applyFill="1" applyBorder="1" applyAlignment="1" applyProtection="1">
      <alignment horizontal="center" vertical="center"/>
    </xf>
    <xf numFmtId="10" fontId="73" fillId="0" borderId="0" xfId="47" applyNumberFormat="1" applyFont="1" applyProtection="1"/>
    <xf numFmtId="3" fontId="11" fillId="0" borderId="63" xfId="16" applyNumberFormat="1" applyFont="1" applyFill="1" applyBorder="1" applyAlignment="1" applyProtection="1"/>
    <xf numFmtId="3" fontId="11" fillId="2" borderId="63" xfId="16" applyNumberFormat="1" applyFont="1" applyFill="1" applyBorder="1" applyAlignment="1" applyProtection="1">
      <protection locked="0"/>
    </xf>
    <xf numFmtId="3" fontId="11" fillId="2" borderId="63" xfId="20" applyNumberFormat="1" applyFont="1" applyFill="1" applyBorder="1" applyAlignment="1" applyProtection="1">
      <protection locked="0"/>
    </xf>
    <xf numFmtId="3" fontId="11" fillId="0" borderId="7" xfId="40" applyNumberFormat="1" applyFont="1" applyBorder="1" applyAlignment="1" applyProtection="1">
      <alignment horizontal="right"/>
    </xf>
    <xf numFmtId="171" fontId="11" fillId="0" borderId="63" xfId="35" applyNumberFormat="1" applyFont="1" applyBorder="1" applyAlignment="1" applyProtection="1">
      <alignment horizontal="center" vertical="center"/>
    </xf>
    <xf numFmtId="0" fontId="15" fillId="0" borderId="61" xfId="34" applyFont="1" applyBorder="1" applyAlignment="1" applyProtection="1">
      <alignment horizontal="center"/>
    </xf>
    <xf numFmtId="171" fontId="11" fillId="0" borderId="63" xfId="34" applyNumberFormat="1" applyFont="1" applyBorder="1" applyAlignment="1" applyProtection="1">
      <alignment horizontal="center" vertical="center"/>
    </xf>
    <xf numFmtId="3" fontId="11" fillId="0" borderId="0" xfId="45" applyNumberFormat="1" applyFont="1" applyFill="1" applyBorder="1" applyAlignment="1" applyProtection="1">
      <alignment horizontal="center" vertical="center"/>
    </xf>
    <xf numFmtId="3" fontId="11" fillId="0" borderId="73" xfId="45" applyNumberFormat="1" applyFont="1" applyFill="1" applyBorder="1" applyAlignment="1" applyProtection="1">
      <alignment horizontal="center" vertical="center"/>
    </xf>
    <xf numFmtId="172" fontId="11" fillId="0" borderId="63" xfId="12" applyNumberFormat="1" applyFont="1" applyBorder="1" applyAlignment="1" applyProtection="1">
      <alignment horizontal="left" vertical="center"/>
    </xf>
    <xf numFmtId="3" fontId="18" fillId="0" borderId="0" xfId="11" applyNumberFormat="1" applyFont="1" applyFill="1" applyBorder="1" applyAlignment="1" applyProtection="1">
      <alignment horizontal="right" vertical="center"/>
    </xf>
    <xf numFmtId="3" fontId="18" fillId="0" borderId="0" xfId="13" applyNumberFormat="1" applyFont="1" applyFill="1" applyBorder="1" applyAlignment="1" applyProtection="1">
      <alignment horizontal="right" vertical="center"/>
    </xf>
    <xf numFmtId="3" fontId="18" fillId="0" borderId="0" xfId="15" applyNumberFormat="1" applyFont="1" applyFill="1" applyBorder="1" applyAlignment="1" applyProtection="1">
      <alignment horizontal="right" vertical="center"/>
    </xf>
    <xf numFmtId="0" fontId="11" fillId="11" borderId="100" xfId="40" applyFont="1" applyFill="1" applyBorder="1" applyProtection="1">
      <protection locked="0"/>
    </xf>
    <xf numFmtId="0" fontId="11" fillId="11" borderId="100" xfId="40" applyFont="1" applyFill="1" applyBorder="1" applyAlignment="1" applyProtection="1">
      <alignment vertical="top"/>
      <protection locked="0"/>
    </xf>
    <xf numFmtId="0" fontId="20" fillId="11" borderId="100" xfId="40" applyFont="1" applyFill="1" applyBorder="1" applyAlignment="1" applyProtection="1">
      <alignment vertical="top"/>
      <protection locked="0"/>
    </xf>
    <xf numFmtId="0" fontId="81" fillId="11" borderId="100" xfId="40" applyFont="1" applyFill="1" applyBorder="1" applyAlignment="1" applyProtection="1">
      <alignment vertical="top"/>
      <protection locked="0"/>
    </xf>
    <xf numFmtId="0" fontId="11" fillId="11" borderId="97" xfId="40" applyFont="1" applyFill="1" applyBorder="1" applyAlignment="1" applyProtection="1">
      <alignment vertical="top"/>
      <protection locked="0"/>
    </xf>
    <xf numFmtId="49" fontId="154" fillId="0" borderId="0" xfId="0" applyNumberFormat="1" applyFont="1" applyBorder="1" applyAlignment="1" applyProtection="1">
      <alignment horizontal="left" vertical="center" wrapText="1"/>
    </xf>
    <xf numFmtId="0" fontId="11" fillId="0" borderId="78" xfId="46" applyFont="1" applyFill="1" applyBorder="1" applyAlignment="1" applyProtection="1">
      <alignment horizontal="center"/>
    </xf>
    <xf numFmtId="0" fontId="30" fillId="0" borderId="0" xfId="46" applyFont="1" applyFill="1" applyBorder="1" applyAlignment="1" applyProtection="1">
      <alignment horizontal="center" vertical="center"/>
    </xf>
    <xf numFmtId="193" fontId="11" fillId="0" borderId="102" xfId="46" applyNumberFormat="1" applyFont="1" applyFill="1" applyBorder="1" applyAlignment="1" applyProtection="1">
      <alignment horizontal="right" vertical="center"/>
    </xf>
    <xf numFmtId="168" fontId="11" fillId="0" borderId="102" xfId="46" applyNumberFormat="1" applyFont="1" applyFill="1" applyBorder="1" applyAlignment="1" applyProtection="1">
      <alignment horizontal="right" vertical="center"/>
    </xf>
    <xf numFmtId="168" fontId="11" fillId="0" borderId="101" xfId="46" applyNumberFormat="1" applyFont="1" applyFill="1" applyBorder="1" applyAlignment="1" applyProtection="1">
      <alignment horizontal="right" vertical="center"/>
    </xf>
    <xf numFmtId="168" fontId="11" fillId="0" borderId="72" xfId="46" applyNumberFormat="1" applyFont="1" applyFill="1" applyBorder="1" applyAlignment="1" applyProtection="1">
      <alignment horizontal="right" vertical="center"/>
    </xf>
    <xf numFmtId="193" fontId="11" fillId="0" borderId="75" xfId="46" applyNumberFormat="1" applyFont="1" applyFill="1" applyBorder="1" applyAlignment="1" applyProtection="1">
      <alignment horizontal="right" vertical="center"/>
    </xf>
    <xf numFmtId="0" fontId="18" fillId="0" borderId="78" xfId="46" applyFont="1" applyFill="1" applyBorder="1" applyAlignment="1" applyProtection="1">
      <alignment horizontal="center" vertical="center"/>
    </xf>
    <xf numFmtId="0" fontId="18" fillId="0" borderId="103" xfId="46" applyFont="1" applyFill="1" applyBorder="1" applyAlignment="1" applyProtection="1">
      <alignment horizontal="center" vertical="center"/>
    </xf>
    <xf numFmtId="0" fontId="18" fillId="0" borderId="77" xfId="46" applyFont="1" applyFill="1" applyBorder="1" applyAlignment="1" applyProtection="1">
      <alignment horizontal="center" vertical="center"/>
    </xf>
    <xf numFmtId="0" fontId="18" fillId="0" borderId="125" xfId="46" applyFont="1" applyFill="1" applyBorder="1" applyAlignment="1" applyProtection="1">
      <alignment horizontal="center" vertical="center"/>
    </xf>
    <xf numFmtId="0" fontId="18" fillId="0" borderId="113" xfId="46" applyFont="1" applyFill="1" applyBorder="1" applyAlignment="1" applyProtection="1">
      <alignment horizontal="center" vertical="center"/>
    </xf>
    <xf numFmtId="0" fontId="15" fillId="0" borderId="61" xfId="46" applyFont="1" applyFill="1" applyBorder="1" applyAlignment="1" applyProtection="1">
      <alignment horizontal="center"/>
    </xf>
    <xf numFmtId="0" fontId="11" fillId="0" borderId="72" xfId="46" applyFont="1" applyFill="1" applyBorder="1" applyAlignment="1" applyProtection="1">
      <alignment horizontal="center" vertical="center"/>
    </xf>
    <xf numFmtId="0" fontId="15" fillId="0" borderId="77" xfId="46" applyFont="1" applyFill="1" applyBorder="1" applyAlignment="1" applyProtection="1">
      <alignment horizontal="left"/>
    </xf>
    <xf numFmtId="0" fontId="11" fillId="0" borderId="65" xfId="46" applyFont="1" applyFill="1" applyBorder="1" applyAlignment="1" applyProtection="1">
      <alignment horizontal="left" vertical="center" indent="2"/>
    </xf>
    <xf numFmtId="0" fontId="18" fillId="0" borderId="65" xfId="46" applyFont="1" applyFill="1" applyBorder="1" applyAlignment="1" applyProtection="1">
      <alignment horizontal="center" vertical="center"/>
    </xf>
    <xf numFmtId="0" fontId="18" fillId="0" borderId="128" xfId="46" applyFont="1" applyFill="1" applyBorder="1" applyAlignment="1" applyProtection="1">
      <alignment horizontal="center" vertical="center"/>
    </xf>
    <xf numFmtId="0" fontId="15" fillId="0" borderId="125" xfId="46" applyFont="1" applyFill="1" applyBorder="1" applyAlignment="1" applyProtection="1">
      <alignment horizontal="left" vertical="center"/>
    </xf>
    <xf numFmtId="172" fontId="18" fillId="0" borderId="78" xfId="46" applyNumberFormat="1" applyFont="1" applyFill="1" applyBorder="1" applyAlignment="1" applyProtection="1">
      <alignment horizontal="center" vertical="center"/>
    </xf>
    <xf numFmtId="172" fontId="11" fillId="0" borderId="78" xfId="46" applyNumberFormat="1" applyFont="1" applyFill="1" applyBorder="1" applyAlignment="1" applyProtection="1">
      <alignment horizontal="left" vertical="center" indent="2"/>
    </xf>
    <xf numFmtId="0" fontId="11" fillId="0" borderId="78" xfId="46" applyFont="1" applyFill="1" applyBorder="1" applyAlignment="1" applyProtection="1">
      <alignment horizontal="left" vertical="center" indent="2"/>
    </xf>
    <xf numFmtId="0" fontId="11" fillId="0" borderId="78" xfId="46" applyFont="1" applyFill="1" applyBorder="1" applyAlignment="1" applyProtection="1">
      <alignment horizontal="left" vertical="center" indent="1"/>
    </xf>
    <xf numFmtId="0" fontId="11" fillId="0" borderId="113" xfId="46" applyFont="1" applyFill="1" applyBorder="1" applyAlignment="1" applyProtection="1">
      <alignment horizontal="left" vertical="center" indent="1"/>
    </xf>
    <xf numFmtId="172" fontId="15" fillId="0" borderId="76" xfId="46" applyNumberFormat="1" applyFont="1" applyFill="1" applyBorder="1" applyAlignment="1" applyProtection="1">
      <alignment horizontal="center"/>
    </xf>
    <xf numFmtId="172" fontId="18" fillId="0" borderId="75" xfId="46" applyNumberFormat="1" applyFont="1" applyFill="1" applyBorder="1" applyAlignment="1" applyProtection="1">
      <alignment horizontal="center" vertical="center"/>
    </xf>
    <xf numFmtId="172" fontId="18" fillId="0" borderId="63" xfId="46" applyNumberFormat="1" applyFont="1" applyFill="1" applyBorder="1" applyAlignment="1" applyProtection="1">
      <alignment horizontal="center" vertical="center"/>
    </xf>
    <xf numFmtId="0" fontId="18" fillId="0" borderId="63" xfId="46" applyFont="1" applyFill="1" applyBorder="1" applyAlignment="1" applyProtection="1">
      <alignment horizontal="center" vertical="center"/>
    </xf>
    <xf numFmtId="0" fontId="18" fillId="0" borderId="65" xfId="46" applyFont="1" applyFill="1" applyBorder="1" applyAlignment="1" applyProtection="1">
      <alignment horizontal="left" vertical="center" indent="2"/>
    </xf>
    <xf numFmtId="0" fontId="18" fillId="0" borderId="78" xfId="46" applyFont="1" applyFill="1" applyBorder="1" applyAlignment="1" applyProtection="1">
      <alignment horizontal="left" vertical="center" indent="2"/>
    </xf>
    <xf numFmtId="0" fontId="11" fillId="0" borderId="113" xfId="46" applyFont="1" applyFill="1" applyBorder="1" applyAlignment="1" applyProtection="1">
      <alignment horizontal="left" vertical="center" indent="2"/>
    </xf>
    <xf numFmtId="0" fontId="11" fillId="0" borderId="127" xfId="46" applyFont="1" applyFill="1" applyBorder="1" applyAlignment="1" applyProtection="1">
      <alignment horizontal="left" vertical="center" indent="2"/>
    </xf>
    <xf numFmtId="172" fontId="15" fillId="0" borderId="77" xfId="46" applyNumberFormat="1" applyFont="1" applyFill="1" applyBorder="1" applyAlignment="1" applyProtection="1">
      <alignment horizontal="left"/>
    </xf>
    <xf numFmtId="172" fontId="11" fillId="0" borderId="65" xfId="46" applyNumberFormat="1" applyFont="1" applyFill="1" applyBorder="1" applyAlignment="1" applyProtection="1">
      <alignment horizontal="left" vertical="center" indent="2"/>
    </xf>
    <xf numFmtId="0" fontId="11" fillId="0" borderId="78" xfId="46" applyFont="1" applyFill="1" applyBorder="1" applyAlignment="1" applyProtection="1">
      <alignment horizontal="left" vertical="center"/>
    </xf>
    <xf numFmtId="0" fontId="15" fillId="0" borderId="65" xfId="46" applyFont="1" applyFill="1" applyBorder="1" applyAlignment="1" applyProtection="1">
      <alignment horizontal="left"/>
    </xf>
    <xf numFmtId="0" fontId="18" fillId="0" borderId="78" xfId="46" applyFont="1" applyFill="1" applyBorder="1" applyAlignment="1" applyProtection="1">
      <alignment horizontal="left"/>
    </xf>
    <xf numFmtId="0" fontId="15" fillId="0" borderId="72" xfId="46" applyFont="1" applyFill="1" applyBorder="1" applyAlignment="1" applyProtection="1">
      <alignment horizontal="center"/>
    </xf>
    <xf numFmtId="193" fontId="11" fillId="0" borderId="101" xfId="46" applyNumberFormat="1" applyFont="1" applyFill="1" applyBorder="1" applyAlignment="1" applyProtection="1">
      <alignment horizontal="right" vertical="center"/>
    </xf>
    <xf numFmtId="0" fontId="11" fillId="0" borderId="77" xfId="46" applyFont="1" applyFill="1" applyBorder="1" applyAlignment="1" applyProtection="1">
      <alignment horizontal="center" vertical="top"/>
    </xf>
    <xf numFmtId="0" fontId="18" fillId="0" borderId="72" xfId="46" applyFont="1" applyFill="1" applyBorder="1" applyAlignment="1" applyProtection="1">
      <alignment horizontal="center" vertical="top"/>
    </xf>
    <xf numFmtId="0" fontId="18" fillId="0" borderId="101" xfId="46" applyFont="1" applyFill="1" applyBorder="1" applyAlignment="1" applyProtection="1">
      <alignment horizontal="center"/>
    </xf>
    <xf numFmtId="0" fontId="18" fillId="0" borderId="125" xfId="46" applyFont="1" applyFill="1" applyBorder="1" applyAlignment="1" applyProtection="1">
      <alignment horizontal="center"/>
    </xf>
    <xf numFmtId="0" fontId="18" fillId="0" borderId="123" xfId="46" applyFont="1" applyFill="1" applyBorder="1" applyAlignment="1" applyProtection="1">
      <alignment horizontal="center" vertical="center"/>
    </xf>
    <xf numFmtId="0" fontId="15" fillId="0" borderId="77" xfId="46" applyFont="1" applyFill="1" applyBorder="1" applyAlignment="1" applyProtection="1">
      <alignment horizontal="center"/>
    </xf>
    <xf numFmtId="0" fontId="15" fillId="0" borderId="76" xfId="46" applyFont="1" applyFill="1" applyBorder="1" applyAlignment="1" applyProtection="1">
      <alignment horizontal="center"/>
    </xf>
    <xf numFmtId="0" fontId="18" fillId="0" borderId="78" xfId="46" applyFont="1" applyFill="1" applyBorder="1" applyAlignment="1" applyProtection="1">
      <alignment horizontal="left" vertical="center"/>
    </xf>
    <xf numFmtId="0" fontId="11" fillId="0" borderId="77" xfId="46" applyFont="1" applyFill="1" applyBorder="1" applyAlignment="1" applyProtection="1">
      <alignment horizontal="left" vertical="center"/>
    </xf>
    <xf numFmtId="0" fontId="18" fillId="0" borderId="113" xfId="46" applyFont="1" applyFill="1" applyBorder="1" applyAlignment="1" applyProtection="1">
      <alignment horizontal="left" vertical="center" indent="2"/>
    </xf>
    <xf numFmtId="0" fontId="15" fillId="0" borderId="123" xfId="46" applyFont="1" applyFill="1" applyBorder="1" applyAlignment="1" applyProtection="1">
      <alignment horizontal="left" vertical="center" indent="1"/>
    </xf>
    <xf numFmtId="0" fontId="15" fillId="0" borderId="125" xfId="46" applyFont="1" applyFill="1" applyBorder="1" applyAlignment="1" applyProtection="1">
      <alignment horizontal="left"/>
    </xf>
    <xf numFmtId="0" fontId="11" fillId="0" borderId="78" xfId="33" applyFont="1" applyBorder="1" applyAlignment="1" applyProtection="1">
      <alignment horizontal="left" vertical="center" wrapText="1" indent="2"/>
    </xf>
    <xf numFmtId="0" fontId="11" fillId="0" borderId="76" xfId="33" applyFont="1" applyBorder="1" applyAlignment="1" applyProtection="1">
      <alignment horizontal="left" vertical="center"/>
    </xf>
    <xf numFmtId="0" fontId="11" fillId="0" borderId="0" xfId="33" applyFont="1" applyFill="1" applyBorder="1" applyAlignment="1" applyProtection="1">
      <alignment vertical="center"/>
    </xf>
    <xf numFmtId="0" fontId="11" fillId="0" borderId="61" xfId="33" applyFont="1" applyFill="1" applyBorder="1" applyAlignment="1" applyProtection="1">
      <alignment vertical="center"/>
    </xf>
    <xf numFmtId="3" fontId="11" fillId="11" borderId="102" xfId="33" applyNumberFormat="1" applyFont="1" applyFill="1" applyBorder="1" applyAlignment="1" applyProtection="1">
      <alignment horizontal="right" vertical="center"/>
      <protection locked="0"/>
    </xf>
    <xf numFmtId="0" fontId="15" fillId="0" borderId="65" xfId="33" applyFont="1" applyFill="1" applyBorder="1" applyAlignment="1" applyProtection="1">
      <alignment vertical="center"/>
    </xf>
    <xf numFmtId="0" fontId="11" fillId="0" borderId="73" xfId="33" applyFont="1" applyFill="1" applyBorder="1" applyAlignment="1" applyProtection="1">
      <alignment vertical="center"/>
    </xf>
    <xf numFmtId="0" fontId="11" fillId="0" borderId="64" xfId="33" applyFont="1" applyFill="1" applyBorder="1" applyAlignment="1" applyProtection="1">
      <alignment vertical="center"/>
    </xf>
    <xf numFmtId="171" fontId="18" fillId="0" borderId="0" xfId="0" applyNumberFormat="1" applyFont="1" applyBorder="1" applyAlignment="1" applyProtection="1">
      <alignment horizontal="center" vertical="center"/>
    </xf>
    <xf numFmtId="0" fontId="22" fillId="0" borderId="77" xfId="33" applyFont="1" applyBorder="1" applyAlignment="1" applyProtection="1">
      <alignment vertical="top"/>
      <protection locked="0"/>
    </xf>
    <xf numFmtId="172" fontId="11" fillId="0" borderId="72" xfId="33" applyNumberFormat="1" applyFont="1" applyBorder="1" applyAlignment="1" applyProtection="1">
      <alignment horizontal="center" vertical="center"/>
    </xf>
    <xf numFmtId="171" fontId="18" fillId="0" borderId="72" xfId="0" applyNumberFormat="1" applyFont="1" applyBorder="1" applyAlignment="1" applyProtection="1">
      <alignment horizontal="center" vertical="center"/>
    </xf>
    <xf numFmtId="171" fontId="18" fillId="0" borderId="74" xfId="0" applyNumberFormat="1" applyFont="1" applyBorder="1" applyAlignment="1" applyProtection="1">
      <alignment horizontal="center" vertical="center"/>
    </xf>
    <xf numFmtId="0" fontId="15" fillId="0" borderId="61" xfId="33" applyFont="1" applyFill="1" applyBorder="1" applyAlignment="1" applyProtection="1">
      <alignment horizontal="center" vertical="center"/>
    </xf>
    <xf numFmtId="0" fontId="15" fillId="0" borderId="64" xfId="33" applyFont="1" applyFill="1" applyBorder="1" applyAlignment="1" applyProtection="1">
      <alignment horizontal="center" vertical="center"/>
    </xf>
    <xf numFmtId="0" fontId="11" fillId="0" borderId="78" xfId="33" applyFont="1" applyFill="1" applyBorder="1" applyAlignment="1" applyProtection="1">
      <alignment horizontal="left" vertical="center" wrapText="1" indent="3"/>
    </xf>
    <xf numFmtId="172" fontId="18" fillId="0" borderId="103" xfId="0" applyNumberFormat="1" applyFont="1" applyBorder="1" applyAlignment="1" applyProtection="1">
      <alignment horizontal="center" vertical="center"/>
    </xf>
    <xf numFmtId="0" fontId="18" fillId="0" borderId="77" xfId="0" applyFont="1" applyBorder="1" applyAlignment="1" applyProtection="1">
      <alignment horizontal="center" vertical="center"/>
    </xf>
    <xf numFmtId="172" fontId="18" fillId="0" borderId="72" xfId="0" applyNumberFormat="1" applyFont="1" applyBorder="1" applyAlignment="1" applyProtection="1">
      <alignment horizontal="center" vertical="center"/>
    </xf>
    <xf numFmtId="0" fontId="15" fillId="0" borderId="65" xfId="0" applyFont="1" applyBorder="1" applyAlignment="1" applyProtection="1">
      <alignment vertical="center"/>
    </xf>
    <xf numFmtId="0" fontId="15" fillId="0" borderId="61" xfId="0" applyFont="1" applyBorder="1" applyAlignment="1" applyProtection="1">
      <alignment vertical="center"/>
    </xf>
    <xf numFmtId="0" fontId="15" fillId="0" borderId="64" xfId="0" applyFont="1" applyBorder="1" applyAlignment="1" applyProtection="1">
      <alignment vertical="center"/>
    </xf>
    <xf numFmtId="0" fontId="18" fillId="0" borderId="72" xfId="0" applyFont="1" applyBorder="1" applyAlignment="1" applyProtection="1">
      <alignment vertical="top"/>
    </xf>
    <xf numFmtId="0" fontId="18" fillId="0" borderId="73" xfId="0" applyFont="1" applyBorder="1" applyAlignment="1" applyProtection="1">
      <alignment vertical="top"/>
    </xf>
    <xf numFmtId="172" fontId="11" fillId="0" borderId="0" xfId="12" applyNumberFormat="1" applyFont="1" applyBorder="1" applyAlignment="1" applyProtection="1">
      <alignment vertical="center"/>
    </xf>
    <xf numFmtId="172" fontId="11" fillId="0" borderId="72" xfId="12" applyNumberFormat="1" applyFont="1" applyBorder="1" applyAlignment="1" applyProtection="1">
      <alignment vertical="center"/>
    </xf>
    <xf numFmtId="172" fontId="15" fillId="0" borderId="65" xfId="12" applyNumberFormat="1" applyFont="1" applyBorder="1" applyAlignment="1" applyProtection="1">
      <alignment vertical="center"/>
    </xf>
    <xf numFmtId="172" fontId="15" fillId="0" borderId="61" xfId="12" applyNumberFormat="1" applyFont="1" applyBorder="1" applyAlignment="1" applyProtection="1">
      <alignment vertical="center"/>
    </xf>
    <xf numFmtId="172" fontId="15" fillId="0" borderId="64" xfId="12" applyNumberFormat="1" applyFont="1" applyBorder="1" applyAlignment="1" applyProtection="1">
      <alignment vertical="center"/>
    </xf>
    <xf numFmtId="172" fontId="11" fillId="0" borderId="73" xfId="12" applyNumberFormat="1" applyFont="1" applyBorder="1" applyAlignment="1" applyProtection="1">
      <alignment vertical="center"/>
    </xf>
    <xf numFmtId="0" fontId="11" fillId="0" borderId="76" xfId="12" applyFont="1" applyBorder="1" applyAlignment="1" applyProtection="1">
      <alignment horizontal="left" vertical="center"/>
    </xf>
    <xf numFmtId="0" fontId="11" fillId="0" borderId="72" xfId="12" applyFont="1" applyFill="1" applyBorder="1" applyAlignment="1" applyProtection="1">
      <alignment horizontal="left" vertical="center"/>
    </xf>
    <xf numFmtId="0" fontId="11" fillId="0" borderId="72" xfId="12" applyFont="1" applyFill="1" applyBorder="1" applyAlignment="1" applyProtection="1">
      <alignment horizontal="center" vertical="center"/>
    </xf>
    <xf numFmtId="3" fontId="11" fillId="0" borderId="72" xfId="12" applyNumberFormat="1" applyFont="1" applyFill="1" applyBorder="1" applyAlignment="1" applyProtection="1">
      <alignment vertical="center"/>
    </xf>
    <xf numFmtId="3" fontId="11" fillId="0" borderId="72" xfId="45" applyNumberFormat="1" applyFont="1" applyFill="1" applyBorder="1" applyAlignment="1" applyProtection="1">
      <alignment horizontal="center" vertical="center"/>
    </xf>
    <xf numFmtId="172" fontId="11" fillId="0" borderId="76" xfId="45" applyNumberFormat="1" applyFont="1" applyBorder="1" applyAlignment="1" applyProtection="1">
      <alignment horizontal="center" vertical="center"/>
    </xf>
    <xf numFmtId="3" fontId="11" fillId="2" borderId="76" xfId="45" applyNumberFormat="1" applyFont="1" applyFill="1" applyBorder="1" applyAlignment="1" applyProtection="1">
      <alignment vertical="center"/>
      <protection locked="0"/>
    </xf>
    <xf numFmtId="172" fontId="11" fillId="0" borderId="0" xfId="45" applyNumberFormat="1" applyFont="1" applyBorder="1" applyAlignment="1" applyProtection="1">
      <alignment vertical="center"/>
    </xf>
    <xf numFmtId="172" fontId="11" fillId="0" borderId="72" xfId="45" applyNumberFormat="1" applyFont="1" applyBorder="1" applyAlignment="1" applyProtection="1">
      <alignment vertical="center"/>
    </xf>
    <xf numFmtId="172" fontId="15" fillId="0" borderId="65" xfId="45" applyNumberFormat="1" applyFont="1" applyBorder="1" applyAlignment="1" applyProtection="1">
      <alignment vertical="center"/>
    </xf>
    <xf numFmtId="172" fontId="15" fillId="0" borderId="61" xfId="45" applyNumberFormat="1" applyFont="1" applyBorder="1" applyAlignment="1" applyProtection="1">
      <alignment vertical="center"/>
    </xf>
    <xf numFmtId="172" fontId="15" fillId="0" borderId="64" xfId="45" applyNumberFormat="1" applyFont="1" applyBorder="1" applyAlignment="1" applyProtection="1">
      <alignment vertical="center"/>
    </xf>
    <xf numFmtId="3" fontId="11" fillId="0" borderId="77" xfId="45" applyNumberFormat="1" applyFont="1" applyFill="1" applyBorder="1" applyAlignment="1" applyProtection="1">
      <alignment vertical="center"/>
    </xf>
    <xf numFmtId="0" fontId="15" fillId="3" borderId="76" xfId="45" applyFont="1" applyFill="1" applyBorder="1" applyAlignment="1" applyProtection="1">
      <alignment horizontal="left" vertical="center"/>
    </xf>
    <xf numFmtId="0" fontId="15" fillId="0" borderId="72" xfId="45" applyFont="1" applyFill="1" applyBorder="1" applyAlignment="1" applyProtection="1">
      <alignment vertical="center"/>
    </xf>
    <xf numFmtId="0" fontId="15" fillId="0" borderId="65" xfId="45" applyFont="1" applyBorder="1" applyAlignment="1" applyProtection="1">
      <alignment vertical="center"/>
    </xf>
    <xf numFmtId="0" fontId="15" fillId="0" borderId="61" xfId="45" applyFont="1" applyBorder="1" applyAlignment="1" applyProtection="1">
      <alignment vertical="center"/>
    </xf>
    <xf numFmtId="0" fontId="15" fillId="0" borderId="64" xfId="45" applyFont="1" applyBorder="1" applyAlignment="1" applyProtection="1">
      <alignment vertical="center"/>
    </xf>
    <xf numFmtId="172" fontId="11" fillId="0" borderId="76" xfId="44" applyNumberFormat="1" applyFont="1" applyBorder="1" applyAlignment="1" applyProtection="1">
      <alignment horizontal="center" vertical="center"/>
    </xf>
    <xf numFmtId="3" fontId="11" fillId="2" borderId="76" xfId="44" applyNumberFormat="1" applyFont="1" applyFill="1" applyBorder="1" applyAlignment="1" applyProtection="1">
      <alignment vertical="center"/>
      <protection locked="0"/>
    </xf>
    <xf numFmtId="172" fontId="11" fillId="0" borderId="0" xfId="44" applyNumberFormat="1" applyFont="1" applyBorder="1" applyAlignment="1" applyProtection="1">
      <alignment vertical="center"/>
    </xf>
    <xf numFmtId="172" fontId="11" fillId="0" borderId="77" xfId="44" applyNumberFormat="1" applyFont="1" applyBorder="1" applyAlignment="1" applyProtection="1">
      <alignment vertical="center"/>
    </xf>
    <xf numFmtId="172" fontId="11" fillId="0" borderId="72" xfId="44" applyNumberFormat="1" applyFont="1" applyBorder="1" applyAlignment="1" applyProtection="1">
      <alignment vertical="center"/>
    </xf>
    <xf numFmtId="172" fontId="15" fillId="0" borderId="65" xfId="44" applyNumberFormat="1" applyFont="1" applyBorder="1" applyAlignment="1" applyProtection="1">
      <alignment vertical="center"/>
    </xf>
    <xf numFmtId="172" fontId="15" fillId="0" borderId="61" xfId="44" applyNumberFormat="1" applyFont="1" applyBorder="1" applyAlignment="1" applyProtection="1">
      <alignment vertical="center"/>
    </xf>
    <xf numFmtId="172" fontId="15" fillId="0" borderId="64" xfId="44" applyNumberFormat="1" applyFont="1" applyBorder="1" applyAlignment="1" applyProtection="1">
      <alignment vertical="center"/>
    </xf>
    <xf numFmtId="3" fontId="11" fillId="0" borderId="77" xfId="44" applyNumberFormat="1" applyFont="1" applyFill="1" applyBorder="1" applyAlignment="1" applyProtection="1">
      <alignment vertical="center"/>
    </xf>
    <xf numFmtId="0" fontId="15" fillId="0" borderId="76" xfId="44" applyFont="1" applyBorder="1" applyAlignment="1" applyProtection="1">
      <alignment horizontal="center" vertical="center"/>
    </xf>
    <xf numFmtId="0" fontId="15" fillId="0" borderId="72" xfId="44" applyFont="1" applyFill="1" applyBorder="1" applyAlignment="1" applyProtection="1">
      <alignment vertical="center"/>
    </xf>
    <xf numFmtId="0" fontId="15" fillId="0" borderId="65" xfId="44" applyFont="1" applyBorder="1" applyAlignment="1" applyProtection="1">
      <alignment vertical="center"/>
    </xf>
    <xf numFmtId="0" fontId="15" fillId="0" borderId="61" xfId="44" applyFont="1" applyBorder="1" applyAlignment="1" applyProtection="1">
      <alignment vertical="center"/>
    </xf>
    <xf numFmtId="0" fontId="15" fillId="0" borderId="64" xfId="44" applyFont="1" applyBorder="1" applyAlignment="1" applyProtection="1">
      <alignment vertical="center"/>
    </xf>
    <xf numFmtId="172" fontId="11" fillId="0" borderId="76" xfId="43" applyNumberFormat="1" applyFont="1" applyBorder="1" applyAlignment="1" applyProtection="1">
      <alignment horizontal="center" vertical="center"/>
    </xf>
    <xf numFmtId="3" fontId="11" fillId="2" borderId="76" xfId="43" applyNumberFormat="1" applyFont="1" applyFill="1" applyBorder="1" applyAlignment="1" applyProtection="1">
      <alignment vertical="center"/>
      <protection locked="0"/>
    </xf>
    <xf numFmtId="3" fontId="11" fillId="2" borderId="77" xfId="43" applyNumberFormat="1" applyFont="1" applyFill="1" applyBorder="1" applyAlignment="1" applyProtection="1">
      <alignment vertical="center"/>
      <protection locked="0"/>
    </xf>
    <xf numFmtId="172" fontId="11" fillId="0" borderId="77" xfId="43" applyNumberFormat="1" applyFont="1" applyBorder="1" applyAlignment="1" applyProtection="1">
      <alignment vertical="center"/>
    </xf>
    <xf numFmtId="172" fontId="11" fillId="0" borderId="72" xfId="43" applyNumberFormat="1" applyFont="1" applyBorder="1" applyAlignment="1" applyProtection="1">
      <alignment vertical="center"/>
    </xf>
    <xf numFmtId="172" fontId="15" fillId="0" borderId="65" xfId="43" applyNumberFormat="1" applyFont="1" applyBorder="1" applyAlignment="1" applyProtection="1">
      <alignment vertical="center"/>
    </xf>
    <xf numFmtId="172" fontId="15" fillId="0" borderId="61" xfId="43" applyNumberFormat="1" applyFont="1" applyBorder="1" applyAlignment="1" applyProtection="1">
      <alignment vertical="center"/>
    </xf>
    <xf numFmtId="172" fontId="15" fillId="0" borderId="64" xfId="43" applyNumberFormat="1" applyFont="1" applyBorder="1" applyAlignment="1" applyProtection="1">
      <alignment vertical="center"/>
    </xf>
    <xf numFmtId="0" fontId="15" fillId="3" borderId="77" xfId="43" applyFont="1" applyFill="1" applyBorder="1" applyAlignment="1" applyProtection="1">
      <alignment horizontal="left" vertical="center"/>
    </xf>
    <xf numFmtId="3" fontId="11" fillId="0" borderId="7" xfId="43" applyNumberFormat="1" applyFont="1" applyFill="1" applyBorder="1" applyAlignment="1" applyProtection="1">
      <alignment vertical="center"/>
    </xf>
    <xf numFmtId="0" fontId="15" fillId="0" borderId="72" xfId="43" applyFont="1" applyFill="1" applyBorder="1" applyAlignment="1" applyProtection="1">
      <alignment vertical="center"/>
    </xf>
    <xf numFmtId="0" fontId="15" fillId="0" borderId="65" xfId="43" applyFont="1" applyFill="1" applyBorder="1" applyAlignment="1" applyProtection="1">
      <alignment vertical="center"/>
    </xf>
    <xf numFmtId="0" fontId="15" fillId="0" borderId="61" xfId="43" applyFont="1" applyFill="1" applyBorder="1" applyAlignment="1" applyProtection="1">
      <alignment vertical="center"/>
    </xf>
    <xf numFmtId="0" fontId="15" fillId="0" borderId="64" xfId="43" applyFont="1" applyFill="1" applyBorder="1" applyAlignment="1" applyProtection="1">
      <alignment vertical="center"/>
    </xf>
    <xf numFmtId="172" fontId="11" fillId="0" borderId="76" xfId="42" applyNumberFormat="1" applyFont="1" applyBorder="1" applyAlignment="1" applyProtection="1">
      <alignment horizontal="center" vertical="center"/>
    </xf>
    <xf numFmtId="3" fontId="11" fillId="2" borderId="76" xfId="42" applyNumberFormat="1" applyFont="1" applyFill="1" applyBorder="1" applyAlignment="1" applyProtection="1">
      <alignment vertical="center"/>
      <protection locked="0"/>
    </xf>
    <xf numFmtId="3" fontId="11" fillId="0" borderId="7" xfId="42" applyNumberFormat="1" applyFont="1" applyFill="1" applyBorder="1" applyAlignment="1" applyProtection="1">
      <alignment vertical="center"/>
    </xf>
    <xf numFmtId="172" fontId="11" fillId="0" borderId="0" xfId="42" applyNumberFormat="1" applyFont="1" applyBorder="1" applyAlignment="1" applyProtection="1">
      <alignment vertical="center"/>
    </xf>
    <xf numFmtId="172" fontId="11" fillId="0" borderId="72" xfId="42" applyNumberFormat="1" applyFont="1" applyBorder="1" applyAlignment="1" applyProtection="1">
      <alignment vertical="center"/>
    </xf>
    <xf numFmtId="172" fontId="15" fillId="0" borderId="65" xfId="42" applyNumberFormat="1" applyFont="1" applyBorder="1" applyAlignment="1" applyProtection="1">
      <alignment vertical="center"/>
    </xf>
    <xf numFmtId="172" fontId="15" fillId="0" borderId="61" xfId="42" applyNumberFormat="1" applyFont="1" applyBorder="1" applyAlignment="1" applyProtection="1">
      <alignment vertical="center"/>
    </xf>
    <xf numFmtId="172" fontId="15" fillId="0" borderId="64" xfId="42" applyNumberFormat="1" applyFont="1" applyBorder="1" applyAlignment="1" applyProtection="1">
      <alignment vertical="center"/>
    </xf>
    <xf numFmtId="0" fontId="15" fillId="3" borderId="77" xfId="42" applyFont="1" applyFill="1" applyBorder="1" applyAlignment="1" applyProtection="1">
      <alignment horizontal="left" vertical="center"/>
    </xf>
    <xf numFmtId="0" fontId="15" fillId="0" borderId="72" xfId="42" applyFont="1" applyFill="1" applyBorder="1" applyAlignment="1" applyProtection="1">
      <alignment vertical="center"/>
    </xf>
    <xf numFmtId="0" fontId="15" fillId="0" borderId="65" xfId="42" applyFont="1" applyBorder="1" applyAlignment="1" applyProtection="1">
      <alignment vertical="center"/>
    </xf>
    <xf numFmtId="0" fontId="15" fillId="0" borderId="61" xfId="42" applyFont="1" applyBorder="1" applyAlignment="1" applyProtection="1">
      <alignment vertical="center"/>
    </xf>
    <xf numFmtId="0" fontId="15" fillId="0" borderId="64" xfId="42" applyFont="1" applyBorder="1" applyAlignment="1" applyProtection="1">
      <alignment vertical="center"/>
    </xf>
    <xf numFmtId="172" fontId="11" fillId="0" borderId="76" xfId="41" applyNumberFormat="1" applyFont="1" applyBorder="1" applyAlignment="1" applyProtection="1">
      <alignment horizontal="center" vertical="center"/>
    </xf>
    <xf numFmtId="3" fontId="11" fillId="2" borderId="76" xfId="41" applyNumberFormat="1" applyFont="1" applyFill="1" applyBorder="1" applyAlignment="1" applyProtection="1">
      <alignment vertical="center"/>
      <protection locked="0"/>
    </xf>
    <xf numFmtId="172" fontId="11" fillId="0" borderId="72" xfId="41" applyNumberFormat="1" applyFont="1" applyBorder="1" applyAlignment="1" applyProtection="1">
      <alignment vertical="center"/>
    </xf>
    <xf numFmtId="172" fontId="15" fillId="0" borderId="65" xfId="41" applyNumberFormat="1" applyFont="1" applyBorder="1" applyAlignment="1" applyProtection="1">
      <alignment vertical="center"/>
    </xf>
    <xf numFmtId="172" fontId="15" fillId="0" borderId="61" xfId="41" applyNumberFormat="1" applyFont="1" applyBorder="1" applyAlignment="1" applyProtection="1">
      <alignment vertical="center"/>
    </xf>
    <xf numFmtId="172" fontId="15" fillId="0" borderId="64" xfId="41" applyNumberFormat="1" applyFont="1" applyBorder="1" applyAlignment="1" applyProtection="1">
      <alignment vertical="center"/>
    </xf>
    <xf numFmtId="0" fontId="15" fillId="0" borderId="72" xfId="41" applyFont="1" applyFill="1" applyBorder="1" applyAlignment="1" applyProtection="1">
      <alignment vertical="center"/>
    </xf>
    <xf numFmtId="0" fontId="15" fillId="0" borderId="65" xfId="41" applyFont="1" applyBorder="1" applyAlignment="1" applyProtection="1">
      <alignment vertical="center"/>
    </xf>
    <xf numFmtId="0" fontId="15" fillId="0" borderId="61" xfId="41" applyFont="1" applyBorder="1" applyAlignment="1" applyProtection="1">
      <alignment vertical="center"/>
    </xf>
    <xf numFmtId="0" fontId="15" fillId="0" borderId="64" xfId="41" applyFont="1" applyBorder="1" applyAlignment="1" applyProtection="1">
      <alignment vertical="center"/>
    </xf>
    <xf numFmtId="1" fontId="11" fillId="0" borderId="0" xfId="39" applyNumberFormat="1" applyFont="1" applyBorder="1" applyAlignment="1" applyProtection="1">
      <alignment horizontal="left"/>
    </xf>
    <xf numFmtId="0" fontId="11" fillId="0" borderId="0" xfId="39" applyFont="1" applyAlignment="1" applyProtection="1">
      <alignment horizontal="left" vertical="center"/>
    </xf>
    <xf numFmtId="0" fontId="11" fillId="0" borderId="0" xfId="41" applyFont="1" applyAlignment="1" applyProtection="1">
      <alignment horizontal="left" vertical="center"/>
    </xf>
    <xf numFmtId="0" fontId="11" fillId="0" borderId="0" xfId="42" applyFont="1" applyAlignment="1" applyProtection="1">
      <alignment horizontal="left" vertical="center"/>
    </xf>
    <xf numFmtId="0" fontId="11" fillId="0" borderId="0" xfId="43" applyFont="1" applyAlignment="1" applyProtection="1">
      <alignment horizontal="left" vertical="center"/>
    </xf>
    <xf numFmtId="0" fontId="11" fillId="0" borderId="0" xfId="44" applyFont="1" applyAlignment="1" applyProtection="1">
      <alignment horizontal="left" vertical="center"/>
    </xf>
    <xf numFmtId="0" fontId="11" fillId="0" borderId="0" xfId="45" applyFont="1" applyAlignment="1" applyProtection="1">
      <alignment horizontal="left" vertical="center"/>
    </xf>
    <xf numFmtId="172" fontId="11" fillId="0" borderId="76" xfId="39" applyNumberFormat="1" applyFont="1" applyBorder="1" applyAlignment="1" applyProtection="1">
      <alignment horizontal="center" vertical="center"/>
    </xf>
    <xf numFmtId="172" fontId="11" fillId="0" borderId="72" xfId="39" applyNumberFormat="1" applyFont="1" applyBorder="1" applyAlignment="1" applyProtection="1">
      <alignment vertical="center"/>
    </xf>
    <xf numFmtId="172" fontId="15" fillId="0" borderId="65" xfId="39" applyNumberFormat="1" applyFont="1" applyBorder="1" applyAlignment="1" applyProtection="1">
      <alignment vertical="center"/>
    </xf>
    <xf numFmtId="172" fontId="15" fillId="0" borderId="61" xfId="39" applyNumberFormat="1" applyFont="1" applyBorder="1" applyAlignment="1" applyProtection="1">
      <alignment vertical="center"/>
    </xf>
    <xf numFmtId="172" fontId="15" fillId="0" borderId="64" xfId="39" applyNumberFormat="1" applyFont="1" applyBorder="1" applyAlignment="1" applyProtection="1">
      <alignment vertical="center"/>
    </xf>
    <xf numFmtId="0" fontId="11" fillId="0" borderId="77" xfId="39" applyFont="1" applyBorder="1" applyAlignment="1" applyProtection="1">
      <alignment horizontal="center" vertical="center"/>
    </xf>
    <xf numFmtId="172" fontId="11" fillId="0" borderId="72" xfId="39" applyNumberFormat="1" applyFont="1" applyBorder="1" applyAlignment="1" applyProtection="1">
      <alignment horizontal="center" vertical="center"/>
    </xf>
    <xf numFmtId="171" fontId="11" fillId="0" borderId="72" xfId="39" applyNumberFormat="1" applyFont="1" applyBorder="1" applyAlignment="1" applyProtection="1">
      <alignment horizontal="center" vertical="center"/>
    </xf>
    <xf numFmtId="171" fontId="11" fillId="0" borderId="74" xfId="39" applyNumberFormat="1" applyFont="1" applyBorder="1" applyAlignment="1" applyProtection="1">
      <alignment horizontal="center" vertical="center"/>
    </xf>
    <xf numFmtId="0" fontId="15" fillId="0" borderId="65" xfId="39" applyFont="1" applyBorder="1" applyAlignment="1" applyProtection="1">
      <alignment vertical="center"/>
    </xf>
    <xf numFmtId="0" fontId="15" fillId="0" borderId="61" xfId="39" applyFont="1" applyBorder="1" applyAlignment="1" applyProtection="1">
      <alignment vertical="center"/>
    </xf>
    <xf numFmtId="0" fontId="15" fillId="0" borderId="64" xfId="39" applyFont="1" applyBorder="1" applyAlignment="1" applyProtection="1">
      <alignment vertical="center"/>
    </xf>
    <xf numFmtId="3" fontId="11" fillId="2" borderId="72" xfId="39" applyNumberFormat="1" applyFont="1" applyFill="1" applyBorder="1" applyAlignment="1" applyProtection="1">
      <alignment vertical="center"/>
      <protection locked="0"/>
    </xf>
    <xf numFmtId="0" fontId="11" fillId="0" borderId="0" xfId="34" applyFont="1" applyAlignment="1" applyProtection="1">
      <alignment horizontal="left" vertical="center"/>
    </xf>
    <xf numFmtId="0" fontId="11" fillId="0" borderId="0" xfId="38" applyFont="1" applyAlignment="1" applyProtection="1">
      <alignment horizontal="left" vertical="center"/>
    </xf>
    <xf numFmtId="0" fontId="11" fillId="0" borderId="0" xfId="37" applyFont="1" applyAlignment="1" applyProtection="1">
      <alignment horizontal="left" vertical="center"/>
    </xf>
    <xf numFmtId="0" fontId="11" fillId="0" borderId="0" xfId="36" applyFont="1" applyAlignment="1" applyProtection="1">
      <alignment horizontal="left" vertical="center"/>
    </xf>
    <xf numFmtId="0" fontId="11" fillId="0" borderId="0" xfId="35" applyFont="1" applyAlignment="1" applyProtection="1">
      <alignment horizontal="left" vertical="center"/>
    </xf>
    <xf numFmtId="172" fontId="11" fillId="0" borderId="76" xfId="38" applyNumberFormat="1" applyFont="1" applyBorder="1" applyAlignment="1" applyProtection="1">
      <alignment horizontal="center" vertical="center"/>
    </xf>
    <xf numFmtId="3" fontId="11" fillId="2" borderId="76" xfId="38" applyNumberFormat="1" applyFont="1" applyFill="1" applyBorder="1" applyAlignment="1" applyProtection="1">
      <alignment vertical="center"/>
      <protection locked="0"/>
    </xf>
    <xf numFmtId="172" fontId="11" fillId="0" borderId="72" xfId="38" applyNumberFormat="1" applyFont="1" applyFill="1" applyBorder="1" applyAlignment="1" applyProtection="1">
      <alignment vertical="center"/>
    </xf>
    <xf numFmtId="172" fontId="15" fillId="0" borderId="65" xfId="38" applyNumberFormat="1" applyFont="1" applyFill="1" applyBorder="1" applyAlignment="1" applyProtection="1">
      <alignment vertical="center"/>
    </xf>
    <xf numFmtId="172" fontId="15" fillId="0" borderId="61" xfId="38" applyNumberFormat="1" applyFont="1" applyFill="1" applyBorder="1" applyAlignment="1" applyProtection="1">
      <alignment vertical="center"/>
    </xf>
    <xf numFmtId="172" fontId="15" fillId="0" borderId="64" xfId="38" applyNumberFormat="1" applyFont="1" applyFill="1" applyBorder="1" applyAlignment="1" applyProtection="1">
      <alignment vertical="center"/>
    </xf>
    <xf numFmtId="0" fontId="15" fillId="0" borderId="72" xfId="38" applyFont="1" applyFill="1" applyBorder="1" applyAlignment="1" applyProtection="1">
      <alignment vertical="center"/>
    </xf>
    <xf numFmtId="0" fontId="15" fillId="0" borderId="65" xfId="38" applyFont="1" applyFill="1" applyBorder="1" applyAlignment="1" applyProtection="1">
      <alignment vertical="center"/>
    </xf>
    <xf numFmtId="0" fontId="15" fillId="0" borderId="61" xfId="38" applyFont="1" applyFill="1" applyBorder="1" applyAlignment="1" applyProtection="1">
      <alignment vertical="center"/>
    </xf>
    <xf numFmtId="0" fontId="15" fillId="0" borderId="64" xfId="38" applyFont="1" applyFill="1" applyBorder="1" applyAlignment="1" applyProtection="1">
      <alignment vertical="center"/>
    </xf>
    <xf numFmtId="172" fontId="11" fillId="0" borderId="64" xfId="38" applyNumberFormat="1" applyFont="1" applyBorder="1" applyAlignment="1" applyProtection="1">
      <alignment horizontal="center" vertical="center"/>
    </xf>
    <xf numFmtId="0" fontId="11" fillId="0" borderId="0" xfId="38" applyFont="1" applyBorder="1" applyAlignment="1" applyProtection="1">
      <alignment horizontal="center" vertical="center"/>
    </xf>
    <xf numFmtId="172" fontId="11" fillId="0" borderId="7" xfId="38" applyNumberFormat="1" applyFont="1" applyBorder="1" applyAlignment="1" applyProtection="1">
      <alignment horizontal="left" vertical="center"/>
    </xf>
    <xf numFmtId="0" fontId="22" fillId="0" borderId="64" xfId="38" applyFont="1" applyBorder="1" applyProtection="1"/>
    <xf numFmtId="172" fontId="11" fillId="0" borderId="76" xfId="37" applyNumberFormat="1" applyFont="1" applyBorder="1" applyAlignment="1" applyProtection="1">
      <alignment horizontal="left" vertical="center"/>
    </xf>
    <xf numFmtId="172" fontId="11" fillId="0" borderId="76" xfId="37" applyNumberFormat="1" applyFont="1" applyBorder="1" applyAlignment="1" applyProtection="1">
      <alignment horizontal="center" vertical="center"/>
    </xf>
    <xf numFmtId="3" fontId="11" fillId="2" borderId="76" xfId="37" applyNumberFormat="1" applyFont="1" applyFill="1" applyBorder="1" applyAlignment="1" applyProtection="1">
      <alignment vertical="center"/>
      <protection locked="0"/>
    </xf>
    <xf numFmtId="172" fontId="11" fillId="0" borderId="72" xfId="37" applyNumberFormat="1" applyFont="1" applyFill="1" applyBorder="1" applyAlignment="1" applyProtection="1">
      <alignment vertical="center"/>
    </xf>
    <xf numFmtId="172" fontId="11" fillId="0" borderId="74" xfId="37" applyNumberFormat="1" applyFont="1" applyFill="1" applyBorder="1" applyAlignment="1" applyProtection="1">
      <alignment vertical="center"/>
    </xf>
    <xf numFmtId="172" fontId="15" fillId="0" borderId="65" xfId="37" applyNumberFormat="1" applyFont="1" applyBorder="1" applyAlignment="1" applyProtection="1">
      <alignment vertical="center"/>
    </xf>
    <xf numFmtId="172" fontId="15" fillId="0" borderId="61" xfId="37" applyNumberFormat="1" applyFont="1" applyBorder="1" applyAlignment="1" applyProtection="1">
      <alignment vertical="center"/>
    </xf>
    <xf numFmtId="172" fontId="15" fillId="0" borderId="64" xfId="37" applyNumberFormat="1" applyFont="1" applyBorder="1" applyAlignment="1" applyProtection="1">
      <alignment vertical="center"/>
    </xf>
    <xf numFmtId="0" fontId="15" fillId="0" borderId="72" xfId="37" applyFont="1" applyFill="1" applyBorder="1" applyAlignment="1" applyProtection="1">
      <alignment vertical="center"/>
    </xf>
    <xf numFmtId="0" fontId="15" fillId="0" borderId="74" xfId="37" applyFont="1" applyFill="1" applyBorder="1" applyAlignment="1" applyProtection="1">
      <alignment vertical="center"/>
    </xf>
    <xf numFmtId="0" fontId="15" fillId="0" borderId="65" xfId="37" applyFont="1" applyBorder="1" applyAlignment="1" applyProtection="1">
      <alignment vertical="center"/>
    </xf>
    <xf numFmtId="0" fontId="15" fillId="0" borderId="61" xfId="37" applyFont="1" applyBorder="1" applyAlignment="1" applyProtection="1">
      <alignment vertical="center"/>
    </xf>
    <xf numFmtId="0" fontId="15" fillId="0" borderId="64" xfId="37" applyFont="1" applyBorder="1" applyAlignment="1" applyProtection="1">
      <alignment vertical="center"/>
    </xf>
    <xf numFmtId="172" fontId="11" fillId="0" borderId="72" xfId="36" applyNumberFormat="1" applyFont="1" applyBorder="1" applyAlignment="1" applyProtection="1">
      <alignment vertical="center"/>
    </xf>
    <xf numFmtId="172" fontId="15" fillId="0" borderId="65" xfId="36" applyNumberFormat="1" applyFont="1" applyBorder="1" applyAlignment="1" applyProtection="1">
      <alignment vertical="center"/>
    </xf>
    <xf numFmtId="172" fontId="15" fillId="0" borderId="61" xfId="36" applyNumberFormat="1" applyFont="1" applyBorder="1" applyAlignment="1" applyProtection="1">
      <alignment vertical="center"/>
    </xf>
    <xf numFmtId="172" fontId="15" fillId="0" borderId="64" xfId="36" applyNumberFormat="1" applyFont="1" applyBorder="1" applyAlignment="1" applyProtection="1">
      <alignment vertical="center"/>
    </xf>
    <xf numFmtId="0" fontId="15" fillId="0" borderId="72" xfId="36" applyFont="1" applyFill="1" applyBorder="1" applyAlignment="1" applyProtection="1">
      <alignment vertical="center"/>
    </xf>
    <xf numFmtId="0" fontId="15" fillId="0" borderId="65" xfId="36" applyFont="1" applyBorder="1" applyAlignment="1" applyProtection="1">
      <alignment vertical="center"/>
    </xf>
    <xf numFmtId="0" fontId="15" fillId="0" borderId="61" xfId="36" applyFont="1" applyBorder="1" applyAlignment="1" applyProtection="1">
      <alignment vertical="center"/>
    </xf>
    <xf numFmtId="0" fontId="15" fillId="0" borderId="64" xfId="36" applyFont="1" applyBorder="1" applyAlignment="1" applyProtection="1">
      <alignment vertical="center"/>
    </xf>
    <xf numFmtId="0" fontId="11" fillId="0" borderId="61" xfId="35" applyFont="1" applyBorder="1" applyAlignment="1" applyProtection="1">
      <alignment horizontal="center" vertical="center"/>
    </xf>
    <xf numFmtId="172" fontId="11" fillId="0" borderId="72" xfId="35" applyNumberFormat="1" applyFont="1" applyBorder="1" applyAlignment="1" applyProtection="1">
      <alignment vertical="center"/>
    </xf>
    <xf numFmtId="172" fontId="15" fillId="0" borderId="65" xfId="35" applyNumberFormat="1" applyFont="1" applyBorder="1" applyAlignment="1" applyProtection="1">
      <alignment vertical="center"/>
    </xf>
    <xf numFmtId="172" fontId="15" fillId="0" borderId="61" xfId="35" applyNumberFormat="1" applyFont="1" applyBorder="1" applyAlignment="1" applyProtection="1">
      <alignment vertical="center"/>
    </xf>
    <xf numFmtId="172" fontId="15" fillId="0" borderId="64" xfId="35" applyNumberFormat="1" applyFont="1" applyBorder="1" applyAlignment="1" applyProtection="1">
      <alignment vertical="center"/>
    </xf>
    <xf numFmtId="0" fontId="15" fillId="0" borderId="72" xfId="35" applyFont="1" applyFill="1" applyBorder="1" applyAlignment="1" applyProtection="1">
      <alignment vertical="center"/>
    </xf>
    <xf numFmtId="0" fontId="15" fillId="0" borderId="65" xfId="35" applyFont="1" applyBorder="1" applyAlignment="1" applyProtection="1">
      <alignment vertical="center"/>
    </xf>
    <xf numFmtId="0" fontId="15" fillId="0" borderId="61" xfId="35" applyFont="1" applyBorder="1" applyAlignment="1" applyProtection="1">
      <alignment vertical="center"/>
    </xf>
    <xf numFmtId="0" fontId="15" fillId="0" borderId="64" xfId="35" applyFont="1" applyBorder="1" applyAlignment="1" applyProtection="1">
      <alignment vertical="center"/>
    </xf>
    <xf numFmtId="0" fontId="22" fillId="0" borderId="0" xfId="34" applyFont="1" applyAlignment="1" applyProtection="1">
      <alignment horizontal="center"/>
    </xf>
    <xf numFmtId="172" fontId="11" fillId="0" borderId="76" xfId="34" applyNumberFormat="1" applyFont="1" applyBorder="1" applyAlignment="1" applyProtection="1">
      <alignment horizontal="left" vertical="center"/>
    </xf>
    <xf numFmtId="172" fontId="11" fillId="0" borderId="72" xfId="34" applyNumberFormat="1" applyFont="1" applyBorder="1" applyAlignment="1" applyProtection="1">
      <alignment vertical="center"/>
    </xf>
    <xf numFmtId="172" fontId="15" fillId="0" borderId="65" xfId="34" applyNumberFormat="1" applyFont="1" applyBorder="1" applyAlignment="1" applyProtection="1"/>
    <xf numFmtId="172" fontId="15" fillId="0" borderId="61" xfId="34" applyNumberFormat="1" applyFont="1" applyBorder="1" applyAlignment="1" applyProtection="1"/>
    <xf numFmtId="172" fontId="15" fillId="0" borderId="64" xfId="34" applyNumberFormat="1" applyFont="1" applyBorder="1" applyAlignment="1" applyProtection="1"/>
    <xf numFmtId="0" fontId="15" fillId="0" borderId="72" xfId="34" applyFont="1" applyFill="1" applyBorder="1" applyAlignment="1" applyProtection="1">
      <alignment vertical="center"/>
    </xf>
    <xf numFmtId="0" fontId="15" fillId="0" borderId="65" xfId="34" applyFont="1" applyBorder="1" applyAlignment="1" applyProtection="1"/>
    <xf numFmtId="0" fontId="15" fillId="0" borderId="61" xfId="34" applyFont="1" applyBorder="1" applyAlignment="1" applyProtection="1"/>
    <xf numFmtId="0" fontId="15" fillId="0" borderId="64" xfId="34" applyFont="1" applyBorder="1" applyAlignment="1" applyProtection="1"/>
    <xf numFmtId="0" fontId="11" fillId="0" borderId="0" xfId="31" applyFont="1" applyAlignment="1" applyProtection="1">
      <alignment horizontal="left"/>
    </xf>
    <xf numFmtId="0" fontId="11" fillId="0" borderId="0" xfId="23" applyFont="1" applyAlignment="1" applyProtection="1">
      <alignment horizontal="left"/>
    </xf>
    <xf numFmtId="0" fontId="11" fillId="0" borderId="0" xfId="28" applyFont="1" applyAlignment="1" applyProtection="1">
      <alignment horizontal="left"/>
    </xf>
    <xf numFmtId="0" fontId="0" fillId="0" borderId="0" xfId="0" applyAlignment="1" applyProtection="1">
      <alignment horizontal="left"/>
    </xf>
    <xf numFmtId="1" fontId="11" fillId="0" borderId="0" xfId="30" applyNumberFormat="1" applyFont="1" applyFill="1" applyBorder="1" applyAlignment="1" applyProtection="1">
      <alignment horizontal="left"/>
    </xf>
    <xf numFmtId="0" fontId="154" fillId="0" borderId="0" xfId="33" applyFont="1" applyFill="1" applyBorder="1" applyAlignment="1" applyProtection="1">
      <alignment horizontal="left" vertical="center" wrapText="1"/>
    </xf>
    <xf numFmtId="3" fontId="61" fillId="20" borderId="73" xfId="33" applyNumberFormat="1" applyFont="1" applyFill="1" applyBorder="1" applyAlignment="1" applyProtection="1">
      <alignment vertical="top"/>
      <protection locked="0"/>
    </xf>
    <xf numFmtId="0" fontId="61" fillId="0" borderId="72" xfId="33" applyFont="1" applyFill="1" applyBorder="1" applyAlignment="1" applyProtection="1">
      <alignment vertical="top"/>
    </xf>
    <xf numFmtId="0" fontId="15" fillId="0" borderId="65" xfId="0" applyFont="1" applyBorder="1" applyAlignment="1" applyProtection="1"/>
    <xf numFmtId="0" fontId="15" fillId="0" borderId="61" xfId="0" applyFont="1" applyBorder="1" applyAlignment="1" applyProtection="1"/>
    <xf numFmtId="0" fontId="15" fillId="0" borderId="64" xfId="0" applyFont="1" applyBorder="1" applyAlignment="1" applyProtection="1"/>
    <xf numFmtId="0" fontId="61" fillId="0" borderId="72" xfId="33" applyFont="1" applyFill="1" applyBorder="1" applyAlignment="1" applyProtection="1"/>
    <xf numFmtId="0" fontId="15" fillId="0" borderId="65" xfId="33" applyFont="1" applyFill="1" applyBorder="1" applyAlignment="1" applyProtection="1"/>
    <xf numFmtId="0" fontId="15" fillId="0" borderId="61" xfId="33" applyFont="1" applyFill="1" applyBorder="1" applyAlignment="1" applyProtection="1"/>
    <xf numFmtId="0" fontId="15" fillId="0" borderId="64" xfId="33" applyFont="1" applyFill="1" applyBorder="1" applyAlignment="1" applyProtection="1"/>
    <xf numFmtId="0" fontId="154" fillId="0" borderId="0" xfId="40" applyFont="1" applyProtection="1"/>
    <xf numFmtId="172" fontId="11" fillId="0" borderId="72" xfId="31" applyNumberFormat="1" applyFont="1" applyBorder="1" applyAlignment="1" applyProtection="1">
      <alignment vertical="center"/>
    </xf>
    <xf numFmtId="172" fontId="15" fillId="0" borderId="65" xfId="31" applyNumberFormat="1" applyFont="1" applyBorder="1" applyAlignment="1" applyProtection="1">
      <alignment vertical="center"/>
    </xf>
    <xf numFmtId="172" fontId="15" fillId="0" borderId="61" xfId="31" applyNumberFormat="1" applyFont="1" applyBorder="1" applyAlignment="1" applyProtection="1">
      <alignment vertical="center"/>
    </xf>
    <xf numFmtId="172" fontId="15" fillId="0" borderId="64" xfId="31" applyNumberFormat="1" applyFont="1" applyFill="1" applyBorder="1" applyAlignment="1" applyProtection="1">
      <alignment vertical="center"/>
    </xf>
    <xf numFmtId="0" fontId="0" fillId="0" borderId="76" xfId="0" applyFill="1" applyBorder="1" applyAlignment="1" applyProtection="1">
      <alignment vertical="center"/>
    </xf>
    <xf numFmtId="172" fontId="15" fillId="0" borderId="65" xfId="31" applyNumberFormat="1" applyFont="1" applyBorder="1" applyAlignment="1" applyProtection="1"/>
    <xf numFmtId="172" fontId="15" fillId="0" borderId="61" xfId="31" applyNumberFormat="1" applyFont="1" applyBorder="1" applyAlignment="1" applyProtection="1"/>
    <xf numFmtId="172" fontId="15" fillId="0" borderId="64" xfId="31" applyNumberFormat="1" applyFont="1" applyFill="1" applyBorder="1" applyAlignment="1" applyProtection="1"/>
    <xf numFmtId="0" fontId="11" fillId="0" borderId="0" xfId="30" applyFont="1" applyBorder="1" applyAlignment="1" applyProtection="1">
      <alignment vertical="center"/>
    </xf>
    <xf numFmtId="0" fontId="11" fillId="0" borderId="72" xfId="30" applyFont="1" applyBorder="1" applyAlignment="1" applyProtection="1">
      <alignment vertical="center"/>
    </xf>
    <xf numFmtId="0" fontId="15" fillId="0" borderId="65" xfId="30" applyFont="1" applyBorder="1" applyAlignment="1" applyProtection="1">
      <alignment vertical="center"/>
    </xf>
    <xf numFmtId="0" fontId="15" fillId="0" borderId="61" xfId="30" applyFont="1" applyBorder="1" applyAlignment="1" applyProtection="1">
      <alignment vertical="center"/>
    </xf>
    <xf numFmtId="0" fontId="15" fillId="0" borderId="64" xfId="30" applyFont="1" applyBorder="1" applyAlignment="1" applyProtection="1">
      <alignment vertical="center"/>
    </xf>
    <xf numFmtId="172" fontId="11" fillId="0" borderId="77" xfId="30" applyNumberFormat="1" applyFont="1" applyBorder="1" applyAlignment="1" applyProtection="1">
      <alignment horizontal="center" vertical="center"/>
    </xf>
    <xf numFmtId="3" fontId="11" fillId="0" borderId="76" xfId="30" applyNumberFormat="1" applyFont="1" applyFill="1" applyBorder="1" applyAlignment="1" applyProtection="1">
      <alignment vertical="center"/>
    </xf>
    <xf numFmtId="172" fontId="11" fillId="0" borderId="72" xfId="30" applyNumberFormat="1" applyFont="1" applyBorder="1" applyAlignment="1" applyProtection="1">
      <alignment horizontal="center" vertical="center"/>
    </xf>
    <xf numFmtId="3" fontId="11" fillId="0" borderId="72" xfId="30" applyNumberFormat="1" applyFont="1" applyFill="1" applyBorder="1" applyAlignment="1" applyProtection="1">
      <alignment vertical="center"/>
    </xf>
    <xf numFmtId="0" fontId="11" fillId="0" borderId="72" xfId="30" applyFont="1" applyFill="1" applyBorder="1" applyAlignment="1" applyProtection="1">
      <alignment vertical="center"/>
    </xf>
    <xf numFmtId="171" fontId="11" fillId="0" borderId="7" xfId="30" applyNumberFormat="1" applyFont="1" applyBorder="1" applyAlignment="1" applyProtection="1">
      <alignment horizontal="center" vertical="center"/>
    </xf>
    <xf numFmtId="171" fontId="11" fillId="0" borderId="72" xfId="30" applyNumberFormat="1" applyFont="1" applyBorder="1" applyAlignment="1" applyProtection="1">
      <alignment horizontal="center" vertical="center"/>
    </xf>
    <xf numFmtId="171" fontId="11" fillId="0" borderId="74" xfId="30" applyNumberFormat="1" applyFont="1" applyBorder="1" applyAlignment="1" applyProtection="1">
      <alignment horizontal="center" vertical="center"/>
    </xf>
    <xf numFmtId="0" fontId="11" fillId="0" borderId="76" xfId="30" applyFont="1" applyBorder="1" applyAlignment="1" applyProtection="1">
      <alignment horizontal="center" vertical="center"/>
    </xf>
    <xf numFmtId="171" fontId="11" fillId="0" borderId="63" xfId="30" applyNumberFormat="1" applyFont="1" applyBorder="1" applyAlignment="1" applyProtection="1">
      <alignment horizontal="center" vertical="center"/>
    </xf>
    <xf numFmtId="3" fontId="0" fillId="0" borderId="75" xfId="0" applyNumberFormat="1" applyBorder="1" applyAlignment="1" applyProtection="1">
      <alignment vertical="center"/>
    </xf>
    <xf numFmtId="3" fontId="11" fillId="0" borderId="7" xfId="21" applyNumberFormat="1" applyFont="1" applyFill="1" applyBorder="1" applyAlignment="1" applyProtection="1">
      <alignment vertical="center"/>
    </xf>
    <xf numFmtId="0" fontId="11" fillId="0" borderId="103" xfId="30" applyFont="1" applyBorder="1" applyProtection="1"/>
    <xf numFmtId="0" fontId="11" fillId="0" borderId="103" xfId="30" applyFont="1" applyBorder="1" applyAlignment="1" applyProtection="1">
      <alignment vertical="top"/>
    </xf>
    <xf numFmtId="0" fontId="11" fillId="0" borderId="103" xfId="30" applyFont="1" applyBorder="1" applyAlignment="1" applyProtection="1">
      <alignment horizontal="centerContinuous" vertical="top"/>
    </xf>
    <xf numFmtId="0" fontId="11" fillId="0" borderId="76" xfId="30" applyFont="1" applyFill="1" applyBorder="1" applyAlignment="1" applyProtection="1">
      <alignment vertical="center"/>
    </xf>
    <xf numFmtId="1" fontId="11" fillId="0" borderId="76" xfId="30" applyNumberFormat="1" applyFont="1" applyBorder="1" applyAlignment="1" applyProtection="1">
      <alignment horizontal="left" vertical="center"/>
    </xf>
    <xf numFmtId="1" fontId="11" fillId="0" borderId="75" xfId="30" applyNumberFormat="1" applyFont="1" applyBorder="1" applyAlignment="1" applyProtection="1">
      <alignment horizontal="left" vertical="center"/>
    </xf>
    <xf numFmtId="172" fontId="11" fillId="0" borderId="103" xfId="23" applyNumberFormat="1" applyFont="1" applyBorder="1" applyAlignment="1" applyProtection="1">
      <alignment horizontal="center" vertical="center"/>
    </xf>
    <xf numFmtId="172" fontId="11" fillId="0" borderId="0" xfId="23" applyNumberFormat="1" applyFont="1" applyBorder="1" applyAlignment="1" applyProtection="1">
      <alignment vertical="center"/>
    </xf>
    <xf numFmtId="172" fontId="11" fillId="0" borderId="72" xfId="23" applyNumberFormat="1" applyFont="1" applyBorder="1" applyAlignment="1" applyProtection="1">
      <alignment vertical="center"/>
    </xf>
    <xf numFmtId="172" fontId="15" fillId="0" borderId="65" xfId="23" applyNumberFormat="1" applyFont="1" applyBorder="1" applyAlignment="1" applyProtection="1">
      <alignment vertical="center"/>
    </xf>
    <xf numFmtId="172" fontId="15" fillId="0" borderId="61" xfId="23" applyNumberFormat="1" applyFont="1" applyBorder="1" applyAlignment="1" applyProtection="1">
      <alignment vertical="center"/>
    </xf>
    <xf numFmtId="172" fontId="15" fillId="0" borderId="64" xfId="23" applyNumberFormat="1" applyFont="1" applyBorder="1" applyAlignment="1" applyProtection="1">
      <alignment vertical="center"/>
    </xf>
    <xf numFmtId="0" fontId="15" fillId="0" borderId="72" xfId="23" applyFont="1" applyFill="1" applyBorder="1" applyAlignment="1" applyProtection="1">
      <alignment vertical="center"/>
    </xf>
    <xf numFmtId="0" fontId="15" fillId="0" borderId="65" xfId="27" applyFont="1" applyBorder="1" applyAlignment="1" applyProtection="1">
      <alignment vertical="center"/>
    </xf>
    <xf numFmtId="0" fontId="15" fillId="0" borderId="61" xfId="27" applyFont="1" applyBorder="1" applyAlignment="1" applyProtection="1">
      <alignment vertical="center"/>
    </xf>
    <xf numFmtId="0" fontId="15" fillId="0" borderId="64" xfId="27" applyFont="1" applyBorder="1" applyAlignment="1" applyProtection="1">
      <alignment vertical="center"/>
    </xf>
    <xf numFmtId="172" fontId="11" fillId="0" borderId="72" xfId="28" applyNumberFormat="1" applyFont="1" applyBorder="1" applyAlignment="1" applyProtection="1">
      <alignment vertical="center"/>
    </xf>
    <xf numFmtId="172" fontId="15" fillId="0" borderId="65" xfId="28" applyNumberFormat="1" applyFont="1" applyBorder="1" applyAlignment="1" applyProtection="1">
      <alignment vertical="center"/>
    </xf>
    <xf numFmtId="172" fontId="15" fillId="0" borderId="61" xfId="28" applyNumberFormat="1" applyFont="1" applyBorder="1" applyAlignment="1" applyProtection="1">
      <alignment vertical="center"/>
    </xf>
    <xf numFmtId="172" fontId="15" fillId="0" borderId="64" xfId="28" applyNumberFormat="1" applyFont="1" applyBorder="1" applyAlignment="1" applyProtection="1">
      <alignment vertical="center"/>
    </xf>
    <xf numFmtId="3" fontId="11" fillId="0" borderId="7" xfId="28" applyNumberFormat="1" applyFont="1" applyFill="1" applyBorder="1" applyAlignment="1" applyProtection="1">
      <alignment vertical="center"/>
    </xf>
    <xf numFmtId="172" fontId="15" fillId="0" borderId="72" xfId="28" applyNumberFormat="1" applyFont="1" applyFill="1" applyBorder="1" applyAlignment="1" applyProtection="1">
      <alignment vertical="center"/>
    </xf>
    <xf numFmtId="172" fontId="15" fillId="0" borderId="74" xfId="28" applyNumberFormat="1" applyFont="1" applyFill="1" applyBorder="1" applyAlignment="1" applyProtection="1">
      <alignment vertical="center"/>
    </xf>
    <xf numFmtId="172" fontId="11" fillId="0" borderId="65" xfId="28" applyNumberFormat="1" applyFont="1" applyBorder="1" applyAlignment="1" applyProtection="1">
      <alignment horizontal="left" vertical="center" wrapText="1"/>
    </xf>
    <xf numFmtId="172" fontId="11" fillId="0" borderId="72" xfId="27" applyNumberFormat="1" applyFont="1" applyFill="1" applyBorder="1" applyAlignment="1" applyProtection="1"/>
    <xf numFmtId="172" fontId="15" fillId="0" borderId="65" xfId="27" applyNumberFormat="1" applyFont="1" applyBorder="1" applyAlignment="1" applyProtection="1"/>
    <xf numFmtId="172" fontId="15" fillId="0" borderId="61" xfId="27" applyNumberFormat="1" applyFont="1" applyBorder="1" applyAlignment="1" applyProtection="1"/>
    <xf numFmtId="172" fontId="15" fillId="0" borderId="64" xfId="27" applyNumberFormat="1" applyFont="1" applyBorder="1" applyAlignment="1" applyProtection="1"/>
    <xf numFmtId="0" fontId="15" fillId="0" borderId="72" xfId="27" applyFont="1" applyFill="1" applyBorder="1" applyAlignment="1" applyProtection="1"/>
    <xf numFmtId="0" fontId="15" fillId="0" borderId="65" xfId="27" applyFont="1" applyBorder="1" applyAlignment="1" applyProtection="1"/>
    <xf numFmtId="0" fontId="15" fillId="0" borderId="61" xfId="27" applyFont="1" applyBorder="1" applyAlignment="1" applyProtection="1"/>
    <xf numFmtId="0" fontId="15" fillId="0" borderId="64" xfId="27" applyFont="1" applyBorder="1" applyAlignment="1" applyProtection="1"/>
    <xf numFmtId="0" fontId="11" fillId="0" borderId="0" xfId="25" applyFont="1" applyAlignment="1" applyProtection="1">
      <alignment horizontal="left" vertical="center"/>
    </xf>
    <xf numFmtId="0" fontId="11" fillId="0" borderId="0" xfId="26" applyFont="1" applyBorder="1" applyAlignment="1" applyProtection="1">
      <alignment horizontal="left" vertical="center"/>
    </xf>
    <xf numFmtId="3" fontId="11" fillId="0" borderId="7" xfId="26" applyNumberFormat="1" applyFont="1" applyFill="1" applyBorder="1" applyAlignment="1" applyProtection="1"/>
    <xf numFmtId="172" fontId="11" fillId="0" borderId="72" xfId="26" applyNumberFormat="1" applyFont="1" applyFill="1" applyBorder="1" applyAlignment="1" applyProtection="1"/>
    <xf numFmtId="172" fontId="11" fillId="0" borderId="74" xfId="26" applyNumberFormat="1" applyFont="1" applyFill="1" applyBorder="1" applyAlignment="1" applyProtection="1"/>
    <xf numFmtId="172" fontId="15" fillId="0" borderId="65" xfId="26" applyNumberFormat="1" applyFont="1" applyBorder="1" applyAlignment="1" applyProtection="1"/>
    <xf numFmtId="172" fontId="15" fillId="0" borderId="61" xfId="26" applyNumberFormat="1" applyFont="1" applyBorder="1" applyAlignment="1" applyProtection="1"/>
    <xf numFmtId="172" fontId="15" fillId="0" borderId="64" xfId="26" applyNumberFormat="1" applyFont="1" applyBorder="1" applyAlignment="1" applyProtection="1"/>
    <xf numFmtId="0" fontId="15" fillId="0" borderId="72" xfId="26" applyFont="1" applyFill="1" applyBorder="1" applyAlignment="1" applyProtection="1"/>
    <xf numFmtId="0" fontId="15" fillId="0" borderId="74" xfId="26" applyFont="1" applyFill="1" applyBorder="1" applyAlignment="1" applyProtection="1"/>
    <xf numFmtId="0" fontId="15" fillId="0" borderId="65" xfId="26" applyFont="1" applyBorder="1" applyAlignment="1" applyProtection="1"/>
    <xf numFmtId="0" fontId="15" fillId="0" borderId="61" xfId="26" applyFont="1" applyBorder="1" applyAlignment="1" applyProtection="1"/>
    <xf numFmtId="0" fontId="15" fillId="0" borderId="64" xfId="26" applyFont="1" applyBorder="1" applyAlignment="1" applyProtection="1"/>
    <xf numFmtId="3" fontId="11" fillId="21" borderId="77" xfId="45" applyNumberFormat="1" applyFont="1" applyFill="1" applyBorder="1" applyAlignment="1" applyProtection="1">
      <alignment horizontal="center" vertical="center"/>
    </xf>
    <xf numFmtId="3" fontId="11" fillId="21" borderId="72" xfId="45" applyNumberFormat="1" applyFont="1" applyFill="1" applyBorder="1" applyAlignment="1" applyProtection="1">
      <alignment horizontal="center" vertical="center"/>
    </xf>
    <xf numFmtId="3" fontId="11" fillId="21" borderId="74" xfId="45" applyNumberFormat="1" applyFont="1" applyFill="1" applyBorder="1" applyAlignment="1" applyProtection="1">
      <alignment horizontal="center" vertical="center"/>
    </xf>
    <xf numFmtId="172" fontId="11" fillId="0" borderId="72" xfId="25" applyNumberFormat="1" applyFont="1" applyFill="1" applyBorder="1" applyAlignment="1" applyProtection="1">
      <alignment vertical="center"/>
    </xf>
    <xf numFmtId="172" fontId="11" fillId="0" borderId="74" xfId="25" applyNumberFormat="1" applyFont="1" applyFill="1" applyBorder="1" applyAlignment="1" applyProtection="1">
      <alignment vertical="center"/>
    </xf>
    <xf numFmtId="172" fontId="15" fillId="0" borderId="65" xfId="25" applyNumberFormat="1" applyFont="1" applyBorder="1" applyAlignment="1" applyProtection="1">
      <alignment vertical="center"/>
    </xf>
    <xf numFmtId="172" fontId="15" fillId="0" borderId="61" xfId="25" applyNumberFormat="1" applyFont="1" applyBorder="1" applyAlignment="1" applyProtection="1">
      <alignment vertical="center"/>
    </xf>
    <xf numFmtId="172" fontId="15" fillId="0" borderId="64" xfId="25" applyNumberFormat="1" applyFont="1" applyBorder="1" applyAlignment="1" applyProtection="1">
      <alignment vertical="center"/>
    </xf>
    <xf numFmtId="0" fontId="15" fillId="3" borderId="77" xfId="25" applyFont="1" applyFill="1" applyBorder="1" applyAlignment="1" applyProtection="1">
      <alignment horizontal="left" vertical="center"/>
    </xf>
    <xf numFmtId="0" fontId="15" fillId="0" borderId="76" xfId="25" applyFont="1" applyBorder="1" applyAlignment="1" applyProtection="1">
      <alignment horizontal="center" vertical="center"/>
    </xf>
    <xf numFmtId="0" fontId="15" fillId="0" borderId="72" xfId="25" applyFont="1" applyFill="1" applyBorder="1" applyAlignment="1" applyProtection="1">
      <alignment vertical="center"/>
    </xf>
    <xf numFmtId="0" fontId="15" fillId="0" borderId="65" xfId="25" applyFont="1" applyBorder="1" applyAlignment="1" applyProtection="1"/>
    <xf numFmtId="0" fontId="15" fillId="0" borderId="61" xfId="25" applyFont="1" applyBorder="1" applyAlignment="1" applyProtection="1"/>
    <xf numFmtId="0" fontId="15" fillId="0" borderId="64" xfId="25" applyFont="1" applyBorder="1" applyAlignment="1" applyProtection="1"/>
    <xf numFmtId="0" fontId="11" fillId="0" borderId="0" xfId="13" applyFont="1" applyAlignment="1" applyProtection="1">
      <alignment horizontal="left" vertical="center"/>
    </xf>
    <xf numFmtId="0" fontId="18" fillId="0" borderId="0" xfId="0" applyFont="1" applyBorder="1" applyAlignment="1" applyProtection="1">
      <alignment horizontal="left" vertical="center"/>
    </xf>
    <xf numFmtId="0" fontId="11" fillId="0" borderId="0" xfId="27" applyFont="1" applyAlignment="1" applyProtection="1">
      <alignment horizontal="left" vertical="center"/>
    </xf>
    <xf numFmtId="0" fontId="11" fillId="0" borderId="0" xfId="20" applyFont="1" applyBorder="1" applyAlignment="1" applyProtection="1">
      <alignment horizontal="left" vertical="center"/>
    </xf>
    <xf numFmtId="0" fontId="11" fillId="0" borderId="0" xfId="17" applyFont="1" applyAlignment="1" applyProtection="1">
      <alignment horizontal="left" vertical="center"/>
    </xf>
    <xf numFmtId="0" fontId="11" fillId="0" borderId="0" xfId="16" applyFont="1" applyAlignment="1" applyProtection="1">
      <alignment horizontal="left" vertical="center"/>
    </xf>
    <xf numFmtId="0" fontId="11" fillId="0" borderId="0" xfId="15" applyFont="1" applyAlignment="1" applyProtection="1">
      <alignment horizontal="left" vertical="center"/>
    </xf>
    <xf numFmtId="0" fontId="11" fillId="0" borderId="0" xfId="13" applyFont="1" applyAlignment="1" applyProtection="1">
      <alignment horizontal="left"/>
    </xf>
    <xf numFmtId="172" fontId="11" fillId="0" borderId="77" xfId="0" applyNumberFormat="1" applyFont="1" applyBorder="1" applyAlignment="1" applyProtection="1">
      <alignment horizontal="left"/>
    </xf>
    <xf numFmtId="0" fontId="11" fillId="0" borderId="104" xfId="22" applyFont="1" applyBorder="1" applyAlignment="1" applyProtection="1">
      <alignment horizontal="left"/>
    </xf>
    <xf numFmtId="0" fontId="11" fillId="0" borderId="2" xfId="18" applyFont="1" applyBorder="1" applyAlignment="1" applyProtection="1">
      <alignment horizontal="left"/>
    </xf>
    <xf numFmtId="172" fontId="11" fillId="0" borderId="0" xfId="17" applyNumberFormat="1" applyFont="1" applyFill="1" applyBorder="1" applyAlignment="1" applyProtection="1">
      <alignment horizontal="left"/>
    </xf>
    <xf numFmtId="172" fontId="11" fillId="0" borderId="104" xfId="16" applyNumberFormat="1" applyFont="1" applyBorder="1" applyAlignment="1" applyProtection="1">
      <alignment horizontal="left"/>
    </xf>
    <xf numFmtId="172" fontId="11" fillId="0" borderId="0" xfId="15" applyNumberFormat="1" applyFont="1" applyBorder="1" applyAlignment="1" applyProtection="1">
      <alignment horizontal="left"/>
    </xf>
    <xf numFmtId="0" fontId="18" fillId="0" borderId="72" xfId="0" applyFont="1" applyBorder="1" applyAlignment="1" applyProtection="1">
      <alignment vertical="center"/>
    </xf>
    <xf numFmtId="0" fontId="11" fillId="0" borderId="77" xfId="0" applyFont="1" applyBorder="1" applyAlignment="1" applyProtection="1">
      <alignment horizontal="center" vertical="center"/>
    </xf>
    <xf numFmtId="172" fontId="11" fillId="0" borderId="72" xfId="22" applyNumberFormat="1" applyFont="1" applyBorder="1" applyAlignment="1" applyProtection="1">
      <alignment vertical="center"/>
    </xf>
    <xf numFmtId="172" fontId="15" fillId="0" borderId="65" xfId="22" applyNumberFormat="1" applyFont="1" applyFill="1" applyBorder="1" applyAlignment="1" applyProtection="1">
      <alignment vertical="center"/>
    </xf>
    <xf numFmtId="172" fontId="15" fillId="0" borderId="61" xfId="22" applyNumberFormat="1" applyFont="1" applyFill="1" applyBorder="1" applyAlignment="1" applyProtection="1">
      <alignment vertical="center"/>
    </xf>
    <xf numFmtId="172" fontId="15" fillId="0" borderId="64" xfId="22" applyNumberFormat="1" applyFont="1" applyFill="1" applyBorder="1" applyAlignment="1" applyProtection="1">
      <alignment vertical="center"/>
    </xf>
    <xf numFmtId="0" fontId="11" fillId="0" borderId="0" xfId="22" applyFont="1" applyFill="1" applyBorder="1" applyAlignment="1" applyProtection="1">
      <alignment horizontal="left"/>
    </xf>
    <xf numFmtId="172" fontId="11" fillId="0" borderId="72" xfId="22" applyNumberFormat="1" applyFont="1" applyBorder="1" applyAlignment="1" applyProtection="1">
      <alignment horizontal="center" vertical="center"/>
    </xf>
    <xf numFmtId="171" fontId="11" fillId="0" borderId="72" xfId="22" applyNumberFormat="1" applyFont="1" applyBorder="1" applyAlignment="1" applyProtection="1">
      <alignment horizontal="center" vertical="center"/>
    </xf>
    <xf numFmtId="171" fontId="11" fillId="0" borderId="74" xfId="22" applyNumberFormat="1" applyFont="1" applyBorder="1" applyAlignment="1" applyProtection="1">
      <alignment horizontal="center" vertical="center"/>
    </xf>
    <xf numFmtId="0" fontId="15" fillId="0" borderId="65" xfId="22" applyFont="1" applyBorder="1" applyAlignment="1" applyProtection="1">
      <alignment vertical="center"/>
    </xf>
    <xf numFmtId="0" fontId="15" fillId="0" borderId="61" xfId="22" applyFont="1" applyBorder="1" applyAlignment="1" applyProtection="1">
      <alignment vertical="center"/>
    </xf>
    <xf numFmtId="0" fontId="15" fillId="0" borderId="64" xfId="22" applyFont="1" applyBorder="1" applyAlignment="1" applyProtection="1">
      <alignment vertical="center"/>
    </xf>
    <xf numFmtId="172" fontId="11" fillId="0" borderId="78" xfId="22" applyNumberFormat="1" applyFont="1" applyBorder="1" applyAlignment="1" applyProtection="1">
      <alignment horizontal="left" vertical="center" wrapText="1"/>
    </xf>
    <xf numFmtId="172" fontId="11" fillId="0" borderId="73" xfId="22" applyNumberFormat="1" applyFont="1" applyBorder="1" applyAlignment="1" applyProtection="1">
      <alignment vertical="center"/>
    </xf>
    <xf numFmtId="0" fontId="11" fillId="0" borderId="7" xfId="22" applyFont="1" applyBorder="1" applyAlignment="1" applyProtection="1">
      <alignment vertical="center"/>
    </xf>
    <xf numFmtId="3" fontId="11" fillId="21" borderId="7" xfId="45" applyNumberFormat="1" applyFont="1" applyFill="1" applyBorder="1" applyAlignment="1" applyProtection="1">
      <alignment horizontal="center" vertical="center"/>
    </xf>
    <xf numFmtId="172" fontId="11" fillId="0" borderId="72" xfId="27" applyNumberFormat="1" applyFont="1" applyBorder="1" applyAlignment="1" applyProtection="1"/>
    <xf numFmtId="0" fontId="15" fillId="0" borderId="61" xfId="27" applyFont="1" applyBorder="1" applyAlignment="1" applyProtection="1">
      <alignment horizontal="left"/>
    </xf>
    <xf numFmtId="3" fontId="11" fillId="0" borderId="63" xfId="45" applyNumberFormat="1" applyFont="1" applyFill="1" applyBorder="1" applyAlignment="1" applyProtection="1">
      <alignment vertical="center"/>
    </xf>
    <xf numFmtId="0" fontId="154" fillId="0" borderId="0" xfId="20" applyFont="1" applyBorder="1" applyAlignment="1" applyProtection="1">
      <alignment horizontal="left" vertical="center"/>
    </xf>
    <xf numFmtId="172" fontId="11" fillId="0" borderId="72" xfId="20" applyNumberFormat="1" applyFont="1" applyBorder="1" applyAlignment="1" applyProtection="1">
      <alignment vertical="center"/>
    </xf>
    <xf numFmtId="172" fontId="15" fillId="0" borderId="65" xfId="20" applyNumberFormat="1" applyFont="1" applyBorder="1" applyAlignment="1" applyProtection="1">
      <alignment vertical="center"/>
    </xf>
    <xf numFmtId="172" fontId="15" fillId="0" borderId="61" xfId="20" applyNumberFormat="1" applyFont="1" applyBorder="1" applyAlignment="1" applyProtection="1">
      <alignment vertical="center"/>
    </xf>
    <xf numFmtId="172" fontId="15" fillId="0" borderId="64" xfId="20" applyNumberFormat="1" applyFont="1" applyBorder="1" applyAlignment="1" applyProtection="1">
      <alignment vertical="center"/>
    </xf>
    <xf numFmtId="172" fontId="11" fillId="0" borderId="73" xfId="20" applyNumberFormat="1" applyFont="1" applyBorder="1" applyAlignment="1" applyProtection="1">
      <alignment vertical="center"/>
    </xf>
    <xf numFmtId="172" fontId="11" fillId="0" borderId="7" xfId="20" applyNumberFormat="1" applyFont="1" applyBorder="1" applyAlignment="1" applyProtection="1">
      <alignment vertical="center"/>
    </xf>
    <xf numFmtId="172" fontId="11" fillId="0" borderId="72" xfId="20" applyNumberFormat="1" applyFont="1" applyBorder="1" applyAlignment="1" applyProtection="1">
      <alignment horizontal="center" vertical="center"/>
    </xf>
    <xf numFmtId="171" fontId="11" fillId="0" borderId="72" xfId="20" applyNumberFormat="1" applyFont="1" applyBorder="1" applyAlignment="1" applyProtection="1">
      <alignment horizontal="center" vertical="center"/>
    </xf>
    <xf numFmtId="171" fontId="11" fillId="0" borderId="74" xfId="20" applyNumberFormat="1" applyFont="1" applyBorder="1" applyAlignment="1" applyProtection="1">
      <alignment horizontal="center" vertical="center"/>
    </xf>
    <xf numFmtId="0" fontId="15" fillId="0" borderId="65" xfId="20" applyFont="1" applyBorder="1" applyAlignment="1" applyProtection="1">
      <alignment vertical="center"/>
    </xf>
    <xf numFmtId="0" fontId="15" fillId="0" borderId="61" xfId="20" applyFont="1" applyBorder="1" applyAlignment="1" applyProtection="1">
      <alignment vertical="center"/>
    </xf>
    <xf numFmtId="0" fontId="15" fillId="0" borderId="64" xfId="20" applyFont="1" applyBorder="1" applyAlignment="1" applyProtection="1">
      <alignment vertical="center"/>
    </xf>
    <xf numFmtId="0" fontId="67" fillId="0" borderId="0" xfId="0" applyFont="1" applyAlignment="1" applyProtection="1">
      <alignment vertical="center"/>
    </xf>
    <xf numFmtId="0" fontId="11" fillId="0" borderId="75" xfId="20" applyFont="1" applyBorder="1" applyAlignment="1" applyProtection="1">
      <alignment horizontal="left" vertical="center" indent="3"/>
    </xf>
    <xf numFmtId="0" fontId="11" fillId="0" borderId="75" xfId="20" applyFont="1" applyBorder="1" applyAlignment="1" applyProtection="1">
      <alignment horizontal="left" vertical="center" wrapText="1" indent="3"/>
    </xf>
    <xf numFmtId="172" fontId="11" fillId="0" borderId="72" xfId="19" applyNumberFormat="1" applyFont="1" applyBorder="1" applyAlignment="1" applyProtection="1">
      <alignment vertical="center"/>
    </xf>
    <xf numFmtId="172" fontId="15" fillId="0" borderId="65" xfId="19" applyNumberFormat="1" applyFont="1" applyBorder="1" applyAlignment="1" applyProtection="1">
      <alignment vertical="center"/>
    </xf>
    <xf numFmtId="172" fontId="15" fillId="0" borderId="61" xfId="19" applyNumberFormat="1" applyFont="1" applyBorder="1" applyAlignment="1" applyProtection="1">
      <alignment vertical="center"/>
    </xf>
    <xf numFmtId="172" fontId="15" fillId="0" borderId="64" xfId="19" applyNumberFormat="1" applyFont="1" applyBorder="1" applyAlignment="1" applyProtection="1">
      <alignment vertical="center"/>
    </xf>
    <xf numFmtId="172" fontId="11" fillId="0" borderId="73" xfId="19" applyNumberFormat="1" applyFont="1" applyBorder="1" applyAlignment="1" applyProtection="1">
      <alignment vertical="center"/>
    </xf>
    <xf numFmtId="3" fontId="11" fillId="0" borderId="76" xfId="19" applyNumberFormat="1" applyFont="1" applyFill="1" applyBorder="1" applyAlignment="1" applyProtection="1">
      <alignment vertical="center"/>
    </xf>
    <xf numFmtId="3" fontId="11" fillId="0" borderId="63" xfId="19" applyNumberFormat="1" applyFont="1" applyFill="1" applyBorder="1" applyAlignment="1" applyProtection="1">
      <alignment vertical="center"/>
    </xf>
    <xf numFmtId="0" fontId="11" fillId="0" borderId="76" xfId="19" applyFont="1" applyBorder="1" applyAlignment="1" applyProtection="1">
      <alignment horizontal="left" vertical="center"/>
    </xf>
    <xf numFmtId="0" fontId="11" fillId="0" borderId="77" xfId="19" applyFont="1" applyBorder="1" applyAlignment="1" applyProtection="1">
      <alignment horizontal="center" vertical="center"/>
    </xf>
    <xf numFmtId="3" fontId="11" fillId="0" borderId="77" xfId="19" applyNumberFormat="1" applyFont="1" applyFill="1" applyBorder="1" applyAlignment="1" applyProtection="1">
      <alignment vertical="center"/>
    </xf>
    <xf numFmtId="3" fontId="18" fillId="0" borderId="76" xfId="19" applyNumberFormat="1" applyFont="1" applyFill="1" applyBorder="1" applyAlignment="1" applyProtection="1">
      <alignment vertical="center"/>
    </xf>
    <xf numFmtId="0" fontId="11" fillId="0" borderId="72" xfId="19" applyFont="1" applyBorder="1" applyAlignment="1" applyProtection="1">
      <alignment horizontal="left" vertical="center"/>
    </xf>
    <xf numFmtId="0" fontId="11" fillId="0" borderId="72" xfId="19" applyFont="1" applyBorder="1" applyAlignment="1" applyProtection="1">
      <alignment horizontal="center" vertical="center"/>
    </xf>
    <xf numFmtId="3" fontId="11" fillId="0" borderId="72" xfId="19" applyNumberFormat="1" applyFont="1" applyFill="1" applyBorder="1" applyAlignment="1" applyProtection="1">
      <alignment vertical="center"/>
    </xf>
    <xf numFmtId="3" fontId="18" fillId="0" borderId="72" xfId="19" applyNumberFormat="1" applyFont="1" applyFill="1" applyBorder="1" applyAlignment="1" applyProtection="1">
      <alignment vertical="center"/>
    </xf>
    <xf numFmtId="0" fontId="11" fillId="0" borderId="0" xfId="19" applyFont="1" applyBorder="1" applyAlignment="1" applyProtection="1">
      <alignment vertical="center"/>
    </xf>
    <xf numFmtId="171" fontId="11" fillId="0" borderId="7" xfId="19" applyNumberFormat="1" applyFont="1" applyBorder="1" applyAlignment="1" applyProtection="1">
      <alignment horizontal="center" vertical="center"/>
    </xf>
    <xf numFmtId="172" fontId="11" fillId="0" borderId="72" xfId="19" applyNumberFormat="1" applyFont="1" applyBorder="1" applyAlignment="1" applyProtection="1">
      <alignment horizontal="center" vertical="center"/>
    </xf>
    <xf numFmtId="171" fontId="11" fillId="0" borderId="72" xfId="19" applyNumberFormat="1" applyFont="1" applyBorder="1" applyAlignment="1" applyProtection="1">
      <alignment horizontal="center" vertical="center"/>
    </xf>
    <xf numFmtId="171" fontId="11" fillId="0" borderId="74" xfId="19" applyNumberFormat="1" applyFont="1" applyBorder="1" applyAlignment="1" applyProtection="1">
      <alignment horizontal="center" vertical="center"/>
    </xf>
    <xf numFmtId="0" fontId="15" fillId="0" borderId="65" xfId="19" applyFont="1" applyFill="1" applyBorder="1" applyAlignment="1" applyProtection="1">
      <alignment vertical="center"/>
    </xf>
    <xf numFmtId="0" fontId="15" fillId="0" borderId="61" xfId="19" applyFont="1" applyFill="1" applyBorder="1" applyAlignment="1" applyProtection="1">
      <alignment vertical="center"/>
    </xf>
    <xf numFmtId="0" fontId="15" fillId="0" borderId="64" xfId="19" applyFont="1" applyFill="1" applyBorder="1" applyAlignment="1" applyProtection="1">
      <alignment vertical="center"/>
    </xf>
    <xf numFmtId="172" fontId="11" fillId="0" borderId="72" xfId="18" applyNumberFormat="1" applyFont="1" applyBorder="1" applyAlignment="1" applyProtection="1">
      <alignment vertical="center"/>
    </xf>
    <xf numFmtId="172" fontId="15" fillId="0" borderId="65" xfId="18" applyNumberFormat="1" applyFont="1" applyBorder="1" applyAlignment="1" applyProtection="1">
      <alignment vertical="center"/>
    </xf>
    <xf numFmtId="172" fontId="15" fillId="0" borderId="61" xfId="18" applyNumberFormat="1" applyFont="1" applyBorder="1" applyAlignment="1" applyProtection="1">
      <alignment vertical="center"/>
    </xf>
    <xf numFmtId="172" fontId="15" fillId="0" borderId="64" xfId="18" applyNumberFormat="1" applyFont="1" applyBorder="1" applyAlignment="1" applyProtection="1">
      <alignment vertical="center"/>
    </xf>
    <xf numFmtId="172" fontId="11" fillId="0" borderId="73" xfId="18" applyNumberFormat="1" applyFont="1" applyBorder="1" applyAlignment="1" applyProtection="1">
      <alignment vertical="center"/>
    </xf>
    <xf numFmtId="3" fontId="18" fillId="0" borderId="0" xfId="18" applyNumberFormat="1" applyFont="1" applyFill="1" applyBorder="1" applyAlignment="1" applyProtection="1">
      <alignment vertical="center"/>
    </xf>
    <xf numFmtId="172" fontId="11" fillId="0" borderId="72" xfId="18" applyNumberFormat="1" applyFont="1" applyBorder="1" applyAlignment="1" applyProtection="1">
      <alignment horizontal="center" vertical="center"/>
    </xf>
    <xf numFmtId="171" fontId="11" fillId="0" borderId="72" xfId="18" applyNumberFormat="1" applyFont="1" applyBorder="1" applyAlignment="1" applyProtection="1">
      <alignment horizontal="center" vertical="center"/>
    </xf>
    <xf numFmtId="171" fontId="11" fillId="0" borderId="74" xfId="18" applyNumberFormat="1" applyFont="1" applyBorder="1" applyAlignment="1" applyProtection="1">
      <alignment horizontal="center" vertical="center"/>
    </xf>
    <xf numFmtId="0" fontId="15" fillId="0" borderId="65" xfId="18" applyFont="1" applyBorder="1" applyAlignment="1" applyProtection="1">
      <alignment vertical="center"/>
    </xf>
    <xf numFmtId="0" fontId="15" fillId="0" borderId="61" xfId="18" applyFont="1" applyBorder="1" applyAlignment="1" applyProtection="1">
      <alignment vertical="center"/>
    </xf>
    <xf numFmtId="0" fontId="15" fillId="0" borderId="64" xfId="18" applyFont="1" applyBorder="1" applyAlignment="1" applyProtection="1">
      <alignment vertical="center"/>
    </xf>
    <xf numFmtId="172" fontId="11" fillId="0" borderId="103" xfId="17" applyNumberFormat="1" applyFont="1" applyBorder="1" applyAlignment="1" applyProtection="1">
      <alignment horizontal="center" vertical="center"/>
    </xf>
    <xf numFmtId="172" fontId="11" fillId="0" borderId="72" xfId="17" applyNumberFormat="1" applyFont="1" applyBorder="1" applyAlignment="1" applyProtection="1">
      <alignment vertical="center"/>
    </xf>
    <xf numFmtId="172" fontId="15" fillId="0" borderId="65" xfId="17" applyNumberFormat="1" applyFont="1" applyBorder="1" applyAlignment="1" applyProtection="1">
      <alignment vertical="center"/>
    </xf>
    <xf numFmtId="172" fontId="15" fillId="0" borderId="61" xfId="17" applyNumberFormat="1" applyFont="1" applyBorder="1" applyAlignment="1" applyProtection="1">
      <alignment vertical="center"/>
    </xf>
    <xf numFmtId="172" fontId="15" fillId="0" borderId="64" xfId="17" applyNumberFormat="1" applyFont="1" applyBorder="1" applyAlignment="1" applyProtection="1">
      <alignment vertical="center"/>
    </xf>
    <xf numFmtId="172" fontId="11" fillId="0" borderId="73" xfId="17" applyNumberFormat="1" applyFont="1" applyBorder="1" applyAlignment="1" applyProtection="1">
      <alignment vertical="center"/>
    </xf>
    <xf numFmtId="172" fontId="11" fillId="0" borderId="7" xfId="17" applyNumberFormat="1" applyFont="1" applyBorder="1" applyAlignment="1" applyProtection="1">
      <alignment vertical="center"/>
    </xf>
    <xf numFmtId="0" fontId="11" fillId="0" borderId="0" xfId="17" applyFont="1" applyAlignment="1" applyProtection="1">
      <alignment horizontal="left"/>
    </xf>
    <xf numFmtId="3" fontId="11" fillId="0" borderId="7" xfId="17" applyNumberFormat="1" applyFont="1" applyFill="1" applyBorder="1" applyAlignment="1" applyProtection="1">
      <alignment horizontal="center" vertical="center"/>
    </xf>
    <xf numFmtId="171" fontId="11" fillId="0" borderId="7" xfId="17" applyNumberFormat="1" applyFont="1" applyBorder="1" applyAlignment="1" applyProtection="1">
      <alignment horizontal="center" vertical="center"/>
    </xf>
    <xf numFmtId="172" fontId="15" fillId="0" borderId="77" xfId="17" applyNumberFormat="1" applyFont="1" applyFill="1" applyBorder="1" applyAlignment="1" applyProtection="1">
      <alignment horizontal="left" vertical="center"/>
    </xf>
    <xf numFmtId="3" fontId="11" fillId="0" borderId="72" xfId="17" applyNumberFormat="1" applyFont="1" applyFill="1" applyBorder="1" applyAlignment="1" applyProtection="1">
      <alignment horizontal="center" vertical="center"/>
    </xf>
    <xf numFmtId="171" fontId="11" fillId="0" borderId="72" xfId="17" applyNumberFormat="1" applyFont="1" applyBorder="1" applyAlignment="1" applyProtection="1">
      <alignment horizontal="center" vertical="center"/>
    </xf>
    <xf numFmtId="171" fontId="11" fillId="0" borderId="74" xfId="17" applyNumberFormat="1" applyFont="1" applyBorder="1" applyAlignment="1" applyProtection="1">
      <alignment horizontal="center" vertical="center"/>
    </xf>
    <xf numFmtId="0" fontId="154" fillId="0" borderId="0" xfId="16" applyFont="1" applyBorder="1" applyAlignment="1" applyProtection="1">
      <alignment horizontal="left" vertical="center"/>
    </xf>
    <xf numFmtId="172" fontId="11" fillId="0" borderId="72" xfId="16" applyNumberFormat="1" applyFont="1" applyBorder="1" applyAlignment="1" applyProtection="1">
      <alignment vertical="center"/>
    </xf>
    <xf numFmtId="172" fontId="15" fillId="0" borderId="65" xfId="16" applyNumberFormat="1" applyFont="1" applyBorder="1" applyAlignment="1" applyProtection="1">
      <alignment vertical="center"/>
    </xf>
    <xf numFmtId="172" fontId="15" fillId="0" borderId="61" xfId="16" applyNumberFormat="1" applyFont="1" applyBorder="1" applyAlignment="1" applyProtection="1">
      <alignment vertical="center"/>
    </xf>
    <xf numFmtId="172" fontId="15" fillId="0" borderId="64" xfId="16" applyNumberFormat="1" applyFont="1" applyBorder="1" applyAlignment="1" applyProtection="1">
      <alignment vertical="center"/>
    </xf>
    <xf numFmtId="172" fontId="11" fillId="0" borderId="73" xfId="16" applyNumberFormat="1" applyFont="1" applyBorder="1" applyAlignment="1" applyProtection="1">
      <alignment vertical="center"/>
    </xf>
    <xf numFmtId="0" fontId="11" fillId="0" borderId="0" xfId="16" applyFont="1" applyBorder="1" applyAlignment="1" applyProtection="1">
      <alignment vertical="center"/>
    </xf>
    <xf numFmtId="171" fontId="11" fillId="0" borderId="7" xfId="16" applyNumberFormat="1" applyFont="1" applyBorder="1" applyAlignment="1" applyProtection="1">
      <alignment horizontal="center" vertical="center"/>
    </xf>
    <xf numFmtId="172" fontId="11" fillId="0" borderId="72" xfId="16" applyNumberFormat="1" applyFont="1" applyBorder="1" applyAlignment="1" applyProtection="1">
      <alignment horizontal="center" vertical="center"/>
    </xf>
    <xf numFmtId="171" fontId="11" fillId="0" borderId="72" xfId="16" applyNumberFormat="1" applyFont="1" applyBorder="1" applyAlignment="1" applyProtection="1">
      <alignment horizontal="center" vertical="center"/>
    </xf>
    <xf numFmtId="171" fontId="11" fillId="0" borderId="74" xfId="16" applyNumberFormat="1" applyFont="1" applyBorder="1" applyAlignment="1" applyProtection="1">
      <alignment horizontal="center" vertical="center"/>
    </xf>
    <xf numFmtId="0" fontId="15" fillId="0" borderId="65" xfId="16" applyFont="1" applyBorder="1" applyAlignment="1" applyProtection="1">
      <alignment vertical="center"/>
    </xf>
    <xf numFmtId="0" fontId="15" fillId="0" borderId="61" xfId="16" applyFont="1" applyBorder="1" applyAlignment="1" applyProtection="1">
      <alignment vertical="center"/>
    </xf>
    <xf numFmtId="0" fontId="15" fillId="0" borderId="64" xfId="16" applyFont="1" applyBorder="1" applyAlignment="1" applyProtection="1">
      <alignment vertical="center"/>
    </xf>
    <xf numFmtId="0" fontId="11" fillId="0" borderId="0" xfId="15" applyFont="1" applyAlignment="1" applyProtection="1">
      <alignment horizontal="left"/>
    </xf>
    <xf numFmtId="0" fontId="11" fillId="0" borderId="0" xfId="15" applyFont="1" applyBorder="1" applyAlignment="1" applyProtection="1">
      <alignment vertical="center"/>
    </xf>
    <xf numFmtId="171" fontId="11" fillId="0" borderId="7" xfId="15" applyNumberFormat="1" applyFont="1" applyBorder="1" applyAlignment="1" applyProtection="1">
      <alignment horizontal="center" vertical="center"/>
    </xf>
    <xf numFmtId="172" fontId="11" fillId="0" borderId="72" xfId="15" applyNumberFormat="1" applyFont="1" applyBorder="1" applyAlignment="1" applyProtection="1">
      <alignment horizontal="center" vertical="center"/>
    </xf>
    <xf numFmtId="171" fontId="11" fillId="0" borderId="72" xfId="15" applyNumberFormat="1" applyFont="1" applyBorder="1" applyAlignment="1" applyProtection="1">
      <alignment horizontal="center" vertical="center"/>
    </xf>
    <xf numFmtId="171" fontId="11" fillId="0" borderId="74" xfId="15" applyNumberFormat="1" applyFont="1" applyBorder="1" applyAlignment="1" applyProtection="1">
      <alignment horizontal="center" vertical="center"/>
    </xf>
    <xf numFmtId="0" fontId="15" fillId="0" borderId="65" xfId="15" applyFont="1" applyBorder="1" applyAlignment="1" applyProtection="1">
      <alignment vertical="center"/>
    </xf>
    <xf numFmtId="0" fontId="15" fillId="0" borderId="61" xfId="15" applyFont="1" applyBorder="1" applyAlignment="1" applyProtection="1">
      <alignment vertical="center"/>
    </xf>
    <xf numFmtId="0" fontId="15" fillId="0" borderId="64" xfId="15" applyFont="1" applyBorder="1" applyAlignment="1" applyProtection="1">
      <alignment vertical="center"/>
    </xf>
    <xf numFmtId="172" fontId="11" fillId="0" borderId="72" xfId="15" applyNumberFormat="1" applyFont="1" applyBorder="1" applyAlignment="1" applyProtection="1"/>
    <xf numFmtId="172" fontId="15" fillId="0" borderId="65" xfId="15" applyNumberFormat="1" applyFont="1" applyBorder="1" applyAlignment="1" applyProtection="1">
      <alignment vertical="center"/>
    </xf>
    <xf numFmtId="172" fontId="15" fillId="0" borderId="61" xfId="15" applyNumberFormat="1" applyFont="1" applyBorder="1" applyAlignment="1" applyProtection="1">
      <alignment vertical="center"/>
    </xf>
    <xf numFmtId="172" fontId="15" fillId="0" borderId="64" xfId="15" applyNumberFormat="1" applyFont="1" applyBorder="1" applyAlignment="1" applyProtection="1">
      <alignment vertical="center"/>
    </xf>
    <xf numFmtId="172" fontId="11" fillId="0" borderId="73" xfId="15" applyNumberFormat="1" applyFont="1" applyBorder="1" applyAlignment="1" applyProtection="1"/>
    <xf numFmtId="172" fontId="11" fillId="0" borderId="75" xfId="15" applyNumberFormat="1" applyFont="1" applyBorder="1" applyAlignment="1" applyProtection="1">
      <alignment horizontal="left" vertical="center"/>
    </xf>
    <xf numFmtId="0" fontId="154" fillId="0" borderId="0" xfId="27" applyFont="1" applyProtection="1"/>
    <xf numFmtId="0" fontId="15" fillId="3" borderId="76" xfId="27" applyFont="1" applyFill="1" applyBorder="1" applyAlignment="1" applyProtection="1">
      <alignment horizontal="left"/>
    </xf>
    <xf numFmtId="0" fontId="11" fillId="0" borderId="77" xfId="27" applyFont="1" applyBorder="1" applyAlignment="1" applyProtection="1">
      <alignment horizontal="center"/>
    </xf>
    <xf numFmtId="0" fontId="15" fillId="0" borderId="77" xfId="27" applyFont="1" applyFill="1" applyBorder="1" applyAlignment="1" applyProtection="1">
      <alignment horizontal="left"/>
    </xf>
    <xf numFmtId="3" fontId="11" fillId="0" borderId="61" xfId="27" applyNumberFormat="1" applyFont="1" applyFill="1" applyBorder="1" applyAlignment="1" applyProtection="1"/>
    <xf numFmtId="0" fontId="15" fillId="0" borderId="72" xfId="27" applyFont="1" applyFill="1" applyBorder="1" applyAlignment="1" applyProtection="1">
      <alignment horizontal="center"/>
    </xf>
    <xf numFmtId="3" fontId="15" fillId="0" borderId="72" xfId="27" applyNumberFormat="1" applyFont="1" applyFill="1" applyBorder="1" applyAlignment="1" applyProtection="1"/>
    <xf numFmtId="3" fontId="15" fillId="0" borderId="74" xfId="27" applyNumberFormat="1" applyFont="1" applyFill="1" applyBorder="1" applyAlignment="1" applyProtection="1"/>
    <xf numFmtId="0" fontId="15" fillId="0" borderId="65" xfId="27" applyFont="1" applyFill="1" applyBorder="1" applyAlignment="1" applyProtection="1">
      <alignment horizontal="left"/>
    </xf>
    <xf numFmtId="0" fontId="15" fillId="0" borderId="61" xfId="27" applyFont="1" applyFill="1" applyBorder="1" applyAlignment="1" applyProtection="1">
      <alignment horizontal="left"/>
    </xf>
    <xf numFmtId="3" fontId="15" fillId="0" borderId="61" xfId="27" applyNumberFormat="1" applyFont="1" applyFill="1" applyBorder="1" applyAlignment="1" applyProtection="1"/>
    <xf numFmtId="3" fontId="15" fillId="0" borderId="64" xfId="27" applyNumberFormat="1" applyFont="1" applyFill="1" applyBorder="1" applyAlignment="1" applyProtection="1"/>
    <xf numFmtId="172" fontId="11" fillId="0" borderId="72" xfId="27" applyNumberFormat="1" applyFont="1" applyFill="1" applyBorder="1" applyAlignment="1" applyProtection="1">
      <alignment horizontal="center"/>
    </xf>
    <xf numFmtId="172" fontId="15" fillId="0" borderId="65" xfId="27" applyNumberFormat="1" applyFont="1" applyFill="1" applyBorder="1" applyAlignment="1" applyProtection="1">
      <alignment horizontal="left"/>
    </xf>
    <xf numFmtId="172" fontId="11" fillId="0" borderId="61" xfId="27" applyNumberFormat="1" applyFont="1" applyFill="1" applyBorder="1" applyAlignment="1" applyProtection="1">
      <alignment horizontal="center"/>
    </xf>
    <xf numFmtId="172" fontId="11" fillId="0" borderId="72" xfId="13" applyNumberFormat="1" applyFont="1" applyBorder="1" applyAlignment="1" applyProtection="1">
      <alignment vertical="center"/>
    </xf>
    <xf numFmtId="172" fontId="15" fillId="0" borderId="65" xfId="13" applyNumberFormat="1" applyFont="1" applyBorder="1" applyAlignment="1" applyProtection="1"/>
    <xf numFmtId="172" fontId="15" fillId="0" borderId="61" xfId="13" applyNumberFormat="1" applyFont="1" applyBorder="1" applyAlignment="1" applyProtection="1"/>
    <xf numFmtId="172" fontId="15" fillId="0" borderId="64" xfId="13" applyNumberFormat="1" applyFont="1" applyBorder="1" applyAlignment="1" applyProtection="1"/>
    <xf numFmtId="172" fontId="11" fillId="0" borderId="73" xfId="13" applyNumberFormat="1" applyFont="1" applyBorder="1" applyAlignment="1" applyProtection="1">
      <alignment vertical="center"/>
    </xf>
    <xf numFmtId="0" fontId="11" fillId="0" borderId="0" xfId="13" applyFont="1" applyBorder="1" applyAlignment="1" applyProtection="1">
      <alignment vertical="center"/>
    </xf>
    <xf numFmtId="171" fontId="11" fillId="0" borderId="7" xfId="13" applyNumberFormat="1" applyFont="1" applyBorder="1" applyAlignment="1" applyProtection="1">
      <alignment horizontal="center" vertical="center"/>
    </xf>
    <xf numFmtId="172" fontId="11" fillId="0" borderId="72" xfId="13" applyNumberFormat="1" applyFont="1" applyBorder="1" applyAlignment="1" applyProtection="1">
      <alignment horizontal="center" vertical="center"/>
    </xf>
    <xf numFmtId="171" fontId="11" fillId="0" borderId="72" xfId="13" applyNumberFormat="1" applyFont="1" applyBorder="1" applyAlignment="1" applyProtection="1">
      <alignment horizontal="center" vertical="center"/>
    </xf>
    <xf numFmtId="171" fontId="11" fillId="0" borderId="74" xfId="13" applyNumberFormat="1" applyFont="1" applyBorder="1" applyAlignment="1" applyProtection="1">
      <alignment horizontal="center" vertical="center"/>
    </xf>
    <xf numFmtId="0" fontId="15" fillId="0" borderId="65" xfId="13" applyFont="1" applyBorder="1" applyAlignment="1" applyProtection="1">
      <alignment vertical="center"/>
    </xf>
    <xf numFmtId="0" fontId="15" fillId="0" borderId="61" xfId="13" applyFont="1" applyBorder="1" applyAlignment="1" applyProtection="1">
      <alignment vertical="center"/>
    </xf>
    <xf numFmtId="0" fontId="15" fillId="0" borderId="64" xfId="13" applyFont="1" applyBorder="1" applyAlignment="1" applyProtection="1">
      <alignment vertical="center"/>
    </xf>
    <xf numFmtId="172" fontId="11" fillId="0" borderId="75" xfId="13" applyNumberFormat="1" applyFont="1" applyBorder="1" applyAlignment="1" applyProtection="1">
      <alignment horizontal="left" vertical="center"/>
    </xf>
    <xf numFmtId="0" fontId="11" fillId="0" borderId="0" xfId="12" applyFont="1" applyAlignment="1" applyProtection="1">
      <alignment horizontal="left" vertical="center"/>
    </xf>
    <xf numFmtId="0" fontId="11" fillId="0" borderId="0" xfId="12" applyFont="1" applyBorder="1" applyAlignment="1" applyProtection="1">
      <alignment vertical="center"/>
    </xf>
    <xf numFmtId="172" fontId="11" fillId="0" borderId="72" xfId="12" applyNumberFormat="1" applyFont="1" applyBorder="1" applyAlignment="1" applyProtection="1">
      <alignment horizontal="center" vertical="center"/>
    </xf>
    <xf numFmtId="171" fontId="11" fillId="0" borderId="72" xfId="12" applyNumberFormat="1" applyFont="1" applyBorder="1" applyAlignment="1" applyProtection="1">
      <alignment horizontal="center" vertical="center"/>
    </xf>
    <xf numFmtId="171" fontId="11" fillId="0" borderId="74" xfId="12" applyNumberFormat="1" applyFont="1" applyBorder="1" applyAlignment="1" applyProtection="1">
      <alignment horizontal="center" vertical="center"/>
    </xf>
    <xf numFmtId="172" fontId="11" fillId="0" borderId="75" xfId="12" applyNumberFormat="1" applyFont="1" applyBorder="1" applyAlignment="1" applyProtection="1">
      <alignment horizontal="left" vertical="center"/>
    </xf>
    <xf numFmtId="0" fontId="11" fillId="0" borderId="0" xfId="23" applyFont="1" applyAlignment="1" applyProtection="1">
      <alignment horizontal="left" vertical="center"/>
    </xf>
    <xf numFmtId="172" fontId="15" fillId="0" borderId="65" xfId="23" applyNumberFormat="1" applyFont="1" applyBorder="1" applyAlignment="1" applyProtection="1"/>
    <xf numFmtId="172" fontId="15" fillId="0" borderId="61" xfId="23" applyNumberFormat="1" applyFont="1" applyBorder="1" applyAlignment="1" applyProtection="1"/>
    <xf numFmtId="172" fontId="15" fillId="0" borderId="64" xfId="23" applyNumberFormat="1" applyFont="1" applyBorder="1" applyAlignment="1" applyProtection="1"/>
    <xf numFmtId="0" fontId="11" fillId="0" borderId="0" xfId="23" applyFont="1" applyBorder="1" applyAlignment="1" applyProtection="1">
      <alignment horizontal="left"/>
    </xf>
    <xf numFmtId="0" fontId="11" fillId="0" borderId="0" xfId="23" applyFont="1" applyBorder="1" applyAlignment="1" applyProtection="1">
      <alignment horizontal="center" vertical="center"/>
    </xf>
    <xf numFmtId="3" fontId="18" fillId="0" borderId="0" xfId="23" applyNumberFormat="1" applyFont="1" applyFill="1" applyBorder="1" applyAlignment="1" applyProtection="1">
      <alignment vertical="center"/>
    </xf>
    <xf numFmtId="0" fontId="11" fillId="0" borderId="77" xfId="23" applyFont="1" applyBorder="1" applyProtection="1"/>
    <xf numFmtId="172" fontId="11" fillId="0" borderId="72" xfId="23" applyNumberFormat="1" applyFont="1" applyBorder="1" applyAlignment="1" applyProtection="1">
      <alignment horizontal="center" vertical="center"/>
    </xf>
    <xf numFmtId="171" fontId="11" fillId="0" borderId="72" xfId="23" applyNumberFormat="1" applyFont="1" applyBorder="1" applyAlignment="1" applyProtection="1">
      <alignment horizontal="center" vertical="center"/>
    </xf>
    <xf numFmtId="171" fontId="11" fillId="0" borderId="74" xfId="23" applyNumberFormat="1" applyFont="1" applyBorder="1" applyAlignment="1" applyProtection="1">
      <alignment horizontal="center" vertical="center"/>
    </xf>
    <xf numFmtId="0" fontId="15" fillId="0" borderId="65" xfId="23" applyFont="1" applyBorder="1" applyAlignment="1" applyProtection="1"/>
    <xf numFmtId="0" fontId="15" fillId="0" borderId="61" xfId="23" applyFont="1" applyBorder="1" applyAlignment="1" applyProtection="1"/>
    <xf numFmtId="0" fontId="15" fillId="0" borderId="64" xfId="23" applyFont="1" applyBorder="1" applyAlignment="1" applyProtection="1"/>
    <xf numFmtId="172" fontId="11" fillId="0" borderId="65" xfId="23" applyNumberFormat="1" applyFont="1" applyBorder="1" applyAlignment="1" applyProtection="1">
      <alignment horizontal="left" wrapText="1"/>
    </xf>
    <xf numFmtId="172" fontId="11" fillId="0" borderId="0" xfId="11" applyNumberFormat="1" applyFont="1" applyFill="1" applyBorder="1" applyAlignment="1" applyProtection="1">
      <alignment horizontal="left" vertical="center"/>
    </xf>
    <xf numFmtId="172" fontId="11" fillId="0" borderId="0" xfId="11" applyNumberFormat="1" applyFont="1" applyFill="1" applyBorder="1" applyAlignment="1" applyProtection="1">
      <alignment horizontal="center" vertical="center"/>
    </xf>
    <xf numFmtId="3" fontId="11" fillId="0" borderId="0" xfId="11" applyNumberFormat="1" applyFont="1" applyFill="1" applyBorder="1" applyAlignment="1" applyProtection="1">
      <alignment vertical="center"/>
    </xf>
    <xf numFmtId="172" fontId="11" fillId="0" borderId="72" xfId="11" applyNumberFormat="1" applyFont="1" applyBorder="1" applyAlignment="1" applyProtection="1">
      <alignment vertical="center"/>
    </xf>
    <xf numFmtId="172" fontId="15" fillId="0" borderId="65" xfId="11" applyNumberFormat="1" applyFont="1" applyBorder="1" applyAlignment="1" applyProtection="1">
      <alignment vertical="center"/>
    </xf>
    <xf numFmtId="172" fontId="15" fillId="0" borderId="61" xfId="11" applyNumberFormat="1" applyFont="1" applyBorder="1" applyAlignment="1" applyProtection="1">
      <alignment vertical="center"/>
    </xf>
    <xf numFmtId="172" fontId="15" fillId="0" borderId="64" xfId="11" applyNumberFormat="1" applyFont="1" applyBorder="1" applyAlignment="1" applyProtection="1">
      <alignment vertical="center"/>
    </xf>
    <xf numFmtId="172" fontId="11" fillId="0" borderId="73" xfId="11" applyNumberFormat="1" applyFont="1" applyBorder="1" applyAlignment="1" applyProtection="1">
      <alignment vertical="center"/>
    </xf>
    <xf numFmtId="0" fontId="11" fillId="0" borderId="0" xfId="11" applyFont="1" applyBorder="1" applyAlignment="1" applyProtection="1">
      <alignment vertical="center"/>
    </xf>
    <xf numFmtId="171" fontId="11" fillId="0" borderId="7" xfId="11" applyNumberFormat="1" applyFont="1" applyBorder="1" applyAlignment="1" applyProtection="1">
      <alignment horizontal="center" vertical="center"/>
    </xf>
    <xf numFmtId="172" fontId="11" fillId="0" borderId="72" xfId="11" applyNumberFormat="1" applyFont="1" applyBorder="1" applyAlignment="1" applyProtection="1">
      <alignment horizontal="center" vertical="center"/>
    </xf>
    <xf numFmtId="171" fontId="11" fillId="0" borderId="72" xfId="11" applyNumberFormat="1" applyFont="1" applyBorder="1" applyAlignment="1" applyProtection="1">
      <alignment horizontal="center" vertical="center"/>
    </xf>
    <xf numFmtId="171" fontId="11" fillId="0" borderId="74" xfId="11" applyNumberFormat="1" applyFont="1" applyBorder="1" applyAlignment="1" applyProtection="1">
      <alignment horizontal="center" vertical="center"/>
    </xf>
    <xf numFmtId="0" fontId="15" fillId="0" borderId="65" xfId="11" applyFont="1" applyBorder="1" applyAlignment="1" applyProtection="1">
      <alignment vertical="center"/>
    </xf>
    <xf numFmtId="0" fontId="15" fillId="0" borderId="61" xfId="11" applyFont="1" applyBorder="1" applyAlignment="1" applyProtection="1">
      <alignment vertical="center"/>
    </xf>
    <xf numFmtId="0" fontId="15" fillId="0" borderId="64" xfId="11" applyFont="1" applyBorder="1" applyAlignment="1" applyProtection="1">
      <alignment vertical="center"/>
    </xf>
    <xf numFmtId="172" fontId="11" fillId="0" borderId="75" xfId="11" applyNumberFormat="1" applyFont="1" applyBorder="1" applyAlignment="1" applyProtection="1">
      <alignment horizontal="left" vertical="center"/>
    </xf>
    <xf numFmtId="0" fontId="11" fillId="0" borderId="0" xfId="11" applyFont="1" applyAlignment="1" applyProtection="1">
      <alignment horizontal="left"/>
    </xf>
    <xf numFmtId="172" fontId="11" fillId="0" borderId="72" xfId="22" applyNumberFormat="1" applyFont="1" applyBorder="1" applyAlignment="1" applyProtection="1">
      <alignment vertical="top"/>
    </xf>
    <xf numFmtId="172" fontId="15" fillId="0" borderId="65" xfId="22" applyNumberFormat="1" applyFont="1" applyBorder="1" applyAlignment="1" applyProtection="1">
      <alignment vertical="center"/>
    </xf>
    <xf numFmtId="172" fontId="15" fillId="0" borderId="61" xfId="22" applyNumberFormat="1" applyFont="1" applyBorder="1" applyAlignment="1" applyProtection="1">
      <alignment vertical="center"/>
    </xf>
    <xf numFmtId="172" fontId="15" fillId="0" borderId="64" xfId="22" applyNumberFormat="1" applyFont="1" applyBorder="1" applyAlignment="1" applyProtection="1">
      <alignment vertical="center"/>
    </xf>
    <xf numFmtId="172" fontId="11" fillId="0" borderId="73" xfId="22" applyNumberFormat="1" applyFont="1" applyBorder="1" applyAlignment="1" applyProtection="1">
      <alignment vertical="top"/>
    </xf>
    <xf numFmtId="3" fontId="11" fillId="0" borderId="64" xfId="22" applyNumberFormat="1" applyFont="1" applyFill="1" applyBorder="1" applyAlignment="1" applyProtection="1">
      <alignment vertical="center"/>
    </xf>
    <xf numFmtId="172" fontId="11" fillId="0" borderId="103" xfId="10" applyNumberFormat="1" applyFont="1" applyBorder="1" applyAlignment="1" applyProtection="1">
      <alignment horizontal="center" vertical="center"/>
    </xf>
    <xf numFmtId="3" fontId="11" fillId="2" borderId="72" xfId="10" applyNumberFormat="1" applyFont="1" applyFill="1" applyBorder="1" applyAlignment="1" applyProtection="1">
      <alignment vertical="center"/>
      <protection locked="0"/>
    </xf>
    <xf numFmtId="0" fontId="11" fillId="0" borderId="72" xfId="10" applyFont="1" applyBorder="1" applyAlignment="1" applyProtection="1">
      <alignment vertical="center"/>
    </xf>
    <xf numFmtId="0" fontId="15" fillId="0" borderId="65" xfId="10" applyFont="1" applyBorder="1" applyAlignment="1" applyProtection="1">
      <alignment vertical="center"/>
    </xf>
    <xf numFmtId="0" fontId="15" fillId="0" borderId="61" xfId="10" applyFont="1" applyBorder="1" applyAlignment="1" applyProtection="1">
      <alignment vertical="center"/>
    </xf>
    <xf numFmtId="0" fontId="15" fillId="0" borderId="64" xfId="10" applyFont="1" applyBorder="1" applyAlignment="1" applyProtection="1">
      <alignment vertical="center"/>
    </xf>
    <xf numFmtId="0" fontId="11" fillId="0" borderId="73" xfId="10" applyFont="1" applyBorder="1" applyAlignment="1" applyProtection="1">
      <alignment vertical="center"/>
    </xf>
    <xf numFmtId="0" fontId="11" fillId="0" borderId="0" xfId="10" applyFont="1" applyBorder="1" applyAlignment="1" applyProtection="1">
      <alignment horizontal="left" vertical="center"/>
    </xf>
    <xf numFmtId="3" fontId="18" fillId="0" borderId="0" xfId="10" applyNumberFormat="1" applyFont="1" applyFill="1" applyBorder="1" applyAlignment="1" applyProtection="1">
      <alignment horizontal="right" vertical="center"/>
    </xf>
    <xf numFmtId="171" fontId="11" fillId="0" borderId="7" xfId="10" applyNumberFormat="1" applyFont="1" applyBorder="1" applyAlignment="1" applyProtection="1">
      <alignment horizontal="center" vertical="center"/>
    </xf>
    <xf numFmtId="172" fontId="11" fillId="0" borderId="72" xfId="10" applyNumberFormat="1" applyFont="1" applyBorder="1" applyAlignment="1" applyProtection="1">
      <alignment horizontal="center" vertical="center"/>
    </xf>
    <xf numFmtId="171" fontId="11" fillId="0" borderId="72" xfId="10" applyNumberFormat="1" applyFont="1" applyBorder="1" applyAlignment="1" applyProtection="1">
      <alignment horizontal="center" vertical="center"/>
    </xf>
    <xf numFmtId="171" fontId="11" fillId="0" borderId="74" xfId="10" applyNumberFormat="1" applyFont="1" applyBorder="1" applyAlignment="1" applyProtection="1">
      <alignment horizontal="center" vertical="center"/>
    </xf>
    <xf numFmtId="172" fontId="11" fillId="0" borderId="75" xfId="10" applyNumberFormat="1" applyFont="1" applyBorder="1" applyAlignment="1" applyProtection="1">
      <alignment horizontal="left" vertical="center"/>
    </xf>
    <xf numFmtId="3" fontId="11" fillId="0" borderId="0" xfId="9" applyNumberFormat="1" applyFont="1" applyFill="1" applyBorder="1" applyAlignment="1" applyProtection="1">
      <alignment vertical="center"/>
    </xf>
    <xf numFmtId="0" fontId="11" fillId="0" borderId="0" xfId="9" applyFont="1" applyFill="1" applyBorder="1" applyAlignment="1" applyProtection="1">
      <alignment vertical="center"/>
    </xf>
    <xf numFmtId="0" fontId="11" fillId="0" borderId="0" xfId="9" applyFont="1" applyFill="1" applyBorder="1" applyAlignment="1" applyProtection="1">
      <alignment horizontal="center" vertical="center"/>
    </xf>
    <xf numFmtId="172" fontId="11" fillId="0" borderId="0" xfId="9" applyNumberFormat="1" applyFont="1" applyBorder="1" applyAlignment="1" applyProtection="1">
      <alignment vertical="center"/>
    </xf>
    <xf numFmtId="172" fontId="11" fillId="0" borderId="72" xfId="9" applyNumberFormat="1" applyFont="1" applyBorder="1" applyAlignment="1" applyProtection="1">
      <alignment vertical="center"/>
    </xf>
    <xf numFmtId="172" fontId="15" fillId="0" borderId="65" xfId="9" applyNumberFormat="1" applyFont="1" applyBorder="1" applyAlignment="1" applyProtection="1">
      <alignment vertical="center"/>
    </xf>
    <xf numFmtId="172" fontId="15" fillId="0" borderId="61" xfId="9" applyNumberFormat="1" applyFont="1" applyBorder="1" applyAlignment="1" applyProtection="1">
      <alignment vertical="center"/>
    </xf>
    <xf numFmtId="172" fontId="15" fillId="0" borderId="64" xfId="9" applyNumberFormat="1" applyFont="1" applyBorder="1" applyAlignment="1" applyProtection="1">
      <alignment vertical="center"/>
    </xf>
    <xf numFmtId="172" fontId="11" fillId="0" borderId="73" xfId="9" applyNumberFormat="1" applyFont="1" applyBorder="1" applyAlignment="1" applyProtection="1">
      <alignment vertical="center"/>
    </xf>
    <xf numFmtId="3" fontId="11" fillId="0" borderId="74" xfId="9" applyNumberFormat="1" applyFont="1" applyFill="1" applyBorder="1" applyAlignment="1" applyProtection="1">
      <alignment vertical="center"/>
    </xf>
    <xf numFmtId="0" fontId="11" fillId="0" borderId="0" xfId="9" applyFont="1" applyBorder="1" applyAlignment="1" applyProtection="1">
      <alignment vertical="center"/>
    </xf>
    <xf numFmtId="171" fontId="11" fillId="0" borderId="7" xfId="9" applyNumberFormat="1" applyFont="1" applyBorder="1" applyAlignment="1" applyProtection="1">
      <alignment horizontal="center" vertical="center"/>
    </xf>
    <xf numFmtId="172" fontId="11" fillId="0" borderId="72" xfId="9" applyNumberFormat="1" applyFont="1" applyBorder="1" applyAlignment="1" applyProtection="1">
      <alignment horizontal="center" vertical="center"/>
    </xf>
    <xf numFmtId="171" fontId="11" fillId="0" borderId="72" xfId="9" applyNumberFormat="1" applyFont="1" applyBorder="1" applyAlignment="1" applyProtection="1">
      <alignment horizontal="center" vertical="center"/>
    </xf>
    <xf numFmtId="171" fontId="11" fillId="0" borderId="74" xfId="9" applyNumberFormat="1" applyFont="1" applyBorder="1" applyAlignment="1" applyProtection="1">
      <alignment horizontal="center" vertical="center"/>
    </xf>
    <xf numFmtId="0" fontId="15" fillId="0" borderId="65" xfId="9" applyFont="1" applyBorder="1" applyAlignment="1" applyProtection="1">
      <alignment vertical="center"/>
    </xf>
    <xf numFmtId="0" fontId="15" fillId="0" borderId="61" xfId="9" applyFont="1" applyBorder="1" applyAlignment="1" applyProtection="1">
      <alignment vertical="center"/>
    </xf>
    <xf numFmtId="0" fontId="15" fillId="0" borderId="64" xfId="9" applyFont="1" applyBorder="1" applyAlignment="1" applyProtection="1">
      <alignment vertical="center"/>
    </xf>
    <xf numFmtId="0" fontId="11" fillId="0" borderId="77" xfId="40" applyFont="1" applyBorder="1" applyAlignment="1" applyProtection="1">
      <alignment vertical="center" wrapText="1"/>
    </xf>
    <xf numFmtId="0" fontId="155" fillId="0" borderId="0" xfId="40" applyFont="1" applyBorder="1" applyAlignment="1" applyProtection="1">
      <alignment horizontal="left" vertical="center"/>
    </xf>
    <xf numFmtId="0" fontId="15" fillId="0" borderId="65" xfId="40" applyFont="1" applyBorder="1" applyAlignment="1" applyProtection="1">
      <alignment vertical="center"/>
    </xf>
    <xf numFmtId="0" fontId="15" fillId="0" borderId="61" xfId="40" applyFont="1" applyBorder="1" applyAlignment="1" applyProtection="1">
      <alignment vertical="center"/>
    </xf>
    <xf numFmtId="0" fontId="15" fillId="0" borderId="64" xfId="40" applyFont="1" applyBorder="1" applyAlignment="1" applyProtection="1">
      <alignment vertical="center"/>
    </xf>
    <xf numFmtId="0" fontId="11" fillId="0" borderId="73" xfId="40" applyFont="1" applyBorder="1" applyAlignment="1" applyProtection="1">
      <alignment vertical="center"/>
    </xf>
    <xf numFmtId="0" fontId="11" fillId="65" borderId="100" xfId="40" applyFont="1" applyFill="1" applyBorder="1" applyAlignment="1" applyProtection="1">
      <alignment horizontal="center"/>
    </xf>
    <xf numFmtId="0" fontId="11" fillId="0" borderId="73" xfId="40" applyFont="1" applyBorder="1" applyAlignment="1" applyProtection="1">
      <alignment horizontal="center" vertical="center"/>
    </xf>
    <xf numFmtId="0" fontId="11" fillId="0" borderId="77" xfId="40" applyFont="1" applyBorder="1" applyAlignment="1" applyProtection="1">
      <alignment horizontal="center" vertical="center"/>
    </xf>
    <xf numFmtId="1" fontId="11" fillId="0" borderId="72" xfId="40" applyNumberFormat="1" applyFont="1" applyBorder="1" applyAlignment="1" applyProtection="1">
      <alignment horizontal="center" vertical="center"/>
    </xf>
    <xf numFmtId="171" fontId="11" fillId="0" borderId="72" xfId="40" applyNumberFormat="1" applyFont="1" applyBorder="1" applyAlignment="1" applyProtection="1">
      <alignment horizontal="center" vertical="center"/>
    </xf>
    <xf numFmtId="171" fontId="11" fillId="0" borderId="74" xfId="40" applyNumberFormat="1" applyFont="1" applyBorder="1" applyAlignment="1" applyProtection="1">
      <alignment horizontal="center" vertical="center"/>
    </xf>
    <xf numFmtId="1" fontId="11" fillId="0" borderId="78" xfId="0" applyNumberFormat="1" applyFont="1" applyBorder="1" applyAlignment="1" applyProtection="1">
      <alignment horizontal="left" vertical="center"/>
    </xf>
    <xf numFmtId="0" fontId="11" fillId="0" borderId="65" xfId="33" applyFont="1" applyBorder="1" applyAlignment="1" applyProtection="1">
      <alignment horizontal="left" vertical="center" wrapText="1" indent="4"/>
    </xf>
    <xf numFmtId="168" fontId="11" fillId="0" borderId="101" xfId="46" applyNumberFormat="1" applyFont="1" applyFill="1" applyBorder="1" applyAlignment="1" applyProtection="1">
      <alignment vertical="center"/>
    </xf>
    <xf numFmtId="0" fontId="74" fillId="79" borderId="65" xfId="46" applyFont="1" applyFill="1" applyBorder="1" applyAlignment="1" applyProtection="1">
      <alignment horizontal="center"/>
    </xf>
    <xf numFmtId="5" fontId="15" fillId="0" borderId="75" xfId="46" applyNumberFormat="1" applyFont="1" applyFill="1" applyBorder="1" applyAlignment="1" applyProtection="1"/>
    <xf numFmtId="5" fontId="15" fillId="0" borderId="63" xfId="46" applyNumberFormat="1" applyFont="1" applyFill="1" applyBorder="1" applyAlignment="1" applyProtection="1">
      <alignment horizontal="left" vertical="center"/>
    </xf>
    <xf numFmtId="0" fontId="74" fillId="79" borderId="130" xfId="46" applyFont="1" applyFill="1" applyBorder="1" applyAlignment="1" applyProtection="1">
      <alignment horizontal="center"/>
    </xf>
    <xf numFmtId="0" fontId="74" fillId="79" borderId="118" xfId="46" applyFont="1" applyFill="1" applyBorder="1" applyAlignment="1" applyProtection="1">
      <alignment horizontal="center" vertical="center" wrapText="1"/>
    </xf>
    <xf numFmtId="0" fontId="30" fillId="0" borderId="103" xfId="46" applyFont="1" applyFill="1" applyBorder="1" applyAlignment="1" applyProtection="1"/>
    <xf numFmtId="0" fontId="30" fillId="0" borderId="65" xfId="46" applyFont="1" applyFill="1" applyBorder="1" applyAlignment="1" applyProtection="1"/>
    <xf numFmtId="0" fontId="11" fillId="0" borderId="103" xfId="46" applyFont="1" applyFill="1" applyBorder="1" applyAlignment="1" applyProtection="1"/>
    <xf numFmtId="0" fontId="11" fillId="0" borderId="0" xfId="46" applyFont="1" applyFill="1" applyBorder="1" applyAlignment="1" applyProtection="1"/>
    <xf numFmtId="0" fontId="30" fillId="0" borderId="64" xfId="46" applyFont="1" applyFill="1" applyBorder="1" applyAlignment="1" applyProtection="1">
      <alignment vertical="center"/>
    </xf>
    <xf numFmtId="0" fontId="11" fillId="0" borderId="61" xfId="46" applyFont="1" applyFill="1" applyBorder="1" applyAlignment="1" applyProtection="1">
      <alignment vertical="center"/>
    </xf>
    <xf numFmtId="0" fontId="154" fillId="0" borderId="0" xfId="0" applyFont="1" applyBorder="1" applyAlignment="1" applyProtection="1">
      <alignment vertical="center"/>
    </xf>
    <xf numFmtId="0" fontId="154" fillId="0" borderId="73" xfId="0" applyFont="1" applyBorder="1" applyAlignment="1" applyProtection="1">
      <alignment vertical="center"/>
    </xf>
    <xf numFmtId="0" fontId="154" fillId="0" borderId="61" xfId="0" applyFont="1" applyBorder="1" applyAlignment="1" applyProtection="1">
      <alignment vertical="center"/>
    </xf>
    <xf numFmtId="0" fontId="154" fillId="0" borderId="64" xfId="0" applyFont="1" applyBorder="1" applyAlignment="1" applyProtection="1">
      <alignment vertical="center"/>
    </xf>
    <xf numFmtId="0" fontId="154" fillId="0" borderId="103" xfId="0" applyFont="1" applyBorder="1" applyAlignment="1" applyProtection="1"/>
    <xf numFmtId="0" fontId="154" fillId="0" borderId="65" xfId="0" applyFont="1" applyBorder="1" applyAlignment="1" applyProtection="1"/>
    <xf numFmtId="0" fontId="165" fillId="0" borderId="16" xfId="176" applyFont="1" applyFill="1" applyBorder="1" applyAlignment="1" applyProtection="1"/>
    <xf numFmtId="168" fontId="11" fillId="0" borderId="29" xfId="46" applyNumberFormat="1" applyFont="1" applyFill="1" applyBorder="1" applyAlignment="1" applyProtection="1">
      <alignment horizontal="right" vertical="center"/>
    </xf>
    <xf numFmtId="168" fontId="11" fillId="0" borderId="98" xfId="46" applyNumberFormat="1" applyFont="1" applyFill="1" applyBorder="1" applyAlignment="1" applyProtection="1">
      <alignment horizontal="right" vertical="center"/>
    </xf>
    <xf numFmtId="0" fontId="74" fillId="0" borderId="0" xfId="46" applyFont="1" applyFill="1" applyBorder="1" applyAlignment="1" applyProtection="1">
      <alignment horizontal="center" vertical="center"/>
    </xf>
    <xf numFmtId="0" fontId="74" fillId="79" borderId="110" xfId="46" applyFont="1" applyFill="1" applyBorder="1" applyAlignment="1" applyProtection="1">
      <alignment horizontal="center" vertical="center" wrapText="1"/>
    </xf>
    <xf numFmtId="193" fontId="11" fillId="0" borderId="76" xfId="46" applyNumberFormat="1" applyFont="1" applyFill="1" applyBorder="1" applyAlignment="1" applyProtection="1">
      <alignment horizontal="right" vertical="center"/>
    </xf>
    <xf numFmtId="193" fontId="11" fillId="0" borderId="88" xfId="46" applyNumberFormat="1" applyFont="1" applyFill="1" applyBorder="1" applyAlignment="1" applyProtection="1">
      <alignment horizontal="right" vertical="center"/>
    </xf>
    <xf numFmtId="193" fontId="11" fillId="0" borderId="64" xfId="46" applyNumberFormat="1" applyFont="1" applyFill="1" applyBorder="1" applyAlignment="1" applyProtection="1">
      <alignment horizontal="right" vertical="center"/>
    </xf>
    <xf numFmtId="0" fontId="11" fillId="0" borderId="0" xfId="46" applyFont="1" applyFill="1" applyBorder="1" applyAlignment="1" applyProtection="1">
      <alignment vertical="center"/>
    </xf>
    <xf numFmtId="0" fontId="11" fillId="0" borderId="0" xfId="0" applyFont="1" applyBorder="1" applyProtection="1"/>
    <xf numFmtId="0" fontId="176" fillId="0" borderId="0" xfId="8" applyFont="1" applyFill="1" applyBorder="1" applyAlignment="1" applyProtection="1">
      <alignment horizontal="center" vertical="center"/>
    </xf>
    <xf numFmtId="0" fontId="177" fillId="0" borderId="28" xfId="176" applyFont="1" applyBorder="1" applyProtection="1"/>
    <xf numFmtId="3" fontId="11" fillId="0" borderId="78" xfId="176" applyNumberFormat="1" applyBorder="1" applyProtection="1"/>
    <xf numFmtId="3" fontId="11" fillId="3" borderId="78" xfId="176" applyNumberFormat="1" applyFill="1" applyBorder="1" applyAlignment="1" applyProtection="1">
      <alignment horizontal="center"/>
    </xf>
    <xf numFmtId="0" fontId="11" fillId="0" borderId="42" xfId="176" applyBorder="1" applyAlignment="1" applyProtection="1">
      <alignment horizontal="center"/>
    </xf>
    <xf numFmtId="167" fontId="11" fillId="2" borderId="112" xfId="176" applyNumberFormat="1" applyFill="1" applyBorder="1" applyProtection="1">
      <protection locked="0"/>
    </xf>
    <xf numFmtId="3" fontId="11" fillId="11" borderId="75" xfId="176" applyNumberFormat="1" applyFill="1" applyBorder="1" applyProtection="1">
      <protection locked="0"/>
    </xf>
    <xf numFmtId="3" fontId="11" fillId="0" borderId="75" xfId="176" applyNumberFormat="1" applyBorder="1" applyProtection="1"/>
    <xf numFmtId="167" fontId="11" fillId="3" borderId="112" xfId="176" applyNumberFormat="1" applyFill="1" applyBorder="1" applyAlignment="1" applyProtection="1">
      <alignment horizontal="center"/>
    </xf>
    <xf numFmtId="3" fontId="11" fillId="3" borderId="75" xfId="176" applyNumberFormat="1" applyFill="1" applyBorder="1" applyAlignment="1" applyProtection="1">
      <alignment horizontal="center"/>
    </xf>
    <xf numFmtId="0" fontId="11" fillId="0" borderId="43" xfId="176" applyBorder="1" applyAlignment="1" applyProtection="1">
      <alignment horizontal="center"/>
    </xf>
    <xf numFmtId="3" fontId="11" fillId="0" borderId="111" xfId="176" applyNumberFormat="1" applyBorder="1" applyProtection="1"/>
    <xf numFmtId="3" fontId="11" fillId="3" borderId="111" xfId="176" applyNumberFormat="1" applyFill="1" applyBorder="1" applyAlignment="1" applyProtection="1">
      <alignment horizontal="center"/>
    </xf>
    <xf numFmtId="0" fontId="11" fillId="0" borderId="12" xfId="176" applyBorder="1" applyAlignment="1" applyProtection="1">
      <alignment horizontal="center"/>
    </xf>
    <xf numFmtId="0" fontId="11" fillId="0" borderId="75" xfId="176" applyBorder="1" applyAlignment="1" applyProtection="1">
      <alignment horizontal="center"/>
    </xf>
    <xf numFmtId="0" fontId="54" fillId="0" borderId="40" xfId="176" applyFont="1" applyBorder="1" applyAlignment="1" applyProtection="1">
      <alignment horizontal="right" vertical="center"/>
    </xf>
    <xf numFmtId="0" fontId="54" fillId="0" borderId="135" xfId="176" applyFont="1" applyBorder="1" applyAlignment="1" applyProtection="1">
      <alignment horizontal="right" vertical="center"/>
    </xf>
    <xf numFmtId="0" fontId="11" fillId="0" borderId="61" xfId="176" applyFont="1" applyFill="1" applyBorder="1" applyProtection="1"/>
    <xf numFmtId="172" fontId="11" fillId="0" borderId="13" xfId="176" applyNumberFormat="1" applyFont="1" applyFill="1" applyBorder="1" applyAlignment="1" applyProtection="1">
      <alignment horizontal="center"/>
    </xf>
    <xf numFmtId="0" fontId="11" fillId="0" borderId="13" xfId="176" applyFont="1" applyFill="1" applyBorder="1" applyAlignment="1" applyProtection="1">
      <alignment horizontal="right"/>
    </xf>
    <xf numFmtId="167" fontId="11" fillId="0" borderId="13" xfId="176" applyNumberFormat="1" applyFont="1" applyFill="1" applyBorder="1" applyAlignment="1" applyProtection="1">
      <alignment horizontal="right"/>
    </xf>
    <xf numFmtId="0" fontId="15" fillId="0" borderId="75" xfId="176" applyFont="1" applyFill="1" applyBorder="1" applyAlignment="1" applyProtection="1">
      <alignment horizontal="center"/>
    </xf>
    <xf numFmtId="174" fontId="15" fillId="0" borderId="75" xfId="176" applyNumberFormat="1" applyFont="1" applyFill="1" applyBorder="1" applyAlignment="1" applyProtection="1">
      <alignment horizontal="center"/>
    </xf>
    <xf numFmtId="49" fontId="15" fillId="0" borderId="75" xfId="176" applyNumberFormat="1" applyFont="1" applyFill="1" applyBorder="1" applyAlignment="1" applyProtection="1">
      <alignment horizontal="center"/>
    </xf>
    <xf numFmtId="0" fontId="11" fillId="0" borderId="88" xfId="176" applyFont="1" applyFill="1" applyBorder="1" applyProtection="1"/>
    <xf numFmtId="172" fontId="11" fillId="0" borderId="88" xfId="176" applyNumberFormat="1" applyFont="1" applyFill="1" applyBorder="1" applyAlignment="1" applyProtection="1">
      <alignment horizontal="center"/>
    </xf>
    <xf numFmtId="3" fontId="11" fillId="0" borderId="88" xfId="176" applyNumberFormat="1" applyFont="1" applyFill="1" applyBorder="1" applyProtection="1"/>
    <xf numFmtId="3" fontId="11" fillId="0" borderId="88" xfId="176" applyNumberFormat="1" applyFont="1" applyFill="1" applyBorder="1" applyAlignment="1" applyProtection="1">
      <alignment horizontal="right"/>
    </xf>
    <xf numFmtId="0" fontId="15" fillId="22" borderId="76" xfId="176" applyFont="1" applyFill="1" applyBorder="1" applyAlignment="1" applyProtection="1">
      <alignment horizontal="center"/>
    </xf>
    <xf numFmtId="0" fontId="15" fillId="22" borderId="12" xfId="176" applyFont="1" applyFill="1" applyBorder="1" applyAlignment="1" applyProtection="1">
      <alignment horizontal="center"/>
    </xf>
    <xf numFmtId="0" fontId="15" fillId="22" borderId="7" xfId="176" applyFont="1" applyFill="1" applyBorder="1" applyAlignment="1" applyProtection="1">
      <alignment horizontal="center"/>
    </xf>
    <xf numFmtId="0" fontId="15" fillId="0" borderId="12" xfId="176" applyFont="1" applyFill="1" applyBorder="1" applyProtection="1"/>
    <xf numFmtId="3" fontId="11" fillId="0" borderId="12" xfId="176" applyNumberFormat="1" applyFont="1" applyFill="1" applyBorder="1" applyProtection="1"/>
    <xf numFmtId="3" fontId="11" fillId="0" borderId="12" xfId="176" applyNumberFormat="1" applyFont="1" applyFill="1" applyBorder="1" applyAlignment="1" applyProtection="1">
      <alignment horizontal="right"/>
    </xf>
    <xf numFmtId="0" fontId="11" fillId="0" borderId="88" xfId="176" applyFont="1" applyFill="1" applyBorder="1" applyAlignment="1" applyProtection="1">
      <alignment horizontal="center"/>
    </xf>
    <xf numFmtId="172" fontId="11" fillId="0" borderId="63" xfId="16" applyNumberFormat="1" applyFont="1" applyBorder="1" applyAlignment="1" applyProtection="1">
      <alignment horizontal="center" vertical="center"/>
    </xf>
    <xf numFmtId="0" fontId="11" fillId="0" borderId="103" xfId="9" applyFont="1" applyBorder="1" applyProtection="1"/>
    <xf numFmtId="172" fontId="11" fillId="0" borderId="75" xfId="16" applyNumberFormat="1" applyFont="1" applyBorder="1" applyAlignment="1" applyProtection="1">
      <alignment vertical="center" wrapText="1"/>
    </xf>
    <xf numFmtId="3" fontId="18" fillId="2" borderId="61" xfId="0" applyNumberFormat="1" applyFont="1" applyFill="1" applyBorder="1" applyAlignment="1" applyProtection="1">
      <alignment vertical="center"/>
      <protection locked="0"/>
    </xf>
    <xf numFmtId="172" fontId="11" fillId="0" borderId="65" xfId="39" applyNumberFormat="1" applyFont="1" applyBorder="1" applyAlignment="1" applyProtection="1">
      <alignment horizontal="left" vertical="center" wrapText="1"/>
    </xf>
    <xf numFmtId="3" fontId="11" fillId="0" borderId="104" xfId="30" applyNumberFormat="1" applyFont="1" applyFill="1" applyBorder="1" applyAlignment="1" applyProtection="1">
      <alignment vertical="center"/>
    </xf>
    <xf numFmtId="172" fontId="11" fillId="0" borderId="78" xfId="20" applyNumberFormat="1" applyFont="1" applyBorder="1" applyAlignment="1" applyProtection="1">
      <alignment vertical="center"/>
    </xf>
    <xf numFmtId="172" fontId="11" fillId="0" borderId="75" xfId="20" applyNumberFormat="1" applyFont="1" applyBorder="1" applyAlignment="1" applyProtection="1">
      <alignment vertical="center"/>
    </xf>
    <xf numFmtId="0" fontId="11" fillId="0" borderId="0" xfId="30" applyFont="1" applyAlignment="1" applyProtection="1">
      <alignment horizontal="left" vertical="center"/>
    </xf>
    <xf numFmtId="172" fontId="18" fillId="0" borderId="0" xfId="46" applyNumberFormat="1" applyFont="1" applyFill="1" applyBorder="1" applyAlignment="1" applyProtection="1">
      <alignment horizontal="left" vertical="center"/>
    </xf>
    <xf numFmtId="172" fontId="18" fillId="0" borderId="61" xfId="46" applyNumberFormat="1" applyFont="1" applyFill="1" applyBorder="1" applyAlignment="1" applyProtection="1">
      <alignment horizontal="left" vertical="center"/>
    </xf>
    <xf numFmtId="0" fontId="11" fillId="6" borderId="0" xfId="176" applyFill="1" applyBorder="1" applyAlignment="1" applyProtection="1">
      <alignment horizontal="centerContinuous"/>
    </xf>
    <xf numFmtId="0" fontId="11" fillId="6" borderId="43" xfId="176" applyFill="1" applyBorder="1" applyAlignment="1" applyProtection="1">
      <alignment horizontal="centerContinuous"/>
    </xf>
    <xf numFmtId="0" fontId="180" fillId="6" borderId="42" xfId="176" applyFont="1" applyFill="1" applyBorder="1" applyAlignment="1" applyProtection="1">
      <alignment horizontal="centerContinuous"/>
    </xf>
    <xf numFmtId="0" fontId="180" fillId="6" borderId="0" xfId="176" applyFont="1" applyFill="1" applyBorder="1" applyAlignment="1" applyProtection="1">
      <alignment horizontal="centerContinuous"/>
    </xf>
    <xf numFmtId="0" fontId="180" fillId="6" borderId="43" xfId="176" applyFont="1" applyFill="1" applyBorder="1" applyAlignment="1" applyProtection="1">
      <alignment horizontal="centerContinuous"/>
    </xf>
    <xf numFmtId="0" fontId="180" fillId="6" borderId="0" xfId="176" applyFont="1" applyFill="1" applyBorder="1" applyAlignment="1" applyProtection="1">
      <alignment horizontal="right"/>
    </xf>
    <xf numFmtId="0" fontId="180" fillId="6" borderId="0" xfId="176" applyFont="1" applyFill="1" applyBorder="1" applyAlignment="1" applyProtection="1">
      <alignment horizontal="left"/>
    </xf>
    <xf numFmtId="172" fontId="11" fillId="0" borderId="78" xfId="13" applyNumberFormat="1" applyFont="1" applyFill="1" applyBorder="1" applyAlignment="1" applyProtection="1">
      <alignment horizontal="left" vertical="center"/>
    </xf>
    <xf numFmtId="172" fontId="11" fillId="0" borderId="75" xfId="13" applyNumberFormat="1" applyFont="1" applyFill="1" applyBorder="1" applyAlignment="1" applyProtection="1">
      <alignment horizontal="center" vertical="center"/>
    </xf>
    <xf numFmtId="0" fontId="11" fillId="0" borderId="78" xfId="18" applyFont="1" applyFill="1" applyBorder="1" applyAlignment="1" applyProtection="1">
      <alignment horizontal="left" vertical="center"/>
    </xf>
    <xf numFmtId="0" fontId="11" fillId="0" borderId="0" xfId="22" applyFont="1" applyAlignment="1" applyProtection="1">
      <alignment horizontal="right" vertical="center"/>
    </xf>
    <xf numFmtId="3" fontId="11" fillId="11" borderId="75" xfId="20" applyNumberFormat="1" applyFont="1" applyFill="1" applyBorder="1" applyAlignment="1" applyProtection="1">
      <alignment vertical="center"/>
      <protection locked="0"/>
    </xf>
    <xf numFmtId="172" fontId="11" fillId="0" borderId="2" xfId="19" applyNumberFormat="1" applyFont="1" applyBorder="1" applyAlignment="1" applyProtection="1">
      <alignment horizontal="center"/>
    </xf>
    <xf numFmtId="172" fontId="11" fillId="0" borderId="63" xfId="20" applyNumberFormat="1" applyFont="1" applyBorder="1" applyAlignment="1" applyProtection="1">
      <alignment horizontal="center"/>
    </xf>
    <xf numFmtId="0" fontId="11" fillId="0" borderId="75" xfId="0" applyFont="1" applyBorder="1" applyAlignment="1" applyProtection="1">
      <alignment vertical="center"/>
    </xf>
    <xf numFmtId="0" fontId="11" fillId="0" borderId="75" xfId="30" applyFont="1" applyBorder="1" applyAlignment="1" applyProtection="1">
      <alignment vertical="center"/>
    </xf>
    <xf numFmtId="0" fontId="140" fillId="0" borderId="0" xfId="0" applyFont="1" applyFill="1" applyAlignment="1" applyProtection="1">
      <alignment horizontal="center"/>
    </xf>
    <xf numFmtId="0" fontId="140" fillId="72" borderId="0" xfId="0" applyFont="1" applyFill="1" applyAlignment="1" applyProtection="1">
      <alignment horizontal="center"/>
    </xf>
    <xf numFmtId="0" fontId="53" fillId="73" borderId="139" xfId="0" applyFont="1" applyFill="1" applyBorder="1" applyAlignment="1">
      <alignment horizontal="center"/>
    </xf>
    <xf numFmtId="0" fontId="53" fillId="0" borderId="139" xfId="0" applyFont="1" applyFill="1" applyBorder="1" applyAlignment="1">
      <alignment horizontal="center"/>
    </xf>
    <xf numFmtId="0" fontId="53" fillId="72" borderId="139" xfId="0" applyFont="1" applyFill="1" applyBorder="1" applyAlignment="1">
      <alignment horizontal="center"/>
    </xf>
    <xf numFmtId="14" fontId="53" fillId="72" borderId="139" xfId="0" applyNumberFormat="1" applyFont="1" applyFill="1" applyBorder="1" applyAlignment="1">
      <alignment horizontal="center"/>
    </xf>
    <xf numFmtId="0" fontId="53" fillId="72" borderId="140" xfId="0" applyFont="1" applyFill="1" applyBorder="1" applyAlignment="1">
      <alignment horizontal="center"/>
    </xf>
    <xf numFmtId="0" fontId="53" fillId="72" borderId="141" xfId="0" applyFont="1" applyFill="1" applyBorder="1" applyAlignment="1">
      <alignment horizontal="center"/>
    </xf>
    <xf numFmtId="3" fontId="53" fillId="72" borderId="140" xfId="0" applyNumberFormat="1" applyFont="1" applyFill="1" applyBorder="1" applyAlignment="1">
      <alignment horizontal="center"/>
    </xf>
    <xf numFmtId="3" fontId="53" fillId="72" borderId="141" xfId="0" applyNumberFormat="1" applyFont="1" applyFill="1" applyBorder="1" applyAlignment="1">
      <alignment horizontal="center"/>
    </xf>
    <xf numFmtId="0" fontId="53" fillId="72" borderId="139" xfId="0" applyFont="1" applyFill="1" applyBorder="1" applyAlignment="1" applyProtection="1">
      <alignment horizontal="center"/>
    </xf>
    <xf numFmtId="0" fontId="140" fillId="72" borderId="139" xfId="0" applyFont="1" applyFill="1" applyBorder="1" applyAlignment="1" applyProtection="1">
      <alignment horizontal="center"/>
    </xf>
    <xf numFmtId="0" fontId="53" fillId="72" borderId="139" xfId="0" applyFont="1" applyFill="1" applyBorder="1" applyProtection="1"/>
    <xf numFmtId="167" fontId="140" fillId="0" borderId="0" xfId="0" applyNumberFormat="1" applyFont="1" applyFill="1"/>
    <xf numFmtId="167" fontId="53" fillId="0" borderId="0" xfId="178" applyNumberFormat="1" applyFont="1" applyFill="1"/>
    <xf numFmtId="196" fontId="182" fillId="0" borderId="142" xfId="0" applyNumberFormat="1" applyFont="1" applyFill="1" applyBorder="1" applyAlignment="1">
      <alignment horizontal="center" vertical="top" wrapText="1" readingOrder="1"/>
    </xf>
    <xf numFmtId="3" fontId="53" fillId="0" borderId="0" xfId="172" applyNumberFormat="1" applyFont="1" applyFill="1" applyBorder="1" applyProtection="1"/>
    <xf numFmtId="3" fontId="53" fillId="11" borderId="0" xfId="0" applyNumberFormat="1" applyFont="1" applyFill="1" applyProtection="1"/>
    <xf numFmtId="173" fontId="53" fillId="74" borderId="0" xfId="0" applyNumberFormat="1" applyFont="1" applyFill="1" applyProtection="1"/>
    <xf numFmtId="0" fontId="135" fillId="0" borderId="0" xfId="0" applyFont="1" applyProtection="1"/>
    <xf numFmtId="0" fontId="110" fillId="0" borderId="139" xfId="0" applyFont="1" applyFill="1" applyBorder="1" applyAlignment="1">
      <alignment horizontal="center"/>
    </xf>
    <xf numFmtId="0" fontId="110" fillId="61" borderId="139" xfId="0" applyFont="1" applyFill="1" applyBorder="1" applyAlignment="1">
      <alignment horizontal="center"/>
    </xf>
    <xf numFmtId="169" fontId="135" fillId="0" borderId="0" xfId="0" applyNumberFormat="1" applyFont="1" applyProtection="1"/>
    <xf numFmtId="169" fontId="110" fillId="0" borderId="0" xfId="176" applyNumberFormat="1" applyFont="1" applyFill="1" applyBorder="1" applyAlignment="1" applyProtection="1">
      <alignment horizontal="right" wrapText="1" readingOrder="1"/>
      <protection locked="0"/>
    </xf>
    <xf numFmtId="0" fontId="135" fillId="0" borderId="0" xfId="0" applyFont="1" applyFill="1" applyProtection="1"/>
    <xf numFmtId="169" fontId="135" fillId="0" borderId="0" xfId="0" applyNumberFormat="1" applyFont="1" applyFill="1" applyProtection="1"/>
    <xf numFmtId="3" fontId="11" fillId="2" borderId="102" xfId="22" applyNumberFormat="1" applyFont="1" applyFill="1" applyBorder="1" applyAlignment="1" applyProtection="1">
      <alignment vertical="center"/>
      <protection locked="0"/>
    </xf>
    <xf numFmtId="3" fontId="11" fillId="0" borderId="7" xfId="45" applyNumberFormat="1" applyFont="1" applyFill="1" applyBorder="1" applyAlignment="1" applyProtection="1">
      <alignment horizontal="center" vertical="center"/>
    </xf>
    <xf numFmtId="3" fontId="11" fillId="21" borderId="12" xfId="45" applyNumberFormat="1" applyFont="1" applyFill="1" applyBorder="1" applyAlignment="1" applyProtection="1">
      <alignment horizontal="center" vertical="center"/>
    </xf>
    <xf numFmtId="3" fontId="11" fillId="0" borderId="103" xfId="45" applyNumberFormat="1" applyFont="1" applyFill="1" applyBorder="1" applyAlignment="1" applyProtection="1">
      <alignment horizontal="center" vertical="center"/>
    </xf>
    <xf numFmtId="172" fontId="11" fillId="0" borderId="0" xfId="41" applyNumberFormat="1" applyFont="1" applyBorder="1" applyAlignment="1" applyProtection="1">
      <alignment vertical="center"/>
    </xf>
    <xf numFmtId="3" fontId="11" fillId="0" borderId="77" xfId="41" applyNumberFormat="1" applyFont="1" applyFill="1" applyBorder="1" applyAlignment="1" applyProtection="1">
      <alignment vertical="center"/>
    </xf>
    <xf numFmtId="172" fontId="11" fillId="0" borderId="73" xfId="27" applyNumberFormat="1" applyFont="1" applyFill="1" applyBorder="1" applyAlignment="1" applyProtection="1"/>
    <xf numFmtId="3" fontId="11" fillId="0" borderId="77" xfId="42" applyNumberFormat="1" applyFont="1" applyFill="1" applyBorder="1" applyAlignment="1" applyProtection="1">
      <alignment vertical="center"/>
    </xf>
    <xf numFmtId="172" fontId="11" fillId="0" borderId="0" xfId="43" applyNumberFormat="1" applyFont="1" applyBorder="1" applyAlignment="1" applyProtection="1">
      <alignment vertical="center"/>
    </xf>
    <xf numFmtId="3" fontId="11" fillId="0" borderId="77" xfId="43" applyNumberFormat="1" applyFont="1" applyFill="1" applyBorder="1" applyAlignment="1" applyProtection="1">
      <alignment vertical="center"/>
    </xf>
    <xf numFmtId="3" fontId="11" fillId="0" borderId="12" xfId="45" applyNumberFormat="1" applyFont="1" applyFill="1" applyBorder="1" applyAlignment="1" applyProtection="1">
      <alignment horizontal="center" vertical="center"/>
    </xf>
    <xf numFmtId="3" fontId="11" fillId="0" borderId="104" xfId="45" applyNumberFormat="1" applyFont="1" applyFill="1" applyBorder="1" applyAlignment="1" applyProtection="1">
      <alignment horizontal="center" vertical="center"/>
    </xf>
    <xf numFmtId="172" fontId="11" fillId="0" borderId="0" xfId="22" applyNumberFormat="1" applyFont="1" applyFill="1" applyBorder="1" applyAlignment="1" applyProtection="1">
      <alignment horizontal="left" vertical="top"/>
    </xf>
    <xf numFmtId="0" fontId="11" fillId="0" borderId="0" xfId="39" applyFont="1" applyFill="1" applyBorder="1" applyAlignment="1" applyProtection="1">
      <alignment horizontal="center" vertical="center"/>
    </xf>
    <xf numFmtId="0" fontId="154" fillId="0" borderId="0" xfId="40" applyFont="1" applyBorder="1" applyAlignment="1" applyProtection="1">
      <alignment horizontal="left"/>
    </xf>
    <xf numFmtId="3" fontId="11" fillId="0" borderId="74" xfId="12" applyNumberFormat="1" applyFont="1" applyFill="1" applyBorder="1" applyAlignment="1" applyProtection="1">
      <alignment vertical="center"/>
    </xf>
    <xf numFmtId="3" fontId="11" fillId="0" borderId="77" xfId="12" applyNumberFormat="1" applyFont="1" applyFill="1" applyBorder="1" applyAlignment="1" applyProtection="1">
      <alignment vertical="center"/>
    </xf>
    <xf numFmtId="3" fontId="11" fillId="2" borderId="78" xfId="11" applyNumberFormat="1" applyFont="1" applyFill="1" applyBorder="1" applyAlignment="1" applyProtection="1">
      <alignment vertical="center"/>
      <protection locked="0"/>
    </xf>
    <xf numFmtId="3" fontId="11" fillId="0" borderId="77" xfId="9" applyNumberFormat="1" applyFont="1" applyFill="1" applyBorder="1" applyAlignment="1" applyProtection="1">
      <alignment vertical="center"/>
    </xf>
    <xf numFmtId="3" fontId="11" fillId="2" borderId="102" xfId="9" applyNumberFormat="1" applyFont="1" applyFill="1" applyBorder="1" applyAlignment="1" applyProtection="1">
      <alignment vertical="center"/>
      <protection locked="0"/>
    </xf>
    <xf numFmtId="3" fontId="11" fillId="0" borderId="77" xfId="45" applyNumberFormat="1" applyFont="1" applyFill="1" applyBorder="1" applyAlignment="1" applyProtection="1">
      <alignment horizontal="center" vertical="center"/>
    </xf>
    <xf numFmtId="3" fontId="11" fillId="0" borderId="74" xfId="45" applyNumberFormat="1" applyFont="1" applyFill="1" applyBorder="1" applyAlignment="1" applyProtection="1">
      <alignment horizontal="center" vertical="center"/>
    </xf>
    <xf numFmtId="0" fontId="11" fillId="0" borderId="104" xfId="9" applyFont="1" applyFill="1" applyBorder="1" applyAlignment="1" applyProtection="1">
      <alignment vertical="center"/>
    </xf>
    <xf numFmtId="3" fontId="11" fillId="0" borderId="103" xfId="45" applyNumberFormat="1" applyFont="1" applyFill="1" applyBorder="1" applyAlignment="1" applyProtection="1">
      <alignment horizontal="center" vertical="center" wrapText="1"/>
    </xf>
    <xf numFmtId="3" fontId="11" fillId="0" borderId="73" xfId="45" applyNumberFormat="1" applyFont="1" applyFill="1" applyBorder="1" applyAlignment="1" applyProtection="1">
      <alignment horizontal="center" vertical="center" wrapText="1"/>
    </xf>
    <xf numFmtId="0" fontId="140" fillId="0" borderId="0" xfId="0" applyFont="1" applyProtection="1"/>
    <xf numFmtId="0" fontId="11" fillId="0" borderId="76" xfId="33" applyFont="1" applyFill="1" applyBorder="1" applyAlignment="1" applyProtection="1">
      <alignment horizontal="left" vertical="center" indent="1"/>
    </xf>
    <xf numFmtId="3" fontId="73" fillId="69" borderId="0" xfId="47" applyNumberFormat="1" applyFont="1" applyFill="1" applyProtection="1"/>
    <xf numFmtId="169" fontId="73" fillId="69" borderId="0" xfId="47" applyNumberFormat="1" applyFont="1" applyFill="1" applyProtection="1"/>
    <xf numFmtId="9" fontId="73" fillId="69" borderId="0" xfId="47" quotePrefix="1" applyNumberFormat="1" applyFont="1" applyFill="1" applyProtection="1"/>
    <xf numFmtId="0" fontId="82" fillId="21" borderId="0" xfId="47" applyFont="1" applyFill="1" applyAlignment="1" applyProtection="1">
      <alignment horizontal="right"/>
    </xf>
    <xf numFmtId="0" fontId="73" fillId="21" borderId="0" xfId="47" applyFont="1" applyFill="1" applyProtection="1"/>
    <xf numFmtId="0" fontId="82" fillId="21" borderId="0" xfId="47" applyFont="1" applyFill="1" applyProtection="1"/>
    <xf numFmtId="0" fontId="15" fillId="0" borderId="0" xfId="47" applyFont="1" applyFill="1" applyProtection="1"/>
    <xf numFmtId="0" fontId="82" fillId="69" borderId="0" xfId="47" applyFont="1" applyFill="1" applyProtection="1"/>
    <xf numFmtId="0" fontId="82" fillId="85" borderId="0" xfId="47" applyFont="1" applyFill="1" applyProtection="1"/>
    <xf numFmtId="0" fontId="82" fillId="85" borderId="0" xfId="47" applyFont="1" applyFill="1" applyAlignment="1" applyProtection="1">
      <alignment horizontal="center"/>
    </xf>
    <xf numFmtId="0" fontId="107" fillId="85" borderId="0" xfId="47" applyFont="1" applyFill="1" applyProtection="1"/>
    <xf numFmtId="0" fontId="82" fillId="85" borderId="0" xfId="47" quotePrefix="1" applyFont="1" applyFill="1" applyAlignment="1" applyProtection="1">
      <alignment horizontal="center"/>
    </xf>
    <xf numFmtId="0" fontId="11" fillId="85" borderId="0" xfId="47" applyFont="1" applyFill="1" applyProtection="1"/>
    <xf numFmtId="0" fontId="0" fillId="85" borderId="0" xfId="0" applyFill="1" applyProtection="1"/>
    <xf numFmtId="0" fontId="82" fillId="85" borderId="0" xfId="0" applyFont="1" applyFill="1" applyProtection="1"/>
    <xf numFmtId="6" fontId="73" fillId="85" borderId="0" xfId="47" quotePrefix="1" applyNumberFormat="1" applyFont="1" applyFill="1" applyProtection="1"/>
    <xf numFmtId="168" fontId="73" fillId="85" borderId="0" xfId="47" applyNumberFormat="1" applyFont="1" applyFill="1" applyProtection="1"/>
    <xf numFmtId="0" fontId="11" fillId="85" borderId="0" xfId="47" quotePrefix="1" applyFont="1" applyFill="1" applyAlignment="1" applyProtection="1">
      <alignment horizontal="center"/>
    </xf>
    <xf numFmtId="0" fontId="73" fillId="85" borderId="0" xfId="47" applyFont="1" applyFill="1" applyProtection="1"/>
    <xf numFmtId="9" fontId="73" fillId="85" borderId="0" xfId="47" quotePrefix="1" applyNumberFormat="1" applyFont="1" applyFill="1" applyProtection="1"/>
    <xf numFmtId="0" fontId="72" fillId="85" borderId="0" xfId="47" applyFont="1" applyFill="1" applyProtection="1"/>
    <xf numFmtId="0" fontId="11" fillId="0" borderId="7" xfId="39" applyFont="1" applyFill="1" applyBorder="1" applyAlignment="1" applyProtection="1">
      <alignment horizontal="center" vertical="center"/>
    </xf>
    <xf numFmtId="3" fontId="11" fillId="0" borderId="63" xfId="45" applyNumberFormat="1" applyFont="1" applyFill="1" applyBorder="1" applyAlignment="1" applyProtection="1">
      <alignment horizontal="center" vertical="center"/>
    </xf>
    <xf numFmtId="0" fontId="76" fillId="0" borderId="0" xfId="0" applyFont="1" applyFill="1" applyAlignment="1"/>
    <xf numFmtId="0" fontId="185" fillId="0" borderId="0" xfId="0" applyFont="1" applyAlignment="1"/>
    <xf numFmtId="0" fontId="11" fillId="0" borderId="0" xfId="0" applyFont="1"/>
    <xf numFmtId="0" fontId="76" fillId="60" borderId="0" xfId="0" applyFont="1" applyFill="1" applyAlignment="1">
      <alignment horizontal="left" indent="1"/>
    </xf>
    <xf numFmtId="0" fontId="76" fillId="60" borderId="0" xfId="0" applyFont="1" applyFill="1" applyAlignment="1">
      <alignment horizontal="left"/>
    </xf>
    <xf numFmtId="0" fontId="104" fillId="7" borderId="0" xfId="1" applyFont="1" applyFill="1" applyAlignment="1" applyProtection="1">
      <alignment horizontal="left" indent="1"/>
    </xf>
    <xf numFmtId="0" fontId="104" fillId="19" borderId="0" xfId="1" applyFont="1" applyFill="1" applyAlignment="1" applyProtection="1"/>
    <xf numFmtId="0" fontId="186" fillId="19" borderId="0" xfId="1" applyFont="1" applyFill="1" applyAlignment="1" applyProtection="1">
      <protection hidden="1"/>
    </xf>
    <xf numFmtId="0" fontId="104" fillId="19" borderId="0" xfId="1" quotePrefix="1" applyFont="1" applyFill="1" applyAlignment="1" applyProtection="1"/>
    <xf numFmtId="0" fontId="104" fillId="7" borderId="0" xfId="1" applyFont="1" applyFill="1" applyAlignment="1" applyProtection="1"/>
    <xf numFmtId="0" fontId="104" fillId="19" borderId="0" xfId="1" applyFont="1" applyFill="1" applyAlignment="1" applyProtection="1">
      <alignment horizontal="left" indent="1"/>
    </xf>
    <xf numFmtId="0" fontId="11" fillId="7" borderId="0" xfId="0" applyFont="1" applyFill="1"/>
    <xf numFmtId="0" fontId="184" fillId="0" borderId="0" xfId="0" applyFont="1" applyFill="1" applyAlignment="1"/>
    <xf numFmtId="0" fontId="104" fillId="0" borderId="0" xfId="107" applyFont="1" applyFill="1" applyAlignment="1" applyProtection="1"/>
    <xf numFmtId="0" fontId="11" fillId="0" borderId="0" xfId="176" applyFont="1" applyFill="1"/>
    <xf numFmtId="0" fontId="11" fillId="0" borderId="0" xfId="0" applyFont="1" applyFill="1"/>
    <xf numFmtId="0" fontId="130" fillId="0" borderId="0" xfId="47" applyFont="1" applyAlignment="1" applyProtection="1">
      <alignment horizontal="centerContinuous"/>
    </xf>
    <xf numFmtId="0" fontId="17" fillId="0" borderId="0" xfId="47" applyFont="1" applyAlignment="1" applyProtection="1">
      <alignment horizontal="centerContinuous"/>
    </xf>
    <xf numFmtId="0" fontId="187" fillId="0" borderId="0" xfId="1" applyFont="1" applyAlignment="1" applyProtection="1"/>
    <xf numFmtId="0" fontId="17" fillId="0" borderId="0" xfId="47" applyFont="1" applyProtection="1"/>
    <xf numFmtId="0" fontId="188" fillId="0" borderId="0" xfId="47" applyFont="1" applyFill="1" applyProtection="1"/>
    <xf numFmtId="0" fontId="188" fillId="0" borderId="0" xfId="47" applyFont="1" applyProtection="1"/>
    <xf numFmtId="0" fontId="130" fillId="0" borderId="0" xfId="47" applyFont="1" applyProtection="1"/>
    <xf numFmtId="0" fontId="11" fillId="0" borderId="0" xfId="47" applyFont="1" applyAlignment="1" applyProtection="1">
      <alignment horizontal="right"/>
    </xf>
    <xf numFmtId="0" fontId="11" fillId="0" borderId="0" xfId="47" applyFont="1" applyAlignment="1" applyProtection="1">
      <alignment horizontal="right" indent="1"/>
    </xf>
    <xf numFmtId="170" fontId="188" fillId="0" borderId="0" xfId="47" applyNumberFormat="1" applyFont="1" applyFill="1" applyProtection="1"/>
    <xf numFmtId="0" fontId="17" fillId="0" borderId="0" xfId="47" applyFont="1"/>
    <xf numFmtId="165" fontId="11" fillId="2" borderId="1" xfId="47" applyNumberFormat="1" applyFont="1" applyFill="1" applyBorder="1" applyAlignment="1" applyProtection="1">
      <alignment horizontal="left"/>
      <protection locked="0"/>
    </xf>
    <xf numFmtId="0" fontId="188" fillId="0" borderId="0" xfId="47" applyFont="1" applyFill="1" applyAlignment="1" applyProtection="1">
      <alignment horizontal="center"/>
    </xf>
    <xf numFmtId="0" fontId="11" fillId="0" borderId="1" xfId="47" applyFont="1" applyFill="1" applyBorder="1" applyAlignment="1" applyProtection="1">
      <alignment horizontal="left"/>
    </xf>
    <xf numFmtId="0" fontId="189" fillId="0" borderId="0" xfId="47" applyFont="1" applyProtection="1"/>
    <xf numFmtId="0" fontId="189" fillId="0" borderId="0" xfId="47" applyFont="1" applyBorder="1" applyProtection="1"/>
    <xf numFmtId="37" fontId="189" fillId="0" borderId="0" xfId="47" applyNumberFormat="1" applyFont="1" applyFill="1" applyBorder="1" applyAlignment="1" applyProtection="1">
      <alignment horizontal="left"/>
    </xf>
    <xf numFmtId="0" fontId="189" fillId="0" borderId="28" xfId="47" applyFont="1" applyBorder="1" applyProtection="1"/>
    <xf numFmtId="0" fontId="17" fillId="0" borderId="28" xfId="47" applyFont="1" applyBorder="1" applyProtection="1"/>
    <xf numFmtId="0" fontId="130" fillId="0" borderId="28" xfId="47" applyFont="1" applyBorder="1" applyProtection="1"/>
    <xf numFmtId="3" fontId="17" fillId="0" borderId="1" xfId="47" applyNumberFormat="1" applyFont="1" applyFill="1" applyBorder="1" applyAlignment="1" applyProtection="1">
      <alignment horizontal="right"/>
    </xf>
    <xf numFmtId="0" fontId="17" fillId="0" borderId="65" xfId="47" applyFont="1" applyBorder="1" applyProtection="1"/>
    <xf numFmtId="0" fontId="130" fillId="0" borderId="61" xfId="47" applyFont="1" applyBorder="1" applyProtection="1"/>
    <xf numFmtId="0" fontId="17" fillId="0" borderId="61" xfId="47" applyFont="1" applyBorder="1" applyProtection="1"/>
    <xf numFmtId="0" fontId="17" fillId="0" borderId="136" xfId="47" applyFont="1" applyBorder="1" applyProtection="1"/>
    <xf numFmtId="0" fontId="130" fillId="0" borderId="101" xfId="47" applyFont="1" applyBorder="1" applyProtection="1"/>
    <xf numFmtId="0" fontId="17" fillId="0" borderId="101" xfId="47" applyFont="1" applyBorder="1" applyProtection="1"/>
    <xf numFmtId="174" fontId="188" fillId="0" borderId="0" xfId="47" applyNumberFormat="1" applyFont="1" applyFill="1" applyProtection="1"/>
    <xf numFmtId="0" fontId="17" fillId="0" borderId="78" xfId="47" applyFont="1" applyBorder="1" applyProtection="1"/>
    <xf numFmtId="0" fontId="188" fillId="0" borderId="0" xfId="47" applyFont="1" applyFill="1" applyAlignment="1" applyProtection="1">
      <alignment wrapText="1"/>
    </xf>
    <xf numFmtId="3" fontId="17" fillId="0" borderId="59" xfId="47" applyNumberFormat="1" applyFont="1" applyFill="1" applyBorder="1" applyAlignment="1" applyProtection="1">
      <alignment horizontal="right"/>
    </xf>
    <xf numFmtId="3" fontId="17" fillId="2" borderId="61" xfId="47" applyNumberFormat="1" applyFont="1" applyFill="1" applyBorder="1" applyAlignment="1" applyProtection="1">
      <alignment horizontal="right"/>
      <protection locked="0"/>
    </xf>
    <xf numFmtId="0" fontId="190" fillId="0" borderId="0" xfId="47" applyFont="1" applyFill="1" applyProtection="1"/>
    <xf numFmtId="3" fontId="17" fillId="2" borderId="1" xfId="47" applyNumberFormat="1" applyFont="1" applyFill="1" applyBorder="1" applyAlignment="1" applyProtection="1">
      <alignment horizontal="right"/>
      <protection locked="0"/>
    </xf>
    <xf numFmtId="166" fontId="188" fillId="0" borderId="0" xfId="47" applyNumberFormat="1" applyFont="1" applyFill="1" applyProtection="1"/>
    <xf numFmtId="49" fontId="188" fillId="0" borderId="0" xfId="47" applyNumberFormat="1" applyFont="1" applyFill="1" applyProtection="1"/>
    <xf numFmtId="3" fontId="17" fillId="11" borderId="1" xfId="47" applyNumberFormat="1" applyFont="1" applyFill="1" applyBorder="1" applyAlignment="1" applyProtection="1">
      <alignment horizontal="right"/>
      <protection locked="0"/>
    </xf>
    <xf numFmtId="5" fontId="17" fillId="0" borderId="0" xfId="47" applyNumberFormat="1" applyFont="1" applyBorder="1" applyAlignment="1" applyProtection="1">
      <alignment horizontal="right"/>
    </xf>
    <xf numFmtId="0" fontId="12" fillId="0" borderId="61" xfId="47" applyFont="1" applyBorder="1" applyAlignment="1" applyProtection="1">
      <alignment vertical="top"/>
    </xf>
    <xf numFmtId="0" fontId="17" fillId="0" borderId="101" xfId="47" applyFont="1" applyBorder="1" applyAlignment="1" applyProtection="1">
      <alignment horizontal="centerContinuous"/>
    </xf>
    <xf numFmtId="49" fontId="130" fillId="0" borderId="0" xfId="47" applyNumberFormat="1" applyFont="1" applyProtection="1"/>
    <xf numFmtId="0" fontId="130" fillId="0" borderId="77" xfId="47" applyFont="1" applyBorder="1" applyAlignment="1" applyProtection="1">
      <alignment horizontal="centerContinuous"/>
    </xf>
    <xf numFmtId="0" fontId="17" fillId="0" borderId="72" xfId="47" applyFont="1" applyBorder="1" applyAlignment="1" applyProtection="1">
      <alignment horizontal="centerContinuous"/>
    </xf>
    <xf numFmtId="0" fontId="130" fillId="0" borderId="74" xfId="47" applyFont="1" applyBorder="1" applyAlignment="1" applyProtection="1">
      <alignment horizontal="centerContinuous"/>
    </xf>
    <xf numFmtId="0" fontId="130" fillId="0" borderId="72" xfId="47" applyFont="1" applyBorder="1" applyAlignment="1" applyProtection="1">
      <alignment horizontal="center"/>
    </xf>
    <xf numFmtId="37" fontId="17" fillId="0" borderId="0" xfId="47" applyNumberFormat="1" applyFont="1" applyFill="1" applyBorder="1" applyProtection="1"/>
    <xf numFmtId="37" fontId="17" fillId="0" borderId="0" xfId="47" applyNumberFormat="1" applyFont="1" applyProtection="1"/>
    <xf numFmtId="0" fontId="188" fillId="0" borderId="0" xfId="0" applyFont="1" applyFill="1" applyProtection="1"/>
    <xf numFmtId="0" fontId="188" fillId="0" borderId="0" xfId="47" quotePrefix="1" applyFont="1" applyAlignment="1" applyProtection="1">
      <alignment horizontal="center"/>
    </xf>
    <xf numFmtId="0" fontId="12" fillId="0" borderId="65" xfId="47" applyFont="1" applyBorder="1" applyAlignment="1" applyProtection="1">
      <alignment horizontal="centerContinuous" vertical="top"/>
    </xf>
    <xf numFmtId="0" fontId="130" fillId="0" borderId="64" xfId="47" applyFont="1" applyBorder="1" applyAlignment="1" applyProtection="1">
      <alignment horizontal="centerContinuous"/>
    </xf>
    <xf numFmtId="0" fontId="130" fillId="0" borderId="65" xfId="47" applyFont="1" applyBorder="1" applyAlignment="1" applyProtection="1">
      <alignment horizontal="centerContinuous"/>
    </xf>
    <xf numFmtId="0" fontId="17" fillId="0" borderId="64" xfId="47" applyFont="1" applyBorder="1" applyProtection="1"/>
    <xf numFmtId="0" fontId="12" fillId="0" borderId="64" xfId="47" applyFont="1" applyBorder="1" applyProtection="1"/>
    <xf numFmtId="37" fontId="191" fillId="0" borderId="0" xfId="47" applyNumberFormat="1" applyFont="1" applyFill="1" applyBorder="1" applyProtection="1"/>
    <xf numFmtId="49" fontId="130" fillId="0" borderId="64" xfId="47" applyNumberFormat="1" applyFont="1" applyBorder="1" applyAlignment="1" applyProtection="1">
      <alignment horizontal="right"/>
    </xf>
    <xf numFmtId="169" fontId="17" fillId="0" borderId="1" xfId="47" applyNumberFormat="1" applyFont="1" applyFill="1" applyBorder="1" applyProtection="1"/>
    <xf numFmtId="169" fontId="17" fillId="0" borderId="102" xfId="47" applyNumberFormat="1" applyFont="1" applyFill="1" applyBorder="1" applyProtection="1"/>
    <xf numFmtId="169" fontId="17" fillId="0" borderId="78" xfId="47" applyNumberFormat="1" applyFont="1" applyFill="1" applyBorder="1" applyProtection="1"/>
    <xf numFmtId="0" fontId="130" fillId="0" borderId="102" xfId="47" applyFont="1" applyBorder="1" applyProtection="1"/>
    <xf numFmtId="37" fontId="17" fillId="0" borderId="1" xfId="47" applyNumberFormat="1" applyFont="1" applyBorder="1" applyProtection="1"/>
    <xf numFmtId="49" fontId="130" fillId="0" borderId="102" xfId="47" applyNumberFormat="1" applyFont="1" applyBorder="1" applyAlignment="1" applyProtection="1">
      <alignment horizontal="right"/>
    </xf>
    <xf numFmtId="169" fontId="17" fillId="0" borderId="65" xfId="47" applyNumberFormat="1" applyFont="1" applyFill="1" applyBorder="1" applyProtection="1"/>
    <xf numFmtId="37" fontId="17" fillId="2" borderId="1" xfId="47" applyNumberFormat="1" applyFont="1" applyFill="1" applyBorder="1" applyProtection="1">
      <protection locked="0"/>
    </xf>
    <xf numFmtId="0" fontId="192" fillId="0" borderId="0" xfId="47" applyFont="1" applyProtection="1"/>
    <xf numFmtId="168" fontId="188" fillId="0" borderId="0" xfId="47" applyNumberFormat="1" applyFont="1" applyFill="1" applyProtection="1"/>
    <xf numFmtId="6" fontId="188" fillId="0" borderId="0" xfId="47" quotePrefix="1" applyNumberFormat="1" applyFont="1" applyFill="1" applyProtection="1"/>
    <xf numFmtId="0" fontId="130" fillId="0" borderId="102" xfId="47" applyFont="1" applyBorder="1" applyAlignment="1" applyProtection="1">
      <alignment horizontal="right"/>
    </xf>
    <xf numFmtId="9" fontId="188" fillId="0" borderId="0" xfId="47" quotePrefix="1" applyNumberFormat="1" applyFont="1" applyFill="1" applyProtection="1"/>
    <xf numFmtId="0" fontId="188" fillId="0" borderId="0" xfId="47" applyFont="1" applyFill="1" applyAlignment="1" applyProtection="1">
      <alignment horizontal="right"/>
    </xf>
    <xf numFmtId="49" fontId="188" fillId="0" borderId="0" xfId="47" quotePrefix="1" applyNumberFormat="1" applyFont="1" applyFill="1" applyProtection="1"/>
    <xf numFmtId="0" fontId="17" fillId="0" borderId="0" xfId="47" applyFont="1" applyFill="1" applyProtection="1"/>
    <xf numFmtId="2" fontId="188" fillId="0" borderId="0" xfId="47" applyNumberFormat="1" applyFont="1" applyFill="1" applyProtection="1"/>
    <xf numFmtId="0" fontId="188" fillId="0" borderId="0" xfId="47" quotePrefix="1" applyFont="1" applyFill="1" applyProtection="1"/>
    <xf numFmtId="37" fontId="17" fillId="0" borderId="0" xfId="47" applyNumberFormat="1" applyFont="1" applyBorder="1" applyProtection="1"/>
    <xf numFmtId="176" fontId="188" fillId="0" borderId="0" xfId="47" applyNumberFormat="1" applyFont="1" applyFill="1" applyProtection="1"/>
    <xf numFmtId="8" fontId="188" fillId="0" borderId="0" xfId="47" quotePrefix="1" applyNumberFormat="1" applyFont="1" applyFill="1" applyProtection="1"/>
    <xf numFmtId="169" fontId="17" fillId="0" borderId="102" xfId="47" applyNumberFormat="1" applyFont="1" applyBorder="1" applyProtection="1"/>
    <xf numFmtId="37" fontId="17" fillId="2" borderId="59" xfId="47" applyNumberFormat="1" applyFont="1" applyFill="1" applyBorder="1" applyProtection="1">
      <protection locked="0"/>
    </xf>
    <xf numFmtId="169" fontId="130" fillId="0" borderId="0" xfId="47" applyNumberFormat="1" applyFont="1" applyFill="1" applyBorder="1" applyAlignment="1" applyProtection="1">
      <alignment horizontal="center"/>
    </xf>
    <xf numFmtId="0" fontId="193" fillId="0" borderId="0" xfId="47" applyFont="1" applyFill="1" applyProtection="1"/>
    <xf numFmtId="169" fontId="17" fillId="0" borderId="0" xfId="47" applyNumberFormat="1" applyFont="1" applyFill="1" applyBorder="1" applyProtection="1"/>
    <xf numFmtId="169" fontId="17" fillId="0" borderId="0" xfId="47" applyNumberFormat="1" applyFont="1" applyProtection="1"/>
    <xf numFmtId="37" fontId="17" fillId="0" borderId="60" xfId="47" applyNumberFormat="1" applyFont="1" applyFill="1" applyBorder="1" applyProtection="1"/>
    <xf numFmtId="169" fontId="130" fillId="0" borderId="0" xfId="47" applyNumberFormat="1" applyFont="1" applyFill="1" applyBorder="1" applyAlignment="1" applyProtection="1"/>
    <xf numFmtId="0" fontId="195" fillId="0" borderId="0" xfId="47" applyFont="1" applyFill="1" applyProtection="1"/>
    <xf numFmtId="3" fontId="188" fillId="0" borderId="0" xfId="47" applyNumberFormat="1" applyFont="1" applyFill="1" applyProtection="1"/>
    <xf numFmtId="167" fontId="17" fillId="0" borderId="64" xfId="47" applyNumberFormat="1" applyFont="1" applyFill="1" applyBorder="1" applyAlignment="1" applyProtection="1">
      <alignment horizontal="right"/>
    </xf>
    <xf numFmtId="169" fontId="17" fillId="0" borderId="61" xfId="47" applyNumberFormat="1" applyFont="1" applyFill="1" applyBorder="1" applyAlignment="1" applyProtection="1"/>
    <xf numFmtId="169" fontId="130" fillId="0" borderId="61" xfId="47" applyNumberFormat="1" applyFont="1" applyFill="1" applyBorder="1" applyAlignment="1" applyProtection="1"/>
    <xf numFmtId="0" fontId="17" fillId="0" borderId="61" xfId="0" applyFont="1" applyBorder="1" applyAlignment="1" applyProtection="1">
      <alignment horizontal="center"/>
    </xf>
    <xf numFmtId="0" fontId="17" fillId="0" borderId="101" xfId="47" applyFont="1" applyFill="1" applyBorder="1" applyProtection="1"/>
    <xf numFmtId="167" fontId="17" fillId="0" borderId="73" xfId="47" applyNumberFormat="1" applyFont="1" applyFill="1" applyBorder="1" applyAlignment="1" applyProtection="1">
      <alignment horizontal="right"/>
    </xf>
    <xf numFmtId="167" fontId="17" fillId="0" borderId="0" xfId="47" applyNumberFormat="1" applyFont="1" applyFill="1" applyBorder="1" applyProtection="1"/>
    <xf numFmtId="169" fontId="188" fillId="0" borderId="0" xfId="47" applyNumberFormat="1" applyFont="1" applyFill="1" applyProtection="1"/>
    <xf numFmtId="3" fontId="17" fillId="11" borderId="102" xfId="47" applyNumberFormat="1" applyFont="1" applyFill="1" applyBorder="1" applyProtection="1">
      <protection locked="0"/>
    </xf>
    <xf numFmtId="167" fontId="17" fillId="11" borderId="102" xfId="47" applyNumberFormat="1" applyFont="1" applyFill="1" applyBorder="1" applyProtection="1">
      <protection locked="0"/>
    </xf>
    <xf numFmtId="9" fontId="188" fillId="0" borderId="0" xfId="47" quotePrefix="1" applyNumberFormat="1" applyFont="1" applyFill="1" applyAlignment="1" applyProtection="1">
      <alignment horizontal="left"/>
    </xf>
    <xf numFmtId="3" fontId="17" fillId="0" borderId="0" xfId="47" applyNumberFormat="1" applyFont="1" applyFill="1" applyBorder="1" applyProtection="1"/>
    <xf numFmtId="0" fontId="154" fillId="0" borderId="72" xfId="47" applyFont="1" applyBorder="1" applyProtection="1"/>
    <xf numFmtId="0" fontId="130" fillId="0" borderId="72" xfId="47" applyFont="1" applyBorder="1" applyProtection="1"/>
    <xf numFmtId="0" fontId="17" fillId="0" borderId="72" xfId="47" applyFont="1" applyBorder="1" applyProtection="1"/>
    <xf numFmtId="167" fontId="17" fillId="11" borderId="64" xfId="47" applyNumberFormat="1" applyFont="1" applyFill="1" applyBorder="1" applyProtection="1">
      <protection locked="0"/>
    </xf>
    <xf numFmtId="167" fontId="17" fillId="0" borderId="72" xfId="47" applyNumberFormat="1" applyFont="1" applyFill="1" applyBorder="1" applyProtection="1"/>
    <xf numFmtId="0" fontId="17" fillId="0" borderId="0" xfId="47" applyFont="1" applyBorder="1" applyProtection="1"/>
    <xf numFmtId="0" fontId="130" fillId="0" borderId="0" xfId="47" applyFont="1" applyBorder="1" applyProtection="1"/>
    <xf numFmtId="167" fontId="17" fillId="0" borderId="72" xfId="47" applyNumberFormat="1" applyFont="1" applyFill="1" applyBorder="1" applyAlignment="1" applyProtection="1">
      <alignment horizontal="right"/>
    </xf>
    <xf numFmtId="0" fontId="196" fillId="0" borderId="72" xfId="47" applyFont="1" applyBorder="1" applyAlignment="1" applyProtection="1"/>
    <xf numFmtId="167" fontId="17" fillId="11" borderId="61" xfId="47" applyNumberFormat="1" applyFont="1" applyFill="1" applyBorder="1" applyProtection="1">
      <protection locked="0"/>
    </xf>
    <xf numFmtId="3" fontId="17" fillId="0" borderId="0" xfId="47" applyNumberFormat="1" applyFont="1" applyFill="1" applyBorder="1" applyAlignment="1" applyProtection="1">
      <alignment horizontal="right"/>
    </xf>
    <xf numFmtId="0" fontId="17" fillId="0" borderId="103" xfId="47" applyFont="1" applyBorder="1" applyAlignment="1" applyProtection="1"/>
    <xf numFmtId="0" fontId="196" fillId="0" borderId="0" xfId="47" applyFont="1" applyBorder="1" applyAlignment="1" applyProtection="1"/>
    <xf numFmtId="0" fontId="173" fillId="0" borderId="103" xfId="47" applyFont="1" applyBorder="1" applyAlignment="1" applyProtection="1"/>
    <xf numFmtId="0" fontId="173" fillId="0" borderId="65" xfId="47" applyFont="1" applyBorder="1" applyAlignment="1" applyProtection="1"/>
    <xf numFmtId="0" fontId="196" fillId="0" borderId="61" xfId="47" applyFont="1" applyBorder="1" applyAlignment="1" applyProtection="1"/>
    <xf numFmtId="0" fontId="173" fillId="0" borderId="0" xfId="47" applyFont="1" applyBorder="1" applyAlignment="1" applyProtection="1"/>
    <xf numFmtId="0" fontId="173" fillId="0" borderId="0" xfId="47" applyFont="1" applyAlignment="1" applyProtection="1"/>
    <xf numFmtId="0" fontId="196" fillId="0" borderId="0" xfId="47" applyFont="1" applyAlignment="1" applyProtection="1"/>
    <xf numFmtId="0" fontId="176" fillId="84" borderId="0" xfId="8" applyFont="1" applyFill="1" applyAlignment="1" applyProtection="1">
      <alignment vertical="center"/>
    </xf>
    <xf numFmtId="0" fontId="80" fillId="84" borderId="0" xfId="8" applyFont="1" applyFill="1" applyAlignment="1" applyProtection="1">
      <alignment horizontal="left" vertical="center"/>
    </xf>
    <xf numFmtId="0" fontId="17" fillId="0" borderId="0" xfId="47" quotePrefix="1" applyFont="1" applyProtection="1"/>
    <xf numFmtId="0" fontId="198" fillId="0" borderId="0" xfId="47" quotePrefix="1" applyFont="1" applyProtection="1"/>
    <xf numFmtId="3" fontId="199" fillId="0" borderId="0" xfId="47" applyNumberFormat="1" applyFont="1" applyFill="1" applyBorder="1" applyAlignment="1" applyProtection="1">
      <alignment horizontal="center"/>
    </xf>
    <xf numFmtId="0" fontId="199" fillId="0" borderId="0" xfId="0" applyFont="1" applyAlignment="1" applyProtection="1">
      <alignment horizontal="center"/>
    </xf>
    <xf numFmtId="0" fontId="200" fillId="0" borderId="0" xfId="47" applyFont="1" applyAlignment="1" applyProtection="1"/>
    <xf numFmtId="0" fontId="17" fillId="0" borderId="61" xfId="47" applyFont="1" applyBorder="1" applyAlignment="1" applyProtection="1">
      <alignment horizontal="left"/>
    </xf>
    <xf numFmtId="0" fontId="130" fillId="0" borderId="61" xfId="47" applyFont="1" applyBorder="1" applyAlignment="1" applyProtection="1">
      <alignment horizontal="center"/>
    </xf>
    <xf numFmtId="0" fontId="196" fillId="0" borderId="61" xfId="47" applyFont="1" applyBorder="1" applyAlignment="1" applyProtection="1">
      <alignment horizontal="center"/>
    </xf>
    <xf numFmtId="0" fontId="17" fillId="0" borderId="0" xfId="47" applyFont="1" applyAlignment="1" applyProtection="1"/>
    <xf numFmtId="0" fontId="17" fillId="0" borderId="101" xfId="47" applyFont="1" applyBorder="1" applyAlignment="1" applyProtection="1">
      <alignment horizontal="left"/>
    </xf>
    <xf numFmtId="0" fontId="130" fillId="0" borderId="101" xfId="47" applyFont="1" applyBorder="1" applyAlignment="1" applyProtection="1">
      <alignment horizontal="center"/>
    </xf>
    <xf numFmtId="167" fontId="17" fillId="0" borderId="102" xfId="47" applyNumberFormat="1" applyFont="1" applyFill="1" applyBorder="1" applyAlignment="1" applyProtection="1">
      <alignment horizontal="right"/>
    </xf>
    <xf numFmtId="0" fontId="200" fillId="11" borderId="64" xfId="47" applyFont="1" applyFill="1" applyBorder="1" applyAlignment="1" applyProtection="1">
      <alignment horizontal="right"/>
      <protection locked="0"/>
    </xf>
    <xf numFmtId="0" fontId="196" fillId="0" borderId="101" xfId="47" applyFont="1" applyBorder="1" applyAlignment="1" applyProtection="1">
      <alignment horizontal="center"/>
    </xf>
    <xf numFmtId="167" fontId="17" fillId="11" borderId="102" xfId="47" applyNumberFormat="1" applyFont="1" applyFill="1" applyBorder="1" applyAlignment="1" applyProtection="1">
      <alignment horizontal="right"/>
      <protection locked="0"/>
    </xf>
    <xf numFmtId="0" fontId="191" fillId="0" borderId="0" xfId="47" applyFont="1" applyProtection="1"/>
    <xf numFmtId="167" fontId="17" fillId="11" borderId="64" xfId="47" applyNumberFormat="1" applyFont="1" applyFill="1" applyBorder="1" applyAlignment="1" applyProtection="1">
      <alignment horizontal="right"/>
      <protection locked="0"/>
    </xf>
    <xf numFmtId="3" fontId="17" fillId="11" borderId="102" xfId="47" applyNumberFormat="1" applyFont="1" applyFill="1" applyBorder="1" applyAlignment="1" applyProtection="1">
      <alignment horizontal="right"/>
      <protection locked="0"/>
    </xf>
    <xf numFmtId="0" fontId="188" fillId="0" borderId="0" xfId="47" applyFont="1" applyAlignment="1" applyProtection="1">
      <alignment horizontal="right"/>
    </xf>
    <xf numFmtId="0" fontId="201" fillId="0" borderId="0" xfId="47" applyFont="1" applyProtection="1"/>
    <xf numFmtId="0" fontId="200" fillId="0" borderId="0" xfId="47" applyFont="1" applyProtection="1"/>
    <xf numFmtId="0" fontId="17" fillId="0" borderId="0" xfId="47" applyFont="1" applyAlignment="1" applyProtection="1">
      <alignment horizontal="center"/>
    </xf>
    <xf numFmtId="0" fontId="11" fillId="0" borderId="0" xfId="47" applyFont="1" applyBorder="1" applyAlignment="1" applyProtection="1"/>
    <xf numFmtId="0" fontId="130" fillId="0" borderId="0" xfId="0" applyFont="1" applyBorder="1" applyAlignment="1" applyProtection="1"/>
    <xf numFmtId="0" fontId="11" fillId="0" borderId="0" xfId="0" applyFont="1" applyBorder="1" applyAlignment="1" applyProtection="1">
      <alignment horizontal="right" indent="1"/>
    </xf>
    <xf numFmtId="167" fontId="202" fillId="0" borderId="0" xfId="47" applyNumberFormat="1" applyFont="1" applyFill="1" applyBorder="1" applyAlignment="1" applyProtection="1">
      <alignment horizontal="center"/>
    </xf>
    <xf numFmtId="167" fontId="17" fillId="2" borderId="61" xfId="47" applyNumberFormat="1" applyFont="1" applyFill="1" applyBorder="1" applyProtection="1">
      <protection locked="0"/>
    </xf>
    <xf numFmtId="167" fontId="17" fillId="2" borderId="0" xfId="47" applyNumberFormat="1" applyFont="1" applyFill="1" applyBorder="1" applyProtection="1">
      <protection locked="0"/>
    </xf>
    <xf numFmtId="4" fontId="17" fillId="2" borderId="14" xfId="47" applyNumberFormat="1" applyFont="1" applyFill="1" applyBorder="1" applyProtection="1">
      <protection locked="0"/>
    </xf>
    <xf numFmtId="3" fontId="17" fillId="0" borderId="72" xfId="47" applyNumberFormat="1" applyFont="1" applyFill="1" applyBorder="1" applyProtection="1"/>
    <xf numFmtId="167" fontId="199" fillId="0" borderId="72" xfId="47" applyNumberFormat="1" applyFont="1" applyFill="1" applyBorder="1" applyAlignment="1" applyProtection="1"/>
    <xf numFmtId="167" fontId="17" fillId="0" borderId="1" xfId="47" applyNumberFormat="1" applyFont="1" applyFill="1" applyBorder="1" applyAlignment="1" applyProtection="1">
      <alignment horizontal="right"/>
    </xf>
    <xf numFmtId="3" fontId="17" fillId="2" borderId="61" xfId="47" applyNumberFormat="1" applyFont="1" applyFill="1" applyBorder="1" applyProtection="1">
      <protection locked="0"/>
    </xf>
    <xf numFmtId="1" fontId="17" fillId="0" borderId="0" xfId="47" applyNumberFormat="1" applyFont="1" applyFill="1" applyBorder="1" applyAlignment="1" applyProtection="1">
      <alignment horizontal="right"/>
    </xf>
    <xf numFmtId="1" fontId="17" fillId="11" borderId="61" xfId="47" applyNumberFormat="1" applyFont="1" applyFill="1" applyBorder="1" applyAlignment="1" applyProtection="1">
      <alignment horizontal="center"/>
      <protection locked="0"/>
    </xf>
    <xf numFmtId="0" fontId="192" fillId="0" borderId="65" xfId="47" applyFont="1" applyBorder="1" applyProtection="1"/>
    <xf numFmtId="0" fontId="194" fillId="0" borderId="0" xfId="47" applyFont="1" applyProtection="1"/>
    <xf numFmtId="1" fontId="17" fillId="11" borderId="1" xfId="47" applyNumberFormat="1" applyFont="1" applyFill="1" applyBorder="1" applyAlignment="1" applyProtection="1">
      <alignment horizontal="center"/>
      <protection locked="0"/>
    </xf>
    <xf numFmtId="0" fontId="192" fillId="0" borderId="78" xfId="47" applyFont="1" applyBorder="1" applyAlignment="1" applyProtection="1">
      <alignment horizontal="left" indent="1"/>
    </xf>
    <xf numFmtId="14" fontId="17" fillId="11" borderId="61" xfId="47" applyNumberFormat="1" applyFont="1" applyFill="1" applyBorder="1" applyAlignment="1" applyProtection="1">
      <alignment horizontal="right"/>
      <protection locked="0"/>
    </xf>
    <xf numFmtId="1" fontId="203" fillId="0" borderId="0" xfId="47" applyNumberFormat="1" applyFont="1" applyFill="1" applyBorder="1" applyProtection="1"/>
    <xf numFmtId="0" fontId="204" fillId="0" borderId="65" xfId="47" applyFont="1" applyBorder="1" applyProtection="1"/>
    <xf numFmtId="0" fontId="204" fillId="0" borderId="0" xfId="47" applyFont="1" applyProtection="1"/>
    <xf numFmtId="2" fontId="204" fillId="0" borderId="0" xfId="47" applyNumberFormat="1" applyFont="1" applyProtection="1"/>
    <xf numFmtId="2" fontId="17" fillId="11" borderId="14" xfId="47" applyNumberFormat="1" applyFont="1" applyFill="1" applyBorder="1" applyAlignment="1" applyProtection="1">
      <alignment horizontal="right"/>
      <protection locked="0"/>
    </xf>
    <xf numFmtId="0" fontId="204" fillId="0" borderId="78" xfId="47" applyFont="1" applyBorder="1" applyProtection="1"/>
    <xf numFmtId="1" fontId="205" fillId="0" borderId="0" xfId="47" applyNumberFormat="1" applyFont="1" applyProtection="1"/>
    <xf numFmtId="2" fontId="17" fillId="0" borderId="0" xfId="47" applyNumberFormat="1" applyFont="1" applyProtection="1"/>
    <xf numFmtId="1" fontId="17" fillId="11" borderId="14" xfId="47" applyNumberFormat="1" applyFont="1" applyFill="1" applyBorder="1" applyAlignment="1" applyProtection="1">
      <alignment horizontal="right"/>
      <protection locked="0"/>
    </xf>
    <xf numFmtId="1" fontId="206" fillId="0" borderId="0" xfId="47" applyNumberFormat="1" applyFont="1" applyFill="1" applyBorder="1" applyAlignment="1" applyProtection="1">
      <alignment horizontal="left"/>
    </xf>
    <xf numFmtId="0" fontId="207" fillId="0" borderId="0" xfId="47" applyFont="1" applyProtection="1"/>
    <xf numFmtId="0" fontId="208" fillId="0" borderId="0" xfId="47" applyFont="1" applyProtection="1"/>
    <xf numFmtId="2" fontId="17" fillId="11" borderId="1" xfId="47" applyNumberFormat="1" applyFont="1" applyFill="1" applyBorder="1" applyAlignment="1" applyProtection="1">
      <alignment horizontal="right"/>
      <protection locked="0"/>
    </xf>
    <xf numFmtId="0" fontId="209" fillId="0" borderId="61" xfId="47" applyFont="1" applyBorder="1" applyProtection="1"/>
    <xf numFmtId="169" fontId="17" fillId="2" borderId="1" xfId="47" applyNumberFormat="1" applyFont="1" applyFill="1" applyBorder="1" applyProtection="1">
      <protection locked="0"/>
    </xf>
    <xf numFmtId="1" fontId="17" fillId="2" borderId="1" xfId="47" applyNumberFormat="1" applyFont="1" applyFill="1" applyBorder="1" applyProtection="1">
      <protection locked="0"/>
    </xf>
    <xf numFmtId="0" fontId="210" fillId="0" borderId="0" xfId="47" applyFont="1" applyProtection="1"/>
    <xf numFmtId="179" fontId="188" fillId="0" borderId="0" xfId="47" applyNumberFormat="1" applyFont="1" applyProtection="1"/>
    <xf numFmtId="1" fontId="17" fillId="0" borderId="0" xfId="47" applyNumberFormat="1" applyFont="1" applyFill="1" applyBorder="1" applyProtection="1"/>
    <xf numFmtId="0" fontId="209" fillId="0" borderId="0" xfId="47" applyFont="1" applyProtection="1"/>
    <xf numFmtId="169" fontId="17" fillId="11" borderId="59" xfId="47" applyNumberFormat="1" applyFont="1" applyFill="1" applyBorder="1" applyAlignment="1" applyProtection="1">
      <alignment horizontal="right"/>
      <protection locked="0"/>
    </xf>
    <xf numFmtId="1" fontId="17" fillId="0" borderId="60" xfId="47" applyNumberFormat="1" applyFont="1" applyFill="1" applyBorder="1" applyProtection="1"/>
    <xf numFmtId="168" fontId="17" fillId="11" borderId="61" xfId="47" applyNumberFormat="1" applyFont="1" applyFill="1" applyBorder="1" applyAlignment="1" applyProtection="1">
      <alignment horizontal="right"/>
      <protection locked="0"/>
    </xf>
    <xf numFmtId="14" fontId="17" fillId="0" borderId="60" xfId="47" applyNumberFormat="1" applyFont="1" applyFill="1" applyBorder="1" applyAlignment="1" applyProtection="1">
      <alignment horizontal="right"/>
    </xf>
    <xf numFmtId="169" fontId="17" fillId="11" borderId="61" xfId="47" applyNumberFormat="1" applyFont="1" applyFill="1" applyBorder="1" applyAlignment="1" applyProtection="1">
      <alignment horizontal="right"/>
      <protection locked="0"/>
    </xf>
    <xf numFmtId="0" fontId="211" fillId="0" borderId="65" xfId="47" applyFont="1" applyBorder="1" applyProtection="1"/>
    <xf numFmtId="0" fontId="130" fillId="0" borderId="0" xfId="47" applyFont="1" applyAlignment="1" applyProtection="1">
      <alignment horizontal="center"/>
    </xf>
    <xf numFmtId="14" fontId="130" fillId="0" borderId="0" xfId="47" applyNumberFormat="1" applyFont="1" applyBorder="1" applyAlignment="1" applyProtection="1">
      <alignment horizontal="center"/>
    </xf>
    <xf numFmtId="0" fontId="130" fillId="0" borderId="0" xfId="47" applyFont="1" applyBorder="1" applyAlignment="1" applyProtection="1">
      <alignment horizontal="center"/>
    </xf>
    <xf numFmtId="168" fontId="17" fillId="0" borderId="61" xfId="47" applyNumberFormat="1" applyFont="1" applyBorder="1" applyProtection="1"/>
    <xf numFmtId="0" fontId="17" fillId="0" borderId="102" xfId="47" applyFont="1" applyBorder="1" applyAlignment="1" applyProtection="1">
      <alignment horizontal="right"/>
    </xf>
    <xf numFmtId="168" fontId="17" fillId="2" borderId="61" xfId="47" applyNumberFormat="1" applyFont="1" applyFill="1" applyBorder="1" applyProtection="1">
      <protection locked="0"/>
    </xf>
    <xf numFmtId="168" fontId="17" fillId="0" borderId="0" xfId="47" applyNumberFormat="1" applyFont="1" applyProtection="1"/>
    <xf numFmtId="168" fontId="17" fillId="2" borderId="1" xfId="47" applyNumberFormat="1" applyFont="1" applyFill="1" applyBorder="1" applyProtection="1">
      <protection locked="0"/>
    </xf>
    <xf numFmtId="37" fontId="17" fillId="2" borderId="61" xfId="47" applyNumberFormat="1" applyFont="1" applyFill="1" applyBorder="1" applyProtection="1">
      <protection locked="0"/>
    </xf>
    <xf numFmtId="37" fontId="17" fillId="2" borderId="14" xfId="47" applyNumberFormat="1" applyFont="1" applyFill="1" applyBorder="1" applyProtection="1">
      <protection locked="0"/>
    </xf>
    <xf numFmtId="37" fontId="17" fillId="11" borderId="14" xfId="47" applyNumberFormat="1" applyFont="1" applyFill="1" applyBorder="1" applyProtection="1">
      <protection locked="0"/>
    </xf>
    <xf numFmtId="0" fontId="154" fillId="0" borderId="0" xfId="47" applyFont="1" applyProtection="1"/>
    <xf numFmtId="195" fontId="17" fillId="2" borderId="61" xfId="47" applyNumberFormat="1" applyFont="1" applyFill="1" applyBorder="1" applyProtection="1">
      <protection locked="0"/>
    </xf>
    <xf numFmtId="2" fontId="203" fillId="0" borderId="0" xfId="47" applyNumberFormat="1" applyFont="1" applyBorder="1" applyProtection="1"/>
    <xf numFmtId="167" fontId="17" fillId="0" borderId="14" xfId="47" applyNumberFormat="1" applyFont="1" applyFill="1" applyBorder="1" applyAlignment="1" applyProtection="1">
      <alignment horizontal="right"/>
    </xf>
    <xf numFmtId="167" fontId="17" fillId="0" borderId="14" xfId="47" applyNumberFormat="1" applyFont="1" applyFill="1" applyBorder="1" applyProtection="1"/>
    <xf numFmtId="167" fontId="17" fillId="0" borderId="0" xfId="47" applyNumberFormat="1" applyFont="1" applyProtection="1"/>
    <xf numFmtId="0" fontId="154" fillId="0" borderId="0" xfId="47" applyFont="1" applyAlignment="1" applyProtection="1">
      <alignment vertical="top"/>
    </xf>
    <xf numFmtId="167" fontId="188" fillId="0" borderId="0" xfId="47" applyNumberFormat="1" applyFont="1" applyProtection="1"/>
    <xf numFmtId="3" fontId="17" fillId="2" borderId="64" xfId="47" applyNumberFormat="1" applyFont="1" applyFill="1" applyBorder="1" applyProtection="1">
      <protection locked="0"/>
    </xf>
    <xf numFmtId="0" fontId="203" fillId="0" borderId="0" xfId="47" applyFont="1" applyProtection="1"/>
    <xf numFmtId="0" fontId="11" fillId="0" borderId="0" xfId="184" applyFont="1" applyFill="1" applyProtection="1"/>
    <xf numFmtId="0" fontId="11" fillId="0" borderId="0" xfId="181" applyFont="1" applyProtection="1"/>
    <xf numFmtId="0" fontId="15" fillId="0" borderId="0" xfId="181" applyFont="1" applyAlignment="1" applyProtection="1">
      <alignment horizontal="right"/>
    </xf>
    <xf numFmtId="0" fontId="104" fillId="0" borderId="0" xfId="107" applyFont="1" applyAlignment="1" applyProtection="1"/>
    <xf numFmtId="180" fontId="11" fillId="0" borderId="0" xfId="181" applyNumberFormat="1" applyFont="1" applyAlignment="1" applyProtection="1">
      <alignment horizontal="left"/>
    </xf>
    <xf numFmtId="0" fontId="11" fillId="0" borderId="0" xfId="181" applyFont="1" applyAlignment="1" applyProtection="1">
      <alignment horizontal="right"/>
    </xf>
    <xf numFmtId="0" fontId="11" fillId="0" borderId="1" xfId="181" applyFont="1" applyBorder="1" applyAlignment="1" applyProtection="1">
      <alignment horizontal="left"/>
    </xf>
    <xf numFmtId="0" fontId="11" fillId="0" borderId="1" xfId="181" applyFont="1" applyBorder="1" applyProtection="1"/>
    <xf numFmtId="1" fontId="11" fillId="0" borderId="1" xfId="181" applyNumberFormat="1" applyFont="1" applyBorder="1" applyProtection="1"/>
    <xf numFmtId="170" fontId="11" fillId="0" borderId="0" xfId="184" applyNumberFormat="1" applyFont="1" applyFill="1" applyAlignment="1" applyProtection="1">
      <alignment horizontal="left"/>
    </xf>
    <xf numFmtId="0" fontId="15" fillId="0" borderId="0" xfId="181" applyFont="1" applyAlignment="1" applyProtection="1">
      <alignment horizontal="center"/>
    </xf>
    <xf numFmtId="0" fontId="15" fillId="0" borderId="1" xfId="181" applyFont="1" applyBorder="1" applyAlignment="1" applyProtection="1">
      <alignment horizontal="right"/>
    </xf>
    <xf numFmtId="0" fontId="11" fillId="0" borderId="0" xfId="181" applyFont="1" applyAlignment="1" applyProtection="1">
      <alignment horizontal="centerContinuous"/>
    </xf>
    <xf numFmtId="0" fontId="11" fillId="0" borderId="0" xfId="181" applyFont="1" applyAlignment="1" applyProtection="1">
      <alignment horizontal="left"/>
    </xf>
    <xf numFmtId="0" fontId="15" fillId="0" borderId="0" xfId="181" applyFont="1" applyAlignment="1" applyProtection="1">
      <alignment horizontal="centerContinuous"/>
    </xf>
    <xf numFmtId="5" fontId="112" fillId="22" borderId="0" xfId="181" applyNumberFormat="1" applyFont="1" applyFill="1" applyBorder="1" applyProtection="1"/>
    <xf numFmtId="5" fontId="11" fillId="0" borderId="0" xfId="181" applyNumberFormat="1" applyFont="1" applyFill="1" applyProtection="1"/>
    <xf numFmtId="5" fontId="11" fillId="0" borderId="1" xfId="181" applyNumberFormat="1" applyFont="1" applyFill="1" applyBorder="1" applyProtection="1"/>
    <xf numFmtId="0" fontId="11" fillId="0" borderId="46" xfId="181" applyFont="1" applyBorder="1" applyProtection="1"/>
    <xf numFmtId="5" fontId="11" fillId="0" borderId="46" xfId="181" applyNumberFormat="1" applyFont="1" applyFill="1" applyBorder="1" applyProtection="1"/>
    <xf numFmtId="5" fontId="11" fillId="0" borderId="0" xfId="181" applyNumberFormat="1" applyFont="1" applyFill="1" applyBorder="1" applyProtection="1"/>
    <xf numFmtId="169" fontId="11" fillId="2" borderId="1" xfId="181" applyNumberFormat="1" applyFont="1" applyFill="1" applyBorder="1" applyProtection="1">
      <protection locked="0"/>
    </xf>
    <xf numFmtId="0" fontId="11" fillId="0" borderId="0" xfId="181" applyFont="1" applyBorder="1" applyProtection="1"/>
    <xf numFmtId="5" fontId="11" fillId="0" borderId="14" xfId="181" applyNumberFormat="1" applyFont="1" applyFill="1" applyBorder="1" applyProtection="1"/>
    <xf numFmtId="0" fontId="11" fillId="0" borderId="0" xfId="181" applyFont="1" applyFill="1" applyBorder="1" applyProtection="1"/>
    <xf numFmtId="0" fontId="15" fillId="0" borderId="46" xfId="181" applyFont="1" applyBorder="1" applyAlignment="1" applyProtection="1">
      <alignment horizontal="left"/>
    </xf>
    <xf numFmtId="0" fontId="11" fillId="0" borderId="46" xfId="181" applyFont="1" applyBorder="1" applyAlignment="1" applyProtection="1">
      <alignment horizontal="centerContinuous"/>
    </xf>
    <xf numFmtId="169" fontId="11" fillId="0" borderId="46" xfId="181" applyNumberFormat="1" applyFont="1" applyFill="1" applyBorder="1" applyAlignment="1" applyProtection="1">
      <alignment horizontal="right"/>
    </xf>
    <xf numFmtId="0" fontId="11" fillId="0" borderId="46" xfId="181" applyFont="1" applyFill="1" applyBorder="1" applyAlignment="1" applyProtection="1">
      <alignment horizontal="centerContinuous"/>
    </xf>
    <xf numFmtId="0" fontId="11" fillId="0" borderId="0" xfId="181" applyFont="1" applyBorder="1" applyAlignment="1" applyProtection="1">
      <alignment horizontal="centerContinuous"/>
    </xf>
    <xf numFmtId="0" fontId="15" fillId="0" borderId="0" xfId="181" applyFont="1" applyBorder="1" applyAlignment="1" applyProtection="1">
      <alignment horizontal="centerContinuous"/>
    </xf>
    <xf numFmtId="174" fontId="11" fillId="0" borderId="0" xfId="181" applyNumberFormat="1" applyFont="1" applyAlignment="1" applyProtection="1">
      <alignment horizontal="right"/>
    </xf>
    <xf numFmtId="3" fontId="11" fillId="0" borderId="0" xfId="181" applyNumberFormat="1" applyFont="1" applyProtection="1"/>
    <xf numFmtId="169" fontId="11" fillId="2" borderId="14" xfId="181" applyNumberFormat="1" applyFont="1" applyFill="1" applyBorder="1" applyProtection="1">
      <protection locked="0"/>
    </xf>
    <xf numFmtId="0" fontId="212" fillId="0" borderId="0" xfId="181" applyFont="1" applyProtection="1"/>
    <xf numFmtId="2" fontId="11" fillId="0" borderId="0" xfId="181" applyNumberFormat="1" applyFont="1" applyAlignment="1" applyProtection="1">
      <alignment horizontal="right"/>
    </xf>
    <xf numFmtId="169" fontId="212" fillId="0" borderId="0" xfId="181" applyNumberFormat="1" applyFont="1" applyBorder="1" applyAlignment="1" applyProtection="1">
      <alignment horizontal="right"/>
    </xf>
    <xf numFmtId="0" fontId="213" fillId="0" borderId="0" xfId="181" applyFont="1" applyAlignment="1" applyProtection="1">
      <alignment horizontal="left"/>
    </xf>
    <xf numFmtId="169" fontId="11" fillId="0" borderId="0" xfId="181" applyNumberFormat="1" applyFont="1" applyFill="1" applyBorder="1" applyProtection="1"/>
    <xf numFmtId="174" fontId="11" fillId="0" borderId="0" xfId="181" applyNumberFormat="1" applyFont="1" applyProtection="1"/>
    <xf numFmtId="16" fontId="11" fillId="0" borderId="0" xfId="181" applyNumberFormat="1" applyFont="1" applyAlignment="1" applyProtection="1">
      <alignment horizontal="right"/>
    </xf>
    <xf numFmtId="169" fontId="11" fillId="0" borderId="1" xfId="181" applyNumberFormat="1" applyFont="1" applyFill="1" applyBorder="1" applyProtection="1"/>
    <xf numFmtId="0" fontId="20" fillId="0" borderId="0" xfId="181" applyFont="1" applyProtection="1"/>
    <xf numFmtId="0" fontId="15" fillId="0" borderId="0" xfId="181" applyFont="1" applyProtection="1"/>
    <xf numFmtId="0" fontId="11" fillId="0" borderId="0" xfId="181" applyFont="1" applyBorder="1" applyAlignment="1" applyProtection="1">
      <alignment horizontal="right"/>
    </xf>
    <xf numFmtId="170" fontId="11" fillId="0" borderId="0" xfId="181" applyNumberFormat="1" applyFont="1" applyAlignment="1" applyProtection="1">
      <alignment horizontal="left"/>
    </xf>
    <xf numFmtId="0" fontId="11" fillId="0" borderId="1" xfId="181" applyFont="1" applyBorder="1" applyAlignment="1" applyProtection="1">
      <alignment horizontal="right"/>
    </xf>
    <xf numFmtId="0" fontId="11" fillId="0" borderId="0" xfId="181" applyFont="1" applyFill="1" applyProtection="1"/>
    <xf numFmtId="0" fontId="15" fillId="0" borderId="46" xfId="181" applyFont="1" applyBorder="1" applyProtection="1"/>
    <xf numFmtId="5" fontId="112" fillId="0" borderId="0" xfId="181" applyNumberFormat="1" applyFont="1" applyFill="1" applyBorder="1" applyProtection="1"/>
    <xf numFmtId="0" fontId="11" fillId="0" borderId="0" xfId="181" applyFont="1" applyFill="1" applyBorder="1" applyAlignment="1" applyProtection="1">
      <alignment horizontal="centerContinuous"/>
    </xf>
    <xf numFmtId="0" fontId="11" fillId="0" borderId="0" xfId="181" applyFont="1" applyBorder="1" applyAlignment="1" applyProtection="1">
      <alignment horizontal="left"/>
    </xf>
    <xf numFmtId="181" fontId="11" fillId="0" borderId="0" xfId="181" applyNumberFormat="1" applyFont="1" applyProtection="1"/>
    <xf numFmtId="182" fontId="11" fillId="0" borderId="0" xfId="181" applyNumberFormat="1" applyFont="1" applyProtection="1"/>
    <xf numFmtId="5" fontId="11" fillId="0" borderId="0" xfId="181" applyNumberFormat="1" applyFont="1" applyProtection="1"/>
    <xf numFmtId="5" fontId="11" fillId="0" borderId="0" xfId="181" applyNumberFormat="1" applyFont="1" applyBorder="1" applyProtection="1"/>
    <xf numFmtId="171" fontId="11" fillId="0" borderId="0" xfId="181" applyNumberFormat="1" applyFont="1" applyProtection="1"/>
    <xf numFmtId="0" fontId="79" fillId="0" borderId="0" xfId="181" applyFont="1" applyProtection="1"/>
    <xf numFmtId="0" fontId="73" fillId="0" borderId="0" xfId="181" applyFont="1" applyProtection="1"/>
    <xf numFmtId="173" fontId="11" fillId="2" borderId="1" xfId="181" applyNumberFormat="1" applyFont="1" applyFill="1" applyBorder="1" applyProtection="1">
      <protection locked="0"/>
    </xf>
    <xf numFmtId="183" fontId="11" fillId="0" borderId="0" xfId="181" applyNumberFormat="1" applyFont="1" applyBorder="1" applyProtection="1"/>
    <xf numFmtId="0" fontId="15" fillId="0" borderId="0" xfId="181" applyFont="1" applyBorder="1" applyProtection="1"/>
    <xf numFmtId="37" fontId="11" fillId="0" borderId="0" xfId="181" applyNumberFormat="1" applyFont="1" applyFill="1" applyBorder="1" applyProtection="1"/>
    <xf numFmtId="169" fontId="11" fillId="0" borderId="0" xfId="181" applyNumberFormat="1" applyFont="1" applyFill="1" applyBorder="1" applyAlignment="1" applyProtection="1">
      <alignment horizontal="right"/>
    </xf>
    <xf numFmtId="0" fontId="15" fillId="0" borderId="0" xfId="181" applyFont="1" applyFill="1" applyAlignment="1" applyProtection="1">
      <alignment horizontal="center"/>
    </xf>
    <xf numFmtId="5" fontId="11" fillId="22" borderId="0" xfId="181" applyNumberFormat="1" applyFont="1" applyFill="1" applyBorder="1" applyProtection="1"/>
    <xf numFmtId="5" fontId="11" fillId="2" borderId="1" xfId="181" applyNumberFormat="1" applyFont="1" applyFill="1" applyBorder="1" applyProtection="1">
      <protection locked="0"/>
    </xf>
    <xf numFmtId="5" fontId="11" fillId="0" borderId="46" xfId="181" applyNumberFormat="1" applyFont="1" applyBorder="1" applyProtection="1"/>
    <xf numFmtId="5" fontId="11" fillId="2" borderId="14" xfId="181" applyNumberFormat="1" applyFont="1" applyFill="1" applyBorder="1" applyProtection="1">
      <protection locked="0"/>
    </xf>
    <xf numFmtId="0" fontId="11" fillId="0" borderId="50" xfId="181" applyFont="1" applyBorder="1" applyProtection="1"/>
    <xf numFmtId="0" fontId="11" fillId="0" borderId="0" xfId="176" applyFont="1" applyBorder="1" applyProtection="1"/>
    <xf numFmtId="5" fontId="11" fillId="2" borderId="1" xfId="181" applyNumberFormat="1" applyFont="1" applyFill="1" applyBorder="1" applyAlignment="1" applyProtection="1">
      <alignment horizontal="right"/>
      <protection locked="0"/>
    </xf>
    <xf numFmtId="5" fontId="11" fillId="2" borderId="14" xfId="181" applyNumberFormat="1" applyFont="1" applyFill="1" applyBorder="1" applyAlignment="1" applyProtection="1">
      <alignment horizontal="right"/>
      <protection locked="0"/>
    </xf>
    <xf numFmtId="0" fontId="11" fillId="2" borderId="1" xfId="181" applyFont="1" applyFill="1" applyBorder="1" applyAlignment="1" applyProtection="1">
      <alignment horizontal="right"/>
      <protection locked="0"/>
    </xf>
    <xf numFmtId="3" fontId="11" fillId="0" borderId="0" xfId="181" applyNumberFormat="1" applyFont="1" applyBorder="1" applyProtection="1"/>
    <xf numFmtId="5" fontId="11" fillId="22" borderId="0" xfId="181" applyNumberFormat="1" applyFont="1" applyFill="1" applyBorder="1" applyProtection="1">
      <protection locked="0"/>
    </xf>
    <xf numFmtId="169" fontId="11" fillId="0" borderId="0" xfId="181" applyNumberFormat="1" applyFont="1" applyFill="1" applyAlignment="1" applyProtection="1">
      <alignment horizontal="right"/>
    </xf>
    <xf numFmtId="5" fontId="11" fillId="0" borderId="0" xfId="181" applyNumberFormat="1" applyFont="1" applyFill="1" applyBorder="1" applyProtection="1">
      <protection locked="0"/>
    </xf>
    <xf numFmtId="1" fontId="11" fillId="0" borderId="0" xfId="181" applyNumberFormat="1" applyFont="1" applyBorder="1" applyProtection="1"/>
    <xf numFmtId="16" fontId="11" fillId="0" borderId="0" xfId="181" applyNumberFormat="1" applyFont="1" applyBorder="1" applyAlignment="1" applyProtection="1">
      <alignment horizontal="right"/>
    </xf>
    <xf numFmtId="3" fontId="11" fillId="0" borderId="0" xfId="181" applyNumberFormat="1" applyFont="1" applyAlignment="1" applyProtection="1">
      <alignment horizontal="right"/>
    </xf>
    <xf numFmtId="169" fontId="11" fillId="0" borderId="0" xfId="181" applyNumberFormat="1" applyFont="1" applyBorder="1" applyProtection="1"/>
    <xf numFmtId="2" fontId="11" fillId="0" borderId="0" xfId="181" applyNumberFormat="1" applyFont="1" applyBorder="1" applyProtection="1"/>
    <xf numFmtId="0" fontId="15" fillId="0" borderId="0" xfId="181" applyFont="1" applyBorder="1" applyAlignment="1" applyProtection="1">
      <alignment horizontal="right"/>
    </xf>
    <xf numFmtId="3" fontId="11" fillId="0" borderId="50" xfId="181" applyNumberFormat="1" applyFont="1" applyBorder="1" applyProtection="1"/>
    <xf numFmtId="5" fontId="11" fillId="0" borderId="50" xfId="181" applyNumberFormat="1" applyFont="1" applyBorder="1" applyProtection="1"/>
    <xf numFmtId="0" fontId="11" fillId="0" borderId="46" xfId="181" applyFont="1" applyFill="1" applyBorder="1" applyProtection="1"/>
    <xf numFmtId="0" fontId="15" fillId="0" borderId="46" xfId="181" applyFont="1" applyBorder="1" applyAlignment="1" applyProtection="1">
      <alignment horizontal="centerContinuous"/>
    </xf>
    <xf numFmtId="0" fontId="11" fillId="0" borderId="0" xfId="182" applyFont="1" applyProtection="1"/>
    <xf numFmtId="0" fontId="15" fillId="0" borderId="0" xfId="182" applyFont="1" applyAlignment="1" applyProtection="1">
      <alignment horizontal="right"/>
    </xf>
    <xf numFmtId="1" fontId="11" fillId="0" borderId="0" xfId="182" applyNumberFormat="1" applyFont="1" applyFill="1" applyBorder="1" applyAlignment="1" applyProtection="1">
      <alignment horizontal="right"/>
    </xf>
    <xf numFmtId="0" fontId="24" fillId="0" borderId="0" xfId="182" applyFont="1" applyProtection="1"/>
    <xf numFmtId="0" fontId="11" fillId="0" borderId="0" xfId="185" applyFont="1" applyAlignment="1" applyProtection="1">
      <alignment horizontal="left"/>
    </xf>
    <xf numFmtId="170" fontId="11" fillId="0" borderId="0" xfId="185" applyNumberFormat="1" applyFont="1" applyAlignment="1" applyProtection="1">
      <alignment horizontal="right"/>
    </xf>
    <xf numFmtId="0" fontId="11" fillId="0" borderId="0" xfId="182" applyFont="1" applyAlignment="1" applyProtection="1">
      <alignment horizontal="centerContinuous"/>
    </xf>
    <xf numFmtId="0" fontId="11" fillId="0" borderId="0" xfId="182" applyFont="1" applyProtection="1">
      <protection locked="0"/>
    </xf>
    <xf numFmtId="167" fontId="11" fillId="2" borderId="1" xfId="182" applyNumberFormat="1" applyFont="1" applyFill="1" applyBorder="1" applyProtection="1">
      <protection locked="0"/>
    </xf>
    <xf numFmtId="0" fontId="11" fillId="0" borderId="0" xfId="182" applyFont="1" applyBorder="1" applyProtection="1"/>
    <xf numFmtId="167" fontId="11" fillId="0" borderId="1" xfId="182" applyNumberFormat="1" applyFont="1" applyFill="1" applyBorder="1" applyProtection="1"/>
    <xf numFmtId="167" fontId="11" fillId="0" borderId="0" xfId="182" applyNumberFormat="1" applyFont="1" applyProtection="1"/>
    <xf numFmtId="5" fontId="11" fillId="0" borderId="1" xfId="182" applyNumberFormat="1" applyFont="1" applyFill="1" applyBorder="1" applyAlignment="1" applyProtection="1"/>
    <xf numFmtId="168" fontId="11" fillId="0" borderId="0" xfId="182" applyNumberFormat="1" applyFont="1" applyProtection="1"/>
    <xf numFmtId="0" fontId="154" fillId="0" borderId="0" xfId="182" applyFont="1" applyBorder="1" applyProtection="1"/>
    <xf numFmtId="3" fontId="11" fillId="0" borderId="0" xfId="182" applyNumberFormat="1" applyFont="1" applyBorder="1" applyProtection="1"/>
    <xf numFmtId="0" fontId="11" fillId="0" borderId="61" xfId="182" applyFont="1" applyBorder="1" applyProtection="1"/>
    <xf numFmtId="0" fontId="15" fillId="0" borderId="72" xfId="182" applyFont="1" applyBorder="1" applyAlignment="1" applyProtection="1">
      <alignment horizontal="centerContinuous"/>
    </xf>
    <xf numFmtId="38" fontId="11" fillId="0" borderId="0" xfId="179" applyFont="1" applyBorder="1" applyProtection="1"/>
    <xf numFmtId="5" fontId="11" fillId="2" borderId="1" xfId="182" applyNumberFormat="1" applyFont="1" applyFill="1" applyBorder="1" applyProtection="1">
      <protection locked="0"/>
    </xf>
    <xf numFmtId="5" fontId="11" fillId="0" borderId="0" xfId="182" applyNumberFormat="1" applyFont="1" applyProtection="1"/>
    <xf numFmtId="5" fontId="11" fillId="0" borderId="0" xfId="182" applyNumberFormat="1" applyFont="1" applyFill="1" applyProtection="1"/>
    <xf numFmtId="5" fontId="11" fillId="0" borderId="1" xfId="182" applyNumberFormat="1" applyFont="1" applyFill="1" applyBorder="1" applyProtection="1"/>
    <xf numFmtId="0" fontId="11" fillId="0" borderId="1" xfId="182" applyFont="1" applyBorder="1" applyProtection="1"/>
    <xf numFmtId="5" fontId="11" fillId="0" borderId="14" xfId="182" applyNumberFormat="1" applyFont="1" applyBorder="1" applyProtection="1"/>
    <xf numFmtId="0" fontId="214" fillId="0" borderId="0" xfId="182" applyFont="1" applyProtection="1"/>
    <xf numFmtId="168" fontId="11" fillId="2" borderId="1" xfId="182" applyNumberFormat="1" applyFont="1" applyFill="1" applyBorder="1" applyProtection="1">
      <protection locked="0"/>
    </xf>
    <xf numFmtId="5" fontId="15" fillId="0" borderId="1" xfId="182" applyNumberFormat="1" applyFont="1" applyFill="1" applyBorder="1" applyProtection="1"/>
    <xf numFmtId="0" fontId="215" fillId="0" borderId="0" xfId="182" applyFont="1" applyProtection="1"/>
    <xf numFmtId="0" fontId="11" fillId="0" borderId="0" xfId="187" applyFont="1" applyFill="1" applyProtection="1"/>
    <xf numFmtId="0" fontId="15" fillId="0" borderId="0" xfId="0" applyFont="1" applyAlignment="1" applyProtection="1">
      <alignment horizontal="right"/>
    </xf>
    <xf numFmtId="0" fontId="11" fillId="0" borderId="0" xfId="0" applyFont="1" applyBorder="1" applyAlignment="1" applyProtection="1">
      <alignment horizontal="right"/>
    </xf>
    <xf numFmtId="0" fontId="11" fillId="0" borderId="0" xfId="0" applyFont="1" applyAlignment="1" applyProtection="1">
      <alignment horizontal="left"/>
    </xf>
    <xf numFmtId="0" fontId="104" fillId="0" borderId="0" xfId="1" applyFont="1" applyAlignment="1" applyProtection="1"/>
    <xf numFmtId="0" fontId="11" fillId="0" borderId="0" xfId="0" applyFont="1" applyAlignment="1" applyProtection="1">
      <alignment horizontal="right"/>
    </xf>
    <xf numFmtId="170" fontId="11" fillId="0" borderId="0" xfId="47" applyNumberFormat="1" applyFont="1" applyAlignment="1" applyProtection="1">
      <alignment horizontal="right"/>
    </xf>
    <xf numFmtId="170" fontId="11" fillId="0" borderId="0" xfId="47" applyNumberFormat="1" applyFont="1" applyAlignment="1" applyProtection="1">
      <alignment horizontal="left"/>
    </xf>
    <xf numFmtId="0" fontId="11" fillId="0" borderId="0" xfId="0" quotePrefix="1" applyFont="1" applyAlignment="1" applyProtection="1">
      <alignment horizontal="right"/>
    </xf>
    <xf numFmtId="168" fontId="11" fillId="0" borderId="1" xfId="0" applyNumberFormat="1" applyFont="1" applyBorder="1" applyAlignment="1" applyProtection="1">
      <alignment horizontal="right"/>
    </xf>
    <xf numFmtId="168" fontId="11" fillId="0" borderId="61" xfId="0" applyNumberFormat="1" applyFont="1" applyBorder="1" applyAlignment="1" applyProtection="1">
      <alignment horizontal="right"/>
    </xf>
    <xf numFmtId="168" fontId="11" fillId="0" borderId="14" xfId="0" applyNumberFormat="1" applyFont="1" applyBorder="1" applyProtection="1"/>
    <xf numFmtId="168" fontId="11" fillId="0" borderId="1" xfId="0" applyNumberFormat="1" applyFont="1" applyBorder="1" applyProtection="1"/>
    <xf numFmtId="168" fontId="11" fillId="0" borderId="0" xfId="0" applyNumberFormat="1" applyFont="1" applyBorder="1" applyProtection="1"/>
    <xf numFmtId="0" fontId="11" fillId="0" borderId="0" xfId="183" applyFont="1" applyFill="1" applyBorder="1" applyProtection="1"/>
    <xf numFmtId="0" fontId="11" fillId="0" borderId="0" xfId="183" applyFont="1" applyFill="1" applyBorder="1" applyAlignment="1" applyProtection="1">
      <alignment horizontal="right"/>
    </xf>
    <xf numFmtId="1" fontId="11" fillId="0" borderId="0" xfId="183" applyNumberFormat="1" applyFont="1" applyFill="1" applyBorder="1" applyAlignment="1" applyProtection="1">
      <alignment horizontal="left"/>
    </xf>
    <xf numFmtId="0" fontId="20" fillId="0" borderId="0" xfId="183" applyFont="1" applyFill="1" applyBorder="1" applyProtection="1"/>
    <xf numFmtId="0" fontId="15" fillId="0" borderId="0" xfId="183" applyFont="1" applyFill="1" applyBorder="1" applyAlignment="1" applyProtection="1">
      <alignment horizontal="centerContinuous"/>
    </xf>
    <xf numFmtId="0" fontId="11" fillId="0" borderId="0" xfId="183" applyFont="1" applyFill="1" applyBorder="1" applyAlignment="1" applyProtection="1">
      <alignment horizontal="centerContinuous"/>
    </xf>
    <xf numFmtId="0" fontId="15" fillId="0" borderId="0" xfId="183" applyFont="1" applyFill="1" applyBorder="1" applyAlignment="1" applyProtection="1">
      <alignment horizontal="left"/>
    </xf>
    <xf numFmtId="0" fontId="11" fillId="0" borderId="0" xfId="183" applyFont="1" applyFill="1" applyBorder="1" applyAlignment="1" applyProtection="1">
      <alignment horizontal="left"/>
    </xf>
    <xf numFmtId="0" fontId="11" fillId="0" borderId="0" xfId="183" applyFont="1" applyFill="1" applyProtection="1"/>
    <xf numFmtId="0" fontId="15" fillId="0" borderId="0" xfId="183" applyFont="1" applyFill="1" applyBorder="1" applyProtection="1"/>
    <xf numFmtId="38" fontId="11" fillId="0" borderId="0" xfId="194" applyFont="1" applyFill="1" applyBorder="1" applyProtection="1"/>
    <xf numFmtId="167" fontId="11" fillId="0" borderId="1" xfId="183" applyNumberFormat="1" applyFont="1" applyFill="1" applyBorder="1" applyAlignment="1" applyProtection="1">
      <alignment horizontal="right"/>
    </xf>
    <xf numFmtId="167" fontId="11" fillId="0" borderId="0" xfId="183" applyNumberFormat="1" applyFont="1" applyFill="1" applyBorder="1" applyAlignment="1" applyProtection="1">
      <alignment horizontal="right"/>
    </xf>
    <xf numFmtId="167" fontId="11" fillId="0" borderId="1" xfId="183" applyNumberFormat="1" applyFont="1" applyFill="1" applyBorder="1" applyProtection="1"/>
    <xf numFmtId="0" fontId="11" fillId="0" borderId="0" xfId="183" quotePrefix="1" applyFont="1" applyFill="1" applyBorder="1" applyProtection="1"/>
    <xf numFmtId="0" fontId="11" fillId="0" borderId="0" xfId="183" applyFont="1" applyFill="1" applyBorder="1" applyAlignment="1" applyProtection="1">
      <alignment horizontal="center"/>
    </xf>
    <xf numFmtId="179" fontId="11" fillId="0" borderId="1" xfId="183" applyNumberFormat="1" applyFont="1" applyFill="1" applyBorder="1" applyAlignment="1" applyProtection="1">
      <alignment horizontal="right"/>
    </xf>
    <xf numFmtId="166" fontId="11" fillId="0" borderId="0" xfId="183" applyNumberFormat="1" applyFont="1" applyFill="1" applyBorder="1" applyAlignment="1" applyProtection="1">
      <alignment horizontal="right"/>
    </xf>
    <xf numFmtId="3" fontId="11" fillId="0" borderId="14" xfId="183" applyNumberFormat="1" applyFont="1" applyFill="1" applyBorder="1" applyProtection="1"/>
    <xf numFmtId="3" fontId="11" fillId="0" borderId="14" xfId="183" applyNumberFormat="1" applyFont="1" applyFill="1" applyBorder="1" applyAlignment="1" applyProtection="1">
      <alignment horizontal="right"/>
    </xf>
    <xf numFmtId="167" fontId="11" fillId="0" borderId="14" xfId="183" applyNumberFormat="1" applyFont="1" applyFill="1" applyBorder="1" applyProtection="1"/>
    <xf numFmtId="0" fontId="19" fillId="0" borderId="0" xfId="183" applyFont="1" applyFill="1" applyBorder="1" applyProtection="1"/>
    <xf numFmtId="173" fontId="11" fillId="0" borderId="0" xfId="183" applyNumberFormat="1" applyFont="1" applyFill="1" applyBorder="1" applyProtection="1"/>
    <xf numFmtId="188" fontId="11" fillId="0" borderId="0" xfId="183" applyNumberFormat="1" applyFont="1" applyFill="1" applyBorder="1" applyAlignment="1" applyProtection="1">
      <alignment horizontal="center"/>
    </xf>
    <xf numFmtId="3" fontId="11" fillId="0" borderId="0" xfId="183" applyNumberFormat="1" applyFont="1" applyFill="1" applyBorder="1" applyProtection="1"/>
    <xf numFmtId="3" fontId="11" fillId="0" borderId="0" xfId="183" applyNumberFormat="1" applyFont="1" applyFill="1" applyBorder="1" applyAlignment="1" applyProtection="1">
      <alignment horizontal="right"/>
    </xf>
    <xf numFmtId="167" fontId="11" fillId="0" borderId="0" xfId="183" quotePrefix="1" applyNumberFormat="1" applyFont="1" applyFill="1" applyBorder="1" applyProtection="1"/>
    <xf numFmtId="0" fontId="11" fillId="0" borderId="0" xfId="183" quotePrefix="1" applyFont="1" applyFill="1" applyBorder="1" applyAlignment="1" applyProtection="1">
      <alignment horizontal="left"/>
    </xf>
    <xf numFmtId="0" fontId="72" fillId="0" borderId="0" xfId="183" applyFont="1" applyFill="1" applyBorder="1" applyProtection="1"/>
    <xf numFmtId="3" fontId="11" fillId="0" borderId="1" xfId="183" applyNumberFormat="1" applyFont="1" applyFill="1" applyBorder="1" applyProtection="1"/>
    <xf numFmtId="3" fontId="11" fillId="0" borderId="1" xfId="183" applyNumberFormat="1" applyFont="1" applyFill="1" applyBorder="1" applyAlignment="1" applyProtection="1">
      <alignment horizontal="right"/>
    </xf>
    <xf numFmtId="167" fontId="11" fillId="0" borderId="0" xfId="183" applyNumberFormat="1" applyFont="1" applyFill="1" applyBorder="1" applyProtection="1"/>
    <xf numFmtId="0" fontId="11" fillId="0" borderId="0" xfId="183" quotePrefix="1" applyFont="1" applyFill="1" applyBorder="1" applyAlignment="1" applyProtection="1">
      <alignment horizontal="right"/>
    </xf>
    <xf numFmtId="167" fontId="11" fillId="0" borderId="0" xfId="183" quotePrefix="1" applyNumberFormat="1" applyFont="1" applyFill="1" applyBorder="1" applyAlignment="1" applyProtection="1">
      <alignment horizontal="center"/>
    </xf>
    <xf numFmtId="168" fontId="11" fillId="0" borderId="0" xfId="183" applyNumberFormat="1" applyFont="1" applyFill="1" applyBorder="1" applyProtection="1"/>
    <xf numFmtId="168" fontId="11" fillId="0" borderId="0" xfId="183" applyNumberFormat="1" applyFont="1" applyFill="1" applyBorder="1" applyAlignment="1" applyProtection="1">
      <alignment horizontal="right"/>
    </xf>
    <xf numFmtId="37" fontId="11" fillId="0" borderId="0" xfId="183" applyNumberFormat="1" applyFont="1" applyFill="1" applyBorder="1" applyProtection="1"/>
    <xf numFmtId="5" fontId="11" fillId="0" borderId="0" xfId="183" applyNumberFormat="1" applyFont="1" applyFill="1" applyBorder="1" applyProtection="1"/>
    <xf numFmtId="189" fontId="11" fillId="0" borderId="0" xfId="183" applyNumberFormat="1" applyFont="1" applyFill="1" applyBorder="1" applyAlignment="1" applyProtection="1">
      <alignment horizontal="right"/>
    </xf>
    <xf numFmtId="0" fontId="216" fillId="0" borderId="0" xfId="183" applyFont="1" applyFill="1" applyBorder="1" applyProtection="1"/>
    <xf numFmtId="37" fontId="11" fillId="0" borderId="0" xfId="183" applyNumberFormat="1" applyFont="1" applyFill="1" applyBorder="1" applyAlignment="1" applyProtection="1">
      <alignment horizontal="right"/>
    </xf>
    <xf numFmtId="168" fontId="11" fillId="0" borderId="1" xfId="183" applyNumberFormat="1" applyFont="1" applyFill="1" applyBorder="1" applyAlignment="1" applyProtection="1">
      <alignment horizontal="right"/>
    </xf>
    <xf numFmtId="0" fontId="17" fillId="0" borderId="0" xfId="183" applyFont="1" applyFill="1" applyBorder="1" applyProtection="1"/>
    <xf numFmtId="175" fontId="11" fillId="0" borderId="1" xfId="183" applyNumberFormat="1" applyFont="1" applyFill="1" applyBorder="1" applyAlignment="1" applyProtection="1">
      <alignment horizontal="right"/>
    </xf>
    <xf numFmtId="0" fontId="11" fillId="0" borderId="0" xfId="183" quotePrefix="1" applyFont="1" applyFill="1" applyBorder="1" applyAlignment="1" applyProtection="1">
      <alignment horizontal="center"/>
    </xf>
    <xf numFmtId="168" fontId="81" fillId="0" borderId="0" xfId="183" applyNumberFormat="1" applyFont="1" applyFill="1" applyBorder="1" applyProtection="1"/>
    <xf numFmtId="175" fontId="11" fillId="0" borderId="0" xfId="183" applyNumberFormat="1" applyFont="1" applyFill="1" applyBorder="1" applyAlignment="1" applyProtection="1">
      <alignment horizontal="right"/>
    </xf>
    <xf numFmtId="168" fontId="11" fillId="0" borderId="0" xfId="183" applyNumberFormat="1" applyFont="1" applyFill="1" applyProtection="1"/>
    <xf numFmtId="168" fontId="11" fillId="0" borderId="0" xfId="183" applyNumberFormat="1" applyFont="1" applyFill="1" applyBorder="1" applyAlignment="1" applyProtection="1">
      <alignment horizontal="center"/>
    </xf>
    <xf numFmtId="5" fontId="11" fillId="2" borderId="1" xfId="183" applyNumberFormat="1" applyFont="1" applyFill="1" applyBorder="1" applyAlignment="1" applyProtection="1">
      <alignment horizontal="right"/>
      <protection locked="0"/>
    </xf>
    <xf numFmtId="175" fontId="11" fillId="0" borderId="0" xfId="183" applyNumberFormat="1" applyFont="1" applyFill="1" applyBorder="1" applyAlignment="1" applyProtection="1"/>
    <xf numFmtId="0" fontId="218" fillId="0" borderId="0" xfId="183" applyFont="1" applyFill="1" applyBorder="1" applyProtection="1"/>
    <xf numFmtId="0" fontId="219" fillId="0" borderId="0" xfId="183" applyFont="1" applyFill="1" applyBorder="1" applyProtection="1"/>
    <xf numFmtId="0" fontId="15" fillId="3" borderId="0" xfId="183" applyFont="1" applyFill="1" applyBorder="1" applyProtection="1"/>
    <xf numFmtId="0" fontId="11" fillId="3" borderId="0" xfId="183" applyFont="1" applyFill="1" applyBorder="1" applyProtection="1"/>
    <xf numFmtId="3" fontId="11" fillId="22" borderId="0" xfId="183" applyNumberFormat="1" applyFont="1" applyFill="1" applyBorder="1" applyProtection="1"/>
    <xf numFmtId="0" fontId="11" fillId="22" borderId="0" xfId="183" applyFont="1" applyFill="1" applyBorder="1" applyProtection="1"/>
    <xf numFmtId="5" fontId="11" fillId="22" borderId="0" xfId="183" applyNumberFormat="1" applyFont="1" applyFill="1" applyBorder="1" applyAlignment="1" applyProtection="1">
      <alignment horizontal="right"/>
    </xf>
    <xf numFmtId="5" fontId="11" fillId="0" borderId="0" xfId="183" applyNumberFormat="1" applyFont="1" applyFill="1" applyBorder="1" applyAlignment="1" applyProtection="1">
      <alignment horizontal="right"/>
    </xf>
    <xf numFmtId="0" fontId="20" fillId="0" borderId="0" xfId="183" applyFont="1" applyFill="1" applyBorder="1" applyAlignment="1" applyProtection="1">
      <alignment horizontal="right"/>
    </xf>
    <xf numFmtId="168" fontId="39" fillId="0" borderId="0" xfId="183" applyNumberFormat="1" applyFont="1" applyFill="1" applyBorder="1" applyProtection="1"/>
    <xf numFmtId="0" fontId="57" fillId="0" borderId="0" xfId="183" applyFont="1" applyFill="1" applyBorder="1" applyProtection="1"/>
    <xf numFmtId="0" fontId="39" fillId="0" borderId="0" xfId="183" applyFont="1" applyFill="1" applyBorder="1" applyProtection="1"/>
    <xf numFmtId="3" fontId="39" fillId="0" borderId="0" xfId="183" applyNumberFormat="1" applyFont="1" applyFill="1" applyBorder="1" applyProtection="1"/>
    <xf numFmtId="168" fontId="213" fillId="0" borderId="0" xfId="183" applyNumberFormat="1" applyFont="1" applyFill="1" applyBorder="1" applyProtection="1"/>
    <xf numFmtId="168" fontId="213" fillId="0" borderId="0" xfId="183" applyNumberFormat="1" applyFont="1" applyFill="1" applyBorder="1" applyAlignment="1" applyProtection="1">
      <alignment horizontal="right"/>
    </xf>
    <xf numFmtId="3" fontId="213" fillId="0" borderId="0" xfId="183" applyNumberFormat="1" applyFont="1" applyFill="1" applyBorder="1" applyProtection="1"/>
    <xf numFmtId="0" fontId="72" fillId="0" borderId="0" xfId="183" applyFont="1" applyFill="1" applyBorder="1" applyAlignment="1" applyProtection="1">
      <alignment horizontal="left"/>
    </xf>
    <xf numFmtId="168" fontId="86" fillId="0" borderId="0" xfId="183" applyNumberFormat="1" applyFont="1" applyFill="1" applyBorder="1" applyProtection="1"/>
    <xf numFmtId="0" fontId="15" fillId="0" borderId="0" xfId="183" applyFont="1" applyFill="1" applyBorder="1" applyAlignment="1" applyProtection="1"/>
    <xf numFmtId="164" fontId="11" fillId="0" borderId="0" xfId="183" applyNumberFormat="1" applyFont="1" applyFill="1" applyBorder="1" applyAlignment="1" applyProtection="1">
      <alignment horizontal="center"/>
    </xf>
    <xf numFmtId="0" fontId="72" fillId="0" borderId="0" xfId="183" applyFont="1" applyFill="1" applyBorder="1" applyAlignment="1" applyProtection="1"/>
    <xf numFmtId="0" fontId="108" fillId="0" borderId="1" xfId="183" applyFont="1" applyFill="1" applyBorder="1" applyAlignment="1" applyProtection="1">
      <alignment horizontal="center"/>
    </xf>
    <xf numFmtId="0" fontId="81" fillId="0" borderId="0" xfId="183" applyFont="1" applyFill="1" applyBorder="1" applyProtection="1"/>
    <xf numFmtId="2" fontId="80" fillId="0" borderId="0" xfId="183" applyNumberFormat="1" applyFont="1" applyFill="1" applyBorder="1" applyProtection="1"/>
    <xf numFmtId="0" fontId="80" fillId="0" borderId="0" xfId="183" applyFont="1" applyFill="1" applyBorder="1" applyProtection="1"/>
    <xf numFmtId="0" fontId="31" fillId="0" borderId="0" xfId="183" applyFont="1" applyFill="1" applyBorder="1" applyProtection="1"/>
    <xf numFmtId="0" fontId="79" fillId="0" borderId="0" xfId="183" applyFont="1" applyFill="1" applyBorder="1" applyProtection="1"/>
    <xf numFmtId="166" fontId="11" fillId="0" borderId="0" xfId="183" applyNumberFormat="1" applyFont="1" applyFill="1" applyBorder="1" applyProtection="1"/>
    <xf numFmtId="167" fontId="11" fillId="0" borderId="1" xfId="183" applyNumberFormat="1" applyFont="1" applyFill="1" applyBorder="1" applyAlignment="1" applyProtection="1">
      <alignment horizontal="center"/>
    </xf>
    <xf numFmtId="0" fontId="11" fillId="0" borderId="50" xfId="183" applyFont="1" applyFill="1" applyBorder="1" applyProtection="1"/>
    <xf numFmtId="0" fontId="11" fillId="0" borderId="0" xfId="176" applyFont="1"/>
    <xf numFmtId="179" fontId="11" fillId="0" borderId="0" xfId="183" applyNumberFormat="1" applyFont="1" applyFill="1" applyBorder="1" applyProtection="1"/>
    <xf numFmtId="179" fontId="11" fillId="0" borderId="0" xfId="176" applyNumberFormat="1" applyFont="1"/>
    <xf numFmtId="0" fontId="11" fillId="0" borderId="46" xfId="183" applyFont="1" applyFill="1" applyBorder="1" applyProtection="1"/>
    <xf numFmtId="0" fontId="11" fillId="0" borderId="46" xfId="183" applyFont="1" applyFill="1" applyBorder="1" applyAlignment="1" applyProtection="1">
      <alignment horizontal="right"/>
    </xf>
    <xf numFmtId="0" fontId="11" fillId="18" borderId="0" xfId="183" applyFont="1" applyFill="1" applyBorder="1" applyProtection="1"/>
    <xf numFmtId="166" fontId="11" fillId="18" borderId="0" xfId="183" applyNumberFormat="1" applyFont="1" applyFill="1" applyBorder="1" applyAlignment="1" applyProtection="1">
      <alignment horizontal="right"/>
    </xf>
    <xf numFmtId="0" fontId="15" fillId="0" borderId="0" xfId="183" applyFont="1" applyFill="1" applyBorder="1" applyAlignment="1" applyProtection="1">
      <alignment horizontal="right"/>
    </xf>
    <xf numFmtId="167" fontId="11" fillId="18" borderId="0" xfId="183" applyNumberFormat="1" applyFont="1" applyFill="1" applyBorder="1" applyProtection="1"/>
    <xf numFmtId="0" fontId="11" fillId="18" borderId="0" xfId="183" applyNumberFormat="1" applyFont="1" applyFill="1" applyBorder="1" applyProtection="1"/>
    <xf numFmtId="194" fontId="11" fillId="18" borderId="0" xfId="183" applyNumberFormat="1" applyFont="1" applyFill="1" applyBorder="1" applyProtection="1"/>
    <xf numFmtId="179" fontId="11" fillId="18" borderId="0" xfId="183" applyNumberFormat="1" applyFont="1" applyFill="1" applyBorder="1" applyProtection="1"/>
    <xf numFmtId="2" fontId="11" fillId="18" borderId="0" xfId="183" applyNumberFormat="1" applyFont="1" applyFill="1" applyBorder="1" applyProtection="1"/>
    <xf numFmtId="2" fontId="11" fillId="18" borderId="0" xfId="183" applyNumberFormat="1" applyFont="1" applyFill="1" applyBorder="1" applyAlignment="1" applyProtection="1">
      <alignment horizontal="right"/>
    </xf>
    <xf numFmtId="0" fontId="107" fillId="0" borderId="0" xfId="183" applyFont="1" applyFill="1" applyBorder="1" applyProtection="1"/>
    <xf numFmtId="173" fontId="107" fillId="0" borderId="0" xfId="183" applyNumberFormat="1" applyFont="1" applyFill="1" applyBorder="1" applyProtection="1"/>
    <xf numFmtId="0" fontId="216" fillId="65" borderId="0" xfId="183" applyFont="1" applyFill="1" applyBorder="1" applyAlignment="1" applyProtection="1">
      <alignment horizontal="right"/>
    </xf>
    <xf numFmtId="0" fontId="11" fillId="65" borderId="0" xfId="183" applyFont="1" applyFill="1" applyBorder="1" applyProtection="1"/>
    <xf numFmtId="0" fontId="216" fillId="65" borderId="0" xfId="183" applyFont="1" applyFill="1" applyBorder="1" applyProtection="1"/>
    <xf numFmtId="169" fontId="11" fillId="65" borderId="0" xfId="183" applyNumberFormat="1" applyFont="1" applyFill="1" applyBorder="1" applyProtection="1"/>
    <xf numFmtId="0" fontId="11" fillId="65" borderId="0" xfId="183" applyFont="1" applyFill="1" applyBorder="1" applyAlignment="1" applyProtection="1">
      <alignment horizontal="center"/>
    </xf>
    <xf numFmtId="169" fontId="11" fillId="65" borderId="0" xfId="183" applyNumberFormat="1" applyFont="1" applyFill="1" applyBorder="1" applyAlignment="1" applyProtection="1">
      <alignment horizontal="left"/>
    </xf>
    <xf numFmtId="168" fontId="11" fillId="65" borderId="0" xfId="183" applyNumberFormat="1" applyFont="1" applyFill="1" applyBorder="1" applyAlignment="1" applyProtection="1">
      <alignment horizontal="center"/>
    </xf>
    <xf numFmtId="166" fontId="107" fillId="0" borderId="0" xfId="183" applyNumberFormat="1" applyFont="1" applyFill="1" applyBorder="1" applyProtection="1"/>
    <xf numFmtId="2" fontId="11" fillId="65" borderId="0" xfId="183" applyNumberFormat="1" applyFont="1" applyFill="1" applyBorder="1" applyProtection="1"/>
    <xf numFmtId="3" fontId="11" fillId="65" borderId="0" xfId="183" applyNumberFormat="1" applyFont="1" applyFill="1" applyBorder="1" applyProtection="1"/>
    <xf numFmtId="0" fontId="74" fillId="0" borderId="0" xfId="183" applyFont="1" applyFill="1" applyBorder="1" applyProtection="1"/>
    <xf numFmtId="167" fontId="11" fillId="0" borderId="0" xfId="183" applyNumberFormat="1" applyFont="1" applyFill="1" applyBorder="1" applyAlignment="1" applyProtection="1">
      <alignment horizontal="center"/>
    </xf>
    <xf numFmtId="0" fontId="73" fillId="0" borderId="0" xfId="183" applyFont="1" applyFill="1" applyBorder="1" applyProtection="1"/>
    <xf numFmtId="2" fontId="11" fillId="0" borderId="0" xfId="183" applyNumberFormat="1" applyFont="1" applyFill="1" applyBorder="1" applyProtection="1"/>
    <xf numFmtId="173" fontId="74" fillId="0" borderId="0" xfId="183" applyNumberFormat="1" applyFont="1" applyFill="1" applyBorder="1" applyProtection="1"/>
    <xf numFmtId="166" fontId="11" fillId="0" borderId="1" xfId="183" applyNumberFormat="1" applyFont="1" applyFill="1" applyBorder="1" applyProtection="1"/>
    <xf numFmtId="193" fontId="11" fillId="0" borderId="1" xfId="183" applyNumberFormat="1" applyFont="1" applyFill="1" applyBorder="1" applyAlignment="1" applyProtection="1">
      <alignment horizontal="right"/>
    </xf>
    <xf numFmtId="167" fontId="74" fillId="0" borderId="0" xfId="183" applyNumberFormat="1" applyFont="1" applyFill="1" applyBorder="1" applyProtection="1"/>
    <xf numFmtId="0" fontId="11" fillId="13" borderId="0" xfId="183" applyFont="1" applyFill="1" applyBorder="1" applyProtection="1"/>
    <xf numFmtId="0" fontId="11" fillId="13" borderId="0" xfId="183" applyFont="1" applyFill="1" applyBorder="1" applyAlignment="1" applyProtection="1">
      <alignment horizontal="right"/>
    </xf>
    <xf numFmtId="173" fontId="11" fillId="13" borderId="0" xfId="183" applyNumberFormat="1" applyFont="1" applyFill="1" applyBorder="1" applyAlignment="1" applyProtection="1">
      <alignment horizontal="right"/>
    </xf>
    <xf numFmtId="2" fontId="79" fillId="0" borderId="0" xfId="183" applyNumberFormat="1" applyFont="1" applyFill="1" applyBorder="1" applyProtection="1"/>
    <xf numFmtId="168" fontId="11" fillId="13" borderId="0" xfId="183" applyNumberFormat="1" applyFont="1" applyFill="1" applyBorder="1" applyAlignment="1" applyProtection="1">
      <alignment horizontal="right"/>
    </xf>
    <xf numFmtId="173" fontId="11" fillId="13" borderId="0" xfId="183" applyNumberFormat="1" applyFont="1" applyFill="1" applyBorder="1" applyProtection="1"/>
    <xf numFmtId="0" fontId="19" fillId="0" borderId="46" xfId="183" applyFont="1" applyFill="1" applyBorder="1" applyProtection="1"/>
    <xf numFmtId="1" fontId="74" fillId="0" borderId="0" xfId="183" applyNumberFormat="1" applyFont="1" applyFill="1" applyBorder="1" applyProtection="1"/>
    <xf numFmtId="4" fontId="11" fillId="0" borderId="1" xfId="183" applyNumberFormat="1" applyFont="1" applyFill="1" applyBorder="1" applyProtection="1"/>
    <xf numFmtId="4" fontId="11" fillId="0" borderId="0" xfId="183" applyNumberFormat="1" applyFont="1" applyFill="1" applyBorder="1" applyProtection="1"/>
    <xf numFmtId="168" fontId="15" fillId="0" borderId="14" xfId="183" applyNumberFormat="1" applyFont="1" applyFill="1" applyBorder="1" applyProtection="1"/>
    <xf numFmtId="0" fontId="11" fillId="0" borderId="46" xfId="183" quotePrefix="1" applyFont="1" applyFill="1" applyBorder="1" applyProtection="1"/>
    <xf numFmtId="4" fontId="11" fillId="0" borderId="46" xfId="183" applyNumberFormat="1" applyFont="1" applyFill="1" applyBorder="1" applyProtection="1"/>
    <xf numFmtId="0" fontId="15" fillId="0" borderId="0" xfId="183" applyFont="1" applyFill="1" applyBorder="1" applyAlignment="1" applyProtection="1">
      <alignment horizontal="center"/>
    </xf>
    <xf numFmtId="2" fontId="11" fillId="0" borderId="1" xfId="183" applyNumberFormat="1" applyFont="1" applyFill="1" applyBorder="1" applyAlignment="1" applyProtection="1">
      <alignment horizontal="right"/>
    </xf>
    <xf numFmtId="0" fontId="15" fillId="0" borderId="0" xfId="183" quotePrefix="1" applyFont="1" applyFill="1" applyBorder="1" applyAlignment="1" applyProtection="1">
      <alignment horizontal="right"/>
    </xf>
    <xf numFmtId="167" fontId="11" fillId="0" borderId="14" xfId="183" applyNumberFormat="1" applyFont="1" applyFill="1" applyBorder="1" applyAlignment="1" applyProtection="1">
      <alignment horizontal="right"/>
    </xf>
    <xf numFmtId="0" fontId="81" fillId="0" borderId="0" xfId="183" applyFont="1" applyFill="1" applyBorder="1" applyAlignment="1" applyProtection="1">
      <alignment horizontal="left"/>
    </xf>
    <xf numFmtId="0" fontId="11" fillId="0" borderId="0" xfId="183" applyFont="1" applyFill="1" applyBorder="1" applyAlignment="1" applyProtection="1"/>
    <xf numFmtId="167" fontId="11" fillId="0" borderId="61" xfId="183" applyNumberFormat="1" applyFont="1" applyFill="1" applyBorder="1" applyProtection="1"/>
    <xf numFmtId="168" fontId="11" fillId="0" borderId="61" xfId="183" applyNumberFormat="1" applyFont="1" applyFill="1" applyBorder="1" applyProtection="1"/>
    <xf numFmtId="173" fontId="11" fillId="0" borderId="1" xfId="183" applyNumberFormat="1" applyFont="1" applyFill="1" applyBorder="1" applyProtection="1"/>
    <xf numFmtId="0" fontId="15" fillId="0" borderId="50" xfId="183" applyFont="1" applyFill="1" applyBorder="1" applyProtection="1"/>
    <xf numFmtId="0" fontId="212" fillId="0" borderId="0" xfId="183" applyFont="1" applyFill="1" applyBorder="1" applyProtection="1"/>
    <xf numFmtId="0" fontId="216" fillId="0" borderId="0" xfId="183" applyFont="1" applyFill="1" applyAlignment="1" applyProtection="1">
      <alignment horizontal="center"/>
    </xf>
    <xf numFmtId="0" fontId="216" fillId="0" borderId="0" xfId="183" applyFont="1" applyFill="1" applyAlignment="1" applyProtection="1">
      <alignment horizontal="right"/>
    </xf>
    <xf numFmtId="0" fontId="11" fillId="0" borderId="0" xfId="183" applyFont="1" applyFill="1" applyAlignment="1" applyProtection="1">
      <alignment horizontal="center"/>
    </xf>
    <xf numFmtId="167" fontId="11" fillId="0" borderId="0" xfId="183" applyNumberFormat="1" applyFont="1" applyFill="1" applyProtection="1"/>
    <xf numFmtId="190" fontId="11" fillId="0" borderId="0" xfId="183" applyNumberFormat="1" applyFont="1" applyFill="1" applyBorder="1" applyProtection="1"/>
    <xf numFmtId="191" fontId="11" fillId="0" borderId="0" xfId="183" applyNumberFormat="1" applyFont="1" applyFill="1" applyBorder="1" applyProtection="1"/>
    <xf numFmtId="189" fontId="11" fillId="0" borderId="0" xfId="183" applyNumberFormat="1" applyFont="1" applyFill="1" applyBorder="1" applyAlignment="1" applyProtection="1">
      <alignment horizontal="center"/>
    </xf>
    <xf numFmtId="0" fontId="11" fillId="0" borderId="1" xfId="183" applyFont="1" applyFill="1" applyBorder="1" applyProtection="1"/>
    <xf numFmtId="1" fontId="11" fillId="0" borderId="0" xfId="183" applyNumberFormat="1" applyFont="1" applyFill="1" applyBorder="1" applyProtection="1"/>
    <xf numFmtId="0" fontId="121" fillId="0" borderId="0" xfId="183" applyFont="1" applyFill="1" applyBorder="1" applyProtection="1"/>
    <xf numFmtId="0" fontId="132" fillId="0" borderId="0" xfId="183" applyFont="1" applyFill="1" applyProtection="1"/>
    <xf numFmtId="0" fontId="81" fillId="0" borderId="0" xfId="183" applyFont="1" applyFill="1" applyProtection="1"/>
    <xf numFmtId="0" fontId="121" fillId="0" borderId="0" xfId="183" applyFont="1" applyFill="1" applyProtection="1"/>
    <xf numFmtId="0" fontId="81" fillId="0" borderId="1" xfId="183" applyFont="1" applyFill="1" applyBorder="1" applyAlignment="1" applyProtection="1">
      <alignment horizontal="center"/>
    </xf>
    <xf numFmtId="0" fontId="11" fillId="0" borderId="0" xfId="183" applyFont="1" applyFill="1" applyAlignment="1" applyProtection="1">
      <alignment horizontal="left"/>
    </xf>
    <xf numFmtId="0" fontId="81" fillId="0" borderId="14" xfId="183" applyNumberFormat="1" applyFont="1" applyFill="1" applyBorder="1" applyAlignment="1" applyProtection="1">
      <alignment horizontal="center"/>
    </xf>
    <xf numFmtId="0" fontId="81" fillId="0" borderId="14" xfId="183" applyFont="1" applyFill="1" applyBorder="1" applyAlignment="1" applyProtection="1">
      <alignment horizontal="center"/>
    </xf>
    <xf numFmtId="0" fontId="74" fillId="0" borderId="0" xfId="183" applyFont="1" applyFill="1" applyProtection="1"/>
    <xf numFmtId="0" fontId="74" fillId="0" borderId="0" xfId="176" applyFont="1" applyFill="1" applyAlignment="1" applyProtection="1">
      <alignment horizontal="center"/>
    </xf>
    <xf numFmtId="0" fontId="72" fillId="0" borderId="0" xfId="183" applyFont="1" applyFill="1" applyProtection="1"/>
    <xf numFmtId="14" fontId="221" fillId="0" borderId="0" xfId="183" applyNumberFormat="1" applyFont="1" applyFill="1" applyProtection="1"/>
    <xf numFmtId="14" fontId="11" fillId="0" borderId="0" xfId="176" applyNumberFormat="1" applyFont="1" applyFill="1" applyAlignment="1" applyProtection="1">
      <alignment horizontal="left"/>
    </xf>
    <xf numFmtId="0" fontId="74" fillId="0" borderId="0" xfId="176" applyFont="1" applyFill="1" applyAlignment="1" applyProtection="1"/>
    <xf numFmtId="0" fontId="74" fillId="0" borderId="0" xfId="183" applyFont="1" applyFill="1" applyBorder="1" applyAlignment="1" applyProtection="1">
      <alignment horizontal="centerContinuous"/>
    </xf>
    <xf numFmtId="0" fontId="74" fillId="0" borderId="0" xfId="176" applyFont="1" applyFill="1" applyBorder="1" applyAlignment="1" applyProtection="1"/>
    <xf numFmtId="0" fontId="20" fillId="0" borderId="0" xfId="183" applyFont="1" applyFill="1" applyBorder="1" applyAlignment="1" applyProtection="1">
      <alignment horizontal="centerContinuous"/>
    </xf>
    <xf numFmtId="14" fontId="81" fillId="0" borderId="0" xfId="183" applyNumberFormat="1" applyFont="1" applyFill="1" applyBorder="1" applyAlignment="1" applyProtection="1">
      <alignment horizontal="centerContinuous"/>
    </xf>
    <xf numFmtId="0" fontId="81" fillId="0" borderId="0" xfId="183" applyFont="1" applyFill="1" applyBorder="1" applyAlignment="1" applyProtection="1">
      <alignment horizontal="centerContinuous"/>
    </xf>
    <xf numFmtId="14" fontId="11" fillId="0" borderId="0" xfId="176" applyNumberFormat="1" applyFont="1" applyFill="1" applyAlignment="1" applyProtection="1"/>
    <xf numFmtId="167" fontId="11" fillId="0" borderId="0" xfId="176" applyNumberFormat="1" applyFont="1" applyFill="1" applyAlignment="1" applyProtection="1">
      <alignment horizontal="right"/>
    </xf>
    <xf numFmtId="167" fontId="11" fillId="0" borderId="1" xfId="183" applyNumberFormat="1" applyFont="1" applyFill="1" applyBorder="1" applyAlignment="1" applyProtection="1">
      <alignment horizontal="centerContinuous"/>
    </xf>
    <xf numFmtId="0" fontId="11" fillId="0" borderId="61" xfId="183" applyFont="1" applyFill="1" applyBorder="1" applyAlignment="1" applyProtection="1">
      <alignment horizontal="center"/>
    </xf>
    <xf numFmtId="167" fontId="11" fillId="0" borderId="0" xfId="183" applyNumberFormat="1" applyFont="1" applyFill="1" applyBorder="1" applyAlignment="1" applyProtection="1">
      <alignment horizontal="centerContinuous"/>
    </xf>
    <xf numFmtId="0" fontId="11" fillId="0" borderId="0" xfId="176" applyFont="1" applyFill="1" applyBorder="1" applyAlignment="1" applyProtection="1">
      <alignment horizontal="center"/>
    </xf>
    <xf numFmtId="49" fontId="74" fillId="0" borderId="0" xfId="176" applyNumberFormat="1" applyFont="1" applyFill="1" applyBorder="1" applyAlignment="1" applyProtection="1">
      <alignment horizontal="center"/>
    </xf>
    <xf numFmtId="0" fontId="74" fillId="0" borderId="0" xfId="176" applyFont="1" applyFill="1" applyBorder="1" applyAlignment="1" applyProtection="1">
      <alignment horizontal="right"/>
    </xf>
    <xf numFmtId="0" fontId="74" fillId="0" borderId="0" xfId="176" applyFont="1" applyFill="1" applyBorder="1" applyAlignment="1" applyProtection="1">
      <alignment horizontal="center"/>
    </xf>
    <xf numFmtId="2" fontId="74" fillId="0" borderId="0" xfId="176" applyNumberFormat="1" applyFont="1" applyBorder="1" applyProtection="1"/>
    <xf numFmtId="173" fontId="74" fillId="0" borderId="0" xfId="176" applyNumberFormat="1" applyFont="1" applyBorder="1" applyProtection="1"/>
    <xf numFmtId="2" fontId="74" fillId="0" borderId="0" xfId="176" applyNumberFormat="1" applyFont="1" applyProtection="1"/>
    <xf numFmtId="173" fontId="74" fillId="0" borderId="0" xfId="176" applyNumberFormat="1" applyFont="1" applyProtection="1"/>
    <xf numFmtId="0" fontId="11" fillId="0" borderId="0" xfId="176" applyFont="1" applyFill="1" applyAlignment="1" applyProtection="1">
      <alignment horizontal="center"/>
    </xf>
    <xf numFmtId="2" fontId="11" fillId="0" borderId="0" xfId="176" applyNumberFormat="1" applyFont="1" applyProtection="1"/>
    <xf numFmtId="0" fontId="86" fillId="0" borderId="0" xfId="183" applyFont="1" applyFill="1" applyBorder="1" applyAlignment="1" applyProtection="1">
      <alignment horizontal="center"/>
    </xf>
    <xf numFmtId="0" fontId="73" fillId="0" borderId="0" xfId="183" applyFont="1" applyFill="1" applyBorder="1" applyAlignment="1" applyProtection="1">
      <alignment horizontal="center"/>
    </xf>
    <xf numFmtId="14" fontId="86" fillId="0" borderId="0" xfId="183" applyNumberFormat="1" applyFont="1" applyFill="1" applyBorder="1" applyProtection="1"/>
    <xf numFmtId="173" fontId="74" fillId="0" borderId="0" xfId="176" applyNumberFormat="1" applyFont="1" applyFill="1" applyProtection="1"/>
    <xf numFmtId="14" fontId="72" fillId="0" borderId="0" xfId="183" applyNumberFormat="1" applyFont="1" applyFill="1" applyBorder="1" applyProtection="1"/>
    <xf numFmtId="14" fontId="72" fillId="0" borderId="0" xfId="183" applyNumberFormat="1" applyFont="1" applyFill="1" applyBorder="1" applyAlignment="1" applyProtection="1">
      <alignment horizontal="center"/>
    </xf>
    <xf numFmtId="173" fontId="11" fillId="0" borderId="0" xfId="176" applyNumberFormat="1" applyFont="1" applyProtection="1"/>
    <xf numFmtId="3" fontId="11" fillId="0" borderId="0" xfId="176" applyNumberFormat="1" applyFont="1" applyFill="1" applyAlignment="1" applyProtection="1">
      <alignment horizontal="center"/>
    </xf>
    <xf numFmtId="3" fontId="11" fillId="0" borderId="0" xfId="176" applyNumberFormat="1" applyFont="1" applyFill="1"/>
    <xf numFmtId="0" fontId="222" fillId="0" borderId="0" xfId="183" applyFont="1" applyFill="1" applyBorder="1" applyProtection="1"/>
    <xf numFmtId="0" fontId="44" fillId="0" borderId="0" xfId="183" applyFont="1" applyFill="1" applyBorder="1" applyProtection="1"/>
    <xf numFmtId="0" fontId="11" fillId="0" borderId="0" xfId="176" applyFont="1" applyFill="1" applyAlignment="1" applyProtection="1">
      <alignment horizontal="right"/>
    </xf>
    <xf numFmtId="2" fontId="74" fillId="0" borderId="0" xfId="183" applyNumberFormat="1" applyFont="1" applyFill="1" applyProtection="1"/>
    <xf numFmtId="173" fontId="74" fillId="0" borderId="0" xfId="183" applyNumberFormat="1" applyFont="1" applyFill="1" applyProtection="1"/>
    <xf numFmtId="2" fontId="11" fillId="0" borderId="0" xfId="183" applyNumberFormat="1" applyFont="1" applyFill="1" applyProtection="1"/>
    <xf numFmtId="173" fontId="11" fillId="0" borderId="0" xfId="183" applyNumberFormat="1" applyFont="1" applyFill="1" applyProtection="1"/>
    <xf numFmtId="2" fontId="11" fillId="0" borderId="0" xfId="176" applyNumberFormat="1" applyFont="1" applyFill="1" applyProtection="1"/>
    <xf numFmtId="173" fontId="11" fillId="0" borderId="0" xfId="176" applyNumberFormat="1" applyFont="1" applyFill="1" applyProtection="1"/>
    <xf numFmtId="0" fontId="223" fillId="0" borderId="0" xfId="196" applyFont="1" applyAlignment="1" applyProtection="1"/>
    <xf numFmtId="0" fontId="77" fillId="0" borderId="0" xfId="196" applyFont="1" applyProtection="1"/>
    <xf numFmtId="0" fontId="77" fillId="0" borderId="0" xfId="196" applyFont="1" applyAlignment="1" applyProtection="1">
      <alignment horizontal="right"/>
    </xf>
    <xf numFmtId="0" fontId="77" fillId="0" borderId="0" xfId="196" applyFont="1"/>
    <xf numFmtId="0" fontId="77" fillId="0" borderId="0" xfId="196" applyFont="1" applyAlignment="1" applyProtection="1">
      <alignment horizontal="center"/>
    </xf>
    <xf numFmtId="0" fontId="77" fillId="0" borderId="0" xfId="196" applyFont="1" applyAlignment="1" applyProtection="1">
      <alignment horizontal="left"/>
    </xf>
    <xf numFmtId="0" fontId="77" fillId="0" borderId="0" xfId="196" quotePrefix="1" applyFont="1" applyAlignment="1" applyProtection="1">
      <alignment horizontal="center"/>
    </xf>
    <xf numFmtId="0" fontId="77" fillId="0" borderId="0" xfId="196" applyFont="1" applyFill="1" applyAlignment="1" applyProtection="1">
      <alignment horizontal="center"/>
    </xf>
    <xf numFmtId="0" fontId="16" fillId="62" borderId="51" xfId="197" applyFont="1" applyFill="1" applyBorder="1" applyAlignment="1" applyProtection="1">
      <alignment horizontal="center"/>
    </xf>
    <xf numFmtId="0" fontId="16" fillId="62" borderId="51" xfId="197" applyFont="1" applyFill="1" applyBorder="1" applyAlignment="1" applyProtection="1">
      <alignment horizontal="center"/>
      <protection locked="0"/>
    </xf>
    <xf numFmtId="0" fontId="223" fillId="0" borderId="0" xfId="196" applyFont="1" applyFill="1" applyAlignment="1" applyProtection="1">
      <alignment horizontal="center"/>
    </xf>
    <xf numFmtId="14" fontId="16" fillId="63" borderId="51" xfId="197" applyNumberFormat="1" applyFont="1" applyFill="1" applyBorder="1" applyAlignment="1" applyProtection="1">
      <alignment horizontal="center"/>
    </xf>
    <xf numFmtId="0" fontId="16" fillId="62" borderId="52" xfId="197" applyFont="1" applyFill="1" applyBorder="1" applyAlignment="1" applyProtection="1">
      <alignment horizontal="center"/>
    </xf>
    <xf numFmtId="0" fontId="16" fillId="62" borderId="52" xfId="197" applyFont="1" applyFill="1" applyBorder="1" applyAlignment="1" applyProtection="1">
      <alignment horizontal="center"/>
      <protection locked="0"/>
    </xf>
    <xf numFmtId="0" fontId="16" fillId="64" borderId="70" xfId="197" applyFont="1" applyFill="1" applyBorder="1" applyAlignment="1" applyProtection="1">
      <alignment horizontal="left"/>
      <protection locked="0"/>
    </xf>
    <xf numFmtId="0" fontId="16" fillId="64" borderId="70" xfId="197" applyFont="1" applyFill="1" applyBorder="1" applyAlignment="1" applyProtection="1">
      <alignment horizontal="center"/>
      <protection locked="0"/>
    </xf>
    <xf numFmtId="0" fontId="16" fillId="63" borderId="69" xfId="197" applyFont="1" applyFill="1" applyBorder="1" applyAlignment="1" applyProtection="1">
      <alignment horizontal="center"/>
      <protection locked="0"/>
    </xf>
    <xf numFmtId="0" fontId="16" fillId="63" borderId="52" xfId="197" applyFont="1" applyFill="1" applyBorder="1" applyAlignment="1" applyProtection="1">
      <alignment horizontal="center"/>
      <protection locked="0"/>
    </xf>
    <xf numFmtId="0" fontId="77" fillId="0" borderId="0" xfId="196" applyFont="1" applyProtection="1">
      <protection locked="0"/>
    </xf>
    <xf numFmtId="0" fontId="16" fillId="0" borderId="58" xfId="197" applyFont="1" applyFill="1" applyBorder="1" applyAlignment="1">
      <alignment horizontal="center" wrapText="1"/>
    </xf>
    <xf numFmtId="0" fontId="16" fillId="0" borderId="58" xfId="197" applyFont="1" applyFill="1" applyBorder="1" applyAlignment="1">
      <alignment wrapText="1"/>
    </xf>
    <xf numFmtId="3" fontId="77" fillId="19" borderId="3" xfId="196" applyNumberFormat="1" applyFont="1" applyFill="1" applyBorder="1" applyProtection="1">
      <protection locked="0"/>
    </xf>
    <xf numFmtId="3" fontId="77" fillId="19" borderId="13" xfId="196" applyNumberFormat="1" applyFont="1" applyFill="1" applyBorder="1" applyProtection="1">
      <protection locked="0"/>
    </xf>
    <xf numFmtId="3" fontId="77" fillId="0" borderId="13" xfId="196" applyNumberFormat="1" applyFont="1" applyBorder="1" applyProtection="1">
      <protection locked="0"/>
    </xf>
    <xf numFmtId="3" fontId="77" fillId="0" borderId="13" xfId="196" applyNumberFormat="1" applyFont="1" applyBorder="1" applyProtection="1"/>
    <xf numFmtId="10" fontId="77" fillId="0" borderId="13" xfId="196" applyNumberFormat="1" applyFont="1" applyBorder="1" applyAlignment="1" applyProtection="1">
      <alignment horizontal="right"/>
    </xf>
    <xf numFmtId="167" fontId="77" fillId="0" borderId="13" xfId="196" applyNumberFormat="1" applyFont="1" applyBorder="1" applyAlignment="1" applyProtection="1">
      <alignment horizontal="right"/>
    </xf>
    <xf numFmtId="0" fontId="16" fillId="19" borderId="70" xfId="197" applyFont="1" applyFill="1" applyBorder="1" applyAlignment="1" applyProtection="1">
      <alignment horizontal="center" wrapText="1"/>
      <protection locked="0"/>
    </xf>
    <xf numFmtId="192" fontId="16" fillId="19" borderId="70" xfId="197" applyNumberFormat="1" applyFont="1" applyFill="1" applyBorder="1" applyAlignment="1" applyProtection="1">
      <alignment horizontal="center" wrapText="1"/>
      <protection locked="0"/>
    </xf>
    <xf numFmtId="0" fontId="16" fillId="19" borderId="70" xfId="197" applyFont="1" applyFill="1" applyBorder="1" applyAlignment="1" applyProtection="1">
      <alignment wrapText="1"/>
      <protection locked="0"/>
    </xf>
    <xf numFmtId="0" fontId="16" fillId="19" borderId="68" xfId="197" applyFont="1" applyFill="1" applyBorder="1" applyAlignment="1" applyProtection="1">
      <alignment horizontal="center" wrapText="1"/>
      <protection locked="0"/>
    </xf>
    <xf numFmtId="192" fontId="16" fillId="19" borderId="68" xfId="197" applyNumberFormat="1" applyFont="1" applyFill="1" applyBorder="1" applyAlignment="1" applyProtection="1">
      <alignment horizontal="center" wrapText="1"/>
      <protection locked="0"/>
    </xf>
    <xf numFmtId="0" fontId="16" fillId="19" borderId="68" xfId="197" applyFont="1" applyFill="1" applyBorder="1" applyAlignment="1" applyProtection="1">
      <alignment wrapText="1"/>
      <protection locked="0"/>
    </xf>
    <xf numFmtId="3" fontId="77" fillId="0" borderId="0" xfId="196" applyNumberFormat="1" applyFont="1" applyProtection="1"/>
    <xf numFmtId="3" fontId="77" fillId="0" borderId="0" xfId="196" applyNumberFormat="1" applyFont="1" applyAlignment="1" applyProtection="1">
      <alignment horizontal="right"/>
    </xf>
    <xf numFmtId="0" fontId="15" fillId="0" borderId="0" xfId="184" applyFont="1" applyFill="1" applyAlignment="1" applyProtection="1">
      <alignment horizontal="right"/>
    </xf>
    <xf numFmtId="0" fontId="15" fillId="0" borderId="0" xfId="184" applyFont="1" applyFill="1" applyBorder="1" applyAlignment="1" applyProtection="1">
      <alignment horizontal="right"/>
    </xf>
    <xf numFmtId="0" fontId="15" fillId="0" borderId="0" xfId="184" applyFont="1" applyFill="1" applyBorder="1" applyAlignment="1" applyProtection="1">
      <alignment horizontal="center"/>
    </xf>
    <xf numFmtId="0" fontId="11" fillId="0" borderId="0" xfId="184" applyFont="1" applyFill="1" applyAlignment="1" applyProtection="1">
      <alignment horizontal="right"/>
    </xf>
    <xf numFmtId="0" fontId="15" fillId="0" borderId="0" xfId="184" applyFont="1" applyFill="1" applyAlignment="1" applyProtection="1">
      <alignment horizontal="centerContinuous"/>
    </xf>
    <xf numFmtId="0" fontId="11" fillId="0" borderId="0" xfId="184" applyFont="1" applyFill="1" applyAlignment="1" applyProtection="1">
      <alignment horizontal="centerContinuous"/>
    </xf>
    <xf numFmtId="9" fontId="11" fillId="0" borderId="0" xfId="176" applyNumberFormat="1" applyFont="1" applyProtection="1"/>
    <xf numFmtId="0" fontId="11" fillId="0" borderId="0" xfId="176" quotePrefix="1" applyFont="1" applyProtection="1"/>
    <xf numFmtId="2" fontId="11" fillId="0" borderId="1" xfId="176" applyNumberFormat="1" applyFont="1" applyFill="1" applyBorder="1" applyAlignment="1" applyProtection="1">
      <alignment horizontal="right"/>
    </xf>
    <xf numFmtId="0" fontId="72" fillId="0" borderId="0" xfId="176" applyFont="1" applyBorder="1" applyProtection="1"/>
    <xf numFmtId="2" fontId="11" fillId="0" borderId="0" xfId="176" applyNumberFormat="1" applyFont="1" applyFill="1" applyBorder="1" applyAlignment="1" applyProtection="1">
      <alignment horizontal="right"/>
    </xf>
    <xf numFmtId="0" fontId="224" fillId="0" borderId="0" xfId="176" applyFont="1" applyProtection="1"/>
    <xf numFmtId="0" fontId="11" fillId="0" borderId="1" xfId="176" applyFont="1" applyBorder="1" applyProtection="1"/>
    <xf numFmtId="1" fontId="11" fillId="0" borderId="1" xfId="176" applyNumberFormat="1" applyFont="1" applyFill="1" applyBorder="1" applyAlignment="1" applyProtection="1">
      <alignment horizontal="right"/>
    </xf>
    <xf numFmtId="2" fontId="11" fillId="0" borderId="1" xfId="176" applyNumberFormat="1" applyFont="1" applyBorder="1" applyAlignment="1" applyProtection="1">
      <alignment horizontal="right"/>
    </xf>
    <xf numFmtId="2" fontId="72" fillId="0" borderId="0" xfId="176" applyNumberFormat="1" applyFont="1" applyBorder="1" applyAlignment="1" applyProtection="1">
      <alignment horizontal="left"/>
    </xf>
    <xf numFmtId="0" fontId="11" fillId="0" borderId="0" xfId="184" applyFont="1" applyFill="1" applyBorder="1" applyProtection="1"/>
    <xf numFmtId="2" fontId="11" fillId="0" borderId="0" xfId="176" applyNumberFormat="1" applyFont="1" applyBorder="1" applyAlignment="1" applyProtection="1">
      <alignment horizontal="right"/>
    </xf>
    <xf numFmtId="2" fontId="11" fillId="0" borderId="0" xfId="176" applyNumberFormat="1" applyFont="1" applyFill="1" applyBorder="1" applyProtection="1"/>
    <xf numFmtId="3" fontId="11" fillId="0" borderId="1" xfId="176" applyNumberFormat="1" applyFont="1" applyFill="1" applyBorder="1" applyProtection="1"/>
    <xf numFmtId="3" fontId="11" fillId="0" borderId="1" xfId="176" applyNumberFormat="1" applyFont="1" applyBorder="1" applyAlignment="1" applyProtection="1">
      <alignment horizontal="right"/>
    </xf>
    <xf numFmtId="0" fontId="80" fillId="0" borderId="0" xfId="176" applyFont="1" applyProtection="1"/>
    <xf numFmtId="0" fontId="72" fillId="0" borderId="0" xfId="176" applyFont="1" applyProtection="1"/>
    <xf numFmtId="3" fontId="11" fillId="0" borderId="0" xfId="176" applyNumberFormat="1" applyFont="1" applyProtection="1"/>
    <xf numFmtId="3" fontId="11" fillId="11" borderId="1" xfId="176" applyNumberFormat="1" applyFont="1" applyFill="1" applyBorder="1" applyAlignment="1" applyProtection="1">
      <alignment horizontal="right"/>
      <protection locked="0"/>
    </xf>
    <xf numFmtId="0" fontId="81" fillId="0" borderId="0" xfId="176" applyFont="1" applyProtection="1"/>
    <xf numFmtId="0" fontId="72" fillId="0" borderId="0" xfId="176" applyFont="1" applyAlignment="1" applyProtection="1">
      <alignment horizontal="right"/>
    </xf>
    <xf numFmtId="0" fontId="154" fillId="0" borderId="0" xfId="176" applyFont="1" applyProtection="1"/>
    <xf numFmtId="0" fontId="212" fillId="0" borderId="0" xfId="176" applyFont="1" applyProtection="1"/>
    <xf numFmtId="0" fontId="19" fillId="0" borderId="0" xfId="176" applyFont="1" applyProtection="1"/>
    <xf numFmtId="2" fontId="11" fillId="0" borderId="1" xfId="176" applyNumberFormat="1" applyFont="1" applyBorder="1" applyProtection="1"/>
    <xf numFmtId="168" fontId="11" fillId="0" borderId="1" xfId="176" applyNumberFormat="1" applyFont="1" applyBorder="1" applyProtection="1"/>
    <xf numFmtId="14" fontId="226" fillId="0" borderId="0" xfId="176" applyNumberFormat="1" applyFont="1" applyProtection="1"/>
    <xf numFmtId="0" fontId="81" fillId="0" borderId="0" xfId="176" applyFont="1" applyAlignment="1" applyProtection="1"/>
    <xf numFmtId="1" fontId="11" fillId="0" borderId="0" xfId="176" applyNumberFormat="1" applyFont="1" applyProtection="1"/>
    <xf numFmtId="1" fontId="11" fillId="0" borderId="0" xfId="176" applyNumberFormat="1" applyFont="1" applyFill="1" applyProtection="1"/>
    <xf numFmtId="184" fontId="11" fillId="0" borderId="0" xfId="185" applyNumberFormat="1" applyFont="1" applyProtection="1"/>
    <xf numFmtId="0" fontId="11" fillId="0" borderId="0" xfId="185" applyFont="1" applyAlignment="1" applyProtection="1">
      <alignment horizontal="centerContinuous"/>
    </xf>
    <xf numFmtId="0" fontId="15" fillId="0" borderId="0" xfId="185" applyFont="1" applyAlignment="1" applyProtection="1"/>
    <xf numFmtId="0" fontId="11" fillId="0" borderId="0" xfId="185" applyFont="1" applyAlignment="1" applyProtection="1"/>
    <xf numFmtId="0" fontId="15" fillId="0" borderId="0" xfId="185" applyFont="1" applyAlignment="1" applyProtection="1">
      <alignment horizontal="right"/>
    </xf>
    <xf numFmtId="164" fontId="11" fillId="0" borderId="0" xfId="185" applyNumberFormat="1" applyFont="1" applyFill="1" applyBorder="1" applyAlignment="1" applyProtection="1">
      <alignment horizontal="right"/>
    </xf>
    <xf numFmtId="0" fontId="24" fillId="0" borderId="0" xfId="185" applyFont="1" applyProtection="1"/>
    <xf numFmtId="0" fontId="11" fillId="0" borderId="0" xfId="185" applyFont="1" applyProtection="1"/>
    <xf numFmtId="170" fontId="11" fillId="0" borderId="0" xfId="185" applyNumberFormat="1" applyFont="1" applyAlignment="1" applyProtection="1">
      <alignment horizontal="left"/>
    </xf>
    <xf numFmtId="184" fontId="15" fillId="0" borderId="0" xfId="185" applyNumberFormat="1" applyFont="1" applyAlignment="1" applyProtection="1">
      <alignment horizontal="centerContinuous"/>
    </xf>
    <xf numFmtId="0" fontId="15" fillId="0" borderId="0" xfId="185" applyFont="1" applyAlignment="1" applyProtection="1">
      <alignment horizontal="centerContinuous"/>
    </xf>
    <xf numFmtId="0" fontId="11" fillId="0" borderId="4" xfId="185" applyFont="1" applyBorder="1" applyProtection="1"/>
    <xf numFmtId="0" fontId="11" fillId="0" borderId="5" xfId="185" applyFont="1" applyBorder="1" applyProtection="1"/>
    <xf numFmtId="0" fontId="11" fillId="0" borderId="6" xfId="185" applyFont="1" applyBorder="1" applyProtection="1"/>
    <xf numFmtId="0" fontId="11" fillId="0" borderId="7" xfId="185" applyFont="1" applyBorder="1" applyAlignment="1" applyProtection="1">
      <alignment horizontal="center"/>
    </xf>
    <xf numFmtId="0" fontId="11" fillId="0" borderId="8" xfId="185" applyFont="1" applyBorder="1" applyProtection="1"/>
    <xf numFmtId="0" fontId="11" fillId="0" borderId="9" xfId="185" applyFont="1" applyBorder="1" applyProtection="1"/>
    <xf numFmtId="0" fontId="79" fillId="0" borderId="54" xfId="185" applyFont="1" applyBorder="1" applyAlignment="1" applyProtection="1">
      <alignment horizontal="left"/>
    </xf>
    <xf numFmtId="184" fontId="11" fillId="0" borderId="54" xfId="185" applyNumberFormat="1" applyFont="1" applyBorder="1" applyProtection="1"/>
    <xf numFmtId="0" fontId="11" fillId="0" borderId="49" xfId="185" applyFont="1" applyBorder="1" applyAlignment="1" applyProtection="1">
      <alignment horizontal="center"/>
    </xf>
    <xf numFmtId="0" fontId="11" fillId="0" borderId="56" xfId="185" applyFont="1" applyBorder="1" applyAlignment="1" applyProtection="1">
      <alignment horizontal="center"/>
    </xf>
    <xf numFmtId="0" fontId="11" fillId="0" borderId="49" xfId="185" applyFont="1" applyBorder="1" applyAlignment="1" applyProtection="1">
      <alignment horizontal="centerContinuous"/>
    </xf>
    <xf numFmtId="185" fontId="11" fillId="0" borderId="7" xfId="185" applyNumberFormat="1" applyFont="1" applyFill="1" applyBorder="1" applyAlignment="1" applyProtection="1">
      <alignment horizontal="center"/>
    </xf>
    <xf numFmtId="5" fontId="11" fillId="0" borderId="9" xfId="185" applyNumberFormat="1" applyFont="1" applyFill="1" applyBorder="1" applyProtection="1"/>
    <xf numFmtId="0" fontId="11" fillId="0" borderId="0" xfId="185" applyFont="1" applyFill="1" applyProtection="1"/>
    <xf numFmtId="5" fontId="11" fillId="0" borderId="0" xfId="185" applyNumberFormat="1" applyFont="1" applyFill="1" applyProtection="1"/>
    <xf numFmtId="2" fontId="11" fillId="0" borderId="7" xfId="185" applyNumberFormat="1" applyFont="1" applyFill="1" applyBorder="1" applyProtection="1"/>
    <xf numFmtId="5" fontId="11" fillId="0" borderId="0" xfId="185" applyNumberFormat="1" applyFont="1" applyFill="1" applyBorder="1" applyProtection="1"/>
    <xf numFmtId="5" fontId="11" fillId="0" borderId="7" xfId="185" applyNumberFormat="1" applyFont="1" applyFill="1" applyBorder="1" applyProtection="1"/>
    <xf numFmtId="0" fontId="15" fillId="0" borderId="0" xfId="185" applyFont="1" applyProtection="1"/>
    <xf numFmtId="3" fontId="11" fillId="70" borderId="8" xfId="185" applyNumberFormat="1" applyFont="1" applyFill="1" applyBorder="1" applyProtection="1"/>
    <xf numFmtId="0" fontId="107" fillId="70" borderId="0" xfId="185" applyFont="1" applyFill="1" applyBorder="1" applyAlignment="1" applyProtection="1">
      <alignment horizontal="center"/>
    </xf>
    <xf numFmtId="5" fontId="107" fillId="70" borderId="0" xfId="185" applyNumberFormat="1" applyFont="1" applyFill="1" applyBorder="1" applyProtection="1"/>
    <xf numFmtId="0" fontId="107" fillId="70" borderId="0" xfId="185" applyFont="1" applyFill="1" applyProtection="1"/>
    <xf numFmtId="2" fontId="107" fillId="70" borderId="0" xfId="185" applyNumberFormat="1" applyFont="1" applyFill="1" applyBorder="1" applyProtection="1"/>
    <xf numFmtId="5" fontId="107" fillId="70" borderId="9" xfId="185" applyNumberFormat="1" applyFont="1" applyFill="1" applyBorder="1" applyProtection="1"/>
    <xf numFmtId="3" fontId="11" fillId="2" borderId="10" xfId="185" applyNumberFormat="1" applyFont="1" applyFill="1" applyBorder="1" applyProtection="1">
      <protection locked="0"/>
    </xf>
    <xf numFmtId="5" fontId="11" fillId="0" borderId="63" xfId="185" applyNumberFormat="1" applyFont="1" applyFill="1" applyBorder="1" applyProtection="1"/>
    <xf numFmtId="2" fontId="11" fillId="2" borderId="12" xfId="185" applyNumberFormat="1" applyFont="1" applyFill="1" applyBorder="1" applyProtection="1">
      <protection locked="0"/>
    </xf>
    <xf numFmtId="5" fontId="11" fillId="0" borderId="12" xfId="185" applyNumberFormat="1" applyFont="1" applyFill="1" applyBorder="1" applyProtection="1"/>
    <xf numFmtId="5" fontId="11" fillId="0" borderId="58" xfId="185" applyNumberFormat="1" applyFont="1" applyFill="1" applyBorder="1" applyProtection="1"/>
    <xf numFmtId="3" fontId="11" fillId="2" borderId="2" xfId="185" applyNumberFormat="1" applyFont="1" applyFill="1" applyBorder="1" applyProtection="1">
      <protection locked="0"/>
    </xf>
    <xf numFmtId="2" fontId="11" fillId="2" borderId="75" xfId="185" applyNumberFormat="1" applyFont="1" applyFill="1" applyBorder="1" applyProtection="1">
      <protection locked="0"/>
    </xf>
    <xf numFmtId="5" fontId="11" fillId="0" borderId="75" xfId="185" applyNumberFormat="1" applyFont="1" applyFill="1" applyBorder="1" applyProtection="1"/>
    <xf numFmtId="2" fontId="107" fillId="70" borderId="103" xfId="185" applyNumberFormat="1" applyFont="1" applyFill="1" applyBorder="1" applyProtection="1"/>
    <xf numFmtId="5" fontId="107" fillId="70" borderId="73" xfId="185" applyNumberFormat="1" applyFont="1" applyFill="1" applyBorder="1" applyProtection="1"/>
    <xf numFmtId="5" fontId="11" fillId="0" borderId="11" xfId="185" applyNumberFormat="1" applyFont="1" applyFill="1" applyBorder="1" applyProtection="1"/>
    <xf numFmtId="2" fontId="11" fillId="0" borderId="63" xfId="185" applyNumberFormat="1" applyFont="1" applyFill="1" applyBorder="1" applyProtection="1"/>
    <xf numFmtId="0" fontId="107" fillId="70" borderId="8" xfId="185" applyFont="1" applyFill="1" applyBorder="1" applyAlignment="1" applyProtection="1">
      <alignment horizontal="center"/>
    </xf>
    <xf numFmtId="5" fontId="107" fillId="70" borderId="61" xfId="185" applyNumberFormat="1" applyFont="1" applyFill="1" applyBorder="1" applyProtection="1"/>
    <xf numFmtId="184" fontId="15" fillId="0" borderId="0" xfId="185" applyNumberFormat="1" applyFont="1" applyProtection="1"/>
    <xf numFmtId="3" fontId="11" fillId="0" borderId="13" xfId="185" applyNumberFormat="1" applyFont="1" applyFill="1" applyBorder="1" applyProtection="1"/>
    <xf numFmtId="5" fontId="11" fillId="0" borderId="13" xfId="185" applyNumberFormat="1" applyFont="1" applyFill="1" applyBorder="1" applyProtection="1"/>
    <xf numFmtId="0" fontId="15" fillId="0" borderId="0" xfId="185" applyFont="1" applyAlignment="1" applyProtection="1">
      <alignment horizontal="left"/>
    </xf>
    <xf numFmtId="3" fontId="11" fillId="2" borderId="12" xfId="185" applyNumberFormat="1" applyFont="1" applyFill="1" applyBorder="1" applyProtection="1">
      <protection locked="0"/>
    </xf>
    <xf numFmtId="185" fontId="11" fillId="0" borderId="0" xfId="185" applyNumberFormat="1" applyFont="1" applyFill="1" applyBorder="1" applyAlignment="1" applyProtection="1">
      <alignment horizontal="center"/>
    </xf>
    <xf numFmtId="2" fontId="11" fillId="2" borderId="63" xfId="185" applyNumberFormat="1" applyFont="1" applyFill="1" applyBorder="1" applyProtection="1">
      <protection locked="0"/>
    </xf>
    <xf numFmtId="5" fontId="11" fillId="0" borderId="10" xfId="185" applyNumberFormat="1" applyFont="1" applyFill="1" applyBorder="1" applyProtection="1"/>
    <xf numFmtId="3" fontId="11" fillId="2" borderId="58" xfId="185" applyNumberFormat="1" applyFont="1" applyFill="1" applyBorder="1" applyProtection="1">
      <protection locked="0"/>
    </xf>
    <xf numFmtId="2" fontId="107" fillId="70" borderId="72" xfId="185" applyNumberFormat="1" applyFont="1" applyFill="1" applyBorder="1" applyProtection="1"/>
    <xf numFmtId="5" fontId="107" fillId="70" borderId="74" xfId="185" applyNumberFormat="1" applyFont="1" applyFill="1" applyBorder="1" applyProtection="1"/>
    <xf numFmtId="184" fontId="15" fillId="0" borderId="0" xfId="185" applyNumberFormat="1" applyFont="1" applyAlignment="1" applyProtection="1">
      <alignment horizontal="right"/>
    </xf>
    <xf numFmtId="3" fontId="11" fillId="0" borderId="75" xfId="185" applyNumberFormat="1" applyFont="1" applyFill="1" applyBorder="1" applyProtection="1"/>
    <xf numFmtId="5" fontId="11" fillId="0" borderId="67" xfId="185" applyNumberFormat="1" applyFont="1" applyFill="1" applyBorder="1" applyProtection="1"/>
    <xf numFmtId="2" fontId="11" fillId="2" borderId="10" xfId="185" applyNumberFormat="1" applyFont="1" applyFill="1" applyBorder="1" applyProtection="1">
      <protection locked="0"/>
    </xf>
    <xf numFmtId="5" fontId="11" fillId="0" borderId="3" xfId="185" applyNumberFormat="1" applyFont="1" applyFill="1" applyBorder="1" applyProtection="1"/>
    <xf numFmtId="2" fontId="11" fillId="2" borderId="58" xfId="185" applyNumberFormat="1" applyFont="1" applyFill="1" applyBorder="1" applyProtection="1">
      <protection locked="0"/>
    </xf>
    <xf numFmtId="185" fontId="11" fillId="0" borderId="104" xfId="185" applyNumberFormat="1" applyFont="1" applyFill="1" applyBorder="1" applyAlignment="1" applyProtection="1">
      <alignment horizontal="center"/>
    </xf>
    <xf numFmtId="5" fontId="11" fillId="0" borderId="6" xfId="185" applyNumberFormat="1" applyFont="1" applyFill="1" applyBorder="1" applyProtection="1"/>
    <xf numFmtId="0" fontId="107" fillId="70" borderId="103" xfId="185" applyFont="1" applyFill="1" applyBorder="1" applyAlignment="1" applyProtection="1">
      <alignment horizontal="center"/>
    </xf>
    <xf numFmtId="0" fontId="107" fillId="70" borderId="60" xfId="185" applyFont="1" applyFill="1" applyBorder="1" applyAlignment="1" applyProtection="1">
      <alignment horizontal="center"/>
    </xf>
    <xf numFmtId="2" fontId="11" fillId="2" borderId="7" xfId="185" applyNumberFormat="1" applyFont="1" applyFill="1" applyBorder="1" applyProtection="1">
      <protection locked="0"/>
    </xf>
    <xf numFmtId="0" fontId="107" fillId="70" borderId="62" xfId="185" applyFont="1" applyFill="1" applyBorder="1" applyAlignment="1" applyProtection="1">
      <alignment horizontal="center"/>
    </xf>
    <xf numFmtId="3" fontId="11" fillId="70" borderId="0" xfId="185" applyNumberFormat="1" applyFont="1" applyFill="1" applyBorder="1" applyProtection="1"/>
    <xf numFmtId="5" fontId="107" fillId="70" borderId="62" xfId="185" applyNumberFormat="1" applyFont="1" applyFill="1" applyBorder="1" applyProtection="1"/>
    <xf numFmtId="0" fontId="79" fillId="0" borderId="54" xfId="185" applyFont="1" applyBorder="1" applyProtection="1"/>
    <xf numFmtId="3" fontId="11" fillId="70" borderId="56" xfId="185" applyNumberFormat="1" applyFont="1" applyFill="1" applyBorder="1" applyProtection="1"/>
    <xf numFmtId="0" fontId="107" fillId="70" borderId="54" xfId="185" applyFont="1" applyFill="1" applyBorder="1" applyAlignment="1" applyProtection="1">
      <alignment horizontal="center"/>
    </xf>
    <xf numFmtId="5" fontId="107" fillId="70" borderId="54" xfId="185" applyNumberFormat="1" applyFont="1" applyFill="1" applyBorder="1" applyProtection="1"/>
    <xf numFmtId="0" fontId="107" fillId="70" borderId="54" xfId="185" applyFont="1" applyFill="1" applyBorder="1" applyProtection="1"/>
    <xf numFmtId="0" fontId="11" fillId="70" borderId="0" xfId="185" applyFont="1" applyFill="1" applyProtection="1"/>
    <xf numFmtId="5" fontId="11" fillId="70" borderId="0" xfId="185" applyNumberFormat="1" applyFont="1" applyFill="1" applyProtection="1"/>
    <xf numFmtId="2" fontId="11" fillId="70" borderId="0" xfId="185" applyNumberFormat="1" applyFont="1" applyFill="1" applyBorder="1" applyProtection="1"/>
    <xf numFmtId="5" fontId="11" fillId="70" borderId="0" xfId="185" applyNumberFormat="1" applyFont="1" applyFill="1" applyBorder="1" applyProtection="1"/>
    <xf numFmtId="5" fontId="11" fillId="70" borderId="9" xfId="185" applyNumberFormat="1" applyFont="1" applyFill="1" applyBorder="1" applyProtection="1"/>
    <xf numFmtId="185" fontId="11" fillId="2" borderId="7" xfId="185" applyNumberFormat="1" applyFont="1" applyFill="1" applyBorder="1" applyAlignment="1" applyProtection="1">
      <alignment horizontal="center"/>
      <protection locked="0"/>
    </xf>
    <xf numFmtId="5" fontId="11" fillId="70" borderId="62" xfId="185" applyNumberFormat="1" applyFont="1" applyFill="1" applyBorder="1" applyProtection="1"/>
    <xf numFmtId="0" fontId="11" fillId="70" borderId="7" xfId="185" applyFont="1" applyFill="1" applyBorder="1" applyAlignment="1" applyProtection="1">
      <alignment horizontal="center"/>
    </xf>
    <xf numFmtId="0" fontId="79" fillId="0" borderId="0" xfId="185" applyFont="1" applyBorder="1" applyProtection="1"/>
    <xf numFmtId="0" fontId="11" fillId="70" borderId="71" xfId="185" applyFont="1" applyFill="1" applyBorder="1" applyProtection="1"/>
    <xf numFmtId="0" fontId="11" fillId="70" borderId="0" xfId="185" applyFont="1" applyFill="1" applyBorder="1" applyProtection="1"/>
    <xf numFmtId="0" fontId="11" fillId="70" borderId="56" xfId="185" applyFont="1" applyFill="1" applyBorder="1" applyProtection="1"/>
    <xf numFmtId="0" fontId="11" fillId="70" borderId="54" xfId="185" applyFont="1" applyFill="1" applyBorder="1" applyProtection="1"/>
    <xf numFmtId="5" fontId="11" fillId="70" borderId="54" xfId="185" applyNumberFormat="1" applyFont="1" applyFill="1" applyBorder="1" applyProtection="1"/>
    <xf numFmtId="2" fontId="11" fillId="70" borderId="54" xfId="185" applyNumberFormat="1" applyFont="1" applyFill="1" applyBorder="1" applyProtection="1"/>
    <xf numFmtId="5" fontId="11" fillId="70" borderId="55" xfId="185" applyNumberFormat="1" applyFont="1" applyFill="1" applyBorder="1" applyProtection="1"/>
    <xf numFmtId="0" fontId="11" fillId="70" borderId="48" xfId="185" applyFont="1" applyFill="1" applyBorder="1" applyProtection="1"/>
    <xf numFmtId="185" fontId="11" fillId="70" borderId="47" xfId="185" applyNumberFormat="1" applyFont="1" applyFill="1" applyBorder="1" applyAlignment="1" applyProtection="1">
      <alignment horizontal="center"/>
    </xf>
    <xf numFmtId="5" fontId="11" fillId="70" borderId="47" xfId="185" applyNumberFormat="1" applyFont="1" applyFill="1" applyBorder="1" applyProtection="1"/>
    <xf numFmtId="0" fontId="11" fillId="70" borderId="47" xfId="185" applyFont="1" applyFill="1" applyBorder="1" applyProtection="1"/>
    <xf numFmtId="2" fontId="11" fillId="70" borderId="47" xfId="185" applyNumberFormat="1" applyFont="1" applyFill="1" applyBorder="1" applyProtection="1"/>
    <xf numFmtId="5" fontId="11" fillId="70" borderId="57" xfId="185" applyNumberFormat="1" applyFont="1" applyFill="1" applyBorder="1" applyProtection="1"/>
    <xf numFmtId="185" fontId="11" fillId="68" borderId="8" xfId="185" applyNumberFormat="1" applyFont="1" applyFill="1" applyBorder="1" applyAlignment="1" applyProtection="1">
      <alignment horizontal="center"/>
    </xf>
    <xf numFmtId="5" fontId="11" fillId="68" borderId="63" xfId="185" applyNumberFormat="1" applyFont="1" applyFill="1" applyBorder="1" applyProtection="1"/>
    <xf numFmtId="0" fontId="11" fillId="70" borderId="8" xfId="185" applyFont="1" applyFill="1" applyBorder="1" applyProtection="1"/>
    <xf numFmtId="5" fontId="11" fillId="0" borderId="1" xfId="185" applyNumberFormat="1" applyFont="1" applyFill="1" applyBorder="1" applyProtection="1"/>
    <xf numFmtId="185" fontId="11" fillId="68" borderId="7" xfId="185" applyNumberFormat="1" applyFont="1" applyFill="1" applyBorder="1" applyAlignment="1" applyProtection="1">
      <alignment horizontal="center"/>
    </xf>
    <xf numFmtId="2" fontId="11" fillId="2" borderId="4" xfId="185" applyNumberFormat="1" applyFont="1" applyFill="1" applyBorder="1" applyProtection="1">
      <protection locked="0"/>
    </xf>
    <xf numFmtId="5" fontId="11" fillId="0" borderId="4" xfId="185" applyNumberFormat="1" applyFont="1" applyFill="1" applyBorder="1" applyProtection="1"/>
    <xf numFmtId="2" fontId="11" fillId="71" borderId="72" xfId="185" applyNumberFormat="1" applyFont="1" applyFill="1" applyBorder="1" applyProtection="1"/>
    <xf numFmtId="5" fontId="11" fillId="71" borderId="62" xfId="185" applyNumberFormat="1" applyFont="1" applyFill="1" applyBorder="1" applyProtection="1"/>
    <xf numFmtId="5" fontId="11" fillId="70" borderId="73" xfId="185" applyNumberFormat="1" applyFont="1" applyFill="1" applyBorder="1" applyProtection="1"/>
    <xf numFmtId="0" fontId="11" fillId="70" borderId="8" xfId="185" applyFont="1" applyFill="1" applyBorder="1" applyAlignment="1" applyProtection="1">
      <alignment horizontal="center"/>
    </xf>
    <xf numFmtId="5" fontId="11" fillId="70" borderId="72" xfId="185" applyNumberFormat="1" applyFont="1" applyFill="1" applyBorder="1" applyProtection="1"/>
    <xf numFmtId="3" fontId="11" fillId="0" borderId="5" xfId="185" applyNumberFormat="1" applyFont="1" applyFill="1" applyBorder="1" applyProtection="1"/>
    <xf numFmtId="2" fontId="11" fillId="70" borderId="9" xfId="185" applyNumberFormat="1" applyFont="1" applyFill="1" applyBorder="1" applyProtection="1"/>
    <xf numFmtId="3" fontId="11" fillId="67" borderId="5" xfId="185" applyNumberFormat="1" applyFont="1" applyFill="1" applyBorder="1" applyProtection="1"/>
    <xf numFmtId="185" fontId="11" fillId="67" borderId="0" xfId="185" applyNumberFormat="1" applyFont="1" applyFill="1" applyBorder="1" applyAlignment="1" applyProtection="1">
      <alignment horizontal="center"/>
    </xf>
    <xf numFmtId="5" fontId="11" fillId="67" borderId="0" xfId="185" applyNumberFormat="1" applyFont="1" applyFill="1" applyBorder="1" applyProtection="1"/>
    <xf numFmtId="0" fontId="11" fillId="67" borderId="0" xfId="185" applyFont="1" applyFill="1" applyBorder="1" applyProtection="1"/>
    <xf numFmtId="5" fontId="11" fillId="67" borderId="0" xfId="185" applyNumberFormat="1" applyFont="1" applyFill="1" applyProtection="1"/>
    <xf numFmtId="2" fontId="11" fillId="67" borderId="0" xfId="185" applyNumberFormat="1" applyFont="1" applyFill="1" applyBorder="1" applyProtection="1"/>
    <xf numFmtId="5" fontId="11" fillId="67" borderId="72" xfId="185" applyNumberFormat="1" applyFont="1" applyFill="1" applyBorder="1" applyProtection="1"/>
    <xf numFmtId="5" fontId="11" fillId="67" borderId="74" xfId="185" applyNumberFormat="1" applyFont="1" applyFill="1" applyBorder="1" applyProtection="1"/>
    <xf numFmtId="185" fontId="11" fillId="70" borderId="0" xfId="185" applyNumberFormat="1" applyFont="1" applyFill="1" applyBorder="1" applyAlignment="1" applyProtection="1">
      <alignment horizontal="center"/>
    </xf>
    <xf numFmtId="2" fontId="11" fillId="2" borderId="67" xfId="185" applyNumberFormat="1" applyFont="1" applyFill="1" applyBorder="1" applyProtection="1">
      <protection locked="0"/>
    </xf>
    <xf numFmtId="2" fontId="11" fillId="70" borderId="72" xfId="185" applyNumberFormat="1" applyFont="1" applyFill="1" applyBorder="1" applyProtection="1"/>
    <xf numFmtId="185" fontId="11" fillId="70" borderId="8" xfId="185" applyNumberFormat="1" applyFont="1" applyFill="1" applyBorder="1" applyAlignment="1" applyProtection="1">
      <alignment horizontal="center"/>
    </xf>
    <xf numFmtId="5" fontId="11" fillId="70" borderId="60" xfId="185" applyNumberFormat="1" applyFont="1" applyFill="1" applyBorder="1" applyProtection="1"/>
    <xf numFmtId="185" fontId="11" fillId="70" borderId="7" xfId="185" applyNumberFormat="1" applyFont="1" applyFill="1" applyBorder="1" applyAlignment="1" applyProtection="1">
      <alignment horizontal="center"/>
    </xf>
    <xf numFmtId="2" fontId="11" fillId="70" borderId="74" xfId="185" applyNumberFormat="1" applyFont="1" applyFill="1" applyBorder="1" applyProtection="1"/>
    <xf numFmtId="5" fontId="11" fillId="70" borderId="101" xfId="185" applyNumberFormat="1" applyFont="1" applyFill="1" applyBorder="1" applyProtection="1"/>
    <xf numFmtId="3" fontId="11" fillId="0" borderId="2" xfId="185" applyNumberFormat="1" applyFont="1" applyFill="1" applyBorder="1" applyProtection="1"/>
    <xf numFmtId="0" fontId="11" fillId="70" borderId="104" xfId="185" applyFont="1" applyFill="1" applyBorder="1" applyAlignment="1" applyProtection="1">
      <alignment horizontal="center"/>
    </xf>
    <xf numFmtId="5" fontId="11" fillId="0" borderId="14" xfId="185" applyNumberFormat="1" applyFont="1" applyFill="1" applyBorder="1" applyProtection="1"/>
    <xf numFmtId="2" fontId="11" fillId="70" borderId="73" xfId="185" applyNumberFormat="1" applyFont="1" applyFill="1" applyBorder="1" applyProtection="1"/>
    <xf numFmtId="5" fontId="11" fillId="0" borderId="64" xfId="185" applyNumberFormat="1" applyFont="1" applyFill="1" applyBorder="1" applyProtection="1"/>
    <xf numFmtId="3" fontId="11" fillId="0" borderId="78" xfId="185" applyNumberFormat="1" applyFont="1" applyFill="1" applyBorder="1" applyProtection="1"/>
    <xf numFmtId="0" fontId="11" fillId="70" borderId="65" xfId="185" applyFont="1" applyFill="1" applyBorder="1" applyAlignment="1" applyProtection="1">
      <alignment horizontal="center"/>
    </xf>
    <xf numFmtId="0" fontId="11" fillId="70" borderId="61" xfId="185" applyFont="1" applyFill="1" applyBorder="1" applyProtection="1"/>
    <xf numFmtId="5" fontId="11" fillId="70" borderId="61" xfId="185" applyNumberFormat="1" applyFont="1" applyFill="1" applyBorder="1" applyProtection="1"/>
    <xf numFmtId="2" fontId="11" fillId="70" borderId="102" xfId="185" applyNumberFormat="1" applyFont="1" applyFill="1" applyBorder="1" applyProtection="1"/>
    <xf numFmtId="5" fontId="11" fillId="0" borderId="102" xfId="185" applyNumberFormat="1" applyFont="1" applyFill="1" applyBorder="1" applyProtection="1"/>
    <xf numFmtId="0" fontId="15" fillId="0" borderId="0" xfId="185" applyFont="1" applyFill="1" applyAlignment="1" applyProtection="1">
      <alignment horizontal="right"/>
    </xf>
    <xf numFmtId="184" fontId="15" fillId="0" borderId="0" xfId="185" applyNumberFormat="1" applyFont="1" applyFill="1" applyBorder="1" applyProtection="1"/>
    <xf numFmtId="3" fontId="11" fillId="0" borderId="0" xfId="185" applyNumberFormat="1" applyFont="1" applyFill="1" applyBorder="1" applyProtection="1"/>
    <xf numFmtId="0" fontId="11" fillId="0" borderId="0" xfId="185" applyFont="1" applyFill="1" applyBorder="1" applyAlignment="1" applyProtection="1">
      <alignment horizontal="center"/>
    </xf>
    <xf numFmtId="0" fontId="11" fillId="0" borderId="0" xfId="185" applyFont="1" applyFill="1" applyBorder="1" applyProtection="1"/>
    <xf numFmtId="2" fontId="11" fillId="0" borderId="0" xfId="185" applyNumberFormat="1" applyFont="1" applyFill="1" applyBorder="1" applyProtection="1"/>
    <xf numFmtId="0" fontId="79" fillId="0" borderId="0" xfId="185" applyFont="1" applyBorder="1" applyAlignment="1" applyProtection="1">
      <alignment horizontal="left"/>
    </xf>
    <xf numFmtId="0" fontId="79" fillId="0" borderId="1" xfId="185" applyFont="1" applyBorder="1" applyAlignment="1" applyProtection="1">
      <alignment horizontal="left"/>
    </xf>
    <xf numFmtId="184" fontId="11" fillId="0" borderId="1" xfId="185" applyNumberFormat="1" applyFont="1" applyBorder="1" applyProtection="1"/>
    <xf numFmtId="0" fontId="11" fillId="0" borderId="12" xfId="185" applyFont="1" applyBorder="1" applyAlignment="1" applyProtection="1">
      <alignment horizontal="center"/>
    </xf>
    <xf numFmtId="0" fontId="11" fillId="0" borderId="10" xfId="185" applyFont="1" applyBorder="1" applyAlignment="1" applyProtection="1">
      <alignment horizontal="center"/>
    </xf>
    <xf numFmtId="0" fontId="11" fillId="0" borderId="47" xfId="185" applyFont="1" applyBorder="1" applyProtection="1"/>
    <xf numFmtId="184" fontId="11" fillId="0" borderId="47" xfId="185" applyNumberFormat="1" applyFont="1" applyBorder="1" applyProtection="1"/>
    <xf numFmtId="0" fontId="11" fillId="0" borderId="48" xfId="185" applyFont="1" applyBorder="1" applyProtection="1"/>
    <xf numFmtId="185" fontId="11" fillId="0" borderId="47" xfId="185" applyNumberFormat="1" applyFont="1" applyBorder="1" applyAlignment="1" applyProtection="1">
      <alignment horizontal="center"/>
    </xf>
    <xf numFmtId="2" fontId="11" fillId="0" borderId="47" xfId="185" applyNumberFormat="1" applyFont="1" applyBorder="1" applyProtection="1"/>
    <xf numFmtId="7" fontId="11" fillId="0" borderId="57" xfId="185" applyNumberFormat="1" applyFont="1" applyBorder="1" applyProtection="1"/>
    <xf numFmtId="3" fontId="11" fillId="2" borderId="63" xfId="185" applyNumberFormat="1" applyFont="1" applyFill="1" applyBorder="1" applyProtection="1">
      <protection locked="0"/>
    </xf>
    <xf numFmtId="185" fontId="11" fillId="0" borderId="8" xfId="185" applyNumberFormat="1" applyFont="1" applyFill="1" applyBorder="1" applyAlignment="1" applyProtection="1">
      <alignment horizontal="center"/>
    </xf>
    <xf numFmtId="0" fontId="24" fillId="0" borderId="0" xfId="185" applyFont="1" applyFill="1" applyProtection="1"/>
    <xf numFmtId="5" fontId="11" fillId="70" borderId="59" xfId="185" applyNumberFormat="1" applyFont="1" applyFill="1" applyBorder="1" applyProtection="1"/>
    <xf numFmtId="0" fontId="11" fillId="70" borderId="103" xfId="185" applyFont="1" applyFill="1" applyBorder="1" applyProtection="1"/>
    <xf numFmtId="185" fontId="11" fillId="70" borderId="0" xfId="185" applyNumberFormat="1" applyFont="1" applyFill="1" applyAlignment="1" applyProtection="1">
      <alignment horizontal="center"/>
    </xf>
    <xf numFmtId="7" fontId="11" fillId="70" borderId="9" xfId="185" applyNumberFormat="1" applyFont="1" applyFill="1" applyBorder="1" applyProtection="1"/>
    <xf numFmtId="185" fontId="11" fillId="0" borderId="0" xfId="185" applyNumberFormat="1" applyFont="1" applyFill="1" applyAlignment="1" applyProtection="1">
      <alignment horizontal="center"/>
    </xf>
    <xf numFmtId="2" fontId="11" fillId="70" borderId="62" xfId="185" applyNumberFormat="1" applyFont="1" applyFill="1" applyBorder="1" applyProtection="1"/>
    <xf numFmtId="3" fontId="11" fillId="70" borderId="5" xfId="185" applyNumberFormat="1" applyFont="1" applyFill="1" applyBorder="1" applyProtection="1"/>
    <xf numFmtId="5" fontId="11" fillId="70" borderId="6" xfId="185" applyNumberFormat="1" applyFont="1" applyFill="1" applyBorder="1" applyProtection="1"/>
    <xf numFmtId="3" fontId="11" fillId="70" borderId="103" xfId="185" applyNumberFormat="1" applyFont="1" applyFill="1" applyBorder="1" applyProtection="1"/>
    <xf numFmtId="3" fontId="11" fillId="2" borderId="65" xfId="185" applyNumberFormat="1" applyFont="1" applyFill="1" applyBorder="1" applyProtection="1">
      <protection locked="0"/>
    </xf>
    <xf numFmtId="5" fontId="11" fillId="70" borderId="61" xfId="185" applyNumberFormat="1" applyFont="1" applyFill="1" applyBorder="1" applyAlignment="1" applyProtection="1">
      <alignment horizontal="center"/>
    </xf>
    <xf numFmtId="5" fontId="11" fillId="70" borderId="55" xfId="185" applyNumberFormat="1" applyFont="1" applyFill="1" applyBorder="1" applyAlignment="1" applyProtection="1">
      <alignment horizontal="center"/>
    </xf>
    <xf numFmtId="5" fontId="11" fillId="2" borderId="12" xfId="185" applyNumberFormat="1" applyFont="1" applyFill="1" applyBorder="1" applyProtection="1">
      <protection locked="0"/>
    </xf>
    <xf numFmtId="5" fontId="11" fillId="0" borderId="49" xfId="185" applyNumberFormat="1" applyFont="1" applyFill="1" applyBorder="1" applyProtection="1"/>
    <xf numFmtId="7" fontId="11" fillId="70" borderId="48" xfId="185" applyNumberFormat="1" applyFont="1" applyFill="1" applyBorder="1" applyProtection="1"/>
    <xf numFmtId="7" fontId="11" fillId="70" borderId="47" xfId="185" applyNumberFormat="1" applyFont="1" applyFill="1" applyBorder="1" applyProtection="1"/>
    <xf numFmtId="7" fontId="11" fillId="70" borderId="57" xfId="185" applyNumberFormat="1" applyFont="1" applyFill="1" applyBorder="1" applyProtection="1"/>
    <xf numFmtId="5" fontId="11" fillId="67" borderId="103" xfId="185" applyNumberFormat="1" applyFont="1" applyFill="1" applyBorder="1" applyProtection="1"/>
    <xf numFmtId="7" fontId="11" fillId="67" borderId="0" xfId="185" applyNumberFormat="1" applyFont="1" applyFill="1" applyBorder="1" applyProtection="1"/>
    <xf numFmtId="5" fontId="11" fillId="67" borderId="9" xfId="185" applyNumberFormat="1" applyFont="1" applyFill="1" applyBorder="1" applyProtection="1"/>
    <xf numFmtId="7" fontId="11" fillId="70" borderId="65" xfId="185" applyNumberFormat="1" applyFont="1" applyFill="1" applyBorder="1" applyAlignment="1" applyProtection="1">
      <alignment horizontal="center"/>
    </xf>
    <xf numFmtId="7" fontId="11" fillId="70" borderId="54" xfId="185" applyNumberFormat="1" applyFont="1" applyFill="1" applyBorder="1" applyProtection="1"/>
    <xf numFmtId="5" fontId="11" fillId="0" borderId="55" xfId="185" applyNumberFormat="1" applyFont="1" applyFill="1" applyBorder="1" applyProtection="1"/>
    <xf numFmtId="7" fontId="11" fillId="70" borderId="0" xfId="185" applyNumberFormat="1" applyFont="1" applyFill="1" applyProtection="1"/>
    <xf numFmtId="5" fontId="11" fillId="0" borderId="0" xfId="185" applyNumberFormat="1" applyFont="1" applyProtection="1"/>
    <xf numFmtId="184" fontId="24" fillId="0" borderId="0" xfId="185" applyNumberFormat="1" applyFont="1" applyProtection="1"/>
    <xf numFmtId="0" fontId="11" fillId="0" borderId="0" xfId="186" applyFont="1" applyFill="1" applyProtection="1"/>
    <xf numFmtId="0" fontId="22" fillId="0" borderId="0" xfId="186" applyFont="1" applyFill="1" applyProtection="1"/>
    <xf numFmtId="0" fontId="11" fillId="0" borderId="0" xfId="186" applyFont="1" applyFill="1" applyProtection="1">
      <protection locked="0"/>
    </xf>
    <xf numFmtId="0" fontId="22" fillId="0" borderId="0" xfId="186" applyFont="1" applyFill="1" applyProtection="1">
      <protection locked="0"/>
    </xf>
    <xf numFmtId="170" fontId="11" fillId="0" borderId="0" xfId="186" applyNumberFormat="1" applyFont="1" applyFill="1" applyAlignment="1" applyProtection="1">
      <alignment horizontal="left"/>
    </xf>
    <xf numFmtId="0" fontId="11" fillId="0" borderId="0" xfId="186" applyFont="1" applyFill="1" applyAlignment="1" applyProtection="1">
      <alignment horizontal="centerContinuous"/>
    </xf>
    <xf numFmtId="0" fontId="15" fillId="0" borderId="0" xfId="186" applyFont="1" applyFill="1" applyAlignment="1" applyProtection="1">
      <alignment horizontal="right"/>
    </xf>
    <xf numFmtId="164" fontId="15" fillId="0" borderId="0" xfId="186" applyNumberFormat="1" applyFont="1" applyFill="1" applyBorder="1" applyAlignment="1" applyProtection="1">
      <alignment horizontal="center"/>
    </xf>
    <xf numFmtId="0" fontId="15" fillId="0" borderId="0" xfId="186" applyFont="1" applyFill="1" applyAlignment="1" applyProtection="1">
      <alignment horizontal="centerContinuous"/>
    </xf>
    <xf numFmtId="0" fontId="22" fillId="0" borderId="0" xfId="186" applyFont="1" applyFill="1" applyAlignment="1" applyProtection="1">
      <alignment horizontal="centerContinuous"/>
    </xf>
    <xf numFmtId="0" fontId="11" fillId="0" borderId="0" xfId="186" applyFont="1" applyFill="1" applyAlignment="1" applyProtection="1">
      <alignment horizontal="left"/>
    </xf>
    <xf numFmtId="171" fontId="11" fillId="0" borderId="0" xfId="186" applyNumberFormat="1" applyFont="1" applyFill="1" applyAlignment="1" applyProtection="1">
      <alignment horizontal="center"/>
    </xf>
    <xf numFmtId="0" fontId="11" fillId="0" borderId="0" xfId="186" applyFont="1" applyFill="1" applyAlignment="1" applyProtection="1">
      <alignment horizontal="center"/>
    </xf>
    <xf numFmtId="0" fontId="22" fillId="0" borderId="0" xfId="186" applyFont="1" applyFill="1" applyBorder="1" applyProtection="1"/>
    <xf numFmtId="0" fontId="11" fillId="0" borderId="0" xfId="186" applyFont="1" applyFill="1" applyBorder="1" applyAlignment="1" applyProtection="1">
      <alignment horizontal="center"/>
    </xf>
    <xf numFmtId="184" fontId="11" fillId="0" borderId="0" xfId="186" applyNumberFormat="1" applyFont="1" applyFill="1" applyAlignment="1" applyProtection="1">
      <alignment horizontal="left"/>
    </xf>
    <xf numFmtId="10" fontId="11" fillId="22" borderId="1" xfId="186" applyNumberFormat="1" applyFont="1" applyFill="1" applyBorder="1" applyAlignment="1" applyProtection="1">
      <alignment horizontal="center"/>
    </xf>
    <xf numFmtId="5" fontId="11" fillId="0" borderId="0" xfId="186" applyNumberFormat="1" applyFont="1" applyFill="1" applyBorder="1" applyProtection="1"/>
    <xf numFmtId="10" fontId="11" fillId="0" borderId="1" xfId="186" applyNumberFormat="1" applyFont="1" applyFill="1" applyBorder="1" applyProtection="1"/>
    <xf numFmtId="5" fontId="11" fillId="0" borderId="1" xfId="186" applyNumberFormat="1" applyFont="1" applyFill="1" applyBorder="1" applyProtection="1"/>
    <xf numFmtId="0" fontId="11" fillId="0" borderId="0" xfId="186" applyFont="1" applyFill="1" applyBorder="1" applyProtection="1"/>
    <xf numFmtId="10" fontId="11" fillId="0" borderId="0" xfId="186" applyNumberFormat="1" applyFont="1" applyFill="1" applyBorder="1" applyProtection="1"/>
    <xf numFmtId="5" fontId="11" fillId="0" borderId="29" xfId="186" applyNumberFormat="1" applyFont="1" applyFill="1" applyBorder="1" applyProtection="1"/>
    <xf numFmtId="10" fontId="11" fillId="0" borderId="29" xfId="186" applyNumberFormat="1" applyFont="1" applyFill="1" applyBorder="1" applyProtection="1"/>
    <xf numFmtId="5" fontId="11" fillId="0" borderId="29" xfId="186" applyNumberFormat="1" applyFont="1" applyFill="1" applyBorder="1" applyAlignment="1" applyProtection="1">
      <alignment horizontal="right"/>
    </xf>
    <xf numFmtId="5" fontId="11" fillId="0" borderId="0" xfId="186" applyNumberFormat="1" applyFont="1" applyFill="1" applyProtection="1"/>
    <xf numFmtId="0" fontId="15" fillId="0" borderId="0" xfId="186" applyFont="1" applyFill="1" applyAlignment="1" applyProtection="1">
      <alignment horizontal="left"/>
    </xf>
    <xf numFmtId="0" fontId="15" fillId="0" borderId="0" xfId="186" applyFont="1" applyFill="1" applyProtection="1"/>
    <xf numFmtId="0" fontId="15" fillId="0" borderId="0" xfId="186" applyFont="1" applyFill="1" applyAlignment="1" applyProtection="1">
      <alignment horizontal="center"/>
    </xf>
    <xf numFmtId="5" fontId="11" fillId="0" borderId="0" xfId="186" applyNumberFormat="1" applyFont="1" applyFill="1" applyBorder="1" applyAlignment="1" applyProtection="1">
      <alignment horizontal="right"/>
    </xf>
    <xf numFmtId="168" fontId="11" fillId="0" borderId="0" xfId="186" applyNumberFormat="1" applyFont="1" applyFill="1" applyBorder="1" applyProtection="1"/>
    <xf numFmtId="0" fontId="15" fillId="0" borderId="0" xfId="186" applyFont="1" applyFill="1" applyAlignment="1" applyProtection="1"/>
    <xf numFmtId="170" fontId="11" fillId="0" borderId="0" xfId="185" applyNumberFormat="1" applyFont="1" applyAlignment="1" applyProtection="1"/>
    <xf numFmtId="0" fontId="72" fillId="0" borderId="0" xfId="186" applyFont="1" applyFill="1" applyProtection="1"/>
    <xf numFmtId="0" fontId="15" fillId="0" borderId="0" xfId="187" applyFont="1" applyFill="1" applyAlignment="1" applyProtection="1">
      <alignment horizontal="right"/>
    </xf>
    <xf numFmtId="0" fontId="15" fillId="0" borderId="0" xfId="187" applyFont="1" applyFill="1" applyProtection="1"/>
    <xf numFmtId="0" fontId="11" fillId="0" borderId="0" xfId="187" applyFont="1" applyFill="1" applyBorder="1" applyAlignment="1" applyProtection="1">
      <alignment horizontal="right"/>
    </xf>
    <xf numFmtId="0" fontId="24" fillId="0" borderId="0" xfId="187" applyFont="1" applyFill="1" applyProtection="1"/>
    <xf numFmtId="0" fontId="24" fillId="0" borderId="0" xfId="187" applyFont="1" applyFill="1" applyProtection="1">
      <protection locked="0"/>
    </xf>
    <xf numFmtId="164" fontId="11" fillId="0" borderId="0" xfId="187" applyNumberFormat="1" applyFont="1" applyFill="1" applyBorder="1" applyAlignment="1" applyProtection="1">
      <alignment horizontal="left"/>
    </xf>
    <xf numFmtId="0" fontId="15" fillId="0" borderId="0" xfId="187" applyFont="1" applyFill="1" applyAlignment="1" applyProtection="1">
      <alignment horizontal="centerContinuous"/>
    </xf>
    <xf numFmtId="0" fontId="11" fillId="0" borderId="0" xfId="187" applyFont="1" applyFill="1" applyAlignment="1" applyProtection="1">
      <alignment horizontal="centerContinuous"/>
    </xf>
    <xf numFmtId="0" fontId="15" fillId="0" borderId="0" xfId="187" applyFont="1" applyFill="1" applyAlignment="1" applyProtection="1">
      <alignment horizontal="centerContinuous" vertical="top"/>
    </xf>
    <xf numFmtId="5" fontId="11" fillId="0" borderId="0" xfId="187" applyNumberFormat="1" applyFont="1" applyFill="1" applyAlignment="1" applyProtection="1">
      <alignment horizontal="right"/>
    </xf>
    <xf numFmtId="0" fontId="11" fillId="2" borderId="1" xfId="187" applyFont="1" applyFill="1" applyBorder="1" applyProtection="1">
      <protection locked="0"/>
    </xf>
    <xf numFmtId="5" fontId="11" fillId="0" borderId="1" xfId="187" applyNumberFormat="1" applyFont="1" applyFill="1" applyBorder="1" applyAlignment="1" applyProtection="1">
      <alignment horizontal="right"/>
    </xf>
    <xf numFmtId="0" fontId="11" fillId="0" borderId="0" xfId="187" applyFont="1" applyFill="1" applyAlignment="1" applyProtection="1">
      <alignment horizontal="right"/>
    </xf>
    <xf numFmtId="168" fontId="11" fillId="0" borderId="1" xfId="187" applyNumberFormat="1" applyFont="1" applyFill="1" applyBorder="1" applyAlignment="1" applyProtection="1">
      <alignment horizontal="right"/>
    </xf>
    <xf numFmtId="0" fontId="73" fillId="0" borderId="0" xfId="187" applyFont="1" applyFill="1" applyProtection="1"/>
    <xf numFmtId="0" fontId="24" fillId="0" borderId="0" xfId="187" applyFont="1" applyFill="1" applyAlignment="1" applyProtection="1">
      <alignment horizontal="right"/>
    </xf>
    <xf numFmtId="2" fontId="11" fillId="2" borderId="1" xfId="187" applyNumberFormat="1" applyFont="1" applyFill="1" applyBorder="1" applyProtection="1">
      <protection locked="0"/>
    </xf>
    <xf numFmtId="0" fontId="11" fillId="0" borderId="0" xfId="187" quotePrefix="1" applyFont="1" applyFill="1" applyProtection="1"/>
    <xf numFmtId="3" fontId="11" fillId="11" borderId="1" xfId="187" applyNumberFormat="1" applyFont="1" applyFill="1" applyBorder="1" applyAlignment="1" applyProtection="1">
      <alignment horizontal="right"/>
      <protection locked="0"/>
    </xf>
    <xf numFmtId="3" fontId="11" fillId="0" borderId="1" xfId="187" applyNumberFormat="1" applyFont="1" applyFill="1" applyBorder="1" applyAlignment="1" applyProtection="1">
      <alignment horizontal="right"/>
    </xf>
    <xf numFmtId="0" fontId="72" fillId="0" borderId="0" xfId="187" applyFont="1" applyFill="1" applyProtection="1"/>
    <xf numFmtId="0" fontId="72" fillId="0" borderId="0" xfId="187" applyFont="1" applyFill="1" applyBorder="1" applyAlignment="1" applyProtection="1">
      <alignment horizontal="right"/>
    </xf>
    <xf numFmtId="0" fontId="72" fillId="0" borderId="0" xfId="187" applyFont="1" applyFill="1" applyBorder="1" applyProtection="1"/>
    <xf numFmtId="0" fontId="11" fillId="0" borderId="0" xfId="187" applyFont="1" applyFill="1" applyBorder="1" applyProtection="1"/>
    <xf numFmtId="0" fontId="72" fillId="0" borderId="0" xfId="187" quotePrefix="1" applyFont="1" applyFill="1" applyBorder="1" applyProtection="1"/>
    <xf numFmtId="0" fontId="11" fillId="0" borderId="0" xfId="188" applyFont="1" applyFill="1" applyProtection="1"/>
    <xf numFmtId="0" fontId="15" fillId="0" borderId="0" xfId="188" applyFont="1" applyFill="1" applyAlignment="1" applyProtection="1">
      <alignment horizontal="right"/>
    </xf>
    <xf numFmtId="0" fontId="15" fillId="0" borderId="0" xfId="188" applyFont="1" applyFill="1" applyProtection="1"/>
    <xf numFmtId="164" fontId="11" fillId="0" borderId="0" xfId="188" applyNumberFormat="1" applyFont="1" applyFill="1" applyBorder="1" applyAlignment="1" applyProtection="1">
      <alignment horizontal="right"/>
    </xf>
    <xf numFmtId="170" fontId="11" fillId="0" borderId="0" xfId="188" applyNumberFormat="1" applyFont="1" applyFill="1" applyAlignment="1" applyProtection="1">
      <alignment horizontal="left"/>
    </xf>
    <xf numFmtId="0" fontId="15" fillId="0" borderId="0" xfId="188" applyFont="1" applyFill="1" applyAlignment="1" applyProtection="1">
      <alignment horizontal="centerContinuous"/>
    </xf>
    <xf numFmtId="0" fontId="11" fillId="0" borderId="0" xfId="188" applyFont="1" applyFill="1" applyAlignment="1" applyProtection="1">
      <alignment horizontal="centerContinuous"/>
    </xf>
    <xf numFmtId="3" fontId="11" fillId="0" borderId="0" xfId="0" applyNumberFormat="1" applyFont="1" applyFill="1" applyProtection="1"/>
    <xf numFmtId="3" fontId="11" fillId="0" borderId="1" xfId="0" applyNumberFormat="1" applyFont="1" applyBorder="1" applyProtection="1"/>
    <xf numFmtId="173" fontId="11" fillId="0" borderId="1" xfId="0" applyNumberFormat="1" applyFont="1" applyFill="1" applyBorder="1" applyProtection="1"/>
    <xf numFmtId="168" fontId="11" fillId="11" borderId="1" xfId="0" applyNumberFormat="1" applyFont="1" applyFill="1" applyBorder="1" applyAlignment="1" applyProtection="1">
      <alignment horizontal="right"/>
      <protection locked="0"/>
    </xf>
    <xf numFmtId="0" fontId="11" fillId="0" borderId="46" xfId="0" applyFont="1" applyBorder="1" applyProtection="1"/>
    <xf numFmtId="164" fontId="11" fillId="0" borderId="0" xfId="0" applyNumberFormat="1" applyFont="1" applyAlignment="1" applyProtection="1">
      <alignment horizontal="right"/>
    </xf>
    <xf numFmtId="170" fontId="11" fillId="0" borderId="0" xfId="188" applyNumberFormat="1" applyFont="1" applyFill="1" applyAlignment="1" applyProtection="1">
      <alignment horizontal="right"/>
    </xf>
    <xf numFmtId="0" fontId="11" fillId="0" borderId="0" xfId="188" applyFont="1" applyFill="1" applyProtection="1">
      <protection locked="0"/>
    </xf>
    <xf numFmtId="0" fontId="11" fillId="0" borderId="0" xfId="187" applyFont="1" applyFill="1" applyAlignment="1" applyProtection="1">
      <alignment horizontal="left"/>
    </xf>
    <xf numFmtId="0" fontId="11" fillId="0" borderId="0" xfId="188" applyFont="1" applyFill="1" applyAlignment="1" applyProtection="1">
      <alignment horizontal="right"/>
    </xf>
    <xf numFmtId="0" fontId="72" fillId="0" borderId="0" xfId="188" applyFont="1" applyFill="1" applyProtection="1"/>
    <xf numFmtId="0" fontId="11" fillId="0" borderId="0" xfId="188" applyFont="1" applyFill="1" applyAlignment="1" applyProtection="1">
      <alignment horizontal="center"/>
    </xf>
    <xf numFmtId="5" fontId="11" fillId="2" borderId="1" xfId="188" applyNumberFormat="1" applyFont="1" applyFill="1" applyBorder="1" applyAlignment="1" applyProtection="1">
      <alignment horizontal="right"/>
      <protection locked="0"/>
    </xf>
    <xf numFmtId="5" fontId="11" fillId="0" borderId="0" xfId="188" applyNumberFormat="1" applyFont="1" applyFill="1" applyBorder="1" applyAlignment="1" applyProtection="1">
      <alignment horizontal="right"/>
    </xf>
    <xf numFmtId="5" fontId="11" fillId="0" borderId="0" xfId="188" applyNumberFormat="1" applyFont="1" applyFill="1" applyAlignment="1" applyProtection="1">
      <alignment horizontal="right"/>
    </xf>
    <xf numFmtId="173" fontId="11" fillId="0" borderId="1" xfId="188" applyNumberFormat="1" applyFont="1" applyFill="1" applyBorder="1" applyProtection="1"/>
    <xf numFmtId="5" fontId="11" fillId="0" borderId="1" xfId="188" applyNumberFormat="1" applyFont="1" applyFill="1" applyBorder="1" applyAlignment="1" applyProtection="1">
      <alignment horizontal="right"/>
    </xf>
    <xf numFmtId="0" fontId="73" fillId="0" borderId="0" xfId="188" applyFont="1" applyFill="1" applyProtection="1"/>
    <xf numFmtId="0" fontId="11" fillId="0" borderId="0" xfId="188" applyFont="1" applyFill="1" applyBorder="1" applyProtection="1"/>
    <xf numFmtId="0" fontId="11" fillId="0" borderId="0" xfId="188" applyFont="1" applyFill="1" applyBorder="1" applyAlignment="1" applyProtection="1">
      <alignment horizontal="right"/>
    </xf>
    <xf numFmtId="0" fontId="11" fillId="0" borderId="50" xfId="188" applyFont="1" applyFill="1" applyBorder="1" applyProtection="1"/>
    <xf numFmtId="0" fontId="11" fillId="0" borderId="50" xfId="188" applyFont="1" applyFill="1" applyBorder="1" applyAlignment="1" applyProtection="1">
      <alignment horizontal="right"/>
    </xf>
    <xf numFmtId="164" fontId="11" fillId="0" borderId="50" xfId="188" applyNumberFormat="1" applyFont="1" applyFill="1" applyBorder="1" applyAlignment="1" applyProtection="1">
      <alignment horizontal="right"/>
    </xf>
    <xf numFmtId="0" fontId="11" fillId="0" borderId="0" xfId="188" applyFont="1" applyFill="1" applyAlignment="1" applyProtection="1">
      <alignment vertical="top"/>
    </xf>
    <xf numFmtId="0" fontId="81" fillId="0" borderId="0" xfId="188" applyFont="1" applyFill="1" applyProtection="1"/>
    <xf numFmtId="0" fontId="11" fillId="0" borderId="0" xfId="189" applyFont="1" applyFill="1" applyProtection="1"/>
    <xf numFmtId="0" fontId="11" fillId="0" borderId="0" xfId="188" applyFont="1" applyFill="1" applyBorder="1" applyAlignment="1" applyProtection="1">
      <alignment horizontal="centerContinuous"/>
    </xf>
    <xf numFmtId="0" fontId="15" fillId="0" borderId="0" xfId="188" applyFont="1" applyFill="1" applyBorder="1" applyAlignment="1" applyProtection="1">
      <alignment horizontal="right"/>
    </xf>
    <xf numFmtId="0" fontId="11" fillId="0" borderId="0" xfId="188" applyFont="1" applyFill="1" applyAlignment="1" applyProtection="1">
      <alignment horizontal="center" vertical="top"/>
    </xf>
    <xf numFmtId="0" fontId="11" fillId="0" borderId="0" xfId="188" applyFont="1" applyFill="1" applyAlignment="1" applyProtection="1">
      <alignment horizontal="right" vertical="top"/>
    </xf>
    <xf numFmtId="0" fontId="11" fillId="0" borderId="0" xfId="188" applyFont="1" applyFill="1" applyAlignment="1" applyProtection="1"/>
    <xf numFmtId="0" fontId="11" fillId="0" borderId="0" xfId="188" quotePrefix="1" applyFont="1" applyFill="1" applyAlignment="1" applyProtection="1">
      <alignment horizontal="center"/>
    </xf>
    <xf numFmtId="1" fontId="11" fillId="0" borderId="1" xfId="193" applyNumberFormat="1" applyFont="1" applyFill="1" applyBorder="1" applyAlignment="1" applyProtection="1">
      <alignment horizontal="right"/>
    </xf>
    <xf numFmtId="0" fontId="11" fillId="0" borderId="0" xfId="188" quotePrefix="1" applyFont="1" applyFill="1" applyAlignment="1" applyProtection="1">
      <alignment horizontal="right"/>
    </xf>
    <xf numFmtId="9" fontId="11" fillId="0" borderId="0" xfId="193" applyFont="1" applyFill="1" applyProtection="1"/>
    <xf numFmtId="0" fontId="11" fillId="0" borderId="0" xfId="188" applyFont="1" applyFill="1" applyAlignment="1" applyProtection="1">
      <alignment horizontal="left"/>
    </xf>
    <xf numFmtId="0" fontId="11" fillId="0" borderId="0" xfId="176" applyFont="1" applyAlignment="1" applyProtection="1">
      <alignment horizontal="center"/>
    </xf>
    <xf numFmtId="0" fontId="11" fillId="13" borderId="0" xfId="176" applyFont="1" applyFill="1" applyAlignment="1" applyProtection="1">
      <alignment horizontal="center"/>
    </xf>
    <xf numFmtId="173" fontId="11" fillId="13" borderId="0" xfId="176" applyNumberFormat="1" applyFont="1" applyFill="1" applyProtection="1"/>
    <xf numFmtId="2" fontId="11" fillId="13" borderId="0" xfId="176" applyNumberFormat="1" applyFont="1" applyFill="1" applyProtection="1"/>
    <xf numFmtId="0" fontId="11" fillId="21" borderId="0" xfId="176" applyFont="1" applyFill="1" applyAlignment="1" applyProtection="1">
      <alignment horizontal="center"/>
    </xf>
    <xf numFmtId="173" fontId="11" fillId="21" borderId="0" xfId="176" applyNumberFormat="1" applyFont="1" applyFill="1" applyProtection="1"/>
    <xf numFmtId="2" fontId="11" fillId="21" borderId="0" xfId="176" applyNumberFormat="1" applyFont="1" applyFill="1" applyProtection="1"/>
    <xf numFmtId="0" fontId="20" fillId="0" borderId="0" xfId="188" applyFont="1" applyFill="1" applyProtection="1"/>
    <xf numFmtId="185" fontId="20" fillId="0" borderId="0" xfId="188" applyNumberFormat="1" applyFont="1" applyFill="1" applyProtection="1"/>
    <xf numFmtId="186" fontId="20" fillId="0" borderId="0" xfId="188" applyNumberFormat="1" applyFont="1" applyFill="1" applyProtection="1"/>
    <xf numFmtId="0" fontId="15" fillId="0" borderId="0" xfId="189" applyFont="1" applyFill="1" applyAlignment="1" applyProtection="1">
      <alignment horizontal="right"/>
    </xf>
    <xf numFmtId="164" fontId="11" fillId="0" borderId="0" xfId="189" applyNumberFormat="1" applyFont="1" applyFill="1" applyBorder="1" applyAlignment="1" applyProtection="1">
      <alignment horizontal="right"/>
    </xf>
    <xf numFmtId="0" fontId="11" fillId="0" borderId="0" xfId="189" applyFont="1" applyFill="1"/>
    <xf numFmtId="0" fontId="11" fillId="0" borderId="0" xfId="189" applyFont="1" applyFill="1" applyAlignment="1" applyProtection="1">
      <alignment horizontal="right"/>
    </xf>
    <xf numFmtId="0" fontId="11" fillId="0" borderId="0" xfId="189" applyFont="1" applyFill="1" applyAlignment="1" applyProtection="1">
      <alignment horizontal="centerContinuous"/>
    </xf>
    <xf numFmtId="1" fontId="11" fillId="0" borderId="0" xfId="189" applyNumberFormat="1" applyFont="1" applyFill="1" applyBorder="1" applyAlignment="1" applyProtection="1">
      <alignment horizontal="right"/>
    </xf>
    <xf numFmtId="0" fontId="11" fillId="0" borderId="0" xfId="189" applyFont="1" applyFill="1" applyProtection="1">
      <protection locked="0"/>
    </xf>
    <xf numFmtId="0" fontId="72" fillId="0" borderId="0" xfId="189" applyFont="1" applyFill="1" applyProtection="1"/>
    <xf numFmtId="5" fontId="11" fillId="2" borderId="1" xfId="189" applyNumberFormat="1" applyFont="1" applyFill="1" applyBorder="1" applyAlignment="1" applyProtection="1">
      <alignment horizontal="right"/>
      <protection locked="0"/>
    </xf>
    <xf numFmtId="5" fontId="11" fillId="0" borderId="0" xfId="189" applyNumberFormat="1" applyFont="1" applyFill="1" applyBorder="1" applyAlignment="1" applyProtection="1">
      <alignment horizontal="right"/>
    </xf>
    <xf numFmtId="173" fontId="11" fillId="0" borderId="1" xfId="189" applyNumberFormat="1" applyFont="1" applyFill="1" applyBorder="1" applyProtection="1"/>
    <xf numFmtId="5" fontId="11" fillId="0" borderId="1" xfId="189" applyNumberFormat="1" applyFont="1" applyFill="1" applyBorder="1" applyProtection="1"/>
    <xf numFmtId="0" fontId="227" fillId="0" borderId="0" xfId="189" applyFont="1" applyFill="1" applyProtection="1"/>
    <xf numFmtId="5" fontId="11" fillId="2" borderId="1" xfId="189" applyNumberFormat="1" applyFont="1" applyFill="1" applyBorder="1" applyProtection="1">
      <protection locked="0"/>
    </xf>
    <xf numFmtId="5" fontId="11" fillId="0" borderId="0" xfId="189" applyNumberFormat="1" applyFont="1" applyFill="1" applyBorder="1" applyProtection="1"/>
    <xf numFmtId="0" fontId="11" fillId="0" borderId="50" xfId="188" applyFont="1" applyFill="1" applyBorder="1" applyAlignment="1" applyProtection="1">
      <alignment horizontal="left"/>
    </xf>
    <xf numFmtId="0" fontId="11" fillId="0" borderId="50" xfId="189" applyFont="1" applyFill="1" applyBorder="1" applyAlignment="1" applyProtection="1">
      <alignment horizontal="centerContinuous"/>
    </xf>
    <xf numFmtId="0" fontId="11" fillId="0" borderId="50" xfId="189" applyFont="1" applyFill="1" applyBorder="1" applyAlignment="1" applyProtection="1">
      <alignment horizontal="right"/>
    </xf>
    <xf numFmtId="1" fontId="11" fillId="0" borderId="50" xfId="189" applyNumberFormat="1" applyFont="1" applyFill="1" applyBorder="1" applyAlignment="1" applyProtection="1">
      <alignment horizontal="right"/>
    </xf>
    <xf numFmtId="0" fontId="11" fillId="0" borderId="0" xfId="188" applyFont="1" applyFill="1" applyBorder="1" applyAlignment="1" applyProtection="1">
      <alignment horizontal="left"/>
    </xf>
    <xf numFmtId="0" fontId="81" fillId="0" borderId="0" xfId="189" applyFont="1" applyFill="1" applyProtection="1"/>
    <xf numFmtId="0" fontId="11" fillId="0" borderId="50" xfId="189" applyFont="1" applyFill="1" applyBorder="1" applyProtection="1"/>
    <xf numFmtId="164" fontId="11" fillId="0" borderId="50" xfId="189" applyNumberFormat="1" applyFont="1" applyFill="1" applyBorder="1" applyAlignment="1" applyProtection="1">
      <alignment horizontal="right"/>
    </xf>
    <xf numFmtId="0" fontId="11" fillId="0" borderId="0" xfId="189" applyFont="1" applyFill="1" applyBorder="1" applyProtection="1"/>
    <xf numFmtId="0" fontId="20" fillId="0" borderId="0" xfId="189" applyFont="1" applyFill="1" applyBorder="1" applyProtection="1"/>
    <xf numFmtId="0" fontId="72" fillId="0" borderId="0" xfId="189" applyFont="1" applyFill="1" applyBorder="1" applyProtection="1"/>
    <xf numFmtId="0" fontId="11" fillId="0" borderId="0" xfId="189" applyFont="1" applyFill="1" applyAlignment="1" applyProtection="1">
      <alignment horizontal="center"/>
    </xf>
    <xf numFmtId="0" fontId="11" fillId="0" borderId="0" xfId="189" quotePrefix="1" applyFont="1" applyFill="1" applyProtection="1"/>
    <xf numFmtId="0" fontId="11" fillId="0" borderId="0" xfId="189" quotePrefix="1" applyFont="1" applyFill="1" applyAlignment="1" applyProtection="1">
      <alignment horizontal="right"/>
    </xf>
    <xf numFmtId="0" fontId="20" fillId="0" borderId="0" xfId="189" applyFont="1" applyFill="1" applyProtection="1"/>
    <xf numFmtId="185" fontId="20" fillId="0" borderId="0" xfId="189" applyNumberFormat="1" applyFont="1" applyFill="1" applyProtection="1"/>
    <xf numFmtId="186" fontId="20" fillId="0" borderId="0" xfId="189" applyNumberFormat="1" applyFont="1" applyFill="1" applyProtection="1"/>
    <xf numFmtId="0" fontId="11" fillId="0" borderId="0" xfId="184" applyFont="1" applyFill="1" applyAlignment="1" applyProtection="1"/>
    <xf numFmtId="0" fontId="11" fillId="0" borderId="0" xfId="8" applyFont="1" applyFill="1" applyProtection="1"/>
    <xf numFmtId="0" fontId="11" fillId="0" borderId="0" xfId="8" applyFont="1" applyFill="1" applyAlignment="1" applyProtection="1">
      <alignment horizontal="left" vertical="center"/>
    </xf>
    <xf numFmtId="0" fontId="104" fillId="0" borderId="0" xfId="1" applyFont="1" applyFill="1" applyAlignment="1" applyProtection="1">
      <alignment horizontal="right" vertical="top"/>
    </xf>
    <xf numFmtId="0" fontId="22" fillId="0" borderId="0" xfId="8" applyFont="1" applyFill="1" applyProtection="1"/>
    <xf numFmtId="0" fontId="11" fillId="0" borderId="0" xfId="8" applyFont="1" applyFill="1" applyAlignment="1" applyProtection="1">
      <alignment vertical="center"/>
    </xf>
    <xf numFmtId="0" fontId="11" fillId="0" borderId="0" xfId="8" applyFont="1" applyFill="1" applyAlignment="1" applyProtection="1">
      <alignment horizontal="right"/>
    </xf>
    <xf numFmtId="0" fontId="11" fillId="0" borderId="0" xfId="8" applyFont="1" applyFill="1" applyAlignment="1" applyProtection="1"/>
    <xf numFmtId="0" fontId="22" fillId="0" borderId="0" xfId="8" applyFont="1" applyFill="1" applyProtection="1">
      <protection locked="0"/>
    </xf>
    <xf numFmtId="0" fontId="11" fillId="0" borderId="0" xfId="8" applyFont="1" applyFill="1" applyAlignment="1" applyProtection="1">
      <alignment vertical="top"/>
    </xf>
    <xf numFmtId="0" fontId="11" fillId="0" borderId="0" xfId="8" applyFont="1" applyFill="1" applyAlignment="1" applyProtection="1">
      <alignment horizontal="left" vertical="top"/>
    </xf>
    <xf numFmtId="0" fontId="11" fillId="0" borderId="0" xfId="8" applyFont="1" applyFill="1" applyBorder="1" applyProtection="1"/>
    <xf numFmtId="0" fontId="11" fillId="0" borderId="76" xfId="8" applyFont="1" applyFill="1" applyBorder="1" applyAlignment="1" applyProtection="1">
      <alignment vertical="top"/>
    </xf>
    <xf numFmtId="0" fontId="11" fillId="0" borderId="4" xfId="8" applyFont="1" applyFill="1" applyBorder="1" applyAlignment="1" applyProtection="1">
      <alignment horizontal="center" vertical="top"/>
    </xf>
    <xf numFmtId="0" fontId="11" fillId="0" borderId="67" xfId="8" applyFont="1" applyFill="1" applyBorder="1" applyAlignment="1" applyProtection="1">
      <alignment horizontal="center" vertical="top"/>
    </xf>
    <xf numFmtId="0" fontId="11" fillId="0" borderId="0" xfId="8" applyFont="1" applyFill="1" applyAlignment="1" applyProtection="1">
      <alignment horizontal="centerContinuous"/>
    </xf>
    <xf numFmtId="0" fontId="11" fillId="0" borderId="0" xfId="8" applyFont="1" applyFill="1" applyBorder="1" applyAlignment="1" applyProtection="1"/>
    <xf numFmtId="0" fontId="15" fillId="0" borderId="0" xfId="8" applyFont="1" applyFill="1" applyBorder="1" applyAlignment="1" applyProtection="1"/>
    <xf numFmtId="0" fontId="11" fillId="0" borderId="104" xfId="8" applyFont="1" applyFill="1" applyBorder="1" applyAlignment="1" applyProtection="1">
      <alignment vertical="center"/>
    </xf>
    <xf numFmtId="0" fontId="11" fillId="0" borderId="7" xfId="8" applyFont="1" applyFill="1" applyBorder="1" applyAlignment="1" applyProtection="1">
      <alignment horizontal="center" vertical="top"/>
    </xf>
    <xf numFmtId="0" fontId="12" fillId="0" borderId="7" xfId="8" applyFont="1" applyFill="1" applyBorder="1" applyAlignment="1" applyProtection="1">
      <alignment horizontal="center"/>
    </xf>
    <xf numFmtId="0" fontId="11" fillId="0" borderId="0" xfId="8" applyFont="1" applyFill="1" applyBorder="1" applyAlignment="1" applyProtection="1">
      <alignment horizontal="centerContinuous"/>
    </xf>
    <xf numFmtId="0" fontId="11" fillId="0" borderId="61" xfId="8" applyFont="1" applyFill="1" applyBorder="1" applyAlignment="1" applyProtection="1">
      <alignment vertical="top"/>
    </xf>
    <xf numFmtId="0" fontId="11" fillId="0" borderId="63" xfId="8" applyFont="1" applyFill="1" applyBorder="1" applyAlignment="1" applyProtection="1">
      <alignment vertical="center"/>
    </xf>
    <xf numFmtId="171" fontId="11" fillId="0" borderId="12" xfId="8" applyNumberFormat="1" applyFont="1" applyFill="1" applyBorder="1" applyAlignment="1" applyProtection="1">
      <alignment horizontal="center"/>
    </xf>
    <xf numFmtId="0" fontId="228" fillId="0" borderId="63" xfId="8" applyFont="1" applyFill="1" applyBorder="1" applyAlignment="1" applyProtection="1">
      <alignment horizontal="center"/>
    </xf>
    <xf numFmtId="172" fontId="11" fillId="0" borderId="58" xfId="8" applyNumberFormat="1" applyFont="1" applyFill="1" applyBorder="1" applyAlignment="1" applyProtection="1">
      <alignment horizontal="left" vertical="center"/>
    </xf>
    <xf numFmtId="172" fontId="11" fillId="0" borderId="13" xfId="8" applyNumberFormat="1" applyFont="1" applyFill="1" applyBorder="1" applyAlignment="1" applyProtection="1">
      <alignment horizontal="left" vertical="top"/>
    </xf>
    <xf numFmtId="172" fontId="11" fillId="0" borderId="13" xfId="8" applyNumberFormat="1" applyFont="1" applyFill="1" applyBorder="1" applyAlignment="1" applyProtection="1">
      <alignment horizontal="center" vertical="top"/>
    </xf>
    <xf numFmtId="3" fontId="11" fillId="0" borderId="12" xfId="8" applyNumberFormat="1" applyFont="1" applyFill="1" applyBorder="1" applyAlignment="1" applyProtection="1">
      <alignment vertical="center"/>
    </xf>
    <xf numFmtId="49" fontId="11" fillId="0" borderId="75" xfId="8" applyNumberFormat="1" applyFont="1" applyFill="1" applyBorder="1" applyAlignment="1" applyProtection="1">
      <alignment horizontal="right" vertical="center"/>
    </xf>
    <xf numFmtId="3" fontId="41" fillId="0" borderId="0" xfId="8" applyNumberFormat="1" applyFont="1" applyFill="1" applyBorder="1" applyAlignment="1" applyProtection="1">
      <alignment vertical="top"/>
    </xf>
    <xf numFmtId="0" fontId="72" fillId="0" borderId="0" xfId="8" applyFont="1" applyFill="1" applyBorder="1" applyAlignment="1" applyProtection="1">
      <alignment vertical="top"/>
    </xf>
    <xf numFmtId="0" fontId="11" fillId="0" borderId="0" xfId="8" applyFont="1" applyFill="1" applyBorder="1" applyAlignment="1" applyProtection="1">
      <alignment vertical="top"/>
    </xf>
    <xf numFmtId="0" fontId="22" fillId="0" borderId="0" xfId="8" applyFont="1" applyFill="1" applyAlignment="1" applyProtection="1">
      <alignment vertical="top"/>
    </xf>
    <xf numFmtId="0" fontId="22" fillId="0" borderId="0" xfId="8" applyFont="1" applyFill="1" applyAlignment="1" applyProtection="1">
      <alignment vertical="top"/>
      <protection locked="0"/>
    </xf>
    <xf numFmtId="3" fontId="11" fillId="0" borderId="2" xfId="8" applyNumberFormat="1" applyFont="1" applyFill="1" applyBorder="1" applyAlignment="1" applyProtection="1">
      <alignment vertical="center"/>
    </xf>
    <xf numFmtId="3" fontId="74" fillId="0" borderId="76" xfId="8" applyNumberFormat="1" applyFont="1" applyFill="1" applyBorder="1" applyAlignment="1" applyProtection="1">
      <alignment horizontal="center" vertical="center"/>
    </xf>
    <xf numFmtId="3" fontId="74" fillId="0" borderId="74" xfId="8" applyNumberFormat="1" applyFont="1" applyFill="1" applyBorder="1" applyAlignment="1" applyProtection="1">
      <alignment horizontal="center" vertical="center"/>
    </xf>
    <xf numFmtId="3" fontId="11" fillId="0" borderId="13" xfId="8" applyNumberFormat="1" applyFont="1" applyFill="1" applyBorder="1" applyAlignment="1" applyProtection="1">
      <alignment vertical="center"/>
    </xf>
    <xf numFmtId="3" fontId="11" fillId="0" borderId="63" xfId="8" applyNumberFormat="1" applyFont="1" applyFill="1" applyBorder="1" applyAlignment="1" applyProtection="1">
      <alignment vertical="center"/>
    </xf>
    <xf numFmtId="169" fontId="11" fillId="0" borderId="64" xfId="8" applyNumberFormat="1" applyFont="1" applyFill="1" applyBorder="1" applyAlignment="1" applyProtection="1">
      <alignment horizontal="center" vertical="center"/>
    </xf>
    <xf numFmtId="3" fontId="11" fillId="0" borderId="0" xfId="8" applyNumberFormat="1" applyFont="1" applyFill="1" applyAlignment="1" applyProtection="1">
      <alignment vertical="top"/>
    </xf>
    <xf numFmtId="169" fontId="11" fillId="0" borderId="64" xfId="8" applyNumberFormat="1" applyFont="1" applyFill="1" applyBorder="1" applyAlignment="1" applyProtection="1">
      <alignment horizontal="right" vertical="center"/>
    </xf>
    <xf numFmtId="3" fontId="74" fillId="0" borderId="104" xfId="8" applyNumberFormat="1" applyFont="1" applyFill="1" applyBorder="1" applyAlignment="1" applyProtection="1">
      <alignment horizontal="center" vertical="center"/>
    </xf>
    <xf numFmtId="3" fontId="74" fillId="0" borderId="73" xfId="8" applyNumberFormat="1" applyFont="1" applyFill="1" applyBorder="1" applyAlignment="1" applyProtection="1">
      <alignment horizontal="center" vertical="center"/>
    </xf>
    <xf numFmtId="3" fontId="74" fillId="0" borderId="77" xfId="8" applyNumberFormat="1" applyFont="1" applyFill="1" applyBorder="1" applyAlignment="1" applyProtection="1">
      <alignment horizontal="center" vertical="center"/>
    </xf>
    <xf numFmtId="172" fontId="11" fillId="0" borderId="67" xfId="8" applyNumberFormat="1" applyFont="1" applyFill="1" applyBorder="1" applyAlignment="1" applyProtection="1">
      <alignment horizontal="left" vertical="center"/>
    </xf>
    <xf numFmtId="172" fontId="11" fillId="0" borderId="67" xfId="8" applyNumberFormat="1" applyFont="1" applyFill="1" applyBorder="1" applyAlignment="1" applyProtection="1">
      <alignment horizontal="left" vertical="top"/>
    </xf>
    <xf numFmtId="172" fontId="11" fillId="0" borderId="67" xfId="8" applyNumberFormat="1" applyFont="1" applyFill="1" applyBorder="1" applyAlignment="1" applyProtection="1">
      <alignment horizontal="center" vertical="top"/>
    </xf>
    <xf numFmtId="3" fontId="11" fillId="0" borderId="58" xfId="8" applyNumberFormat="1" applyFont="1" applyFill="1" applyBorder="1" applyAlignment="1" applyProtection="1">
      <alignment vertical="center"/>
    </xf>
    <xf numFmtId="3" fontId="74" fillId="0" borderId="103" xfId="8" applyNumberFormat="1" applyFont="1" applyFill="1" applyBorder="1" applyAlignment="1" applyProtection="1">
      <alignment horizontal="center" vertical="center"/>
    </xf>
    <xf numFmtId="0" fontId="11" fillId="0" borderId="0" xfId="8" applyFont="1" applyFill="1" applyBorder="1" applyAlignment="1" applyProtection="1">
      <alignment horizontal="centerContinuous" vertical="top"/>
    </xf>
    <xf numFmtId="169" fontId="11" fillId="0" borderId="63" xfId="8" applyNumberFormat="1" applyFont="1" applyFill="1" applyBorder="1" applyAlignment="1" applyProtection="1">
      <alignment horizontal="center" vertical="center"/>
    </xf>
    <xf numFmtId="3" fontId="11" fillId="0" borderId="10" xfId="8" applyNumberFormat="1" applyFont="1" applyFill="1" applyBorder="1" applyAlignment="1" applyProtection="1">
      <alignment vertical="center"/>
    </xf>
    <xf numFmtId="169" fontId="11" fillId="0" borderId="75" xfId="8" applyNumberFormat="1" applyFont="1" applyFill="1" applyBorder="1" applyAlignment="1" applyProtection="1">
      <alignment horizontal="center" vertical="center"/>
    </xf>
    <xf numFmtId="3" fontId="11" fillId="0" borderId="4" xfId="8" applyNumberFormat="1" applyFont="1" applyFill="1" applyBorder="1" applyAlignment="1" applyProtection="1">
      <alignment vertical="center"/>
    </xf>
    <xf numFmtId="172" fontId="11" fillId="0" borderId="2" xfId="8" applyNumberFormat="1" applyFont="1" applyFill="1" applyBorder="1" applyAlignment="1" applyProtection="1">
      <alignment horizontal="center" vertical="top"/>
    </xf>
    <xf numFmtId="3" fontId="11" fillId="0" borderId="65" xfId="8" applyNumberFormat="1" applyFont="1" applyFill="1" applyBorder="1" applyAlignment="1" applyProtection="1">
      <alignment vertical="center"/>
    </xf>
    <xf numFmtId="0" fontId="72" fillId="0" borderId="0" xfId="8" applyFont="1" applyFill="1" applyAlignment="1" applyProtection="1">
      <alignment vertical="top"/>
    </xf>
    <xf numFmtId="172" fontId="11" fillId="0" borderId="75" xfId="8" applyNumberFormat="1" applyFont="1" applyFill="1" applyBorder="1" applyAlignment="1" applyProtection="1">
      <alignment horizontal="left" vertical="center"/>
    </xf>
    <xf numFmtId="172" fontId="11" fillId="0" borderId="75" xfId="8" applyNumberFormat="1" applyFont="1" applyFill="1" applyBorder="1" applyAlignment="1" applyProtection="1">
      <alignment horizontal="left" vertical="top"/>
    </xf>
    <xf numFmtId="172" fontId="11" fillId="0" borderId="75" xfId="8" applyNumberFormat="1" applyFont="1" applyFill="1" applyBorder="1" applyAlignment="1" applyProtection="1">
      <alignment horizontal="center" vertical="top"/>
    </xf>
    <xf numFmtId="172" fontId="11" fillId="0" borderId="63" xfId="8" applyNumberFormat="1" applyFont="1" applyFill="1" applyBorder="1" applyAlignment="1" applyProtection="1">
      <alignment horizontal="left" vertical="center" indent="1"/>
    </xf>
    <xf numFmtId="172" fontId="11" fillId="0" borderId="12" xfId="8" applyNumberFormat="1" applyFont="1" applyFill="1" applyBorder="1" applyAlignment="1" applyProtection="1">
      <alignment horizontal="left" vertical="center"/>
    </xf>
    <xf numFmtId="172" fontId="11" fillId="0" borderId="12" xfId="8" applyNumberFormat="1" applyFont="1" applyFill="1" applyBorder="1" applyAlignment="1" applyProtection="1">
      <alignment horizontal="center" vertical="center"/>
    </xf>
    <xf numFmtId="172" fontId="11" fillId="0" borderId="58" xfId="8" applyNumberFormat="1" applyFont="1" applyFill="1" applyBorder="1" applyAlignment="1" applyProtection="1">
      <alignment horizontal="left" vertical="center" indent="1"/>
    </xf>
    <xf numFmtId="172" fontId="11" fillId="0" borderId="13" xfId="8" applyNumberFormat="1" applyFont="1" applyFill="1" applyBorder="1" applyAlignment="1" applyProtection="1">
      <alignment horizontal="left" vertical="center"/>
    </xf>
    <xf numFmtId="172" fontId="11" fillId="0" borderId="13" xfId="8" applyNumberFormat="1" applyFont="1" applyFill="1" applyBorder="1" applyAlignment="1" applyProtection="1">
      <alignment horizontal="center" vertical="center"/>
    </xf>
    <xf numFmtId="0" fontId="12" fillId="0" borderId="0" xfId="8" applyFont="1" applyFill="1" applyAlignment="1" applyProtection="1">
      <alignment horizontal="left" vertical="center" indent="3"/>
    </xf>
    <xf numFmtId="14" fontId="12" fillId="0" borderId="61" xfId="8" applyNumberFormat="1" applyFont="1" applyFill="1" applyBorder="1" applyAlignment="1" applyProtection="1">
      <alignment horizontal="center" vertical="center"/>
    </xf>
    <xf numFmtId="0" fontId="12" fillId="0" borderId="0" xfId="8" applyFont="1" applyFill="1" applyAlignment="1" applyProtection="1">
      <alignment horizontal="right" vertical="center"/>
    </xf>
    <xf numFmtId="10" fontId="12" fillId="0" borderId="61" xfId="8" applyNumberFormat="1" applyFont="1" applyFill="1" applyBorder="1" applyAlignment="1" applyProtection="1">
      <alignment vertical="center"/>
    </xf>
    <xf numFmtId="1" fontId="12" fillId="0" borderId="61" xfId="8" applyNumberFormat="1" applyFont="1" applyFill="1" applyBorder="1" applyAlignment="1" applyProtection="1">
      <alignment horizontal="center" vertical="center"/>
    </xf>
    <xf numFmtId="0" fontId="12" fillId="0" borderId="0" xfId="8" applyFont="1" applyFill="1" applyAlignment="1" applyProtection="1">
      <alignment vertical="top"/>
    </xf>
    <xf numFmtId="0" fontId="12" fillId="0" borderId="0" xfId="8" applyFont="1" applyFill="1" applyAlignment="1" applyProtection="1">
      <alignment horizontal="left" vertical="center" indent="4"/>
    </xf>
    <xf numFmtId="14" fontId="12" fillId="0" borderId="72" xfId="8" applyNumberFormat="1" applyFont="1" applyFill="1" applyBorder="1" applyAlignment="1" applyProtection="1">
      <alignment horizontal="center" vertical="center"/>
    </xf>
    <xf numFmtId="1" fontId="12" fillId="0" borderId="72" xfId="8" applyNumberFormat="1" applyFont="1" applyFill="1" applyBorder="1" applyAlignment="1" applyProtection="1">
      <alignment horizontal="center" vertical="center"/>
    </xf>
    <xf numFmtId="0" fontId="11" fillId="0" borderId="0" xfId="8" applyFont="1" applyFill="1" applyAlignment="1" applyProtection="1">
      <alignment horizontal="left"/>
    </xf>
    <xf numFmtId="0" fontId="11" fillId="0" borderId="77" xfId="8" applyFont="1" applyFill="1" applyBorder="1" applyAlignment="1" applyProtection="1">
      <alignment vertical="center"/>
    </xf>
    <xf numFmtId="0" fontId="11" fillId="0" borderId="7" xfId="8" applyFont="1" applyFill="1" applyBorder="1" applyAlignment="1" applyProtection="1">
      <alignment horizontal="center"/>
    </xf>
    <xf numFmtId="0" fontId="12" fillId="0" borderId="65" xfId="8" applyFont="1" applyFill="1" applyBorder="1" applyAlignment="1" applyProtection="1">
      <alignment vertical="center"/>
    </xf>
    <xf numFmtId="171" fontId="11" fillId="0" borderId="12" xfId="8" applyNumberFormat="1" applyFont="1" applyFill="1" applyBorder="1" applyAlignment="1" applyProtection="1">
      <alignment horizontal="center" vertical="top"/>
    </xf>
    <xf numFmtId="0" fontId="228" fillId="0" borderId="7" xfId="8" applyFont="1" applyFill="1" applyBorder="1" applyAlignment="1" applyProtection="1">
      <alignment horizontal="center"/>
    </xf>
    <xf numFmtId="0" fontId="11" fillId="0" borderId="65" xfId="8" applyFont="1" applyFill="1" applyBorder="1" applyAlignment="1" applyProtection="1">
      <alignment horizontal="left" indent="1"/>
    </xf>
    <xf numFmtId="0" fontId="11" fillId="0" borderId="65" xfId="8" applyFont="1" applyFill="1" applyBorder="1" applyAlignment="1" applyProtection="1">
      <alignment vertical="center"/>
    </xf>
    <xf numFmtId="172" fontId="11" fillId="0" borderId="65" xfId="8" applyNumberFormat="1" applyFont="1" applyFill="1" applyBorder="1" applyAlignment="1" applyProtection="1">
      <alignment horizontal="center" vertical="center"/>
    </xf>
    <xf numFmtId="0" fontId="11" fillId="0" borderId="78" xfId="8" applyFont="1" applyFill="1" applyBorder="1" applyAlignment="1" applyProtection="1">
      <alignment horizontal="left"/>
    </xf>
    <xf numFmtId="0" fontId="11" fillId="0" borderId="74" xfId="8" applyFont="1" applyFill="1" applyBorder="1" applyAlignment="1" applyProtection="1">
      <alignment vertical="center"/>
    </xf>
    <xf numFmtId="172" fontId="11" fillId="0" borderId="104" xfId="8" applyNumberFormat="1" applyFont="1" applyFill="1" applyBorder="1" applyAlignment="1" applyProtection="1">
      <alignment horizontal="center" vertical="center"/>
    </xf>
    <xf numFmtId="3" fontId="11" fillId="0" borderId="104" xfId="8" applyNumberFormat="1" applyFont="1" applyFill="1" applyBorder="1" applyAlignment="1" applyProtection="1">
      <alignment vertical="center"/>
    </xf>
    <xf numFmtId="0" fontId="11" fillId="0" borderId="63" xfId="8" applyFont="1" applyFill="1" applyBorder="1" applyAlignment="1" applyProtection="1">
      <alignment horizontal="left" vertical="center" indent="1"/>
    </xf>
    <xf numFmtId="172" fontId="11" fillId="0" borderId="63" xfId="8" applyNumberFormat="1" applyFont="1" applyFill="1" applyBorder="1" applyAlignment="1" applyProtection="1">
      <alignment horizontal="center" vertical="center"/>
    </xf>
    <xf numFmtId="0" fontId="11" fillId="0" borderId="58" xfId="8" applyFont="1" applyFill="1" applyBorder="1" applyAlignment="1" applyProtection="1">
      <alignment horizontal="left" vertical="center" indent="1"/>
    </xf>
    <xf numFmtId="0" fontId="11" fillId="0" borderId="13" xfId="8" applyFont="1" applyFill="1" applyBorder="1" applyAlignment="1" applyProtection="1">
      <alignment vertical="center"/>
    </xf>
    <xf numFmtId="17" fontId="11" fillId="0" borderId="13" xfId="8" quotePrefix="1" applyNumberFormat="1" applyFont="1" applyFill="1" applyBorder="1" applyAlignment="1" applyProtection="1">
      <alignment vertical="center"/>
    </xf>
    <xf numFmtId="17" fontId="11" fillId="0" borderId="13" xfId="8" applyNumberFormat="1" applyFont="1" applyFill="1" applyBorder="1" applyAlignment="1" applyProtection="1">
      <alignment vertical="center"/>
    </xf>
    <xf numFmtId="0" fontId="11" fillId="0" borderId="78" xfId="8" applyFont="1" applyFill="1" applyBorder="1" applyAlignment="1" applyProtection="1">
      <alignment vertical="center"/>
    </xf>
    <xf numFmtId="1" fontId="11" fillId="0" borderId="102" xfId="8" applyNumberFormat="1" applyFont="1" applyFill="1" applyBorder="1" applyAlignment="1" applyProtection="1">
      <alignment vertical="center"/>
    </xf>
    <xf numFmtId="172" fontId="11" fillId="0" borderId="75" xfId="8" applyNumberFormat="1" applyFont="1" applyFill="1" applyBorder="1" applyAlignment="1" applyProtection="1">
      <alignment horizontal="center" vertical="center"/>
    </xf>
    <xf numFmtId="3" fontId="11" fillId="0" borderId="75" xfId="8" applyNumberFormat="1" applyFont="1" applyFill="1" applyBorder="1" applyAlignment="1" applyProtection="1">
      <alignment vertical="center"/>
    </xf>
    <xf numFmtId="0" fontId="15" fillId="0" borderId="0" xfId="8" applyFont="1" applyFill="1" applyBorder="1" applyAlignment="1" applyProtection="1">
      <alignment vertical="center"/>
    </xf>
    <xf numFmtId="0" fontId="22" fillId="0" borderId="72" xfId="8" applyFont="1" applyFill="1" applyBorder="1" applyProtection="1"/>
    <xf numFmtId="0" fontId="11" fillId="0" borderId="60" xfId="8" applyFont="1" applyFill="1" applyBorder="1" applyAlignment="1" applyProtection="1"/>
    <xf numFmtId="0" fontId="22" fillId="0" borderId="0" xfId="8" applyFont="1" applyFill="1" applyAlignment="1" applyProtection="1">
      <alignment vertical="center"/>
      <protection locked="0"/>
    </xf>
    <xf numFmtId="0" fontId="11" fillId="0" borderId="58" xfId="8" applyFont="1" applyFill="1" applyBorder="1" applyAlignment="1" applyProtection="1">
      <alignment horizontal="left" vertical="center"/>
    </xf>
    <xf numFmtId="0" fontId="11" fillId="0" borderId="10" xfId="8" applyFont="1" applyFill="1" applyBorder="1" applyAlignment="1" applyProtection="1">
      <alignment horizontal="center" vertical="center"/>
    </xf>
    <xf numFmtId="0" fontId="11" fillId="0" borderId="10" xfId="8" applyFont="1" applyFill="1" applyBorder="1" applyAlignment="1" applyProtection="1">
      <alignment horizontal="centerContinuous" vertical="center"/>
    </xf>
    <xf numFmtId="0" fontId="11" fillId="0" borderId="11" xfId="8" applyFont="1" applyFill="1" applyBorder="1" applyAlignment="1" applyProtection="1">
      <alignment horizontal="centerContinuous" vertical="center"/>
    </xf>
    <xf numFmtId="0" fontId="11" fillId="0" borderId="63" xfId="8" applyFont="1" applyFill="1" applyBorder="1" applyAlignment="1" applyProtection="1">
      <alignment horizontal="centerContinuous" vertical="center"/>
    </xf>
    <xf numFmtId="0" fontId="11" fillId="11" borderId="13" xfId="8" applyFont="1" applyFill="1" applyBorder="1" applyAlignment="1" applyProtection="1">
      <alignment vertical="center"/>
      <protection locked="0"/>
    </xf>
    <xf numFmtId="5" fontId="11" fillId="11" borderId="2" xfId="8" applyNumberFormat="1" applyFont="1" applyFill="1" applyBorder="1" applyAlignment="1" applyProtection="1">
      <alignment vertical="center"/>
      <protection locked="0"/>
    </xf>
    <xf numFmtId="0" fontId="11" fillId="0" borderId="2" xfId="8" applyFont="1" applyFill="1" applyBorder="1" applyAlignment="1" applyProtection="1">
      <alignment horizontal="right" vertical="center"/>
    </xf>
    <xf numFmtId="3" fontId="11" fillId="11" borderId="3" xfId="8" applyNumberFormat="1" applyFont="1" applyFill="1" applyBorder="1" applyAlignment="1" applyProtection="1">
      <alignment vertical="center"/>
      <protection locked="0"/>
    </xf>
    <xf numFmtId="3" fontId="11" fillId="11" borderId="13" xfId="8" applyNumberFormat="1" applyFont="1" applyFill="1" applyBorder="1" applyAlignment="1" applyProtection="1">
      <alignment vertical="center"/>
      <protection locked="0"/>
    </xf>
    <xf numFmtId="0" fontId="11" fillId="0" borderId="58" xfId="8" applyFont="1" applyFill="1" applyBorder="1" applyAlignment="1" applyProtection="1">
      <alignment horizontal="right" vertical="center"/>
    </xf>
    <xf numFmtId="5" fontId="11" fillId="0" borderId="78" xfId="8" applyNumberFormat="1" applyFont="1" applyFill="1" applyBorder="1" applyAlignment="1" applyProtection="1">
      <alignment vertical="center"/>
    </xf>
    <xf numFmtId="0" fontId="11" fillId="0" borderId="78" xfId="8" applyFont="1" applyFill="1" applyBorder="1" applyAlignment="1" applyProtection="1">
      <alignment horizontal="center" vertical="center"/>
    </xf>
    <xf numFmtId="168" fontId="11" fillId="0" borderId="66" xfId="8" applyNumberFormat="1" applyFont="1" applyFill="1" applyBorder="1" applyAlignment="1" applyProtection="1">
      <alignment vertical="center"/>
    </xf>
    <xf numFmtId="0" fontId="15" fillId="0" borderId="0" xfId="8" applyFont="1" applyFill="1" applyAlignment="1" applyProtection="1">
      <alignment horizontal="centerContinuous"/>
    </xf>
    <xf numFmtId="5" fontId="11" fillId="0" borderId="0" xfId="8" applyNumberFormat="1" applyFont="1" applyFill="1" applyProtection="1"/>
    <xf numFmtId="169" fontId="11" fillId="0" borderId="61" xfId="8" applyNumberFormat="1" applyFont="1" applyFill="1" applyBorder="1" applyAlignment="1" applyProtection="1">
      <alignment horizontal="right"/>
    </xf>
    <xf numFmtId="0" fontId="22" fillId="0" borderId="0" xfId="8" applyFont="1" applyFill="1" applyAlignment="1" applyProtection="1">
      <alignment horizontal="left"/>
    </xf>
    <xf numFmtId="0" fontId="11" fillId="0" borderId="0" xfId="8" applyFont="1" applyFill="1" applyAlignment="1" applyProtection="1">
      <alignment horizontal="center" wrapText="1"/>
    </xf>
    <xf numFmtId="169" fontId="11" fillId="0" borderId="61" xfId="8" applyNumberFormat="1" applyFont="1" applyFill="1" applyBorder="1" applyAlignment="1" applyProtection="1"/>
    <xf numFmtId="169" fontId="11" fillId="0" borderId="0" xfId="8" applyNumberFormat="1" applyFont="1" applyFill="1" applyBorder="1" applyAlignment="1" applyProtection="1">
      <alignment horizontal="left"/>
    </xf>
    <xf numFmtId="169" fontId="11" fillId="0" borderId="0" xfId="8" applyNumberFormat="1" applyFont="1" applyFill="1" applyBorder="1" applyAlignment="1" applyProtection="1">
      <alignment horizontal="right"/>
    </xf>
    <xf numFmtId="0" fontId="22" fillId="0" borderId="0" xfId="8" applyFont="1" applyFill="1" applyBorder="1" applyProtection="1"/>
    <xf numFmtId="0" fontId="11" fillId="0" borderId="0" xfId="8" applyFont="1" applyFill="1" applyBorder="1" applyAlignment="1" applyProtection="1">
      <alignment horizontal="right" vertical="center"/>
    </xf>
    <xf numFmtId="0" fontId="22" fillId="0" borderId="0" xfId="14" applyFont="1" applyProtection="1"/>
    <xf numFmtId="0" fontId="11" fillId="0" borderId="0" xfId="14" applyFont="1" applyProtection="1"/>
    <xf numFmtId="0" fontId="15" fillId="0" borderId="0" xfId="14" applyFont="1" applyAlignment="1" applyProtection="1">
      <alignment horizontal="centerContinuous"/>
    </xf>
    <xf numFmtId="0" fontId="11" fillId="0" borderId="0" xfId="14" applyFont="1" applyAlignment="1" applyProtection="1"/>
    <xf numFmtId="0" fontId="11" fillId="0" borderId="0" xfId="14" applyFont="1" applyAlignment="1" applyProtection="1">
      <alignment horizontal="left" vertical="center" indent="1"/>
    </xf>
    <xf numFmtId="14" fontId="11" fillId="0" borderId="1" xfId="14" applyNumberFormat="1" applyFont="1" applyFill="1" applyBorder="1" applyAlignment="1" applyProtection="1">
      <alignment horizontal="center" vertical="center"/>
    </xf>
    <xf numFmtId="0" fontId="11" fillId="0" borderId="0" xfId="14" applyNumberFormat="1" applyFont="1" applyAlignment="1" applyProtection="1">
      <alignment horizontal="center" vertical="center"/>
    </xf>
    <xf numFmtId="169" fontId="11" fillId="0" borderId="1" xfId="14" applyNumberFormat="1" applyFont="1" applyFill="1" applyBorder="1" applyAlignment="1" applyProtection="1">
      <alignment horizontal="right" vertical="center"/>
    </xf>
    <xf numFmtId="0" fontId="11" fillId="0" borderId="0" xfId="14" applyFont="1" applyAlignment="1" applyProtection="1">
      <alignment horizontal="center" vertical="center"/>
    </xf>
    <xf numFmtId="1" fontId="11" fillId="0" borderId="1" xfId="14" applyNumberFormat="1" applyFont="1" applyFill="1" applyBorder="1" applyAlignment="1" applyProtection="1">
      <alignment vertical="center"/>
    </xf>
    <xf numFmtId="0" fontId="11" fillId="0" borderId="0" xfId="14" applyFont="1" applyAlignment="1" applyProtection="1">
      <alignment vertical="center"/>
    </xf>
    <xf numFmtId="0" fontId="154" fillId="0" borderId="0" xfId="14" applyFont="1" applyAlignment="1" applyProtection="1">
      <alignment horizontal="left" vertical="center" indent="1"/>
    </xf>
    <xf numFmtId="0" fontId="11" fillId="0" borderId="0" xfId="14" applyFont="1" applyBorder="1" applyAlignment="1" applyProtection="1">
      <alignment horizontal="center" vertical="center"/>
    </xf>
    <xf numFmtId="0" fontId="12" fillId="0" borderId="0" xfId="14" applyFont="1" applyAlignment="1" applyProtection="1">
      <alignment horizontal="left" vertical="center" indent="1"/>
    </xf>
    <xf numFmtId="0" fontId="22" fillId="0" borderId="0" xfId="14" applyFont="1" applyAlignment="1" applyProtection="1">
      <alignment vertical="center"/>
    </xf>
    <xf numFmtId="14" fontId="11" fillId="11" borderId="1" xfId="14" applyNumberFormat="1" applyFont="1" applyFill="1" applyBorder="1" applyAlignment="1" applyProtection="1">
      <alignment horizontal="center" vertical="center"/>
      <protection locked="0"/>
    </xf>
    <xf numFmtId="169" fontId="11" fillId="11" borderId="1" xfId="14" applyNumberFormat="1" applyFont="1" applyFill="1" applyBorder="1" applyAlignment="1" applyProtection="1">
      <alignment horizontal="right" vertical="center"/>
      <protection locked="0"/>
    </xf>
    <xf numFmtId="0" fontId="78" fillId="0" borderId="0" xfId="14" applyFont="1" applyAlignment="1" applyProtection="1">
      <alignment vertical="center"/>
    </xf>
    <xf numFmtId="0" fontId="78" fillId="0" borderId="0" xfId="14" applyFont="1" applyProtection="1"/>
    <xf numFmtId="37" fontId="78" fillId="0" borderId="0" xfId="14" applyNumberFormat="1" applyFont="1" applyProtection="1"/>
    <xf numFmtId="173" fontId="11" fillId="0" borderId="0" xfId="14" applyNumberFormat="1" applyFont="1" applyBorder="1" applyAlignment="1" applyProtection="1">
      <alignment horizontal="center"/>
    </xf>
    <xf numFmtId="14" fontId="11" fillId="0" borderId="0" xfId="14" applyNumberFormat="1" applyFont="1" applyBorder="1" applyProtection="1"/>
    <xf numFmtId="0" fontId="11" fillId="0" borderId="0" xfId="14" applyNumberFormat="1" applyFont="1" applyAlignment="1" applyProtection="1">
      <alignment horizontal="center"/>
    </xf>
    <xf numFmtId="169" fontId="11" fillId="0" borderId="0" xfId="14" applyNumberFormat="1" applyFont="1" applyFill="1" applyBorder="1" applyProtection="1">
      <protection locked="0"/>
    </xf>
    <xf numFmtId="0" fontId="12" fillId="0" borderId="0" xfId="14" applyFont="1" applyAlignment="1" applyProtection="1">
      <alignment vertical="center"/>
    </xf>
    <xf numFmtId="0" fontId="11" fillId="0" borderId="0" xfId="14" applyFont="1" applyAlignment="1" applyProtection="1">
      <alignment horizontal="centerContinuous"/>
    </xf>
    <xf numFmtId="172" fontId="11" fillId="0" borderId="0" xfId="14" applyNumberFormat="1" applyFont="1" applyAlignment="1" applyProtection="1">
      <alignment horizontal="centerContinuous"/>
    </xf>
    <xf numFmtId="0" fontId="11" fillId="0" borderId="0" xfId="14" applyNumberFormat="1" applyFont="1" applyAlignment="1" applyProtection="1">
      <alignment horizontal="centerContinuous"/>
    </xf>
    <xf numFmtId="172" fontId="22" fillId="0" borderId="0" xfId="14" applyNumberFormat="1" applyFont="1" applyAlignment="1" applyProtection="1">
      <alignment horizontal="center"/>
    </xf>
    <xf numFmtId="0" fontId="22" fillId="0" borderId="0" xfId="14" applyNumberFormat="1" applyFont="1" applyAlignment="1" applyProtection="1">
      <alignment horizontal="center"/>
    </xf>
    <xf numFmtId="0" fontId="11" fillId="0" borderId="0" xfId="24" applyFont="1" applyFill="1" applyProtection="1"/>
    <xf numFmtId="0" fontId="11" fillId="0" borderId="0" xfId="24" applyFont="1" applyFill="1" applyAlignment="1" applyProtection="1">
      <alignment horizontal="right"/>
    </xf>
    <xf numFmtId="0" fontId="104" fillId="0" borderId="0" xfId="1" applyFont="1" applyFill="1" applyAlignment="1" applyProtection="1">
      <alignment horizontal="right"/>
    </xf>
    <xf numFmtId="0" fontId="11" fillId="0" borderId="0" xfId="24" applyFont="1" applyFill="1" applyProtection="1">
      <protection locked="0"/>
    </xf>
    <xf numFmtId="5" fontId="11" fillId="0" borderId="0" xfId="24" applyNumberFormat="1" applyFont="1" applyFill="1" applyProtection="1"/>
    <xf numFmtId="0" fontId="12" fillId="0" borderId="0" xfId="24" applyFont="1" applyFill="1" applyAlignment="1" applyProtection="1">
      <alignment horizontal="center" vertical="center"/>
    </xf>
    <xf numFmtId="0" fontId="11" fillId="0" borderId="61" xfId="24" applyFont="1" applyFill="1" applyBorder="1" applyProtection="1"/>
    <xf numFmtId="0" fontId="11" fillId="0" borderId="61" xfId="24" applyFont="1" applyFill="1" applyBorder="1" applyAlignment="1" applyProtection="1">
      <alignment horizontal="center" vertical="center"/>
    </xf>
    <xf numFmtId="0" fontId="11" fillId="75" borderId="65" xfId="24" applyFont="1" applyFill="1" applyBorder="1" applyAlignment="1" applyProtection="1">
      <alignment horizontal="center" vertical="center"/>
    </xf>
    <xf numFmtId="0" fontId="11" fillId="75" borderId="61" xfId="24" applyFont="1" applyFill="1" applyBorder="1" applyAlignment="1" applyProtection="1">
      <alignment horizontal="center" vertical="center"/>
    </xf>
    <xf numFmtId="1" fontId="11" fillId="75" borderId="64" xfId="24" applyNumberFormat="1" applyFont="1" applyFill="1" applyBorder="1" applyAlignment="1" applyProtection="1">
      <alignment horizontal="center" vertical="center"/>
    </xf>
    <xf numFmtId="171" fontId="11" fillId="75" borderId="7" xfId="24" applyNumberFormat="1" applyFont="1" applyFill="1" applyBorder="1" applyAlignment="1" applyProtection="1">
      <alignment horizontal="center" wrapText="1"/>
    </xf>
    <xf numFmtId="0" fontId="11" fillId="75" borderId="43" xfId="24" applyFont="1" applyFill="1" applyBorder="1" applyAlignment="1" applyProtection="1">
      <alignment horizontal="center" wrapText="1"/>
    </xf>
    <xf numFmtId="171" fontId="12" fillId="75" borderId="12" xfId="24" applyNumberFormat="1" applyFont="1" applyFill="1" applyBorder="1" applyAlignment="1" applyProtection="1">
      <alignment horizontal="center" wrapText="1"/>
    </xf>
    <xf numFmtId="171" fontId="12" fillId="75" borderId="81" xfId="24" applyNumberFormat="1" applyFont="1" applyFill="1" applyBorder="1" applyAlignment="1" applyProtection="1">
      <alignment horizontal="center" vertical="center" wrapText="1"/>
    </xf>
    <xf numFmtId="0" fontId="11" fillId="0" borderId="13" xfId="24" applyFont="1" applyFill="1" applyBorder="1" applyAlignment="1" applyProtection="1">
      <alignment vertical="center"/>
    </xf>
    <xf numFmtId="172" fontId="11" fillId="0" borderId="13" xfId="24" applyNumberFormat="1" applyFont="1" applyFill="1" applyBorder="1" applyAlignment="1" applyProtection="1">
      <alignment horizontal="center" vertical="center"/>
    </xf>
    <xf numFmtId="3" fontId="11" fillId="0" borderId="13" xfId="24" applyNumberFormat="1" applyFont="1" applyFill="1" applyBorder="1" applyAlignment="1" applyProtection="1">
      <alignment vertical="center"/>
    </xf>
    <xf numFmtId="3" fontId="11" fillId="0" borderId="78" xfId="24" applyNumberFormat="1" applyFont="1" applyFill="1" applyBorder="1" applyAlignment="1" applyProtection="1">
      <alignment vertical="center"/>
    </xf>
    <xf numFmtId="3" fontId="11" fillId="0" borderId="82" xfId="24" applyNumberFormat="1" applyFont="1" applyFill="1" applyBorder="1" applyAlignment="1" applyProtection="1">
      <alignment vertical="center"/>
    </xf>
    <xf numFmtId="3" fontId="11" fillId="0" borderId="13" xfId="24" quotePrefix="1" applyNumberFormat="1" applyFont="1" applyFill="1" applyBorder="1" applyAlignment="1" applyProtection="1">
      <alignment vertical="center"/>
    </xf>
    <xf numFmtId="3" fontId="11" fillId="0" borderId="79" xfId="24" applyNumberFormat="1" applyFont="1" applyFill="1" applyBorder="1" applyAlignment="1" applyProtection="1">
      <alignment vertical="center"/>
    </xf>
    <xf numFmtId="0" fontId="11" fillId="0" borderId="12" xfId="24" applyFont="1" applyFill="1" applyBorder="1" applyAlignment="1" applyProtection="1">
      <alignment vertical="center"/>
    </xf>
    <xf numFmtId="172" fontId="11" fillId="0" borderId="12" xfId="24" applyNumberFormat="1" applyFont="1" applyFill="1" applyBorder="1" applyAlignment="1" applyProtection="1">
      <alignment horizontal="center" vertical="center"/>
    </xf>
    <xf numFmtId="3" fontId="11" fillId="0" borderId="12" xfId="24" applyNumberFormat="1" applyFont="1" applyFill="1" applyBorder="1" applyAlignment="1" applyProtection="1">
      <alignment vertical="center"/>
    </xf>
    <xf numFmtId="3" fontId="11" fillId="0" borderId="65" xfId="24" applyNumberFormat="1" applyFont="1" applyFill="1" applyBorder="1" applyAlignment="1" applyProtection="1">
      <alignment vertical="center"/>
    </xf>
    <xf numFmtId="3" fontId="11" fillId="0" borderId="80" xfId="24" applyNumberFormat="1" applyFont="1" applyFill="1" applyBorder="1" applyAlignment="1" applyProtection="1">
      <alignment vertical="center"/>
    </xf>
    <xf numFmtId="3" fontId="11" fillId="0" borderId="81" xfId="24" applyNumberFormat="1" applyFont="1" applyFill="1" applyBorder="1" applyAlignment="1" applyProtection="1">
      <alignment vertical="center"/>
    </xf>
    <xf numFmtId="172" fontId="11" fillId="0" borderId="0" xfId="24" applyNumberFormat="1" applyFont="1" applyFill="1" applyAlignment="1" applyProtection="1">
      <alignment horizontal="left"/>
    </xf>
    <xf numFmtId="0" fontId="11" fillId="0" borderId="0" xfId="24" applyFont="1" applyFill="1" applyAlignment="1" applyProtection="1">
      <alignment horizontal="left"/>
    </xf>
    <xf numFmtId="0" fontId="229" fillId="0" borderId="0" xfId="24" applyFont="1" applyFill="1" applyBorder="1" applyAlignment="1" applyProtection="1">
      <alignment horizontal="center" vertical="center"/>
    </xf>
    <xf numFmtId="0" fontId="229" fillId="0" borderId="0" xfId="24" quotePrefix="1" applyFont="1" applyFill="1" applyAlignment="1" applyProtection="1">
      <alignment horizontal="center" vertical="center"/>
    </xf>
    <xf numFmtId="5" fontId="11" fillId="0" borderId="1" xfId="24" applyNumberFormat="1" applyFont="1" applyFill="1" applyBorder="1" applyAlignment="1" applyProtection="1">
      <alignment horizontal="center" vertical="center"/>
    </xf>
    <xf numFmtId="0" fontId="11" fillId="0" borderId="0" xfId="24" applyFont="1" applyFill="1" applyAlignment="1" applyProtection="1">
      <alignment vertical="center"/>
    </xf>
    <xf numFmtId="0" fontId="11" fillId="0" borderId="0" xfId="24" applyFont="1" applyFill="1" applyBorder="1" applyProtection="1"/>
    <xf numFmtId="172" fontId="11" fillId="0" borderId="0" xfId="24" applyNumberFormat="1" applyFont="1" applyFill="1" applyAlignment="1" applyProtection="1">
      <alignment horizontal="center"/>
    </xf>
    <xf numFmtId="0" fontId="11" fillId="0" borderId="0" xfId="24" applyFont="1" applyFill="1" applyBorder="1" applyAlignment="1" applyProtection="1">
      <alignment horizontal="right"/>
    </xf>
    <xf numFmtId="0" fontId="11" fillId="0" borderId="0" xfId="24" applyFont="1" applyFill="1" applyBorder="1" applyAlignment="1" applyProtection="1">
      <alignment horizontal="center"/>
    </xf>
    <xf numFmtId="0" fontId="11" fillId="0" borderId="0" xfId="24" applyFont="1" applyFill="1" applyAlignment="1" applyProtection="1">
      <alignment horizontal="right" vertical="center"/>
    </xf>
    <xf numFmtId="0" fontId="12" fillId="0" borderId="0" xfId="24" applyFont="1" applyFill="1" applyBorder="1" applyAlignment="1" applyProtection="1">
      <alignment horizontal="center"/>
    </xf>
    <xf numFmtId="0" fontId="12" fillId="0" borderId="0" xfId="24" applyFont="1" applyFill="1" applyBorder="1" applyAlignment="1" applyProtection="1">
      <alignment horizontal="center" vertical="center"/>
    </xf>
    <xf numFmtId="0" fontId="15" fillId="0" borderId="0" xfId="24" applyFont="1" applyFill="1" applyProtection="1"/>
    <xf numFmtId="0" fontId="11" fillId="0" borderId="0" xfId="24" applyFont="1" applyFill="1" applyAlignment="1" applyProtection="1">
      <alignment horizontal="center"/>
    </xf>
    <xf numFmtId="169" fontId="11" fillId="0" borderId="1" xfId="24" applyNumberFormat="1" applyFont="1" applyFill="1" applyBorder="1" applyAlignment="1" applyProtection="1">
      <alignment horizontal="right" vertical="center"/>
    </xf>
    <xf numFmtId="0" fontId="11" fillId="0" borderId="0" xfId="24" quotePrefix="1" applyFont="1" applyFill="1" applyProtection="1"/>
    <xf numFmtId="0" fontId="11" fillId="0" borderId="75" xfId="24" applyFont="1" applyFill="1" applyBorder="1" applyAlignment="1" applyProtection="1">
      <alignment vertical="center"/>
    </xf>
    <xf numFmtId="172" fontId="11" fillId="0" borderId="75" xfId="24" applyNumberFormat="1" applyFont="1" applyFill="1" applyBorder="1" applyAlignment="1" applyProtection="1">
      <alignment horizontal="center" vertical="center"/>
    </xf>
    <xf numFmtId="3" fontId="11" fillId="0" borderId="75" xfId="24" applyNumberFormat="1" applyFont="1" applyFill="1" applyBorder="1" applyAlignment="1" applyProtection="1">
      <alignment vertical="center"/>
    </xf>
    <xf numFmtId="3" fontId="11" fillId="0" borderId="112" xfId="24" applyNumberFormat="1" applyFont="1" applyFill="1" applyBorder="1" applyAlignment="1" applyProtection="1">
      <alignment vertical="center"/>
    </xf>
    <xf numFmtId="3" fontId="11" fillId="0" borderId="111" xfId="24" applyNumberFormat="1" applyFont="1" applyFill="1" applyBorder="1" applyAlignment="1" applyProtection="1">
      <alignment vertical="center"/>
    </xf>
    <xf numFmtId="0" fontId="11" fillId="0" borderId="0" xfId="29" applyFont="1" applyProtection="1"/>
    <xf numFmtId="0" fontId="11" fillId="0" borderId="0" xfId="29" applyFont="1" applyAlignment="1" applyProtection="1">
      <alignment horizontal="right"/>
    </xf>
    <xf numFmtId="0" fontId="11" fillId="0" borderId="0" xfId="29" applyFont="1" applyBorder="1" applyAlignment="1" applyProtection="1">
      <alignment horizontal="right"/>
    </xf>
    <xf numFmtId="0" fontId="24" fillId="0" borderId="0" xfId="29" applyFont="1" applyFill="1" applyProtection="1"/>
    <xf numFmtId="0" fontId="104" fillId="0" borderId="0" xfId="1" applyFont="1" applyFill="1" applyAlignment="1" applyProtection="1">
      <alignment horizontal="left"/>
    </xf>
    <xf numFmtId="0" fontId="24" fillId="0" borderId="0" xfId="29" applyFont="1" applyProtection="1"/>
    <xf numFmtId="0" fontId="24" fillId="0" borderId="0" xfId="29" applyFont="1" applyProtection="1">
      <protection locked="0"/>
    </xf>
    <xf numFmtId="0" fontId="224" fillId="0" borderId="0" xfId="29" applyFont="1" applyProtection="1"/>
    <xf numFmtId="0" fontId="12" fillId="0" borderId="0" xfId="29" applyFont="1" applyFill="1" applyBorder="1" applyAlignment="1" applyProtection="1">
      <alignment textRotation="90"/>
      <protection locked="0"/>
    </xf>
    <xf numFmtId="183" fontId="11" fillId="0" borderId="61" xfId="29" applyNumberFormat="1" applyFont="1" applyBorder="1" applyAlignment="1" applyProtection="1">
      <alignment horizontal="center" vertical="center"/>
    </xf>
    <xf numFmtId="183" fontId="11" fillId="0" borderId="0" xfId="29" applyNumberFormat="1" applyFont="1" applyFill="1" applyBorder="1" applyAlignment="1" applyProtection="1">
      <alignment horizontal="center" vertical="center"/>
    </xf>
    <xf numFmtId="0" fontId="11" fillId="0" borderId="0" xfId="29" applyFont="1" applyFill="1" applyBorder="1" applyAlignment="1" applyProtection="1">
      <alignment horizontal="center"/>
    </xf>
    <xf numFmtId="0" fontId="181" fillId="0" borderId="0" xfId="0" applyFont="1" applyFill="1" applyAlignment="1">
      <alignment vertical="top" wrapText="1"/>
    </xf>
    <xf numFmtId="171" fontId="11" fillId="0" borderId="12" xfId="29" applyNumberFormat="1" applyFont="1" applyBorder="1" applyAlignment="1" applyProtection="1">
      <alignment horizontal="center" wrapText="1"/>
    </xf>
    <xf numFmtId="171" fontId="11" fillId="0" borderId="0" xfId="29" applyNumberFormat="1" applyFont="1" applyFill="1" applyBorder="1" applyAlignment="1" applyProtection="1">
      <alignment horizontal="center" wrapText="1"/>
    </xf>
    <xf numFmtId="0" fontId="11" fillId="11" borderId="13" xfId="29" applyFont="1" applyFill="1" applyBorder="1" applyAlignment="1" applyProtection="1">
      <alignment vertical="center" wrapText="1"/>
      <protection locked="0"/>
    </xf>
    <xf numFmtId="14" fontId="11" fillId="11" borderId="12" xfId="29" applyNumberFormat="1" applyFont="1" applyFill="1" applyBorder="1" applyAlignment="1" applyProtection="1">
      <alignment vertical="center"/>
      <protection locked="0"/>
    </xf>
    <xf numFmtId="10" fontId="11" fillId="11" borderId="12" xfId="29" applyNumberFormat="1" applyFont="1" applyFill="1" applyBorder="1" applyAlignment="1" applyProtection="1">
      <alignment vertical="center"/>
      <protection locked="0"/>
    </xf>
    <xf numFmtId="37" fontId="11" fillId="11" borderId="12" xfId="29" applyNumberFormat="1" applyFont="1" applyFill="1" applyBorder="1" applyAlignment="1" applyProtection="1">
      <alignment vertical="center"/>
      <protection locked="0"/>
    </xf>
    <xf numFmtId="37" fontId="11" fillId="0" borderId="0" xfId="29" applyNumberFormat="1" applyFont="1" applyFill="1" applyBorder="1" applyAlignment="1" applyProtection="1">
      <alignment vertical="center"/>
      <protection locked="0"/>
    </xf>
    <xf numFmtId="0" fontId="11" fillId="75" borderId="91" xfId="29" applyFont="1" applyFill="1" applyBorder="1" applyAlignment="1" applyProtection="1">
      <alignment horizontal="left" vertical="top" wrapText="1" indent="1"/>
    </xf>
    <xf numFmtId="0" fontId="181" fillId="0" borderId="0" xfId="0" applyFont="1" applyFill="1" applyBorder="1" applyAlignment="1">
      <alignment vertical="top" wrapText="1"/>
    </xf>
    <xf numFmtId="0" fontId="11" fillId="11" borderId="75" xfId="29" applyFont="1" applyFill="1" applyBorder="1" applyAlignment="1" applyProtection="1">
      <alignment vertical="center" wrapText="1"/>
      <protection locked="0"/>
    </xf>
    <xf numFmtId="14" fontId="11" fillId="11" borderId="63" xfId="29" applyNumberFormat="1" applyFont="1" applyFill="1" applyBorder="1" applyAlignment="1" applyProtection="1">
      <alignment vertical="center"/>
      <protection locked="0"/>
    </xf>
    <xf numFmtId="10" fontId="11" fillId="11" borderId="63" xfId="29" applyNumberFormat="1" applyFont="1" applyFill="1" applyBorder="1" applyAlignment="1" applyProtection="1">
      <alignment vertical="center"/>
      <protection locked="0"/>
    </xf>
    <xf numFmtId="37" fontId="11" fillId="11" borderId="63" xfId="29" applyNumberFormat="1" applyFont="1" applyFill="1" applyBorder="1" applyAlignment="1" applyProtection="1">
      <alignment vertical="center"/>
      <protection locked="0"/>
    </xf>
    <xf numFmtId="0" fontId="11" fillId="75" borderId="93" xfId="29" applyFont="1" applyFill="1" applyBorder="1" applyAlignment="1" applyProtection="1">
      <alignment horizontal="left" vertical="top" wrapText="1" indent="1"/>
    </xf>
    <xf numFmtId="0" fontId="11" fillId="0" borderId="0" xfId="29" applyFont="1" applyFill="1" applyBorder="1" applyAlignment="1" applyProtection="1">
      <alignment vertical="top" wrapText="1"/>
    </xf>
    <xf numFmtId="0" fontId="183" fillId="75" borderId="94" xfId="29" applyFont="1" applyFill="1" applyBorder="1" applyAlignment="1" applyProtection="1">
      <alignment horizontal="left" vertical="top" wrapText="1" indent="1"/>
    </xf>
    <xf numFmtId="0" fontId="11" fillId="75" borderId="95" xfId="29" applyFont="1" applyFill="1" applyBorder="1" applyAlignment="1" applyProtection="1">
      <alignment horizontal="left" vertical="top" wrapText="1" indent="1"/>
    </xf>
    <xf numFmtId="0" fontId="11" fillId="0" borderId="0" xfId="29" applyFont="1" applyFill="1" applyBorder="1" applyAlignment="1" applyProtection="1">
      <alignment horizontal="left" vertical="top" wrapText="1"/>
    </xf>
    <xf numFmtId="0" fontId="11" fillId="0" borderId="0" xfId="29" applyFont="1" applyAlignment="1" applyProtection="1">
      <alignment vertical="center"/>
    </xf>
    <xf numFmtId="37" fontId="11" fillId="0" borderId="0" xfId="29" applyNumberFormat="1" applyFont="1" applyBorder="1" applyAlignment="1" applyProtection="1">
      <alignment horizontal="right" vertical="center"/>
    </xf>
    <xf numFmtId="0" fontId="11" fillId="0" borderId="0" xfId="29" applyFont="1" applyAlignment="1" applyProtection="1">
      <alignment horizontal="left" vertical="center"/>
    </xf>
    <xf numFmtId="37" fontId="74" fillId="0" borderId="0" xfId="29" applyNumberFormat="1" applyFont="1" applyProtection="1"/>
    <xf numFmtId="37" fontId="11" fillId="0" borderId="61" xfId="29" applyNumberFormat="1" applyFont="1" applyBorder="1" applyAlignment="1" applyProtection="1">
      <alignment horizontal="right" vertical="center"/>
    </xf>
    <xf numFmtId="0" fontId="232" fillId="0" borderId="0" xfId="29" applyFont="1" applyAlignment="1" applyProtection="1">
      <alignment horizontal="left" vertical="center"/>
    </xf>
    <xf numFmtId="14" fontId="11" fillId="11" borderId="13" xfId="29" applyNumberFormat="1" applyFont="1" applyFill="1" applyBorder="1" applyAlignment="1" applyProtection="1">
      <alignment vertical="center"/>
      <protection locked="0"/>
    </xf>
    <xf numFmtId="10" fontId="11" fillId="11" borderId="13" xfId="29" applyNumberFormat="1" applyFont="1" applyFill="1" applyBorder="1" applyAlignment="1" applyProtection="1">
      <alignment vertical="center"/>
      <protection locked="0"/>
    </xf>
    <xf numFmtId="37" fontId="11" fillId="11" borderId="13" xfId="29" applyNumberFormat="1" applyFont="1" applyFill="1" applyBorder="1" applyAlignment="1" applyProtection="1">
      <alignment vertical="center"/>
      <protection locked="0"/>
    </xf>
    <xf numFmtId="0" fontId="17" fillId="0" borderId="0" xfId="29" applyFont="1" applyFill="1" applyAlignment="1" applyProtection="1">
      <alignment horizontal="left"/>
    </xf>
    <xf numFmtId="0" fontId="11" fillId="0" borderId="0" xfId="29" applyFont="1" applyFill="1" applyProtection="1"/>
    <xf numFmtId="37" fontId="11" fillId="0" borderId="84" xfId="29" applyNumberFormat="1" applyFont="1" applyFill="1" applyBorder="1" applyAlignment="1" applyProtection="1">
      <alignment vertical="center"/>
    </xf>
    <xf numFmtId="0" fontId="11" fillId="0" borderId="0" xfId="29" applyFont="1" applyFill="1" applyAlignment="1" applyProtection="1">
      <alignment horizontal="centerContinuous"/>
    </xf>
    <xf numFmtId="0" fontId="11" fillId="11" borderId="12" xfId="29" applyFont="1" applyFill="1" applyBorder="1" applyAlignment="1" applyProtection="1">
      <alignment vertical="center"/>
      <protection locked="0"/>
    </xf>
    <xf numFmtId="2" fontId="11" fillId="11" borderId="12" xfId="29" applyNumberFormat="1" applyFont="1" applyFill="1" applyBorder="1" applyAlignment="1" applyProtection="1">
      <alignment vertical="center"/>
      <protection locked="0"/>
    </xf>
    <xf numFmtId="37" fontId="11" fillId="0" borderId="0" xfId="29" applyNumberFormat="1" applyFont="1" applyFill="1" applyBorder="1" applyAlignment="1" applyProtection="1">
      <alignment vertical="center"/>
    </xf>
    <xf numFmtId="0" fontId="11" fillId="11" borderId="13" xfId="29" applyFont="1" applyFill="1" applyBorder="1" applyAlignment="1" applyProtection="1">
      <alignment vertical="center"/>
      <protection locked="0"/>
    </xf>
    <xf numFmtId="2" fontId="11" fillId="11" borderId="13" xfId="29" applyNumberFormat="1" applyFont="1" applyFill="1" applyBorder="1" applyAlignment="1" applyProtection="1">
      <alignment vertical="center"/>
      <protection locked="0"/>
    </xf>
    <xf numFmtId="0" fontId="11" fillId="11" borderId="86" xfId="29" applyFont="1" applyFill="1" applyBorder="1" applyAlignment="1" applyProtection="1">
      <alignment vertical="center"/>
      <protection locked="0"/>
    </xf>
    <xf numFmtId="14" fontId="11" fillId="11" borderId="86" xfId="29" applyNumberFormat="1" applyFont="1" applyFill="1" applyBorder="1" applyAlignment="1" applyProtection="1">
      <alignment vertical="center"/>
      <protection locked="0"/>
    </xf>
    <xf numFmtId="2" fontId="11" fillId="11" borderId="86" xfId="29" applyNumberFormat="1" applyFont="1" applyFill="1" applyBorder="1" applyAlignment="1" applyProtection="1">
      <alignment vertical="center"/>
      <protection locked="0"/>
    </xf>
    <xf numFmtId="3" fontId="11" fillId="11" borderId="86" xfId="29" applyNumberFormat="1" applyFont="1" applyFill="1" applyBorder="1" applyAlignment="1" applyProtection="1">
      <alignment vertical="center"/>
      <protection locked="0"/>
    </xf>
    <xf numFmtId="37" fontId="11" fillId="11" borderId="86" xfId="29" applyNumberFormat="1" applyFont="1" applyFill="1" applyBorder="1" applyAlignment="1" applyProtection="1">
      <alignment vertical="center"/>
      <protection locked="0"/>
    </xf>
    <xf numFmtId="3" fontId="11" fillId="11" borderId="13" xfId="29" applyNumberFormat="1" applyFont="1" applyFill="1" applyBorder="1" applyAlignment="1" applyProtection="1">
      <alignment vertical="center"/>
      <protection locked="0"/>
    </xf>
    <xf numFmtId="37" fontId="11" fillId="0" borderId="88" xfId="29" applyNumberFormat="1" applyFont="1" applyFill="1" applyBorder="1" applyAlignment="1" applyProtection="1">
      <alignment vertical="center"/>
    </xf>
    <xf numFmtId="3" fontId="11" fillId="76" borderId="88" xfId="33" applyNumberFormat="1" applyFont="1" applyFill="1" applyBorder="1" applyAlignment="1" applyProtection="1">
      <alignment horizontal="right" vertical="center"/>
    </xf>
    <xf numFmtId="37" fontId="11" fillId="0" borderId="99" xfId="29" applyNumberFormat="1" applyFont="1" applyFill="1" applyBorder="1" applyAlignment="1" applyProtection="1">
      <alignment vertical="center"/>
    </xf>
    <xf numFmtId="3" fontId="11" fillId="76" borderId="63" xfId="33" applyNumberFormat="1" applyFont="1" applyFill="1" applyBorder="1" applyAlignment="1" applyProtection="1">
      <alignment horizontal="right" vertical="center"/>
    </xf>
    <xf numFmtId="0" fontId="17" fillId="0" borderId="0" xfId="29" applyFont="1" applyAlignment="1" applyProtection="1"/>
    <xf numFmtId="172" fontId="11" fillId="0" borderId="0" xfId="29" applyNumberFormat="1" applyFont="1" applyAlignment="1" applyProtection="1">
      <alignment horizontal="center"/>
    </xf>
    <xf numFmtId="0" fontId="11" fillId="0" borderId="0" xfId="29" applyFont="1" applyAlignment="1" applyProtection="1">
      <alignment horizontal="centerContinuous"/>
    </xf>
    <xf numFmtId="172" fontId="11" fillId="0" borderId="0" xfId="29" applyNumberFormat="1" applyFont="1" applyAlignment="1" applyProtection="1">
      <alignment horizontal="centerContinuous"/>
    </xf>
    <xf numFmtId="0" fontId="11" fillId="0" borderId="0" xfId="29" applyFont="1" applyAlignment="1" applyProtection="1">
      <alignment horizontal="center"/>
    </xf>
    <xf numFmtId="0" fontId="11" fillId="0" borderId="0" xfId="32" applyFont="1" applyAlignment="1" applyProtection="1">
      <alignment horizontal="right"/>
    </xf>
    <xf numFmtId="0" fontId="11" fillId="0" borderId="0" xfId="32" applyFont="1" applyBorder="1" applyProtection="1"/>
    <xf numFmtId="0" fontId="11" fillId="0" borderId="0" xfId="32" applyFont="1" applyFill="1" applyProtection="1"/>
    <xf numFmtId="0" fontId="24" fillId="0" borderId="0" xfId="32" applyFont="1" applyProtection="1"/>
    <xf numFmtId="0" fontId="24" fillId="0" borderId="0" xfId="32" applyFont="1"/>
    <xf numFmtId="0" fontId="15" fillId="0" borderId="0" xfId="32" applyFont="1" applyProtection="1"/>
    <xf numFmtId="0" fontId="11" fillId="0" borderId="0" xfId="32" applyFont="1" applyFill="1" applyAlignment="1" applyProtection="1">
      <alignment horizontal="centerContinuous"/>
    </xf>
    <xf numFmtId="0" fontId="12" fillId="0" borderId="0" xfId="32" applyFont="1" applyAlignment="1" applyProtection="1">
      <alignment vertical="center"/>
    </xf>
    <xf numFmtId="183" fontId="11" fillId="0" borderId="61" xfId="32" applyNumberFormat="1" applyFont="1" applyBorder="1" applyAlignment="1" applyProtection="1">
      <alignment horizontal="center" vertical="center"/>
    </xf>
    <xf numFmtId="0" fontId="11" fillId="0" borderId="0" xfId="32" applyFont="1" applyFill="1" applyBorder="1" applyAlignment="1" applyProtection="1">
      <alignment horizontal="center"/>
    </xf>
    <xf numFmtId="0" fontId="11" fillId="0" borderId="0" xfId="29" applyFont="1" applyFill="1" applyBorder="1" applyAlignment="1" applyProtection="1">
      <alignment vertical="center" wrapText="1"/>
    </xf>
    <xf numFmtId="0" fontId="11" fillId="0" borderId="1" xfId="32" applyFont="1" applyBorder="1" applyAlignment="1" applyProtection="1">
      <alignment horizontal="left"/>
    </xf>
    <xf numFmtId="0" fontId="11" fillId="0" borderId="12" xfId="32" applyFont="1" applyBorder="1" applyAlignment="1" applyProtection="1">
      <alignment horizontal="center" wrapText="1"/>
    </xf>
    <xf numFmtId="14" fontId="11" fillId="0" borderId="12" xfId="32" applyNumberFormat="1" applyFont="1" applyBorder="1" applyAlignment="1" applyProtection="1">
      <alignment horizontal="center" wrapText="1"/>
    </xf>
    <xf numFmtId="14" fontId="11" fillId="0" borderId="0" xfId="32" applyNumberFormat="1" applyFont="1" applyFill="1" applyBorder="1" applyAlignment="1" applyProtection="1">
      <alignment horizontal="center"/>
    </xf>
    <xf numFmtId="0" fontId="11" fillId="11" borderId="12" xfId="32" applyFont="1" applyFill="1" applyBorder="1" applyProtection="1">
      <protection locked="0"/>
    </xf>
    <xf numFmtId="14" fontId="11" fillId="11" borderId="12" xfId="32" applyNumberFormat="1" applyFont="1" applyFill="1" applyBorder="1" applyAlignment="1" applyProtection="1">
      <alignment horizontal="center"/>
      <protection locked="0"/>
    </xf>
    <xf numFmtId="3" fontId="11" fillId="11" borderId="12" xfId="32" applyNumberFormat="1" applyFont="1" applyFill="1" applyBorder="1" applyProtection="1">
      <protection locked="0"/>
    </xf>
    <xf numFmtId="10" fontId="11" fillId="11" borderId="12" xfId="32" applyNumberFormat="1" applyFont="1" applyFill="1" applyBorder="1" applyProtection="1">
      <protection locked="0"/>
    </xf>
    <xf numFmtId="3" fontId="11" fillId="11" borderId="12" xfId="32" applyNumberFormat="1" applyFont="1" applyFill="1" applyBorder="1" applyAlignment="1" applyProtection="1">
      <protection locked="0"/>
    </xf>
    <xf numFmtId="3" fontId="11" fillId="0" borderId="0" xfId="32" applyNumberFormat="1" applyFont="1" applyFill="1" applyBorder="1" applyAlignment="1" applyProtection="1">
      <protection locked="0"/>
    </xf>
    <xf numFmtId="0" fontId="11" fillId="0" borderId="0" xfId="29" applyFont="1" applyFill="1" applyAlignment="1" applyProtection="1">
      <alignment wrapText="1"/>
    </xf>
    <xf numFmtId="0" fontId="11" fillId="11" borderId="13" xfId="32" applyFont="1" applyFill="1" applyBorder="1" applyProtection="1">
      <protection locked="0"/>
    </xf>
    <xf numFmtId="14" fontId="11" fillId="11" borderId="13" xfId="32" applyNumberFormat="1" applyFont="1" applyFill="1" applyBorder="1" applyAlignment="1" applyProtection="1">
      <alignment horizontal="center"/>
      <protection locked="0"/>
    </xf>
    <xf numFmtId="3" fontId="11" fillId="11" borderId="13" xfId="32" applyNumberFormat="1" applyFont="1" applyFill="1" applyBorder="1" applyProtection="1">
      <protection locked="0"/>
    </xf>
    <xf numFmtId="10" fontId="11" fillId="11" borderId="13" xfId="32" applyNumberFormat="1" applyFont="1" applyFill="1" applyBorder="1" applyProtection="1">
      <protection locked="0"/>
    </xf>
    <xf numFmtId="3" fontId="11" fillId="11" borderId="13" xfId="32" applyNumberFormat="1" applyFont="1" applyFill="1" applyBorder="1" applyAlignment="1" applyProtection="1">
      <protection locked="0"/>
    </xf>
    <xf numFmtId="5" fontId="11" fillId="0" borderId="13" xfId="32" applyNumberFormat="1" applyFont="1" applyFill="1" applyBorder="1" applyAlignment="1" applyProtection="1"/>
    <xf numFmtId="5" fontId="11" fillId="0" borderId="0" xfId="32" applyNumberFormat="1" applyFont="1" applyFill="1" applyBorder="1" applyAlignment="1" applyProtection="1"/>
    <xf numFmtId="172" fontId="11" fillId="0" borderId="0" xfId="32" applyNumberFormat="1" applyFont="1" applyAlignment="1" applyProtection="1">
      <alignment horizontal="center"/>
    </xf>
    <xf numFmtId="172" fontId="11" fillId="0" borderId="0" xfId="32" applyNumberFormat="1" applyFont="1" applyAlignment="1" applyProtection="1">
      <alignment horizontal="centerContinuous"/>
    </xf>
    <xf numFmtId="0" fontId="11" fillId="0" borderId="0" xfId="32" applyFont="1" applyAlignment="1" applyProtection="1">
      <alignment horizontal="centerContinuous"/>
    </xf>
    <xf numFmtId="0" fontId="11" fillId="0" borderId="0" xfId="32" applyFont="1" applyAlignment="1" applyProtection="1">
      <alignment horizontal="center"/>
    </xf>
    <xf numFmtId="0" fontId="24" fillId="0" borderId="0" xfId="32" applyFont="1" applyFill="1" applyProtection="1"/>
    <xf numFmtId="3" fontId="11" fillId="11" borderId="75" xfId="45" applyNumberFormat="1" applyFont="1" applyFill="1" applyBorder="1" applyAlignment="1" applyProtection="1">
      <alignment horizontal="right" vertical="center"/>
      <protection locked="0"/>
    </xf>
    <xf numFmtId="0" fontId="76" fillId="59" borderId="0" xfId="0" applyFont="1" applyFill="1" applyAlignment="1">
      <alignment horizontal="center" wrapText="1"/>
    </xf>
    <xf numFmtId="0" fontId="15" fillId="84" borderId="0" xfId="8" applyFont="1" applyFill="1" applyAlignment="1" applyProtection="1">
      <alignment horizontal="center" vertical="center"/>
    </xf>
    <xf numFmtId="0" fontId="11" fillId="0" borderId="61" xfId="47" applyFont="1" applyFill="1" applyBorder="1" applyAlignment="1" applyProtection="1">
      <alignment horizontal="left"/>
    </xf>
    <xf numFmtId="0" fontId="11" fillId="0" borderId="61" xfId="0" applyFont="1" applyBorder="1" applyAlignment="1"/>
    <xf numFmtId="0" fontId="176" fillId="84" borderId="0" xfId="8" applyFont="1" applyFill="1" applyAlignment="1" applyProtection="1">
      <alignment horizontal="center" vertical="center"/>
    </xf>
    <xf numFmtId="0" fontId="15" fillId="84" borderId="0" xfId="8" applyFont="1" applyFill="1" applyAlignment="1" applyProtection="1">
      <alignment horizontal="right" vertical="center"/>
    </xf>
    <xf numFmtId="0" fontId="17" fillId="0" borderId="103" xfId="47" applyFont="1" applyBorder="1" applyAlignment="1" applyProtection="1">
      <alignment horizontal="left" wrapText="1"/>
    </xf>
    <xf numFmtId="0" fontId="17" fillId="0" borderId="0" xfId="47" applyFont="1" applyBorder="1" applyAlignment="1" applyProtection="1">
      <alignment horizontal="left" wrapText="1"/>
    </xf>
    <xf numFmtId="0" fontId="17" fillId="0" borderId="78" xfId="47" applyFont="1" applyBorder="1" applyAlignment="1" applyProtection="1">
      <alignment horizontal="left" wrapText="1"/>
    </xf>
    <xf numFmtId="0" fontId="17" fillId="0" borderId="101" xfId="47" applyFont="1" applyBorder="1" applyAlignment="1" applyProtection="1">
      <alignment horizontal="left" wrapText="1"/>
    </xf>
    <xf numFmtId="0" fontId="17" fillId="0" borderId="65" xfId="47" applyFont="1" applyBorder="1" applyAlignment="1" applyProtection="1">
      <alignment horizontal="left" wrapText="1"/>
    </xf>
    <xf numFmtId="0" fontId="17" fillId="0" borderId="61" xfId="47" applyFont="1" applyBorder="1" applyAlignment="1" applyProtection="1">
      <alignment horizontal="left" wrapText="1"/>
    </xf>
    <xf numFmtId="14" fontId="17" fillId="0" borderId="78" xfId="47" applyNumberFormat="1" applyFont="1" applyBorder="1" applyAlignment="1" applyProtection="1">
      <alignment horizontal="left" wrapText="1"/>
    </xf>
    <xf numFmtId="14" fontId="17" fillId="0" borderId="101" xfId="47" applyNumberFormat="1" applyFont="1" applyBorder="1" applyAlignment="1" applyProtection="1">
      <alignment horizontal="left" wrapText="1"/>
    </xf>
    <xf numFmtId="0" fontId="17" fillId="0" borderId="77" xfId="47" applyFont="1" applyBorder="1" applyAlignment="1" applyProtection="1">
      <alignment horizontal="left" wrapText="1"/>
    </xf>
    <xf numFmtId="0" fontId="17" fillId="0" borderId="72" xfId="47" applyFont="1" applyBorder="1" applyAlignment="1" applyProtection="1">
      <alignment horizontal="left" wrapText="1"/>
    </xf>
    <xf numFmtId="0" fontId="15" fillId="0" borderId="0" xfId="182" applyFont="1" applyAlignment="1" applyProtection="1">
      <alignment horizontal="center"/>
    </xf>
    <xf numFmtId="0" fontId="17" fillId="0" borderId="0" xfId="182" applyFont="1" applyAlignment="1" applyProtection="1">
      <alignment horizontal="center"/>
    </xf>
    <xf numFmtId="0" fontId="15" fillId="0" borderId="0" xfId="0" applyFont="1" applyAlignment="1" applyProtection="1">
      <alignment horizontal="center"/>
    </xf>
    <xf numFmtId="170" fontId="11" fillId="0" borderId="0" xfId="183" applyNumberFormat="1" applyFont="1" applyFill="1" applyBorder="1" applyAlignment="1" applyProtection="1">
      <alignment horizontal="right"/>
    </xf>
    <xf numFmtId="0" fontId="15" fillId="0" borderId="50" xfId="183" applyFont="1" applyFill="1" applyBorder="1" applyAlignment="1" applyProtection="1">
      <alignment horizontal="center"/>
    </xf>
    <xf numFmtId="3" fontId="212" fillId="21" borderId="0" xfId="183" applyNumberFormat="1" applyFont="1" applyFill="1" applyBorder="1" applyAlignment="1" applyProtection="1">
      <alignment horizontal="center"/>
    </xf>
    <xf numFmtId="0" fontId="11" fillId="0" borderId="0" xfId="176" applyFont="1" applyFill="1" applyBorder="1" applyAlignment="1" applyProtection="1">
      <alignment horizontal="center"/>
    </xf>
    <xf numFmtId="0" fontId="11" fillId="21" borderId="0" xfId="183" applyFont="1" applyFill="1" applyBorder="1" applyAlignment="1" applyProtection="1">
      <alignment horizontal="center"/>
    </xf>
    <xf numFmtId="0" fontId="15" fillId="0" borderId="0" xfId="183" applyFont="1" applyFill="1" applyBorder="1" applyAlignment="1" applyProtection="1">
      <alignment horizontal="center"/>
    </xf>
    <xf numFmtId="0" fontId="15" fillId="0" borderId="0" xfId="183" applyFont="1" applyFill="1" applyBorder="1" applyAlignment="1" applyProtection="1">
      <alignment horizontal="left"/>
    </xf>
    <xf numFmtId="0" fontId="11" fillId="0" borderId="0" xfId="0" applyFont="1" applyAlignment="1" applyProtection="1">
      <alignment horizontal="left"/>
    </xf>
    <xf numFmtId="0" fontId="81" fillId="0" borderId="0" xfId="176" applyFont="1" applyAlignment="1" applyProtection="1">
      <alignment horizontal="center"/>
    </xf>
    <xf numFmtId="170" fontId="11" fillId="0" borderId="0" xfId="184" applyNumberFormat="1" applyFont="1" applyFill="1" applyAlignment="1" applyProtection="1">
      <alignment horizontal="right"/>
    </xf>
    <xf numFmtId="0" fontId="15" fillId="0" borderId="0" xfId="185" applyFont="1" applyAlignment="1" applyProtection="1">
      <alignment horizontal="center"/>
    </xf>
    <xf numFmtId="0" fontId="11" fillId="0" borderId="65" xfId="185" applyFont="1" applyBorder="1" applyAlignment="1" applyProtection="1">
      <alignment horizontal="center"/>
    </xf>
    <xf numFmtId="0" fontId="11" fillId="0" borderId="64" xfId="185" applyFont="1" applyBorder="1" applyAlignment="1" applyProtection="1">
      <alignment horizontal="center"/>
    </xf>
    <xf numFmtId="0" fontId="11" fillId="0" borderId="103" xfId="185" applyFont="1" applyBorder="1" applyAlignment="1" applyProtection="1">
      <alignment horizontal="center"/>
    </xf>
    <xf numFmtId="0" fontId="11" fillId="0" borderId="73" xfId="185" applyFont="1" applyBorder="1" applyAlignment="1" applyProtection="1">
      <alignment horizontal="center"/>
    </xf>
    <xf numFmtId="0" fontId="11" fillId="0" borderId="104" xfId="185" applyFont="1" applyBorder="1" applyAlignment="1" applyProtection="1">
      <alignment horizontal="center" vertical="center"/>
    </xf>
    <xf numFmtId="0" fontId="17" fillId="0" borderId="61" xfId="0" applyFont="1" applyBorder="1" applyAlignment="1" applyProtection="1">
      <alignment horizontal="center"/>
    </xf>
    <xf numFmtId="170" fontId="11" fillId="0" borderId="0" xfId="185" applyNumberFormat="1" applyFont="1" applyAlignment="1" applyProtection="1">
      <alignment horizontal="left"/>
    </xf>
    <xf numFmtId="170" fontId="11" fillId="0" borderId="0" xfId="185" applyNumberFormat="1" applyFont="1" applyAlignment="1" applyProtection="1">
      <alignment horizontal="right"/>
    </xf>
    <xf numFmtId="170" fontId="11" fillId="0" borderId="0" xfId="186" applyNumberFormat="1" applyFont="1" applyFill="1" applyAlignment="1" applyProtection="1">
      <alignment horizontal="right"/>
    </xf>
    <xf numFmtId="0" fontId="11" fillId="0" borderId="0" xfId="186" applyFont="1" applyFill="1" applyAlignment="1" applyProtection="1">
      <alignment horizontal="right"/>
    </xf>
    <xf numFmtId="0" fontId="11" fillId="0" borderId="0" xfId="185" applyFont="1" applyAlignment="1" applyProtection="1">
      <alignment horizontal="left"/>
    </xf>
    <xf numFmtId="0" fontId="11" fillId="0" borderId="0" xfId="184" applyFont="1" applyFill="1" applyAlignment="1" applyProtection="1">
      <alignment horizontal="left"/>
    </xf>
    <xf numFmtId="0" fontId="152" fillId="0" borderId="0" xfId="176" applyFont="1" applyAlignment="1" applyProtection="1">
      <alignment horizontal="center"/>
    </xf>
    <xf numFmtId="0" fontId="150" fillId="0" borderId="0" xfId="176" applyFont="1" applyAlignment="1" applyProtection="1">
      <alignment horizontal="center"/>
    </xf>
    <xf numFmtId="0" fontId="150" fillId="0" borderId="0" xfId="184" applyFont="1" applyFill="1" applyAlignment="1" applyProtection="1">
      <alignment horizontal="left"/>
    </xf>
    <xf numFmtId="0" fontId="150" fillId="0" borderId="0" xfId="185" applyFont="1" applyAlignment="1" applyProtection="1">
      <alignment horizontal="left"/>
    </xf>
    <xf numFmtId="170" fontId="150" fillId="0" borderId="0" xfId="185" applyNumberFormat="1" applyFont="1" applyAlignment="1" applyProtection="1">
      <alignment horizontal="left"/>
    </xf>
    <xf numFmtId="0" fontId="15" fillId="0" borderId="0" xfId="188" applyFont="1" applyFill="1" applyAlignment="1" applyProtection="1">
      <alignment horizontal="center"/>
    </xf>
    <xf numFmtId="0" fontId="15" fillId="0" borderId="0" xfId="188" applyFont="1" applyFill="1" applyBorder="1" applyAlignment="1" applyProtection="1">
      <alignment horizontal="center"/>
    </xf>
    <xf numFmtId="0" fontId="11" fillId="0" borderId="0" xfId="188" applyFont="1" applyFill="1" applyAlignment="1" applyProtection="1">
      <alignment horizontal="center" vertical="top"/>
    </xf>
    <xf numFmtId="0" fontId="11" fillId="0" borderId="0" xfId="188" applyFont="1" applyFill="1" applyAlignment="1" applyProtection="1">
      <alignment horizontal="center"/>
    </xf>
    <xf numFmtId="0" fontId="15" fillId="0" borderId="0" xfId="189" applyFont="1" applyFill="1" applyBorder="1" applyAlignment="1" applyProtection="1">
      <alignment horizontal="center"/>
    </xf>
    <xf numFmtId="0" fontId="11" fillId="0" borderId="0" xfId="189" applyFont="1" applyFill="1" applyAlignment="1" applyProtection="1">
      <alignment horizontal="center"/>
    </xf>
    <xf numFmtId="0" fontId="15" fillId="0" borderId="0" xfId="189" applyFont="1" applyFill="1" applyAlignment="1" applyProtection="1">
      <alignment horizontal="center"/>
    </xf>
    <xf numFmtId="0" fontId="12" fillId="0" borderId="0" xfId="8" applyFont="1" applyFill="1" applyAlignment="1" applyProtection="1">
      <alignment horizontal="left" vertical="center" indent="3"/>
    </xf>
    <xf numFmtId="0" fontId="11" fillId="0" borderId="78" xfId="8" applyFont="1" applyFill="1" applyBorder="1" applyAlignment="1" applyProtection="1">
      <alignment horizontal="center" vertical="center"/>
    </xf>
    <xf numFmtId="0" fontId="11" fillId="0" borderId="66" xfId="8" applyFont="1" applyFill="1" applyBorder="1" applyAlignment="1" applyProtection="1">
      <alignment horizontal="center" vertical="center"/>
    </xf>
    <xf numFmtId="0" fontId="11" fillId="0" borderId="7" xfId="8" applyFont="1" applyFill="1" applyBorder="1" applyAlignment="1" applyProtection="1">
      <alignment horizontal="center" wrapText="1"/>
    </xf>
    <xf numFmtId="0" fontId="11" fillId="0" borderId="63" xfId="8" applyFont="1" applyFill="1" applyBorder="1" applyAlignment="1" applyProtection="1">
      <alignment horizontal="center" wrapText="1"/>
    </xf>
    <xf numFmtId="172" fontId="11" fillId="75" borderId="78" xfId="8" applyNumberFormat="1" applyFont="1" applyFill="1" applyBorder="1" applyAlignment="1" applyProtection="1">
      <alignment horizontal="left" vertical="center"/>
    </xf>
    <xf numFmtId="172" fontId="11" fillId="75" borderId="101" xfId="8" applyNumberFormat="1" applyFont="1" applyFill="1" applyBorder="1" applyAlignment="1" applyProtection="1">
      <alignment horizontal="left" vertical="center"/>
    </xf>
    <xf numFmtId="172" fontId="11" fillId="75" borderId="61" xfId="8" applyNumberFormat="1" applyFont="1" applyFill="1" applyBorder="1" applyAlignment="1" applyProtection="1">
      <alignment horizontal="left" vertical="center"/>
    </xf>
    <xf numFmtId="172" fontId="11" fillId="75" borderId="64" xfId="8" applyNumberFormat="1" applyFont="1" applyFill="1" applyBorder="1" applyAlignment="1" applyProtection="1">
      <alignment horizontal="left" vertical="center"/>
    </xf>
    <xf numFmtId="0" fontId="12" fillId="0" borderId="72" xfId="8" applyFont="1" applyFill="1" applyBorder="1" applyAlignment="1" applyProtection="1">
      <alignment horizontal="left" vertical="center" indent="3"/>
    </xf>
    <xf numFmtId="172" fontId="11" fillId="0" borderId="76" xfId="8" applyNumberFormat="1" applyFont="1" applyFill="1" applyBorder="1" applyAlignment="1" applyProtection="1">
      <alignment horizontal="center" wrapText="1"/>
    </xf>
    <xf numFmtId="172" fontId="11" fillId="0" borderId="104" xfId="8" applyNumberFormat="1" applyFont="1" applyFill="1" applyBorder="1" applyAlignment="1" applyProtection="1">
      <alignment horizontal="center" wrapText="1"/>
    </xf>
    <xf numFmtId="172" fontId="11" fillId="0" borderId="63" xfId="8" applyNumberFormat="1" applyFont="1" applyFill="1" applyBorder="1" applyAlignment="1" applyProtection="1">
      <alignment horizontal="center" wrapText="1"/>
    </xf>
    <xf numFmtId="0" fontId="74" fillId="80" borderId="0" xfId="8" applyFont="1" applyFill="1" applyAlignment="1" applyProtection="1">
      <alignment horizontal="center" vertical="center"/>
    </xf>
    <xf numFmtId="0" fontId="11" fillId="0" borderId="0" xfId="8" applyFont="1" applyFill="1" applyAlignment="1" applyProtection="1">
      <alignment horizontal="center" vertical="center"/>
    </xf>
    <xf numFmtId="0" fontId="11" fillId="0" borderId="0" xfId="8" applyFont="1" applyFill="1" applyAlignment="1" applyProtection="1">
      <alignment horizontal="center"/>
    </xf>
    <xf numFmtId="0" fontId="11" fillId="0" borderId="0" xfId="8" applyFont="1" applyFill="1" applyAlignment="1" applyProtection="1">
      <alignment horizontal="left" vertical="center" wrapText="1"/>
    </xf>
    <xf numFmtId="169" fontId="11" fillId="0" borderId="0" xfId="8" applyNumberFormat="1" applyFont="1" applyFill="1" applyBorder="1" applyAlignment="1" applyProtection="1">
      <alignment horizontal="right" vertical="center"/>
    </xf>
    <xf numFmtId="0" fontId="11" fillId="0" borderId="71" xfId="8" applyFont="1" applyFill="1" applyBorder="1" applyAlignment="1" applyProtection="1">
      <alignment horizontal="center" vertical="center"/>
    </xf>
    <xf numFmtId="0" fontId="11" fillId="0" borderId="62" xfId="8" applyFont="1" applyFill="1" applyBorder="1" applyAlignment="1" applyProtection="1">
      <alignment horizontal="center" vertical="center"/>
    </xf>
    <xf numFmtId="0" fontId="11" fillId="0" borderId="72" xfId="8" applyFont="1" applyFill="1" applyBorder="1" applyAlignment="1" applyProtection="1">
      <alignment horizontal="left"/>
    </xf>
    <xf numFmtId="0" fontId="11" fillId="0" borderId="61" xfId="8" applyFont="1" applyFill="1" applyBorder="1" applyAlignment="1" applyProtection="1">
      <alignment horizontal="left"/>
    </xf>
    <xf numFmtId="0" fontId="11" fillId="0" borderId="0" xfId="8" applyFont="1" applyFill="1" applyBorder="1" applyAlignment="1" applyProtection="1">
      <alignment horizontal="left"/>
    </xf>
    <xf numFmtId="0" fontId="12" fillId="0" borderId="0" xfId="8" applyFont="1" applyFill="1" applyBorder="1" applyAlignment="1" applyProtection="1">
      <alignment horizontal="left" vertical="center"/>
    </xf>
    <xf numFmtId="0" fontId="12" fillId="0" borderId="0" xfId="8" applyFont="1" applyFill="1" applyAlignment="1" applyProtection="1">
      <alignment horizontal="left" vertical="center"/>
    </xf>
    <xf numFmtId="0" fontId="12" fillId="0" borderId="0" xfId="8" applyFont="1" applyFill="1" applyBorder="1" applyAlignment="1" applyProtection="1">
      <alignment horizontal="center" vertical="center"/>
    </xf>
    <xf numFmtId="0" fontId="176" fillId="80" borderId="0" xfId="8" applyFont="1" applyFill="1" applyAlignment="1" applyProtection="1">
      <alignment horizontal="center"/>
    </xf>
    <xf numFmtId="0" fontId="11" fillId="0" borderId="0" xfId="8" applyFont="1" applyFill="1" applyBorder="1" applyAlignment="1" applyProtection="1">
      <alignment horizontal="center" vertical="center"/>
    </xf>
    <xf numFmtId="0" fontId="74" fillId="80" borderId="0" xfId="8" applyFont="1" applyFill="1" applyAlignment="1" applyProtection="1">
      <alignment horizontal="center"/>
    </xf>
    <xf numFmtId="0" fontId="11" fillId="0" borderId="60" xfId="8" applyFont="1" applyFill="1" applyBorder="1" applyAlignment="1" applyProtection="1">
      <alignment horizontal="center" vertical="center"/>
    </xf>
    <xf numFmtId="0" fontId="11" fillId="21" borderId="8" xfId="8" applyFont="1" applyFill="1" applyBorder="1" applyAlignment="1" applyProtection="1">
      <alignment horizontal="left" vertical="center" indent="1"/>
    </xf>
    <xf numFmtId="0" fontId="11" fillId="21" borderId="9" xfId="8" applyFont="1" applyFill="1" applyBorder="1" applyAlignment="1" applyProtection="1">
      <alignment horizontal="left" vertical="center" indent="1"/>
    </xf>
    <xf numFmtId="0" fontId="11" fillId="21" borderId="65" xfId="8" applyFont="1" applyFill="1" applyBorder="1" applyAlignment="1" applyProtection="1">
      <alignment horizontal="left" vertical="center" indent="1"/>
    </xf>
    <xf numFmtId="0" fontId="11" fillId="21" borderId="64" xfId="8" applyFont="1" applyFill="1" applyBorder="1" applyAlignment="1" applyProtection="1">
      <alignment horizontal="left" vertical="center" indent="1"/>
    </xf>
    <xf numFmtId="0" fontId="11" fillId="0" borderId="0" xfId="8" applyFont="1" applyFill="1" applyAlignment="1" applyProtection="1">
      <alignment horizontal="left" vertical="center"/>
    </xf>
    <xf numFmtId="0" fontId="11" fillId="11" borderId="61" xfId="8" applyFont="1" applyFill="1" applyBorder="1" applyAlignment="1" applyProtection="1">
      <alignment horizontal="left" vertical="center"/>
    </xf>
    <xf numFmtId="0" fontId="11" fillId="11" borderId="59" xfId="8" applyFont="1" applyFill="1" applyBorder="1" applyAlignment="1" applyProtection="1">
      <alignment horizontal="left" vertical="center"/>
    </xf>
    <xf numFmtId="0" fontId="11" fillId="0" borderId="7" xfId="8" applyFont="1" applyFill="1" applyBorder="1" applyAlignment="1" applyProtection="1">
      <alignment horizontal="center" vertical="top" wrapText="1"/>
    </xf>
    <xf numFmtId="0" fontId="11" fillId="0" borderId="63" xfId="8" applyFont="1" applyFill="1" applyBorder="1" applyAlignment="1" applyProtection="1">
      <alignment horizontal="center" vertical="top" wrapText="1"/>
    </xf>
    <xf numFmtId="0" fontId="216" fillId="21" borderId="71" xfId="8" applyFont="1" applyFill="1" applyBorder="1" applyAlignment="1" applyProtection="1">
      <alignment horizontal="left" vertical="center"/>
    </xf>
    <xf numFmtId="0" fontId="216" fillId="21" borderId="62" xfId="8" applyFont="1" applyFill="1" applyBorder="1" applyAlignment="1" applyProtection="1">
      <alignment horizontal="left" vertical="center"/>
    </xf>
    <xf numFmtId="172" fontId="11" fillId="75" borderId="77" xfId="8" applyNumberFormat="1" applyFont="1" applyFill="1" applyBorder="1" applyAlignment="1" applyProtection="1">
      <alignment horizontal="left" vertical="center"/>
    </xf>
    <xf numFmtId="172" fontId="11" fillId="75" borderId="72" xfId="8" applyNumberFormat="1" applyFont="1" applyFill="1" applyBorder="1" applyAlignment="1" applyProtection="1">
      <alignment horizontal="left" vertical="center"/>
    </xf>
    <xf numFmtId="172" fontId="11" fillId="75" borderId="74" xfId="8" applyNumberFormat="1" applyFont="1" applyFill="1" applyBorder="1" applyAlignment="1" applyProtection="1">
      <alignment horizontal="left" vertical="center"/>
    </xf>
    <xf numFmtId="0" fontId="11" fillId="0" borderId="0" xfId="14" applyFont="1" applyAlignment="1" applyProtection="1">
      <alignment horizontal="center"/>
    </xf>
    <xf numFmtId="0" fontId="11" fillId="0" borderId="0" xfId="14" applyFont="1" applyAlignment="1" applyProtection="1">
      <alignment horizontal="left" vertical="center" indent="1"/>
    </xf>
    <xf numFmtId="0" fontId="11" fillId="0" borderId="0" xfId="14" applyFont="1" applyAlignment="1" applyProtection="1">
      <alignment horizontal="left"/>
    </xf>
    <xf numFmtId="0" fontId="74" fillId="80" borderId="0" xfId="14" applyFont="1" applyFill="1" applyAlignment="1" applyProtection="1">
      <alignment horizontal="center"/>
    </xf>
    <xf numFmtId="0" fontId="15" fillId="0" borderId="0" xfId="8" applyFont="1" applyFill="1" applyAlignment="1" applyProtection="1">
      <alignment horizontal="right" vertical="center"/>
    </xf>
    <xf numFmtId="0" fontId="12" fillId="0" borderId="72" xfId="24" applyFont="1" applyFill="1" applyBorder="1" applyAlignment="1" applyProtection="1">
      <alignment horizontal="center" vertical="center"/>
    </xf>
    <xf numFmtId="5" fontId="11" fillId="0" borderId="61" xfId="24" applyNumberFormat="1" applyFont="1" applyFill="1" applyBorder="1" applyAlignment="1" applyProtection="1">
      <alignment horizontal="center" vertical="center"/>
    </xf>
    <xf numFmtId="0" fontId="11" fillId="0" borderId="0" xfId="24" applyFont="1" applyFill="1" applyAlignment="1" applyProtection="1">
      <alignment horizontal="right" vertical="center"/>
    </xf>
    <xf numFmtId="0" fontId="12" fillId="0" borderId="0" xfId="24" applyFont="1" applyFill="1" applyBorder="1" applyAlignment="1" applyProtection="1">
      <alignment horizontal="center" vertical="center"/>
    </xf>
    <xf numFmtId="169" fontId="11" fillId="0" borderId="61" xfId="24" applyNumberFormat="1" applyFont="1" applyFill="1" applyBorder="1" applyAlignment="1" applyProtection="1">
      <alignment horizontal="center" vertical="center"/>
    </xf>
    <xf numFmtId="0" fontId="12" fillId="0" borderId="72" xfId="24" applyFont="1" applyFill="1" applyBorder="1" applyAlignment="1" applyProtection="1">
      <alignment horizontal="center" vertical="top" wrapText="1"/>
    </xf>
    <xf numFmtId="0" fontId="12" fillId="0" borderId="0" xfId="24" applyFont="1" applyFill="1" applyBorder="1" applyAlignment="1" applyProtection="1">
      <alignment horizontal="center" vertical="top" wrapText="1"/>
    </xf>
    <xf numFmtId="0" fontId="11" fillId="0" borderId="9" xfId="8" applyFont="1" applyFill="1" applyBorder="1" applyAlignment="1" applyProtection="1">
      <alignment horizontal="left"/>
    </xf>
    <xf numFmtId="0" fontId="11" fillId="0" borderId="64" xfId="8" applyFont="1" applyFill="1" applyBorder="1" applyAlignment="1" applyProtection="1">
      <alignment horizontal="left"/>
    </xf>
    <xf numFmtId="0" fontId="74" fillId="80" borderId="0" xfId="24" applyFont="1" applyFill="1" applyAlignment="1" applyProtection="1">
      <alignment horizontal="center"/>
    </xf>
    <xf numFmtId="0" fontId="11" fillId="0" borderId="0" xfId="24" applyFont="1" applyFill="1" applyAlignment="1" applyProtection="1">
      <alignment horizontal="center" vertical="center"/>
    </xf>
    <xf numFmtId="171" fontId="11" fillId="75" borderId="73" xfId="24" applyNumberFormat="1" applyFont="1" applyFill="1" applyBorder="1" applyAlignment="1" applyProtection="1">
      <alignment horizontal="center" wrapText="1"/>
    </xf>
    <xf numFmtId="171" fontId="11" fillId="75" borderId="64" xfId="24" applyNumberFormat="1" applyFont="1" applyFill="1" applyBorder="1" applyAlignment="1" applyProtection="1">
      <alignment horizontal="center" wrapText="1"/>
    </xf>
    <xf numFmtId="171" fontId="11" fillId="75" borderId="104" xfId="24" applyNumberFormat="1" applyFont="1" applyFill="1" applyBorder="1" applyAlignment="1" applyProtection="1">
      <alignment horizontal="center" wrapText="1"/>
    </xf>
    <xf numFmtId="171" fontId="11" fillId="75" borderId="63" xfId="24" applyNumberFormat="1" applyFont="1" applyFill="1" applyBorder="1" applyAlignment="1" applyProtection="1">
      <alignment horizontal="center" wrapText="1"/>
    </xf>
    <xf numFmtId="171" fontId="11" fillId="0" borderId="104" xfId="24" applyNumberFormat="1" applyFont="1" applyFill="1" applyBorder="1" applyAlignment="1" applyProtection="1">
      <alignment horizontal="center" wrapText="1"/>
    </xf>
    <xf numFmtId="171" fontId="11" fillId="0" borderId="63" xfId="24" applyNumberFormat="1" applyFont="1" applyFill="1" applyBorder="1" applyAlignment="1" applyProtection="1">
      <alignment horizontal="center" wrapText="1"/>
    </xf>
    <xf numFmtId="171" fontId="11" fillId="0" borderId="76" xfId="24" applyNumberFormat="1" applyFont="1" applyFill="1" applyBorder="1" applyAlignment="1" applyProtection="1">
      <alignment horizontal="center" wrapText="1"/>
    </xf>
    <xf numFmtId="0" fontId="11" fillId="0" borderId="104" xfId="24" applyFont="1" applyFill="1" applyBorder="1" applyAlignment="1" applyProtection="1">
      <alignment horizontal="center" wrapText="1"/>
    </xf>
    <xf numFmtId="0" fontId="11" fillId="0" borderId="63" xfId="24" applyFont="1" applyFill="1" applyBorder="1" applyAlignment="1" applyProtection="1">
      <alignment horizontal="center" wrapText="1"/>
    </xf>
    <xf numFmtId="0" fontId="11" fillId="75" borderId="77" xfId="24" applyFont="1" applyFill="1" applyBorder="1" applyAlignment="1" applyProtection="1">
      <alignment horizontal="center" vertical="center"/>
    </xf>
    <xf numFmtId="0" fontId="11" fillId="75" borderId="72" xfId="24" applyFont="1" applyFill="1" applyBorder="1" applyAlignment="1" applyProtection="1">
      <alignment horizontal="center" vertical="center"/>
    </xf>
    <xf numFmtId="0" fontId="11" fillId="75" borderId="74" xfId="24" applyFont="1" applyFill="1" applyBorder="1" applyAlignment="1" applyProtection="1">
      <alignment horizontal="center" vertical="center"/>
    </xf>
    <xf numFmtId="0" fontId="181" fillId="75" borderId="89" xfId="0" applyFont="1" applyFill="1" applyBorder="1" applyAlignment="1">
      <alignment horizontal="left" vertical="top" wrapText="1" indent="1"/>
    </xf>
    <xf numFmtId="0" fontId="181" fillId="75" borderId="90" xfId="0" applyFont="1" applyFill="1" applyBorder="1" applyAlignment="1">
      <alignment horizontal="left" vertical="top" wrapText="1" indent="1"/>
    </xf>
    <xf numFmtId="0" fontId="181" fillId="75" borderId="92" xfId="0" applyFont="1" applyFill="1" applyBorder="1" applyAlignment="1">
      <alignment horizontal="left" vertical="top" wrapText="1" indent="1"/>
    </xf>
    <xf numFmtId="0" fontId="181" fillId="75" borderId="0" xfId="0" applyFont="1" applyFill="1" applyBorder="1" applyAlignment="1">
      <alignment horizontal="left" vertical="top" wrapText="1" indent="1"/>
    </xf>
    <xf numFmtId="0" fontId="11" fillId="0" borderId="0" xfId="29" applyFont="1" applyAlignment="1" applyProtection="1">
      <alignment horizontal="left" vertical="center"/>
    </xf>
    <xf numFmtId="0" fontId="74" fillId="80" borderId="0" xfId="29" applyFont="1" applyFill="1" applyAlignment="1" applyProtection="1">
      <alignment horizontal="center" vertical="center"/>
    </xf>
    <xf numFmtId="0" fontId="11" fillId="0" borderId="8" xfId="29" applyFont="1" applyBorder="1" applyAlignment="1" applyProtection="1">
      <alignment horizontal="center"/>
    </xf>
    <xf numFmtId="0" fontId="11" fillId="0" borderId="9" xfId="29" applyFont="1" applyBorder="1" applyAlignment="1" applyProtection="1">
      <alignment horizontal="center"/>
    </xf>
    <xf numFmtId="0" fontId="12" fillId="0" borderId="0" xfId="29" applyFont="1" applyAlignment="1" applyProtection="1">
      <alignment horizontal="left" vertical="top" wrapText="1"/>
      <protection locked="0"/>
    </xf>
    <xf numFmtId="171" fontId="11" fillId="0" borderId="7" xfId="29" applyNumberFormat="1" applyFont="1" applyBorder="1" applyAlignment="1" applyProtection="1">
      <alignment horizontal="center" wrapText="1"/>
    </xf>
    <xf numFmtId="171" fontId="11" fillId="0" borderId="12" xfId="29" applyNumberFormat="1" applyFont="1" applyBorder="1" applyAlignment="1" applyProtection="1">
      <alignment horizontal="center" wrapText="1"/>
    </xf>
    <xf numFmtId="0" fontId="12" fillId="0" borderId="9" xfId="29" applyFont="1" applyFill="1" applyBorder="1" applyAlignment="1" applyProtection="1">
      <alignment horizontal="center" textRotation="90" wrapText="1"/>
      <protection locked="0"/>
    </xf>
    <xf numFmtId="0" fontId="12" fillId="0" borderId="64" xfId="29" applyFont="1" applyFill="1" applyBorder="1" applyAlignment="1" applyProtection="1">
      <alignment horizontal="center" textRotation="90" wrapText="1"/>
      <protection locked="0"/>
    </xf>
    <xf numFmtId="0" fontId="11" fillId="0" borderId="7" xfId="29" applyFont="1" applyBorder="1" applyAlignment="1" applyProtection="1">
      <alignment horizontal="center"/>
    </xf>
    <xf numFmtId="0" fontId="11" fillId="0" borderId="12" xfId="29" applyFont="1" applyBorder="1" applyAlignment="1" applyProtection="1">
      <alignment horizontal="center"/>
    </xf>
    <xf numFmtId="0" fontId="11" fillId="75" borderId="92" xfId="29" applyFont="1" applyFill="1" applyBorder="1" applyAlignment="1" applyProtection="1">
      <alignment horizontal="left" vertical="top" wrapText="1" indent="1"/>
    </xf>
    <xf numFmtId="0" fontId="11" fillId="75" borderId="0" xfId="29" applyFont="1" applyFill="1" applyBorder="1" applyAlignment="1" applyProtection="1">
      <alignment horizontal="left" vertical="top" wrapText="1" indent="1"/>
    </xf>
    <xf numFmtId="0" fontId="11" fillId="75" borderId="16" xfId="29" applyFont="1" applyFill="1" applyBorder="1" applyAlignment="1" applyProtection="1">
      <alignment horizontal="left" vertical="top" wrapText="1"/>
    </xf>
    <xf numFmtId="3" fontId="11" fillId="76" borderId="105" xfId="33" applyNumberFormat="1" applyFont="1" applyFill="1" applyBorder="1" applyAlignment="1" applyProtection="1">
      <alignment horizontal="center" vertical="center"/>
    </xf>
    <xf numFmtId="3" fontId="11" fillId="76" borderId="106" xfId="33" applyNumberFormat="1" applyFont="1" applyFill="1" applyBorder="1" applyAlignment="1" applyProtection="1">
      <alignment horizontal="center" vertical="center"/>
    </xf>
    <xf numFmtId="0" fontId="11" fillId="0" borderId="113" xfId="29" applyFont="1" applyBorder="1" applyAlignment="1" applyProtection="1">
      <alignment horizontal="right" vertical="center"/>
    </xf>
    <xf numFmtId="0" fontId="11" fillId="0" borderId="29" xfId="29" applyFont="1" applyBorder="1" applyAlignment="1" applyProtection="1">
      <alignment horizontal="right" vertical="center"/>
    </xf>
    <xf numFmtId="0" fontId="11" fillId="0" borderId="114" xfId="29" applyFont="1" applyBorder="1" applyAlignment="1" applyProtection="1">
      <alignment horizontal="right" vertical="center"/>
    </xf>
    <xf numFmtId="0" fontId="11" fillId="0" borderId="115" xfId="29" applyFont="1" applyBorder="1" applyAlignment="1" applyProtection="1">
      <alignment horizontal="right" vertical="center"/>
    </xf>
    <xf numFmtId="0" fontId="11" fillId="0" borderId="116" xfId="29" applyFont="1" applyBorder="1" applyAlignment="1" applyProtection="1">
      <alignment horizontal="right" vertical="center"/>
    </xf>
    <xf numFmtId="0" fontId="11" fillId="0" borderId="117" xfId="29" applyFont="1" applyBorder="1" applyAlignment="1" applyProtection="1">
      <alignment horizontal="right" vertical="center"/>
    </xf>
    <xf numFmtId="0" fontId="74" fillId="78" borderId="0" xfId="29" applyFont="1" applyFill="1" applyAlignment="1" applyProtection="1">
      <alignment horizontal="center" vertical="center"/>
    </xf>
    <xf numFmtId="0" fontId="11" fillId="21" borderId="107" xfId="29" applyFont="1" applyFill="1" applyBorder="1" applyAlignment="1" applyProtection="1">
      <alignment horizontal="right" vertical="center" wrapText="1"/>
      <protection locked="0"/>
    </xf>
    <xf numFmtId="0" fontId="11" fillId="21" borderId="98" xfId="29" applyFont="1" applyFill="1" applyBorder="1" applyAlignment="1" applyProtection="1">
      <alignment horizontal="right" vertical="center" wrapText="1"/>
      <protection locked="0"/>
    </xf>
    <xf numFmtId="0" fontId="12" fillId="0" borderId="9" xfId="29" applyFont="1" applyFill="1" applyBorder="1" applyAlignment="1" applyProtection="1">
      <alignment horizontal="center" vertical="center" textRotation="90" wrapText="1"/>
      <protection locked="0"/>
    </xf>
    <xf numFmtId="0" fontId="12" fillId="0" borderId="83" xfId="29" applyFont="1" applyFill="1" applyBorder="1" applyAlignment="1" applyProtection="1">
      <alignment horizontal="center" vertical="center" textRotation="90" wrapText="1"/>
      <protection locked="0"/>
    </xf>
    <xf numFmtId="0" fontId="12" fillId="0" borderId="85" xfId="29" applyFont="1" applyFill="1" applyBorder="1" applyAlignment="1" applyProtection="1">
      <alignment horizontal="center" vertical="center" textRotation="90" wrapText="1"/>
      <protection locked="0"/>
    </xf>
    <xf numFmtId="0" fontId="12" fillId="0" borderId="87" xfId="29" applyFont="1" applyFill="1" applyBorder="1" applyAlignment="1" applyProtection="1">
      <alignment horizontal="center" vertical="center" textRotation="90" wrapText="1"/>
      <protection locked="0"/>
    </xf>
    <xf numFmtId="0" fontId="12" fillId="0" borderId="74" xfId="29" applyFont="1" applyFill="1" applyBorder="1" applyAlignment="1" applyProtection="1">
      <alignment horizontal="center" vertical="center" textRotation="90" wrapText="1"/>
      <protection locked="0"/>
    </xf>
    <xf numFmtId="0" fontId="12" fillId="0" borderId="73" xfId="29" applyFont="1" applyFill="1" applyBorder="1" applyAlignment="1" applyProtection="1">
      <alignment horizontal="center" vertical="center" textRotation="90" wrapText="1"/>
      <protection locked="0"/>
    </xf>
    <xf numFmtId="0" fontId="74" fillId="80" borderId="0" xfId="32" applyFont="1" applyFill="1" applyAlignment="1" applyProtection="1">
      <alignment horizontal="center"/>
    </xf>
    <xf numFmtId="0" fontId="11" fillId="0" borderId="0" xfId="32" applyFont="1" applyAlignment="1" applyProtection="1">
      <alignment vertical="center"/>
    </xf>
    <xf numFmtId="0" fontId="11" fillId="0" borderId="78" xfId="32" applyFont="1" applyBorder="1" applyAlignment="1" applyProtection="1">
      <alignment horizontal="right"/>
    </xf>
    <xf numFmtId="0" fontId="11" fillId="0" borderId="101" xfId="32" applyFont="1" applyBorder="1" applyAlignment="1" applyProtection="1">
      <alignment horizontal="right"/>
    </xf>
    <xf numFmtId="0" fontId="11" fillId="0" borderId="102" xfId="32" applyFont="1" applyBorder="1" applyAlignment="1" applyProtection="1">
      <alignment horizontal="right"/>
    </xf>
    <xf numFmtId="0" fontId="12" fillId="0" borderId="0" xfId="33" applyFont="1" applyAlignment="1" applyProtection="1">
      <alignment horizontal="left" vertical="center" wrapText="1"/>
    </xf>
    <xf numFmtId="0" fontId="12" fillId="0" borderId="72" xfId="33" applyFont="1" applyBorder="1" applyAlignment="1" applyProtection="1">
      <alignment horizontal="left" vertical="center"/>
    </xf>
    <xf numFmtId="0" fontId="11" fillId="0" borderId="0" xfId="33" applyFont="1" applyFill="1" applyAlignment="1" applyProtection="1">
      <alignment horizontal="left" vertical="center"/>
    </xf>
    <xf numFmtId="0" fontId="11" fillId="12" borderId="0" xfId="29" applyFont="1" applyFill="1" applyAlignment="1" applyProtection="1">
      <alignment horizontal="center" vertical="center"/>
    </xf>
    <xf numFmtId="0" fontId="154" fillId="0" borderId="72" xfId="40" applyFont="1" applyBorder="1" applyAlignment="1" applyProtection="1">
      <alignment horizontal="left"/>
    </xf>
    <xf numFmtId="0" fontId="18" fillId="0" borderId="0" xfId="0" applyFont="1" applyAlignment="1" applyProtection="1">
      <alignment horizontal="right" vertical="center"/>
    </xf>
    <xf numFmtId="49" fontId="154" fillId="0" borderId="72" xfId="0" applyNumberFormat="1" applyFont="1" applyBorder="1" applyAlignment="1" applyProtection="1">
      <alignment horizontal="left" vertical="center" wrapText="1"/>
    </xf>
    <xf numFmtId="49" fontId="154" fillId="0" borderId="0" xfId="0" applyNumberFormat="1" applyFont="1" applyBorder="1" applyAlignment="1" applyProtection="1">
      <alignment horizontal="left" vertical="center" wrapText="1"/>
    </xf>
    <xf numFmtId="0" fontId="11" fillId="0" borderId="0" xfId="40" applyFont="1" applyAlignment="1" applyProtection="1">
      <alignment horizontal="right" vertical="center"/>
    </xf>
    <xf numFmtId="0" fontId="155" fillId="0" borderId="72" xfId="40" applyFont="1" applyBorder="1" applyAlignment="1" applyProtection="1">
      <alignment horizontal="left" vertical="center"/>
    </xf>
    <xf numFmtId="0" fontId="154" fillId="0" borderId="72" xfId="40" applyFont="1" applyBorder="1" applyAlignment="1" applyProtection="1">
      <alignment horizontal="left" vertical="center"/>
    </xf>
    <xf numFmtId="0" fontId="11" fillId="0" borderId="0" xfId="9" applyFont="1" applyAlignment="1" applyProtection="1">
      <alignment horizontal="right" vertical="center"/>
    </xf>
    <xf numFmtId="0" fontId="11" fillId="0" borderId="0" xfId="22" applyFont="1" applyAlignment="1" applyProtection="1">
      <alignment horizontal="right" vertical="center"/>
    </xf>
    <xf numFmtId="0" fontId="11" fillId="0" borderId="0" xfId="22" applyFont="1" applyAlignment="1" applyProtection="1">
      <alignment horizontal="right"/>
    </xf>
    <xf numFmtId="0" fontId="11" fillId="0" borderId="0" xfId="10" applyFont="1" applyAlignment="1" applyProtection="1">
      <alignment horizontal="right" vertical="center"/>
    </xf>
    <xf numFmtId="0" fontId="11" fillId="0" borderId="0" xfId="11" applyFont="1" applyAlignment="1" applyProtection="1">
      <alignment horizontal="right" vertical="center"/>
    </xf>
    <xf numFmtId="3" fontId="18" fillId="0" borderId="0" xfId="11" applyNumberFormat="1" applyFont="1" applyFill="1" applyBorder="1" applyAlignment="1" applyProtection="1">
      <alignment horizontal="right"/>
    </xf>
    <xf numFmtId="3" fontId="18" fillId="0" borderId="0" xfId="11" applyNumberFormat="1" applyFont="1" applyFill="1" applyBorder="1" applyAlignment="1" applyProtection="1">
      <alignment horizontal="right" vertical="center"/>
    </xf>
    <xf numFmtId="0" fontId="11" fillId="0" borderId="0" xfId="23" applyFont="1" applyAlignment="1" applyProtection="1">
      <alignment horizontal="right" vertical="center"/>
    </xf>
    <xf numFmtId="0" fontId="11" fillId="0" borderId="0" xfId="23" applyFont="1" applyBorder="1" applyAlignment="1" applyProtection="1">
      <alignment horizontal="right"/>
    </xf>
    <xf numFmtId="0" fontId="11" fillId="0" borderId="0" xfId="12" applyFont="1" applyAlignment="1" applyProtection="1">
      <alignment horizontal="right" vertical="center"/>
    </xf>
    <xf numFmtId="0" fontId="11" fillId="0" borderId="0" xfId="12" applyFont="1" applyBorder="1" applyAlignment="1" applyProtection="1">
      <alignment horizontal="right"/>
    </xf>
    <xf numFmtId="0" fontId="11" fillId="0" borderId="0" xfId="13" applyFont="1" applyAlignment="1" applyProtection="1">
      <alignment horizontal="right" vertical="center"/>
    </xf>
    <xf numFmtId="3" fontId="18" fillId="0" borderId="0" xfId="13" applyNumberFormat="1" applyFont="1" applyFill="1" applyBorder="1" applyAlignment="1" applyProtection="1">
      <alignment horizontal="right"/>
    </xf>
    <xf numFmtId="3" fontId="18" fillId="0" borderId="0" xfId="13" applyNumberFormat="1" applyFont="1" applyFill="1" applyBorder="1" applyAlignment="1" applyProtection="1">
      <alignment horizontal="right" vertical="center"/>
    </xf>
    <xf numFmtId="3" fontId="0" fillId="0" borderId="2" xfId="27" applyNumberFormat="1" applyFont="1" applyFill="1" applyBorder="1" applyAlignment="1" applyProtection="1">
      <alignment horizontal="left"/>
    </xf>
    <xf numFmtId="3" fontId="0" fillId="0" borderId="3" xfId="27" applyNumberFormat="1" applyFont="1" applyFill="1" applyBorder="1" applyAlignment="1" applyProtection="1">
      <alignment horizontal="left"/>
    </xf>
    <xf numFmtId="0" fontId="11" fillId="0" borderId="0" xfId="27" applyFont="1" applyAlignment="1" applyProtection="1">
      <alignment horizontal="right"/>
    </xf>
    <xf numFmtId="0" fontId="11" fillId="0" borderId="0" xfId="15" applyFont="1" applyAlignment="1" applyProtection="1">
      <alignment horizontal="right" vertical="center"/>
    </xf>
    <xf numFmtId="3" fontId="18" fillId="0" borderId="0" xfId="15" applyNumberFormat="1" applyFont="1" applyFill="1" applyBorder="1" applyAlignment="1" applyProtection="1">
      <alignment horizontal="right" vertical="center"/>
    </xf>
    <xf numFmtId="0" fontId="11" fillId="0" borderId="0" xfId="16" applyFont="1" applyAlignment="1" applyProtection="1">
      <alignment horizontal="right" vertical="center"/>
    </xf>
    <xf numFmtId="0" fontId="154" fillId="0" borderId="72" xfId="16" applyFont="1" applyBorder="1" applyAlignment="1" applyProtection="1">
      <alignment horizontal="left" vertical="center"/>
    </xf>
    <xf numFmtId="0" fontId="11" fillId="0" borderId="0" xfId="17" applyFont="1" applyAlignment="1" applyProtection="1">
      <alignment horizontal="right" vertical="center"/>
    </xf>
    <xf numFmtId="3" fontId="11" fillId="0" borderId="0" xfId="17" applyNumberFormat="1" applyFont="1" applyFill="1" applyBorder="1" applyAlignment="1" applyProtection="1">
      <alignment horizontal="right"/>
    </xf>
    <xf numFmtId="3" fontId="11" fillId="0" borderId="0" xfId="17" applyNumberFormat="1" applyFont="1" applyFill="1" applyBorder="1" applyAlignment="1" applyProtection="1">
      <alignment horizontal="right" vertical="center"/>
    </xf>
    <xf numFmtId="0" fontId="11" fillId="0" borderId="0" xfId="18" applyFont="1" applyAlignment="1" applyProtection="1">
      <alignment horizontal="right" vertical="center"/>
    </xf>
    <xf numFmtId="3" fontId="18" fillId="0" borderId="0" xfId="18" applyNumberFormat="1" applyFont="1" applyFill="1" applyBorder="1" applyAlignment="1" applyProtection="1">
      <alignment horizontal="right"/>
    </xf>
    <xf numFmtId="3" fontId="18" fillId="0" borderId="0" xfId="18" applyNumberFormat="1" applyFont="1" applyFill="1" applyBorder="1" applyAlignment="1" applyProtection="1">
      <alignment horizontal="right" vertical="center"/>
    </xf>
    <xf numFmtId="0" fontId="11" fillId="0" borderId="0" xfId="19" applyFont="1" applyAlignment="1" applyProtection="1">
      <alignment horizontal="right" vertical="center"/>
    </xf>
    <xf numFmtId="3" fontId="18" fillId="0" borderId="0" xfId="19" applyNumberFormat="1" applyFont="1" applyFill="1" applyBorder="1" applyAlignment="1" applyProtection="1">
      <alignment horizontal="right"/>
    </xf>
    <xf numFmtId="3" fontId="18" fillId="0" borderId="0" xfId="19" applyNumberFormat="1" applyFont="1" applyFill="1" applyBorder="1" applyAlignment="1" applyProtection="1">
      <alignment horizontal="right" vertical="center"/>
    </xf>
    <xf numFmtId="0" fontId="11" fillId="0" borderId="0" xfId="20" applyFont="1" applyBorder="1" applyAlignment="1" applyProtection="1">
      <alignment horizontal="right" vertical="center"/>
    </xf>
    <xf numFmtId="0" fontId="154" fillId="0" borderId="72" xfId="20" applyFont="1" applyBorder="1" applyAlignment="1" applyProtection="1">
      <alignment horizontal="left" vertical="center"/>
    </xf>
    <xf numFmtId="0" fontId="11" fillId="0" borderId="72" xfId="20" applyFont="1" applyBorder="1" applyAlignment="1" applyProtection="1">
      <alignment horizontal="left" vertical="center"/>
    </xf>
    <xf numFmtId="0" fontId="154" fillId="0" borderId="0" xfId="27" applyFont="1" applyBorder="1" applyAlignment="1" applyProtection="1">
      <alignment horizontal="left" wrapText="1"/>
    </xf>
    <xf numFmtId="0" fontId="11" fillId="0" borderId="0" xfId="22" applyFont="1" applyBorder="1" applyAlignment="1" applyProtection="1">
      <alignment horizontal="right"/>
    </xf>
    <xf numFmtId="3" fontId="18" fillId="0" borderId="0" xfId="22" applyNumberFormat="1" applyFont="1" applyFill="1" applyBorder="1" applyAlignment="1" applyProtection="1">
      <alignment horizontal="right" vertical="center"/>
    </xf>
    <xf numFmtId="0" fontId="154" fillId="0" borderId="0" xfId="40" applyFont="1" applyBorder="1" applyAlignment="1" applyProtection="1">
      <alignment horizontal="left"/>
    </xf>
    <xf numFmtId="0" fontId="11" fillId="0" borderId="0" xfId="0" applyFont="1" applyAlignment="1" applyProtection="1">
      <alignment horizontal="right" vertical="center" wrapText="1"/>
    </xf>
    <xf numFmtId="0" fontId="154" fillId="0" borderId="0" xfId="0" quotePrefix="1" applyFont="1" applyAlignment="1" applyProtection="1">
      <alignment horizontal="left" vertical="center" wrapText="1"/>
    </xf>
    <xf numFmtId="0" fontId="155" fillId="0" borderId="0" xfId="0" applyFont="1" applyAlignment="1" applyProtection="1">
      <alignment horizontal="left" wrapText="1"/>
    </xf>
    <xf numFmtId="0" fontId="154" fillId="0" borderId="0" xfId="0" applyFont="1" applyAlignment="1" applyProtection="1">
      <alignment horizontal="left" vertical="center"/>
    </xf>
    <xf numFmtId="0" fontId="154" fillId="0" borderId="0" xfId="0" applyFont="1" applyAlignment="1" applyProtection="1">
      <alignment horizontal="left" vertical="center" wrapText="1"/>
    </xf>
    <xf numFmtId="0" fontId="11" fillId="0" borderId="0" xfId="25" applyFont="1" applyAlignment="1" applyProtection="1">
      <alignment horizontal="right" vertical="center"/>
    </xf>
    <xf numFmtId="0" fontId="11" fillId="0" borderId="0" xfId="26" applyFont="1" applyAlignment="1" applyProtection="1">
      <alignment horizontal="right"/>
    </xf>
    <xf numFmtId="0" fontId="155" fillId="0" borderId="74" xfId="27" applyFont="1" applyBorder="1" applyAlignment="1" applyProtection="1">
      <alignment horizontal="left" wrapText="1"/>
    </xf>
    <xf numFmtId="0" fontId="11" fillId="0" borderId="73" xfId="27" applyFont="1" applyBorder="1" applyAlignment="1" applyProtection="1">
      <alignment horizontal="left" wrapText="1"/>
    </xf>
    <xf numFmtId="0" fontId="11" fillId="0" borderId="0" xfId="28" applyFont="1" applyAlignment="1" applyProtection="1">
      <alignment horizontal="right" vertical="center"/>
    </xf>
    <xf numFmtId="0" fontId="15" fillId="0" borderId="73" xfId="23" applyFont="1" applyBorder="1" applyAlignment="1" applyProtection="1">
      <alignment horizontal="center" vertical="center" wrapText="1"/>
    </xf>
    <xf numFmtId="0" fontId="15" fillId="0" borderId="64" xfId="23" applyFont="1" applyBorder="1" applyAlignment="1" applyProtection="1">
      <alignment horizontal="center" vertical="center" wrapText="1"/>
    </xf>
    <xf numFmtId="0" fontId="11" fillId="0" borderId="0" xfId="30" applyFont="1" applyAlignment="1" applyProtection="1">
      <alignment horizontal="right" vertical="center"/>
    </xf>
    <xf numFmtId="0" fontId="11" fillId="0" borderId="0" xfId="30" applyFont="1" applyFill="1" applyBorder="1" applyAlignment="1" applyProtection="1">
      <alignment horizontal="right"/>
    </xf>
    <xf numFmtId="0" fontId="11" fillId="0" borderId="0" xfId="30" applyFont="1" applyFill="1" applyBorder="1" applyAlignment="1" applyProtection="1">
      <alignment horizontal="right" vertical="center"/>
    </xf>
    <xf numFmtId="0" fontId="11" fillId="0" borderId="0" xfId="31" applyFont="1" applyAlignment="1" applyProtection="1">
      <alignment horizontal="right" vertical="center"/>
    </xf>
    <xf numFmtId="0" fontId="15" fillId="0" borderId="73" xfId="31" applyFont="1" applyBorder="1" applyAlignment="1" applyProtection="1">
      <alignment horizontal="center" vertical="center" wrapText="1"/>
    </xf>
    <xf numFmtId="0" fontId="15" fillId="0" borderId="64" xfId="31" applyFont="1" applyBorder="1" applyAlignment="1" applyProtection="1">
      <alignment horizontal="center" vertical="center" wrapText="1"/>
    </xf>
    <xf numFmtId="0" fontId="61" fillId="0" borderId="0" xfId="33" applyFont="1" applyFill="1" applyBorder="1" applyAlignment="1" applyProtection="1">
      <alignment horizontal="right"/>
    </xf>
    <xf numFmtId="0" fontId="154" fillId="0" borderId="72" xfId="33" applyFont="1" applyFill="1" applyBorder="1" applyAlignment="1" applyProtection="1">
      <alignment horizontal="left" vertical="center" wrapText="1"/>
    </xf>
    <xf numFmtId="0" fontId="0" fillId="0" borderId="0" xfId="0" applyAlignment="1" applyProtection="1">
      <alignment horizontal="right"/>
    </xf>
    <xf numFmtId="0" fontId="154" fillId="0" borderId="0" xfId="35" applyFont="1" applyAlignment="1" applyProtection="1">
      <alignment horizontal="left"/>
    </xf>
    <xf numFmtId="0" fontId="154" fillId="0" borderId="0" xfId="34" applyFont="1" applyAlignment="1" applyProtection="1">
      <alignment horizontal="left"/>
    </xf>
    <xf numFmtId="0" fontId="19" fillId="0" borderId="0" xfId="34" applyFont="1" applyAlignment="1" applyProtection="1">
      <alignment vertical="center"/>
    </xf>
    <xf numFmtId="0" fontId="11" fillId="0" borderId="0" xfId="34" applyFont="1" applyAlignment="1" applyProtection="1">
      <alignment horizontal="left" vertical="top" wrapText="1"/>
    </xf>
    <xf numFmtId="0" fontId="11" fillId="0" borderId="0" xfId="34" applyFont="1" applyAlignment="1" applyProtection="1">
      <alignment horizontal="right" vertical="center"/>
    </xf>
    <xf numFmtId="0" fontId="151" fillId="0" borderId="0" xfId="1" applyFill="1" applyAlignment="1" applyProtection="1">
      <alignment horizontal="left"/>
    </xf>
    <xf numFmtId="0" fontId="11" fillId="0" borderId="0" xfId="35" applyFont="1" applyAlignment="1" applyProtection="1">
      <alignment horizontal="right" vertical="center"/>
    </xf>
    <xf numFmtId="0" fontId="156" fillId="0" borderId="0" xfId="35" applyFont="1" applyAlignment="1" applyProtection="1">
      <alignment horizontal="center" vertical="center"/>
    </xf>
    <xf numFmtId="0" fontId="11" fillId="0" borderId="0" xfId="36" applyFont="1" applyAlignment="1" applyProtection="1">
      <alignment horizontal="right" vertical="center"/>
    </xf>
    <xf numFmtId="0" fontId="11" fillId="0" borderId="0" xfId="37" applyFont="1" applyAlignment="1" applyProtection="1">
      <alignment horizontal="right" vertical="center"/>
    </xf>
    <xf numFmtId="0" fontId="11" fillId="0" borderId="0" xfId="38" applyFont="1" applyAlignment="1" applyProtection="1">
      <alignment horizontal="right" vertical="center"/>
    </xf>
    <xf numFmtId="0" fontId="154" fillId="0" borderId="74" xfId="38" applyFont="1" applyBorder="1" applyAlignment="1" applyProtection="1">
      <alignment horizontal="left" vertical="center" wrapText="1"/>
    </xf>
    <xf numFmtId="0" fontId="12" fillId="0" borderId="9" xfId="38" applyFont="1" applyBorder="1" applyAlignment="1" applyProtection="1">
      <alignment horizontal="left" vertical="center"/>
    </xf>
    <xf numFmtId="0" fontId="154" fillId="0" borderId="0" xfId="38" applyFont="1" applyBorder="1" applyAlignment="1" applyProtection="1">
      <alignment horizontal="left" vertical="center" wrapText="1"/>
    </xf>
    <xf numFmtId="0" fontId="11" fillId="0" borderId="0" xfId="39" applyFont="1" applyAlignment="1" applyProtection="1">
      <alignment horizontal="right" vertical="center"/>
    </xf>
    <xf numFmtId="172" fontId="154" fillId="0" borderId="72" xfId="39" applyNumberFormat="1" applyFont="1" applyBorder="1" applyAlignment="1" applyProtection="1">
      <alignment vertical="center"/>
    </xf>
    <xf numFmtId="172" fontId="11" fillId="0" borderId="0" xfId="39" applyNumberFormat="1" applyFont="1" applyBorder="1" applyAlignment="1" applyProtection="1">
      <alignment horizontal="right" vertical="center"/>
    </xf>
    <xf numFmtId="172" fontId="11" fillId="0" borderId="0" xfId="39" applyNumberFormat="1" applyFont="1" applyBorder="1" applyAlignment="1" applyProtection="1">
      <alignment horizontal="right"/>
    </xf>
    <xf numFmtId="0" fontId="11" fillId="0" borderId="0" xfId="41" applyFont="1" applyAlignment="1" applyProtection="1">
      <alignment horizontal="right" vertical="center"/>
    </xf>
    <xf numFmtId="0" fontId="11" fillId="0" borderId="0" xfId="42" applyFont="1" applyAlignment="1" applyProtection="1">
      <alignment horizontal="right" vertical="center"/>
    </xf>
    <xf numFmtId="0" fontId="11" fillId="0" borderId="0" xfId="43" applyFont="1" applyAlignment="1" applyProtection="1">
      <alignment horizontal="right" vertical="center"/>
    </xf>
    <xf numFmtId="0" fontId="154" fillId="0" borderId="0" xfId="45" applyFont="1" applyBorder="1" applyAlignment="1" applyProtection="1">
      <alignment vertical="center"/>
    </xf>
    <xf numFmtId="0" fontId="11" fillId="0" borderId="0" xfId="44" applyFont="1" applyAlignment="1" applyProtection="1">
      <alignment horizontal="right" vertical="center"/>
    </xf>
    <xf numFmtId="0" fontId="154" fillId="0" borderId="74" xfId="44" applyFont="1" applyBorder="1" applyAlignment="1" applyProtection="1">
      <alignment vertical="center" wrapText="1"/>
    </xf>
    <xf numFmtId="0" fontId="154" fillId="0" borderId="9" xfId="44" applyFont="1" applyBorder="1" applyAlignment="1" applyProtection="1">
      <alignment vertical="center" wrapText="1"/>
    </xf>
    <xf numFmtId="0" fontId="11" fillId="0" borderId="0" xfId="45" applyFont="1" applyAlignment="1" applyProtection="1">
      <alignment horizontal="right" vertical="center"/>
    </xf>
    <xf numFmtId="0" fontId="15" fillId="0" borderId="9" xfId="45" applyFont="1" applyBorder="1" applyAlignment="1" applyProtection="1">
      <alignment horizontal="center" vertical="center" wrapText="1"/>
    </xf>
    <xf numFmtId="0" fontId="15" fillId="0" borderId="64" xfId="45" applyFont="1" applyBorder="1" applyAlignment="1" applyProtection="1">
      <alignment horizontal="center" vertical="center" wrapText="1"/>
    </xf>
    <xf numFmtId="0" fontId="18" fillId="0" borderId="78" xfId="46" applyFont="1" applyFill="1" applyBorder="1" applyAlignment="1" applyProtection="1">
      <alignment horizontal="center" vertical="center"/>
    </xf>
    <xf numFmtId="0" fontId="18" fillId="0" borderId="101" xfId="46" applyFont="1" applyFill="1" applyBorder="1" applyAlignment="1" applyProtection="1">
      <alignment horizontal="center" vertical="center"/>
    </xf>
    <xf numFmtId="0" fontId="18" fillId="0" borderId="102" xfId="46" applyFont="1" applyFill="1" applyBorder="1" applyAlignment="1" applyProtection="1">
      <alignment horizontal="center" vertical="center"/>
    </xf>
    <xf numFmtId="0" fontId="154" fillId="0" borderId="72" xfId="0" applyFont="1" applyBorder="1" applyAlignment="1" applyProtection="1">
      <alignment horizontal="left" vertical="center"/>
    </xf>
    <xf numFmtId="0" fontId="11" fillId="0" borderId="101" xfId="46" applyFont="1" applyFill="1" applyBorder="1" applyAlignment="1" applyProtection="1">
      <alignment horizontal="center" vertical="center"/>
    </xf>
    <xf numFmtId="0" fontId="11" fillId="0" borderId="102" xfId="46" applyFont="1" applyFill="1" applyBorder="1" applyAlignment="1" applyProtection="1">
      <alignment horizontal="center" vertical="center"/>
    </xf>
    <xf numFmtId="0" fontId="11" fillId="0" borderId="101" xfId="46" applyFont="1" applyFill="1" applyBorder="1" applyAlignment="1" applyProtection="1">
      <alignment horizontal="center" vertical="top"/>
    </xf>
    <xf numFmtId="0" fontId="11" fillId="0" borderId="102" xfId="46" applyFont="1" applyFill="1" applyBorder="1" applyAlignment="1" applyProtection="1">
      <alignment horizontal="center" vertical="top"/>
    </xf>
    <xf numFmtId="0" fontId="74" fillId="79" borderId="108" xfId="46" applyNumberFormat="1" applyFont="1" applyFill="1" applyBorder="1" applyAlignment="1" applyProtection="1">
      <alignment horizontal="center"/>
    </xf>
    <xf numFmtId="0" fontId="74" fillId="79" borderId="119" xfId="46" applyNumberFormat="1" applyFont="1" applyFill="1" applyBorder="1" applyAlignment="1" applyProtection="1">
      <alignment horizontal="center"/>
    </xf>
    <xf numFmtId="0" fontId="74" fillId="79" borderId="120" xfId="46" applyNumberFormat="1" applyFont="1" applyFill="1" applyBorder="1" applyAlignment="1" applyProtection="1">
      <alignment horizontal="center"/>
    </xf>
    <xf numFmtId="168" fontId="11" fillId="0" borderId="101" xfId="46" applyNumberFormat="1" applyFont="1" applyFill="1" applyBorder="1" applyAlignment="1" applyProtection="1">
      <alignment horizontal="right" vertical="center"/>
    </xf>
    <xf numFmtId="168" fontId="11" fillId="0" borderId="102" xfId="46" applyNumberFormat="1" applyFont="1" applyFill="1" applyBorder="1" applyAlignment="1" applyProtection="1">
      <alignment horizontal="right" vertical="center"/>
    </xf>
    <xf numFmtId="168" fontId="11" fillId="11" borderId="101" xfId="46" applyNumberFormat="1" applyFont="1" applyFill="1" applyBorder="1" applyAlignment="1" applyProtection="1">
      <alignment horizontal="right" vertical="center"/>
      <protection locked="0"/>
    </xf>
    <xf numFmtId="168" fontId="11" fillId="11" borderId="102" xfId="46" applyNumberFormat="1" applyFont="1" applyFill="1" applyBorder="1" applyAlignment="1" applyProtection="1">
      <alignment horizontal="right" vertical="center"/>
      <protection locked="0"/>
    </xf>
    <xf numFmtId="168" fontId="11" fillId="0" borderId="107" xfId="46" applyNumberFormat="1" applyFont="1" applyFill="1" applyBorder="1" applyAlignment="1" applyProtection="1">
      <alignment horizontal="right" vertical="center"/>
    </xf>
    <xf numFmtId="168" fontId="11" fillId="0" borderId="98" xfId="46" applyNumberFormat="1" applyFont="1" applyFill="1" applyBorder="1" applyAlignment="1" applyProtection="1">
      <alignment horizontal="right" vertical="center"/>
    </xf>
    <xf numFmtId="168" fontId="11" fillId="0" borderId="29" xfId="46" applyNumberFormat="1" applyFont="1" applyFill="1" applyBorder="1" applyAlignment="1" applyProtection="1">
      <alignment horizontal="right" vertical="center"/>
    </xf>
    <xf numFmtId="168" fontId="11" fillId="0" borderId="114" xfId="46" applyNumberFormat="1" applyFont="1" applyFill="1" applyBorder="1" applyAlignment="1" applyProtection="1">
      <alignment horizontal="right" vertical="center"/>
    </xf>
    <xf numFmtId="0" fontId="74" fillId="79" borderId="119" xfId="46" applyFont="1" applyFill="1" applyBorder="1" applyAlignment="1" applyProtection="1">
      <alignment horizontal="center" vertical="center"/>
    </xf>
    <xf numFmtId="0" fontId="74" fillId="79" borderId="121" xfId="46" applyFont="1" applyFill="1" applyBorder="1" applyAlignment="1" applyProtection="1">
      <alignment horizontal="center" vertical="center"/>
    </xf>
    <xf numFmtId="169" fontId="11" fillId="0" borderId="78" xfId="46" applyNumberFormat="1" applyFont="1" applyFill="1" applyBorder="1" applyAlignment="1" applyProtection="1">
      <alignment horizontal="right" vertical="center"/>
    </xf>
    <xf numFmtId="169" fontId="11" fillId="0" borderId="102" xfId="46" applyNumberFormat="1" applyFont="1" applyFill="1" applyBorder="1" applyAlignment="1" applyProtection="1">
      <alignment horizontal="right" vertical="center"/>
    </xf>
    <xf numFmtId="169" fontId="11" fillId="0" borderId="72" xfId="46" applyNumberFormat="1" applyFont="1" applyFill="1" applyBorder="1" applyAlignment="1" applyProtection="1">
      <alignment horizontal="right" vertical="center"/>
    </xf>
    <xf numFmtId="169" fontId="74" fillId="76" borderId="103" xfId="46" applyNumberFormat="1" applyFont="1" applyFill="1" applyBorder="1" applyAlignment="1" applyProtection="1">
      <alignment horizontal="right" vertical="center"/>
    </xf>
    <xf numFmtId="169" fontId="74" fillId="76" borderId="43" xfId="46" applyNumberFormat="1" applyFont="1" applyFill="1" applyBorder="1" applyAlignment="1" applyProtection="1">
      <alignment horizontal="right" vertical="center"/>
    </xf>
    <xf numFmtId="0" fontId="74" fillId="79" borderId="0" xfId="176" applyFont="1" applyFill="1" applyBorder="1" applyAlignment="1" applyProtection="1">
      <alignment horizontal="left" wrapText="1"/>
    </xf>
    <xf numFmtId="0" fontId="74" fillId="79" borderId="93" xfId="176" applyFont="1" applyFill="1" applyBorder="1" applyAlignment="1" applyProtection="1">
      <alignment horizontal="left" wrapText="1"/>
    </xf>
    <xf numFmtId="0" fontId="74" fillId="79" borderId="16" xfId="176" applyFont="1" applyFill="1" applyBorder="1" applyAlignment="1" applyProtection="1">
      <alignment horizontal="left" wrapText="1"/>
    </xf>
    <xf numFmtId="0" fontId="74" fillId="79" borderId="95" xfId="176" applyFont="1" applyFill="1" applyBorder="1" applyAlignment="1" applyProtection="1">
      <alignment horizontal="left" wrapText="1"/>
    </xf>
    <xf numFmtId="0" fontId="11" fillId="75" borderId="0" xfId="176" applyFill="1" applyBorder="1" applyAlignment="1" applyProtection="1">
      <alignment horizontal="left"/>
    </xf>
    <xf numFmtId="0" fontId="11" fillId="75" borderId="93" xfId="176" applyFill="1" applyBorder="1" applyAlignment="1" applyProtection="1">
      <alignment horizontal="left"/>
    </xf>
    <xf numFmtId="0" fontId="11" fillId="75" borderId="0" xfId="176" applyFill="1" applyBorder="1" applyAlignment="1" applyProtection="1"/>
    <xf numFmtId="0" fontId="11" fillId="75" borderId="93" xfId="176" applyFill="1" applyBorder="1" applyAlignment="1" applyProtection="1"/>
    <xf numFmtId="0" fontId="11" fillId="75" borderId="0" xfId="176" applyFill="1" applyBorder="1" applyAlignment="1" applyProtection="1">
      <alignment horizontal="left" wrapText="1"/>
    </xf>
    <xf numFmtId="0" fontId="11" fillId="75" borderId="93" xfId="176" applyFill="1" applyBorder="1" applyAlignment="1" applyProtection="1">
      <alignment horizontal="left" wrapText="1"/>
    </xf>
    <xf numFmtId="0" fontId="11" fillId="75" borderId="16" xfId="176" applyFill="1" applyBorder="1" applyAlignment="1" applyProtection="1">
      <alignment horizontal="left" wrapText="1"/>
    </xf>
    <xf numFmtId="0" fontId="11" fillId="75" borderId="95" xfId="176" applyFill="1" applyBorder="1" applyAlignment="1" applyProtection="1">
      <alignment horizontal="left" wrapText="1"/>
    </xf>
    <xf numFmtId="0" fontId="164" fillId="78" borderId="89" xfId="46" applyFont="1" applyFill="1" applyBorder="1" applyAlignment="1" applyProtection="1">
      <alignment horizontal="center"/>
    </xf>
    <xf numFmtId="0" fontId="164" fillId="78" borderId="90" xfId="46" applyFont="1" applyFill="1" applyBorder="1" applyAlignment="1" applyProtection="1">
      <alignment horizontal="center"/>
    </xf>
    <xf numFmtId="0" fontId="164" fillId="78" borderId="91" xfId="46" applyFont="1" applyFill="1" applyBorder="1" applyAlignment="1" applyProtection="1">
      <alignment horizontal="center"/>
    </xf>
    <xf numFmtId="169" fontId="11" fillId="2" borderId="78" xfId="176" applyNumberFormat="1" applyFill="1" applyBorder="1" applyAlignment="1" applyProtection="1">
      <alignment horizontal="right" vertical="center"/>
      <protection locked="0"/>
    </xf>
    <xf numFmtId="169" fontId="11" fillId="2" borderId="126" xfId="176" applyNumberFormat="1" applyFill="1" applyBorder="1" applyAlignment="1" applyProtection="1">
      <alignment horizontal="right" vertical="center"/>
      <protection locked="0"/>
    </xf>
    <xf numFmtId="0" fontId="11" fillId="2" borderId="101" xfId="176" applyFill="1" applyBorder="1" applyAlignment="1" applyProtection="1">
      <alignment horizontal="left"/>
      <protection locked="0"/>
    </xf>
    <xf numFmtId="49" fontId="11" fillId="2" borderId="78" xfId="176" applyNumberFormat="1" applyFill="1" applyBorder="1" applyAlignment="1" applyProtection="1">
      <alignment horizontal="left"/>
      <protection locked="0"/>
    </xf>
    <xf numFmtId="49" fontId="11" fillId="2" borderId="101" xfId="176" applyNumberFormat="1" applyFill="1" applyBorder="1" applyAlignment="1" applyProtection="1">
      <alignment horizontal="left"/>
      <protection locked="0"/>
    </xf>
    <xf numFmtId="0" fontId="11" fillId="0" borderId="103" xfId="46" applyFont="1" applyFill="1" applyBorder="1" applyAlignment="1" applyProtection="1">
      <alignment horizontal="left" wrapText="1"/>
    </xf>
    <xf numFmtId="0" fontId="11" fillId="0" borderId="0" xfId="46" applyFont="1" applyFill="1" applyBorder="1" applyAlignment="1" applyProtection="1">
      <alignment horizontal="left" wrapText="1"/>
    </xf>
    <xf numFmtId="0" fontId="11" fillId="0" borderId="73" xfId="46" applyFont="1" applyFill="1" applyBorder="1" applyAlignment="1" applyProtection="1">
      <alignment horizontal="left" wrapText="1"/>
    </xf>
    <xf numFmtId="0" fontId="11" fillId="0" borderId="65" xfId="46" applyFont="1" applyFill="1" applyBorder="1" applyAlignment="1" applyProtection="1">
      <alignment horizontal="left" wrapText="1"/>
    </xf>
    <xf numFmtId="0" fontId="11" fillId="0" borderId="61" xfId="46" applyFont="1" applyFill="1" applyBorder="1" applyAlignment="1" applyProtection="1">
      <alignment horizontal="left" wrapText="1"/>
    </xf>
    <xf numFmtId="0" fontId="11" fillId="0" borderId="64" xfId="46" applyFont="1" applyFill="1" applyBorder="1" applyAlignment="1" applyProtection="1">
      <alignment horizontal="left" wrapText="1"/>
    </xf>
    <xf numFmtId="0" fontId="74" fillId="79" borderId="0" xfId="176" applyFont="1" applyFill="1" applyBorder="1" applyAlignment="1" applyProtection="1">
      <alignment horizontal="left"/>
    </xf>
    <xf numFmtId="0" fontId="74" fillId="79" borderId="93" xfId="176" applyFont="1" applyFill="1" applyBorder="1" applyAlignment="1" applyProtection="1">
      <alignment horizontal="left"/>
    </xf>
    <xf numFmtId="193" fontId="11" fillId="0" borderId="78" xfId="46" applyNumberFormat="1" applyFont="1" applyFill="1" applyBorder="1" applyAlignment="1" applyProtection="1">
      <alignment horizontal="right" vertical="center"/>
    </xf>
    <xf numFmtId="193" fontId="11" fillId="0" borderId="102" xfId="46" applyNumberFormat="1" applyFont="1" applyFill="1" applyBorder="1" applyAlignment="1" applyProtection="1">
      <alignment horizontal="right" vertical="center"/>
    </xf>
    <xf numFmtId="0" fontId="176" fillId="80" borderId="77" xfId="8" applyFont="1" applyFill="1" applyBorder="1" applyAlignment="1" applyProtection="1">
      <alignment horizontal="center" vertical="center"/>
    </xf>
    <xf numFmtId="0" fontId="176" fillId="80" borderId="72" xfId="8" applyFont="1" applyFill="1" applyBorder="1" applyAlignment="1" applyProtection="1">
      <alignment horizontal="center" vertical="center"/>
    </xf>
    <xf numFmtId="0" fontId="176" fillId="80" borderId="74" xfId="8" applyFont="1" applyFill="1" applyBorder="1" applyAlignment="1" applyProtection="1">
      <alignment horizontal="center" vertical="center"/>
    </xf>
    <xf numFmtId="0" fontId="173" fillId="0" borderId="103" xfId="0" applyFont="1" applyBorder="1" applyAlignment="1" applyProtection="1">
      <alignment horizontal="left" vertical="center"/>
    </xf>
    <xf numFmtId="0" fontId="173" fillId="0" borderId="0" xfId="0" applyFont="1" applyBorder="1" applyAlignment="1" applyProtection="1">
      <alignment horizontal="left" vertical="center"/>
    </xf>
    <xf numFmtId="0" fontId="173" fillId="0" borderId="73" xfId="0" applyFont="1" applyBorder="1" applyAlignment="1" applyProtection="1">
      <alignment horizontal="left" vertical="center"/>
    </xf>
    <xf numFmtId="0" fontId="121" fillId="75" borderId="89" xfId="176" applyFont="1" applyFill="1" applyBorder="1" applyAlignment="1" applyProtection="1"/>
    <xf numFmtId="0" fontId="121" fillId="75" borderId="90" xfId="176" applyFont="1" applyFill="1" applyBorder="1" applyAlignment="1" applyProtection="1"/>
    <xf numFmtId="0" fontId="121" fillId="75" borderId="91" xfId="176" applyFont="1" applyFill="1" applyBorder="1" applyAlignment="1" applyProtection="1"/>
    <xf numFmtId="0" fontId="165" fillId="79" borderId="0" xfId="176" applyFont="1" applyFill="1" applyBorder="1" applyAlignment="1" applyProtection="1">
      <alignment vertical="top"/>
    </xf>
    <xf numFmtId="0" fontId="12" fillId="75" borderId="72" xfId="176" applyFont="1" applyFill="1" applyBorder="1" applyAlignment="1" applyProtection="1">
      <alignment vertical="top"/>
    </xf>
    <xf numFmtId="0" fontId="11" fillId="2" borderId="16" xfId="176" applyFill="1" applyBorder="1" applyAlignment="1" applyProtection="1">
      <protection locked="0"/>
    </xf>
    <xf numFmtId="0" fontId="11" fillId="75" borderId="92" xfId="176" applyFill="1" applyBorder="1" applyAlignment="1" applyProtection="1">
      <alignment horizontal="right" vertical="center"/>
    </xf>
    <xf numFmtId="0" fontId="176" fillId="80" borderId="0" xfId="8" applyFont="1" applyFill="1" applyBorder="1" applyAlignment="1" applyProtection="1">
      <alignment horizontal="center" vertical="center"/>
    </xf>
    <xf numFmtId="0" fontId="154" fillId="0" borderId="0" xfId="0" applyFont="1" applyBorder="1" applyAlignment="1" applyProtection="1">
      <alignment horizontal="left" vertical="center"/>
    </xf>
    <xf numFmtId="0" fontId="18" fillId="0" borderId="0" xfId="46" applyFont="1" applyFill="1" applyBorder="1" applyAlignment="1" applyProtection="1">
      <alignment horizontal="justify" wrapText="1"/>
    </xf>
    <xf numFmtId="0" fontId="164" fillId="79" borderId="92" xfId="176" applyFont="1" applyFill="1" applyBorder="1" applyAlignment="1" applyProtection="1">
      <alignment vertical="center" wrapText="1"/>
    </xf>
    <xf numFmtId="0" fontId="164" fillId="79" borderId="0" xfId="176" applyFont="1" applyFill="1" applyBorder="1" applyAlignment="1" applyProtection="1">
      <alignment vertical="center" wrapText="1"/>
    </xf>
    <xf numFmtId="0" fontId="164" fillId="79" borderId="93" xfId="176" applyFont="1" applyFill="1" applyBorder="1" applyAlignment="1" applyProtection="1">
      <alignment vertical="center" wrapText="1"/>
    </xf>
    <xf numFmtId="0" fontId="11" fillId="75" borderId="92" xfId="176" applyFill="1" applyBorder="1" applyAlignment="1" applyProtection="1">
      <alignment horizontal="right"/>
    </xf>
    <xf numFmtId="0" fontId="11" fillId="2" borderId="61" xfId="176" applyFill="1" applyBorder="1" applyAlignment="1" applyProtection="1">
      <alignment horizontal="left"/>
      <protection locked="0"/>
    </xf>
    <xf numFmtId="49" fontId="11" fillId="2" borderId="77" xfId="176" applyNumberFormat="1" applyFill="1" applyBorder="1" applyAlignment="1" applyProtection="1">
      <alignment horizontal="left"/>
      <protection locked="0"/>
    </xf>
    <xf numFmtId="49" fontId="11" fillId="2" borderId="72" xfId="176" applyNumberFormat="1" applyFill="1" applyBorder="1" applyAlignment="1" applyProtection="1">
      <alignment horizontal="left"/>
      <protection locked="0"/>
    </xf>
    <xf numFmtId="49" fontId="11" fillId="2" borderId="65" xfId="176" applyNumberFormat="1" applyFill="1" applyBorder="1" applyAlignment="1" applyProtection="1">
      <alignment horizontal="left"/>
      <protection locked="0"/>
    </xf>
    <xf numFmtId="49" fontId="11" fillId="2" borderId="61" xfId="176" applyNumberFormat="1" applyFill="1" applyBorder="1" applyAlignment="1" applyProtection="1">
      <alignment horizontal="left"/>
      <protection locked="0"/>
    </xf>
    <xf numFmtId="0" fontId="11" fillId="2" borderId="61" xfId="176" applyFill="1" applyBorder="1" applyAlignment="1" applyProtection="1">
      <protection locked="0"/>
    </xf>
    <xf numFmtId="0" fontId="74" fillId="0" borderId="0" xfId="176" applyFont="1" applyFill="1" applyBorder="1" applyAlignment="1" applyProtection="1">
      <alignment horizontal="right" vertical="center" wrapText="1"/>
    </xf>
    <xf numFmtId="49" fontId="11" fillId="2" borderId="74" xfId="176" applyNumberFormat="1" applyFill="1" applyBorder="1" applyAlignment="1" applyProtection="1">
      <alignment horizontal="left"/>
      <protection locked="0"/>
    </xf>
    <xf numFmtId="49" fontId="11" fillId="2" borderId="64" xfId="176" applyNumberFormat="1" applyFill="1" applyBorder="1" applyAlignment="1" applyProtection="1">
      <alignment horizontal="left"/>
      <protection locked="0"/>
    </xf>
    <xf numFmtId="0" fontId="151" fillId="0" borderId="0" xfId="1" applyFill="1" applyBorder="1" applyAlignment="1" applyProtection="1">
      <alignment horizontal="center"/>
    </xf>
    <xf numFmtId="0" fontId="151" fillId="0" borderId="93" xfId="1" applyFill="1" applyBorder="1" applyAlignment="1" applyProtection="1">
      <alignment horizontal="center"/>
    </xf>
    <xf numFmtId="0" fontId="15" fillId="0" borderId="78" xfId="46" applyFont="1" applyFill="1" applyBorder="1" applyAlignment="1" applyProtection="1">
      <alignment horizontal="center"/>
    </xf>
    <xf numFmtId="0" fontId="15" fillId="0" borderId="101" xfId="46" applyFont="1" applyFill="1" applyBorder="1" applyAlignment="1" applyProtection="1">
      <alignment horizontal="center"/>
    </xf>
    <xf numFmtId="0" fontId="15" fillId="0" borderId="102" xfId="46" applyFont="1" applyFill="1" applyBorder="1" applyAlignment="1" applyProtection="1">
      <alignment horizontal="center"/>
    </xf>
    <xf numFmtId="0" fontId="12" fillId="0" borderId="72" xfId="46" applyFont="1" applyFill="1" applyBorder="1" applyAlignment="1" applyProtection="1">
      <alignment horizontal="center" vertical="top"/>
    </xf>
    <xf numFmtId="0" fontId="11" fillId="2" borderId="16" xfId="176" applyFill="1" applyBorder="1" applyAlignment="1" applyProtection="1">
      <alignment horizontal="left"/>
      <protection locked="0"/>
    </xf>
    <xf numFmtId="0" fontId="74" fillId="79" borderId="109" xfId="46" applyFont="1" applyFill="1" applyBorder="1" applyAlignment="1" applyProtection="1">
      <alignment horizontal="center" vertical="center"/>
    </xf>
    <xf numFmtId="0" fontId="74" fillId="79" borderId="132" xfId="46" applyFont="1" applyFill="1" applyBorder="1" applyAlignment="1" applyProtection="1">
      <alignment horizontal="center" vertical="center"/>
    </xf>
    <xf numFmtId="0" fontId="74" fillId="79" borderId="129" xfId="46" applyFont="1" applyFill="1" applyBorder="1" applyAlignment="1" applyProtection="1">
      <alignment horizontal="center" vertical="center"/>
    </xf>
    <xf numFmtId="0" fontId="74" fillId="79" borderId="118" xfId="46" applyFont="1" applyFill="1" applyBorder="1" applyAlignment="1" applyProtection="1">
      <alignment horizontal="center" vertical="center"/>
    </xf>
    <xf numFmtId="169" fontId="74" fillId="76" borderId="77" xfId="46" applyNumberFormat="1" applyFont="1" applyFill="1" applyBorder="1" applyAlignment="1" applyProtection="1">
      <alignment horizontal="right" vertical="center"/>
    </xf>
    <xf numFmtId="169" fontId="74" fillId="76" borderId="137" xfId="46" applyNumberFormat="1" applyFont="1" applyFill="1" applyBorder="1" applyAlignment="1" applyProtection="1">
      <alignment horizontal="right" vertical="center"/>
    </xf>
    <xf numFmtId="169" fontId="11" fillId="11" borderId="125" xfId="46" applyNumberFormat="1" applyFont="1" applyFill="1" applyBorder="1" applyAlignment="1" applyProtection="1">
      <alignment horizontal="right" vertical="center"/>
      <protection locked="0"/>
    </xf>
    <xf numFmtId="169" fontId="11" fillId="11" borderId="131" xfId="46" applyNumberFormat="1" applyFont="1" applyFill="1" applyBorder="1" applyAlignment="1" applyProtection="1">
      <alignment horizontal="right" vertical="center"/>
      <protection locked="0"/>
    </xf>
    <xf numFmtId="169" fontId="74" fillId="76" borderId="127" xfId="46" applyNumberFormat="1" applyFont="1" applyFill="1" applyBorder="1" applyAlignment="1" applyProtection="1">
      <alignment horizontal="right" vertical="center"/>
    </xf>
    <xf numFmtId="169" fontId="74" fillId="76" borderId="138" xfId="46" applyNumberFormat="1" applyFont="1" applyFill="1" applyBorder="1" applyAlignment="1" applyProtection="1">
      <alignment horizontal="right" vertical="center"/>
    </xf>
    <xf numFmtId="169" fontId="11" fillId="0" borderId="113" xfId="46" applyNumberFormat="1" applyFont="1" applyFill="1" applyBorder="1" applyAlignment="1" applyProtection="1">
      <alignment horizontal="right" vertical="center"/>
    </xf>
    <xf numFmtId="169" fontId="11" fillId="0" borderId="114" xfId="46" applyNumberFormat="1" applyFont="1" applyFill="1" applyBorder="1" applyAlignment="1" applyProtection="1">
      <alignment horizontal="right" vertical="center"/>
    </xf>
    <xf numFmtId="0" fontId="74" fillId="79" borderId="92" xfId="176" applyFont="1" applyFill="1" applyBorder="1" applyAlignment="1" applyProtection="1">
      <alignment horizontal="right" vertical="center"/>
    </xf>
    <xf numFmtId="0" fontId="74" fillId="78" borderId="92" xfId="46" applyFont="1" applyFill="1" applyBorder="1" applyAlignment="1" applyProtection="1">
      <alignment vertical="top" wrapText="1"/>
    </xf>
    <xf numFmtId="0" fontId="74" fillId="78" borderId="0" xfId="46" applyFont="1" applyFill="1" applyBorder="1" applyAlignment="1" applyProtection="1">
      <alignment vertical="top" wrapText="1"/>
    </xf>
    <xf numFmtId="0" fontId="74" fillId="78" borderId="93" xfId="46" applyFont="1" applyFill="1" applyBorder="1" applyAlignment="1" applyProtection="1">
      <alignment vertical="top" wrapText="1"/>
    </xf>
    <xf numFmtId="0" fontId="74" fillId="78" borderId="94" xfId="46" applyFont="1" applyFill="1" applyBorder="1" applyAlignment="1" applyProtection="1">
      <alignment vertical="top" wrapText="1"/>
    </xf>
    <xf numFmtId="0" fontId="74" fillId="78" borderId="16" xfId="46" applyFont="1" applyFill="1" applyBorder="1" applyAlignment="1" applyProtection="1">
      <alignment vertical="top" wrapText="1"/>
    </xf>
    <xf numFmtId="0" fontId="74" fillId="78" borderId="95" xfId="46" applyFont="1" applyFill="1" applyBorder="1" applyAlignment="1" applyProtection="1">
      <alignment vertical="top" wrapText="1"/>
    </xf>
    <xf numFmtId="0" fontId="22" fillId="0" borderId="0" xfId="46" applyFont="1" applyFill="1" applyBorder="1" applyAlignment="1" applyProtection="1">
      <alignment horizontal="center"/>
    </xf>
    <xf numFmtId="0" fontId="22" fillId="0" borderId="61" xfId="46" applyFont="1" applyFill="1" applyBorder="1" applyAlignment="1" applyProtection="1">
      <alignment horizontal="center"/>
    </xf>
    <xf numFmtId="169" fontId="11" fillId="0" borderId="125" xfId="46" applyNumberFormat="1" applyFont="1" applyFill="1" applyBorder="1" applyAlignment="1" applyProtection="1">
      <alignment horizontal="right" vertical="center"/>
    </xf>
    <xf numFmtId="169" fontId="11" fillId="0" borderId="98" xfId="46" applyNumberFormat="1" applyFont="1" applyFill="1" applyBorder="1" applyAlignment="1" applyProtection="1">
      <alignment horizontal="right" vertical="center"/>
    </xf>
    <xf numFmtId="174" fontId="24" fillId="11" borderId="0" xfId="176" applyNumberFormat="1" applyFont="1" applyFill="1" applyBorder="1" applyAlignment="1" applyProtection="1">
      <alignment horizontal="left"/>
      <protection locked="0"/>
    </xf>
    <xf numFmtId="49" fontId="118" fillId="6" borderId="0" xfId="176" applyNumberFormat="1" applyFont="1" applyFill="1" applyBorder="1" applyAlignment="1" applyProtection="1">
      <alignment horizontal="center" wrapText="1"/>
    </xf>
    <xf numFmtId="0" fontId="176" fillId="0" borderId="0" xfId="8" applyFont="1" applyFill="1" applyBorder="1" applyAlignment="1" applyProtection="1">
      <alignment horizontal="center" vertical="center"/>
    </xf>
    <xf numFmtId="0" fontId="11" fillId="0" borderId="77" xfId="180" applyFont="1" applyBorder="1" applyAlignment="1" applyProtection="1">
      <alignment horizontal="center"/>
    </xf>
    <xf numFmtId="0" fontId="11" fillId="0" borderId="72" xfId="180" applyFont="1" applyBorder="1" applyAlignment="1" applyProtection="1">
      <alignment horizontal="center"/>
    </xf>
    <xf numFmtId="0" fontId="11" fillId="0" borderId="74" xfId="180" applyFont="1" applyBorder="1" applyAlignment="1" applyProtection="1">
      <alignment horizontal="center"/>
    </xf>
    <xf numFmtId="0" fontId="11" fillId="0" borderId="0" xfId="180" quotePrefix="1" applyFont="1" applyAlignment="1" applyProtection="1">
      <alignment horizontal="left" vertical="center" indent="3"/>
    </xf>
    <xf numFmtId="0" fontId="15" fillId="0" borderId="0" xfId="180" applyFont="1" applyAlignment="1" applyProtection="1">
      <alignment horizontal="center" vertical="center"/>
    </xf>
    <xf numFmtId="0" fontId="15" fillId="0" borderId="0" xfId="180" applyFont="1" applyAlignment="1" applyProtection="1">
      <alignment horizontal="center" vertical="center" wrapText="1"/>
    </xf>
    <xf numFmtId="0" fontId="11" fillId="0" borderId="76" xfId="180" applyFont="1" applyBorder="1" applyAlignment="1" applyProtection="1">
      <alignment horizontal="center" wrapText="1"/>
    </xf>
    <xf numFmtId="0" fontId="11" fillId="0" borderId="63" xfId="180" applyFont="1" applyBorder="1" applyAlignment="1" applyProtection="1">
      <alignment horizontal="center" wrapText="1"/>
    </xf>
    <xf numFmtId="0" fontId="11" fillId="0" borderId="74" xfId="180" applyFont="1" applyBorder="1" applyAlignment="1" applyProtection="1">
      <alignment horizontal="center" wrapText="1"/>
    </xf>
    <xf numFmtId="0" fontId="11" fillId="0" borderId="64" xfId="180" applyFont="1" applyBorder="1" applyAlignment="1" applyProtection="1">
      <alignment horizontal="center" wrapText="1"/>
    </xf>
    <xf numFmtId="0" fontId="11" fillId="0" borderId="72" xfId="180" applyFont="1" applyBorder="1" applyAlignment="1" applyProtection="1">
      <alignment horizontal="center" wrapText="1"/>
    </xf>
    <xf numFmtId="0" fontId="11" fillId="0" borderId="61" xfId="180" applyFont="1" applyBorder="1" applyAlignment="1" applyProtection="1">
      <alignment horizontal="center" wrapText="1"/>
    </xf>
    <xf numFmtId="0" fontId="11" fillId="0" borderId="77" xfId="180" applyFont="1" applyBorder="1" applyAlignment="1" applyProtection="1">
      <alignment horizontal="center" wrapText="1"/>
    </xf>
    <xf numFmtId="0" fontId="11" fillId="0" borderId="65" xfId="180" applyFont="1" applyBorder="1" applyAlignment="1" applyProtection="1">
      <alignment horizontal="center" wrapText="1"/>
    </xf>
    <xf numFmtId="0" fontId="11" fillId="0" borderId="0" xfId="180" applyFont="1" applyAlignment="1" applyProtection="1">
      <alignment horizontal="left" vertical="center"/>
    </xf>
    <xf numFmtId="0" fontId="11" fillId="2" borderId="61" xfId="176" applyFont="1" applyFill="1" applyBorder="1" applyAlignment="1" applyProtection="1">
      <alignment horizontal="left"/>
      <protection locked="0"/>
    </xf>
    <xf numFmtId="0" fontId="11" fillId="0" borderId="0" xfId="180" applyFont="1" applyAlignment="1" applyProtection="1">
      <alignment horizontal="left" wrapText="1"/>
    </xf>
    <xf numFmtId="0" fontId="121" fillId="75" borderId="89" xfId="176" applyFont="1" applyFill="1" applyBorder="1" applyAlignment="1" applyProtection="1">
      <alignment horizontal="left"/>
    </xf>
    <xf numFmtId="0" fontId="121" fillId="75" borderId="90" xfId="176" applyFont="1" applyFill="1" applyBorder="1" applyAlignment="1" applyProtection="1">
      <alignment horizontal="left"/>
    </xf>
    <xf numFmtId="0" fontId="121" fillId="75" borderId="91" xfId="176" applyFont="1" applyFill="1" applyBorder="1" applyAlignment="1" applyProtection="1">
      <alignment horizontal="left"/>
    </xf>
    <xf numFmtId="49" fontId="11" fillId="2" borderId="101" xfId="176" applyNumberFormat="1" applyFont="1" applyFill="1" applyBorder="1" applyAlignment="1" applyProtection="1">
      <protection locked="0"/>
    </xf>
    <xf numFmtId="0" fontId="11" fillId="75" borderId="61" xfId="176" applyFont="1" applyFill="1" applyBorder="1" applyAlignment="1" applyProtection="1">
      <alignment horizontal="left"/>
    </xf>
    <xf numFmtId="0" fontId="11" fillId="75" borderId="92" xfId="176" applyFont="1" applyFill="1" applyBorder="1" applyAlignment="1" applyProtection="1">
      <alignment horizontal="right" vertical="center"/>
    </xf>
    <xf numFmtId="49" fontId="11" fillId="2" borderId="61" xfId="176" applyNumberFormat="1" applyFont="1" applyFill="1" applyBorder="1" applyAlignment="1" applyProtection="1">
      <alignment horizontal="left"/>
      <protection locked="0"/>
    </xf>
    <xf numFmtId="49" fontId="11" fillId="2" borderId="102" xfId="176" applyNumberFormat="1" applyFont="1" applyFill="1" applyBorder="1" applyAlignment="1" applyProtection="1">
      <protection locked="0"/>
    </xf>
    <xf numFmtId="0" fontId="11" fillId="0" borderId="0" xfId="180" applyFont="1" applyAlignment="1" applyProtection="1">
      <alignment horizontal="left" vertical="center" indent="2"/>
    </xf>
    <xf numFmtId="0" fontId="11" fillId="0" borderId="65" xfId="180" applyFont="1" applyBorder="1" applyAlignment="1" applyProtection="1">
      <alignment horizontal="center"/>
    </xf>
    <xf numFmtId="0" fontId="11" fillId="0" borderId="61" xfId="180" applyFont="1" applyBorder="1" applyAlignment="1" applyProtection="1">
      <alignment horizontal="center"/>
    </xf>
    <xf numFmtId="0" fontId="11" fillId="0" borderId="64" xfId="180" applyFont="1" applyBorder="1" applyAlignment="1" applyProtection="1">
      <alignment horizontal="center"/>
    </xf>
    <xf numFmtId="0" fontId="11" fillId="0" borderId="0" xfId="180" applyFont="1" applyAlignment="1" applyProtection="1">
      <alignment horizontal="left" vertical="top" wrapText="1"/>
    </xf>
    <xf numFmtId="0" fontId="11" fillId="0" borderId="0" xfId="180" applyFont="1" applyAlignment="1" applyProtection="1">
      <alignment horizontal="center" vertical="top" wrapText="1"/>
    </xf>
    <xf numFmtId="0" fontId="54" fillId="0" borderId="0" xfId="176" applyFont="1" applyAlignment="1" applyProtection="1">
      <alignment horizontal="left"/>
    </xf>
    <xf numFmtId="0" fontId="54" fillId="0" borderId="0" xfId="176" applyFont="1" applyAlignment="1" applyProtection="1">
      <alignment horizontal="left" wrapText="1"/>
    </xf>
    <xf numFmtId="0" fontId="54" fillId="0" borderId="40" xfId="176" applyFont="1" applyBorder="1" applyAlignment="1" applyProtection="1">
      <alignment horizontal="left" vertical="center" wrapText="1"/>
    </xf>
    <xf numFmtId="0" fontId="54" fillId="0" borderId="135" xfId="176" applyFont="1" applyBorder="1" applyAlignment="1" applyProtection="1">
      <alignment horizontal="left" vertical="center" wrapText="1"/>
    </xf>
    <xf numFmtId="0" fontId="54" fillId="0" borderId="135" xfId="176" applyFont="1" applyBorder="1" applyAlignment="1" applyProtection="1">
      <alignment horizontal="left" wrapText="1"/>
    </xf>
    <xf numFmtId="0" fontId="54" fillId="0" borderId="40" xfId="176" applyFont="1" applyBorder="1" applyAlignment="1" applyProtection="1">
      <alignment horizontal="left" wrapText="1"/>
    </xf>
    <xf numFmtId="0" fontId="54" fillId="0" borderId="40" xfId="176" applyFont="1" applyBorder="1" applyAlignment="1" applyProtection="1">
      <alignment horizontal="right" vertical="center"/>
    </xf>
    <xf numFmtId="0" fontId="54" fillId="0" borderId="0" xfId="176" applyFont="1" applyAlignment="1" applyProtection="1">
      <alignment horizontal="right" vertical="center"/>
    </xf>
    <xf numFmtId="0" fontId="176" fillId="80" borderId="0" xfId="8" applyFont="1" applyFill="1" applyAlignment="1" applyProtection="1">
      <alignment horizontal="center" vertical="center"/>
    </xf>
    <xf numFmtId="0" fontId="11" fillId="0" borderId="61" xfId="176" applyBorder="1" applyAlignment="1" applyProtection="1">
      <alignment horizontal="center"/>
    </xf>
    <xf numFmtId="0" fontId="11" fillId="0" borderId="133" xfId="176" applyBorder="1" applyAlignment="1" applyProtection="1">
      <alignment horizontal="center"/>
    </xf>
    <xf numFmtId="0" fontId="11" fillId="0" borderId="134" xfId="176" applyBorder="1" applyAlignment="1" applyProtection="1">
      <alignment horizontal="center"/>
    </xf>
    <xf numFmtId="0" fontId="154" fillId="0" borderId="72" xfId="176" applyFont="1" applyFill="1" applyBorder="1" applyAlignment="1" applyProtection="1">
      <alignment horizontal="left"/>
    </xf>
    <xf numFmtId="0" fontId="154" fillId="0" borderId="0" xfId="176" applyFont="1" applyFill="1" applyBorder="1" applyAlignment="1" applyProtection="1">
      <alignment horizontal="left"/>
    </xf>
    <xf numFmtId="0" fontId="154" fillId="0" borderId="0" xfId="176" applyFont="1" applyFill="1" applyBorder="1" applyAlignment="1" applyProtection="1">
      <alignment horizontal="left" wrapText="1"/>
    </xf>
    <xf numFmtId="0" fontId="76" fillId="15" borderId="0" xfId="0" applyFont="1" applyFill="1" applyAlignment="1" applyProtection="1">
      <alignment horizontal="center" vertical="center"/>
    </xf>
    <xf numFmtId="0" fontId="11" fillId="19" borderId="8" xfId="0" applyFont="1" applyFill="1" applyBorder="1" applyAlignment="1" applyProtection="1">
      <alignment horizontal="left" vertical="top" wrapText="1"/>
      <protection locked="0"/>
    </xf>
    <xf numFmtId="0" fontId="0" fillId="19" borderId="0" xfId="0" applyFill="1" applyBorder="1" applyAlignment="1" applyProtection="1">
      <alignment horizontal="left" vertical="top" wrapText="1"/>
      <protection locked="0"/>
    </xf>
    <xf numFmtId="0" fontId="0" fillId="19" borderId="9" xfId="0" applyFill="1" applyBorder="1" applyAlignment="1" applyProtection="1">
      <alignment horizontal="left" vertical="top" wrapText="1"/>
      <protection locked="0"/>
    </xf>
    <xf numFmtId="0" fontId="0" fillId="19" borderId="8" xfId="0" applyFill="1" applyBorder="1" applyAlignment="1" applyProtection="1">
      <alignment horizontal="left" vertical="top" wrapText="1"/>
      <protection locked="0"/>
    </xf>
    <xf numFmtId="0" fontId="0" fillId="19" borderId="10" xfId="0" applyFill="1" applyBorder="1" applyAlignment="1" applyProtection="1">
      <alignment horizontal="left" vertical="top" wrapText="1"/>
      <protection locked="0"/>
    </xf>
    <xf numFmtId="0" fontId="0" fillId="19" borderId="1" xfId="0" applyFill="1" applyBorder="1" applyAlignment="1" applyProtection="1">
      <alignment horizontal="left" vertical="top" wrapText="1"/>
      <protection locked="0"/>
    </xf>
    <xf numFmtId="0" fontId="0" fillId="19" borderId="11" xfId="0" applyFill="1" applyBorder="1" applyAlignment="1" applyProtection="1">
      <alignment horizontal="left" vertical="top" wrapText="1"/>
      <protection locked="0"/>
    </xf>
    <xf numFmtId="0" fontId="49" fillId="0" borderId="0" xfId="0" applyFont="1" applyAlignment="1" applyProtection="1">
      <alignment horizontal="center"/>
    </xf>
    <xf numFmtId="0" fontId="11" fillId="85" borderId="0" xfId="47" applyFont="1" applyFill="1" applyAlignment="1" applyProtection="1">
      <alignment horizontal="center"/>
    </xf>
  </cellXfs>
  <cellStyles count="201">
    <cellStyle name="20% - Accent1" xfId="65" builtinId="30" customBuiltin="1"/>
    <cellStyle name="20% - Accent1 2" xfId="89"/>
    <cellStyle name="20% - Accent1 2 2" xfId="139"/>
    <cellStyle name="20% - Accent1 3" xfId="138"/>
    <cellStyle name="20% - Accent2" xfId="69" builtinId="34" customBuiltin="1"/>
    <cellStyle name="20% - Accent2 2" xfId="90"/>
    <cellStyle name="20% - Accent2 2 2" xfId="141"/>
    <cellStyle name="20% - Accent2 3" xfId="140"/>
    <cellStyle name="20% - Accent3" xfId="73" builtinId="38" customBuiltin="1"/>
    <cellStyle name="20% - Accent3 2" xfId="91"/>
    <cellStyle name="20% - Accent3 2 2" xfId="143"/>
    <cellStyle name="20% - Accent3 3" xfId="142"/>
    <cellStyle name="20% - Accent4" xfId="77" builtinId="42" customBuiltin="1"/>
    <cellStyle name="20% - Accent4 2" xfId="92"/>
    <cellStyle name="20% - Accent4 2 2" xfId="145"/>
    <cellStyle name="20% - Accent4 3" xfId="144"/>
    <cellStyle name="20% - Accent5" xfId="81" builtinId="46" customBuiltin="1"/>
    <cellStyle name="20% - Accent5 2" xfId="93"/>
    <cellStyle name="20% - Accent5 2 2" xfId="147"/>
    <cellStyle name="20% - Accent5 3" xfId="146"/>
    <cellStyle name="20% - Accent6" xfId="85" builtinId="50" customBuiltin="1"/>
    <cellStyle name="20% - Accent6 2" xfId="94"/>
    <cellStyle name="20% - Accent6 2 2" xfId="149"/>
    <cellStyle name="20% - Accent6 3" xfId="148"/>
    <cellStyle name="40% - Accent1" xfId="66" builtinId="31" customBuiltin="1"/>
    <cellStyle name="40% - Accent1 2" xfId="95"/>
    <cellStyle name="40% - Accent1 2 2" xfId="151"/>
    <cellStyle name="40% - Accent1 3" xfId="150"/>
    <cellStyle name="40% - Accent2" xfId="70" builtinId="35" customBuiltin="1"/>
    <cellStyle name="40% - Accent2 2" xfId="96"/>
    <cellStyle name="40% - Accent2 2 2" xfId="153"/>
    <cellStyle name="40% - Accent2 3" xfId="152"/>
    <cellStyle name="40% - Accent3" xfId="74" builtinId="39" customBuiltin="1"/>
    <cellStyle name="40% - Accent3 2" xfId="97"/>
    <cellStyle name="40% - Accent3 2 2" xfId="155"/>
    <cellStyle name="40% - Accent3 3" xfId="154"/>
    <cellStyle name="40% - Accent4" xfId="78" builtinId="43" customBuiltin="1"/>
    <cellStyle name="40% - Accent4 2" xfId="98"/>
    <cellStyle name="40% - Accent4 2 2" xfId="157"/>
    <cellStyle name="40% - Accent4 3" xfId="156"/>
    <cellStyle name="40% - Accent5" xfId="82" builtinId="47" customBuiltin="1"/>
    <cellStyle name="40% - Accent5 2" xfId="99"/>
    <cellStyle name="40% - Accent5 2 2" xfId="159"/>
    <cellStyle name="40% - Accent5 3" xfId="158"/>
    <cellStyle name="40% - Accent6" xfId="86" builtinId="51" customBuiltin="1"/>
    <cellStyle name="40% - Accent6 2" xfId="100"/>
    <cellStyle name="40% - Accent6 2 2" xfId="161"/>
    <cellStyle name="40% - Accent6 3" xfId="160"/>
    <cellStyle name="60% - Accent1" xfId="67" builtinId="32" customBuiltin="1"/>
    <cellStyle name="60% - Accent2" xfId="71" builtinId="36" customBuiltin="1"/>
    <cellStyle name="60% - Accent3" xfId="75" builtinId="40" customBuiltin="1"/>
    <cellStyle name="60% - Accent4" xfId="79" builtinId="44" customBuiltin="1"/>
    <cellStyle name="60% - Accent5" xfId="83" builtinId="48" customBuiltin="1"/>
    <cellStyle name="60% - Accent6" xfId="87" builtinId="52" customBuiltin="1"/>
    <cellStyle name="Accent1" xfId="64" builtinId="29" customBuiltin="1"/>
    <cellStyle name="Accent2" xfId="68" builtinId="33" customBuiltin="1"/>
    <cellStyle name="Accent3" xfId="72" builtinId="37" customBuiltin="1"/>
    <cellStyle name="Accent4" xfId="76" builtinId="41" customBuiltin="1"/>
    <cellStyle name="Accent5" xfId="80" builtinId="45" customBuiltin="1"/>
    <cellStyle name="Accent6" xfId="84" builtinId="49" customBuiltin="1"/>
    <cellStyle name="Bad" xfId="54" builtinId="27" customBuiltin="1"/>
    <cellStyle name="Calculation" xfId="58" builtinId="22" customBuiltin="1"/>
    <cellStyle name="Check Cell" xfId="60" builtinId="23" customBuiltin="1"/>
    <cellStyle name="Comma [0]_f118" xfId="179"/>
    <cellStyle name="Comma [0]_f150" xfId="194"/>
    <cellStyle name="Comma 2" xfId="101"/>
    <cellStyle name="Comma 2 2" xfId="119"/>
    <cellStyle name="Comma 3" xfId="102"/>
    <cellStyle name="Comma 3 2" xfId="132"/>
    <cellStyle name="Comma 4" xfId="103"/>
    <cellStyle name="Comma 5" xfId="104"/>
    <cellStyle name="Comma 6" xfId="122"/>
    <cellStyle name="Currency 2" xfId="105"/>
    <cellStyle name="Explanatory Text" xfId="62" builtinId="53" customBuiltin="1"/>
    <cellStyle name="Followed Hyperlink" xfId="200" builtinId="9" customBuiltin="1"/>
    <cellStyle name="Good" xfId="53" builtinId="26" customBuiltin="1"/>
    <cellStyle name="Heading 1" xfId="49" builtinId="16" customBuiltin="1"/>
    <cellStyle name="Heading 2" xfId="50" builtinId="17" customBuiltin="1"/>
    <cellStyle name="Heading 3" xfId="51" builtinId="18" customBuiltin="1"/>
    <cellStyle name="Heading 4" xfId="52" builtinId="19" customBuiltin="1"/>
    <cellStyle name="Hyperlink" xfId="1" builtinId="8" customBuiltin="1"/>
    <cellStyle name="Hyperlink 2" xfId="106"/>
    <cellStyle name="Hyperlink 3" xfId="107"/>
    <cellStyle name="Hyperlink 4" xfId="120"/>
    <cellStyle name="Hyperlink 5" xfId="199"/>
    <cellStyle name="Input" xfId="56" builtinId="20" customBuiltin="1"/>
    <cellStyle name="Linked Cell" xfId="59" builtinId="24" customBuiltin="1"/>
    <cellStyle name="Neutral" xfId="55" builtinId="28" customBuiltin="1"/>
    <cellStyle name="Normal" xfId="0" builtinId="0"/>
    <cellStyle name="Normal 10" xfId="137"/>
    <cellStyle name="Normal 10 2 2 2 2" xfId="192"/>
    <cellStyle name="Normal 11" xfId="170"/>
    <cellStyle name="Normal 12" xfId="195"/>
    <cellStyle name="Normal 13" xfId="171"/>
    <cellStyle name="Normal 13 2" xfId="172"/>
    <cellStyle name="Normal 14" xfId="196"/>
    <cellStyle name="Normal 14 2 2" xfId="176"/>
    <cellStyle name="Normal 15" xfId="174"/>
    <cellStyle name="Normal 15 2" xfId="178"/>
    <cellStyle name="Normal 16" xfId="175"/>
    <cellStyle name="Normal 16 2 2" xfId="173"/>
    <cellStyle name="Normal 16 3" xfId="177"/>
    <cellStyle name="Normal 17" xfId="198"/>
    <cellStyle name="Normal 18" xfId="191"/>
    <cellStyle name="Normal 2" xfId="2"/>
    <cellStyle name="Normal 2 2" xfId="108"/>
    <cellStyle name="Normal 2 2 2" xfId="109"/>
    <cellStyle name="Normal 2 2 2 2" xfId="124"/>
    <cellStyle name="Normal 2 2 2 2 2" xfId="166"/>
    <cellStyle name="Normal 2 2 3" xfId="162"/>
    <cellStyle name="Normal 2 2 3 2" xfId="169"/>
    <cellStyle name="Normal 2 3" xfId="110"/>
    <cellStyle name="Normal 2 4" xfId="3"/>
    <cellStyle name="Normal 2 4 2" xfId="111"/>
    <cellStyle name="Normal 2 5" xfId="190"/>
    <cellStyle name="Normal 3" xfId="4"/>
    <cellStyle name="Normal 3 2" xfId="5"/>
    <cellStyle name="Normal 3 2 2" xfId="112"/>
    <cellStyle name="Normal 3 3" xfId="125"/>
    <cellStyle name="Normal 4" xfId="6"/>
    <cellStyle name="Normal 4 2" xfId="127"/>
    <cellStyle name="Normal 4 3" xfId="128"/>
    <cellStyle name="Normal 4 3 2" xfId="167"/>
    <cellStyle name="Normal 4 4" xfId="126"/>
    <cellStyle name="Normal 4 5" xfId="113"/>
    <cellStyle name="Normal 5" xfId="7"/>
    <cellStyle name="Normal 6" xfId="114"/>
    <cellStyle name="Normal 6 2" xfId="129"/>
    <cellStyle name="Normal 6 3" xfId="163"/>
    <cellStyle name="Normal 7" xfId="130"/>
    <cellStyle name="Normal 7 2" xfId="134"/>
    <cellStyle name="Normal 7 3" xfId="133"/>
    <cellStyle name="Normal 8" xfId="135"/>
    <cellStyle name="Normal 9" xfId="88"/>
    <cellStyle name="Normal_amend" xfId="180"/>
    <cellStyle name="Normal_C01" xfId="8"/>
    <cellStyle name="Normal_C010" xfId="9"/>
    <cellStyle name="Normal_C012" xfId="10"/>
    <cellStyle name="Normal_C014" xfId="11"/>
    <cellStyle name="Normal_C016" xfId="12"/>
    <cellStyle name="Normal_C018" xfId="13"/>
    <cellStyle name="Normal_C02" xfId="14"/>
    <cellStyle name="Normal_C022" xfId="15"/>
    <cellStyle name="Normal_C024" xfId="16"/>
    <cellStyle name="Normal_C026" xfId="17"/>
    <cellStyle name="Normal_C028" xfId="18"/>
    <cellStyle name="Normal_C029" xfId="19"/>
    <cellStyle name="Normal_C030" xfId="20"/>
    <cellStyle name="Normal_C032" xfId="21"/>
    <cellStyle name="Normal_C034" xfId="22"/>
    <cellStyle name="Normal_C036" xfId="23"/>
    <cellStyle name="Normal_C04" xfId="24"/>
    <cellStyle name="Normal_C042" xfId="25"/>
    <cellStyle name="Normal_C044" xfId="26"/>
    <cellStyle name="Normal_C045" xfId="27"/>
    <cellStyle name="Normal_C046" xfId="28"/>
    <cellStyle name="Normal_C05" xfId="29"/>
    <cellStyle name="Normal_c053" xfId="30"/>
    <cellStyle name="Normal_C054a56" xfId="31"/>
    <cellStyle name="Normal_C05a" xfId="32"/>
    <cellStyle name="Normal_C06" xfId="33"/>
    <cellStyle name="Normal_c062" xfId="34"/>
    <cellStyle name="Normal_c063" xfId="35"/>
    <cellStyle name="Normal_c066" xfId="36"/>
    <cellStyle name="Normal_c067" xfId="37"/>
    <cellStyle name="Normal_c068" xfId="38"/>
    <cellStyle name="Normal_c078" xfId="39"/>
    <cellStyle name="Normal_C08" xfId="40"/>
    <cellStyle name="Normal_c080" xfId="41"/>
    <cellStyle name="Normal_c082" xfId="42"/>
    <cellStyle name="Normal_c083" xfId="43"/>
    <cellStyle name="Normal_c084" xfId="44"/>
    <cellStyle name="Normal_c086" xfId="45"/>
    <cellStyle name="Normal_co99" xfId="46"/>
    <cellStyle name="Normal_f110" xfId="181"/>
    <cellStyle name="Normal_f118" xfId="182"/>
    <cellStyle name="Normal_f150" xfId="183"/>
    <cellStyle name="Normal_f155" xfId="184"/>
    <cellStyle name="Normal_f162" xfId="185"/>
    <cellStyle name="Normal_f194" xfId="186"/>
    <cellStyle name="Normal_f195" xfId="187"/>
    <cellStyle name="Normal_f239" xfId="188"/>
    <cellStyle name="Normal_f241a" xfId="189"/>
    <cellStyle name="Normal_open" xfId="47"/>
    <cellStyle name="Normal_Sheet1" xfId="197"/>
    <cellStyle name="Note 2" xfId="116"/>
    <cellStyle name="Note 2 2" xfId="123"/>
    <cellStyle name="Note 2 2 2" xfId="165"/>
    <cellStyle name="Note 2 3" xfId="121"/>
    <cellStyle name="Note 2 3 2" xfId="164"/>
    <cellStyle name="Note 3" xfId="117"/>
    <cellStyle name="Note 3 2" xfId="131"/>
    <cellStyle name="Note 3 2 2" xfId="168"/>
    <cellStyle name="Note 4" xfId="136"/>
    <cellStyle name="Note 5" xfId="115"/>
    <cellStyle name="Output" xfId="57" builtinId="21" customBuiltin="1"/>
    <cellStyle name="Percent" xfId="193" builtinId="5"/>
    <cellStyle name="Percent 2" xfId="118"/>
    <cellStyle name="Title" xfId="48" builtinId="15" customBuiltin="1"/>
    <cellStyle name="Total" xfId="63" builtinId="25" customBuiltin="1"/>
    <cellStyle name="Warning Text" xfId="61" builtinId="11" customBuiltin="1"/>
  </cellStyles>
  <dxfs count="32">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right style="thin">
          <color auto="1"/>
        </right>
        <top style="thin">
          <color auto="1"/>
        </top>
        <bottom style="thin">
          <color auto="1"/>
        </bottom>
      </border>
    </dxf>
    <dxf>
      <border>
        <right style="thin">
          <color auto="1"/>
        </right>
        <top style="thin">
          <color auto="1"/>
        </top>
        <bottom style="thin">
          <color auto="1"/>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B7312C"/>
      </font>
    </dxf>
    <dxf>
      <font>
        <color rgb="FFB7312C"/>
      </font>
      <fill>
        <patternFill>
          <bgColor rgb="FFF7DEDD"/>
        </patternFill>
      </fill>
    </dxf>
    <dxf>
      <font>
        <color rgb="FFB7312C"/>
      </font>
      <fill>
        <patternFill patternType="none">
          <bgColor auto="1"/>
        </patternFill>
      </fill>
    </dxf>
    <dxf>
      <font>
        <color rgb="FFB7312C"/>
      </font>
      <fill>
        <patternFill patternType="none">
          <bgColor auto="1"/>
        </patternFill>
      </fill>
    </dxf>
    <dxf>
      <font>
        <color rgb="FFB7312C"/>
      </font>
    </dxf>
    <dxf>
      <font>
        <color rgb="FFB7312C"/>
      </font>
      <fill>
        <patternFill>
          <bgColor rgb="FFFFA3B9"/>
        </patternFill>
      </fill>
    </dxf>
    <dxf>
      <font>
        <color rgb="FFB7312C"/>
      </font>
    </dxf>
    <dxf>
      <font>
        <color rgb="FFB7312C"/>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A400"/>
        </patternFill>
      </fill>
    </dxf>
    <dxf>
      <font>
        <color rgb="FFB7312C"/>
      </font>
      <fill>
        <patternFill>
          <fgColor auto="1"/>
          <bgColor rgb="FFFFA3B9"/>
        </patternFill>
      </fill>
    </dxf>
    <dxf>
      <fill>
        <patternFill>
          <bgColor rgb="FFFFA400"/>
        </patternFill>
      </fill>
    </dxf>
    <dxf>
      <fill>
        <patternFill>
          <bgColor rgb="FFFFA400"/>
        </patternFill>
      </fill>
    </dxf>
    <dxf>
      <font>
        <color rgb="FFC00000"/>
      </font>
      <fill>
        <patternFill>
          <bgColor rgb="FFF7DEDD"/>
        </patternFill>
      </fill>
    </dxf>
    <dxf>
      <font>
        <color rgb="FFC00000"/>
      </font>
      <fill>
        <patternFill>
          <bgColor rgb="FFF7DEDD"/>
        </patternFill>
      </fill>
    </dxf>
    <dxf>
      <font>
        <color rgb="FFB7312C"/>
      </font>
      <fill>
        <patternFill>
          <bgColor rgb="FFF7DEDD"/>
        </patternFill>
      </fill>
    </dxf>
    <dxf>
      <font>
        <color rgb="FFB7312C"/>
      </font>
      <fill>
        <patternFill>
          <bgColor rgb="FFF7DEDD"/>
        </patternFill>
      </fill>
    </dxf>
    <dxf>
      <font>
        <color rgb="FFB7312C"/>
      </font>
      <fill>
        <patternFill>
          <bgColor rgb="FFF7DEDD"/>
        </patternFill>
      </fill>
    </dxf>
  </dxfs>
  <tableStyles count="0" defaultTableStyle="TableStyleMedium9" defaultPivotStyle="PivotStyleLight16"/>
  <colors>
    <mruColors>
      <color rgb="FFFFA3B9"/>
      <color rgb="FFA3DCFF"/>
      <color rgb="FFFFFF99"/>
      <color rgb="FF0000FF"/>
      <color rgb="FFCDCFD1"/>
      <color rgb="FF00B796"/>
      <color rgb="FFB7312C"/>
      <color rgb="FFFFFFCC"/>
      <color rgb="FF53565A"/>
      <color rgb="FFDDF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n-US" sz="1400"/>
              <a:t>Average</a:t>
            </a:r>
            <a:r>
              <a:rPr lang="en-US" sz="1400" baseline="0"/>
              <a:t> Salary</a:t>
            </a:r>
            <a:endParaRPr lang="en-US" sz="1400"/>
          </a:p>
        </c:rich>
      </c:tx>
      <c:layout>
        <c:manualLayout>
          <c:xMode val="edge"/>
          <c:yMode val="edge"/>
          <c:x val="0.4163202099737533"/>
          <c:y val="3.1620553359683792E-2"/>
        </c:manualLayout>
      </c:layout>
      <c:overlay val="0"/>
    </c:title>
    <c:autoTitleDeleted val="0"/>
    <c:view3D>
      <c:rotX val="15"/>
      <c:rotY val="20"/>
      <c:depthPercent val="100"/>
      <c:rAngAx val="1"/>
    </c:view3D>
    <c:floor>
      <c:thickness val="0"/>
    </c:floor>
    <c:sideWall>
      <c:thickness val="0"/>
      <c:spPr>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2700000" scaled="1"/>
          <a:tileRect/>
        </a:gradFill>
      </c:spPr>
    </c:sideWall>
    <c:backWall>
      <c:thickness val="0"/>
      <c:spPr>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2700000" scaled="1"/>
          <a:tileRect/>
        </a:gradFill>
      </c:spPr>
    </c:backWall>
    <c:plotArea>
      <c:layout>
        <c:manualLayout>
          <c:layoutTarget val="inner"/>
          <c:xMode val="edge"/>
          <c:yMode val="edge"/>
          <c:x val="3.7892883064969185E-2"/>
          <c:y val="0.1402829805110471"/>
          <c:w val="0.8051450634619528"/>
          <c:h val="0.63389214475301647"/>
        </c:manualLayout>
      </c:layout>
      <c:bar3DChart>
        <c:barDir val="col"/>
        <c:grouping val="clustered"/>
        <c:varyColors val="0"/>
        <c:ser>
          <c:idx val="0"/>
          <c:order val="0"/>
          <c:tx>
            <c:strRef>
              <c:f>Salaries!$S$5</c:f>
              <c:strCache>
                <c:ptCount val="1"/>
                <c:pt idx="0">
                  <c:v>2019-2020</c:v>
                </c:pt>
              </c:strCache>
            </c:strRef>
          </c:tx>
          <c:invertIfNegative val="0"/>
          <c:cat>
            <c:strRef>
              <c:f>Salaries!$R$6:$R$9</c:f>
              <c:strCache>
                <c:ptCount val="4"/>
                <c:pt idx="0">
                  <c:v>Administrators (Cert./Non-Cert.)</c:v>
                </c:pt>
                <c:pt idx="1">
                  <c:v>Teachers (Full Time)</c:v>
                </c:pt>
                <c:pt idx="2">
                  <c:v>Other Certified (Lic.) Personnel</c:v>
                </c:pt>
                <c:pt idx="3">
                  <c:v>Classified Personnel</c:v>
                </c:pt>
              </c:strCache>
            </c:strRef>
          </c:cat>
          <c:val>
            <c:numRef>
              <c:f>Salaries!$S$6:$S$9</c:f>
              <c:numCache>
                <c:formatCode>#,##0</c:formatCode>
                <c:ptCount val="4"/>
                <c:pt idx="0">
                  <c:v>71899</c:v>
                </c:pt>
                <c:pt idx="1">
                  <c:v>53803</c:v>
                </c:pt>
                <c:pt idx="2">
                  <c:v>59406</c:v>
                </c:pt>
                <c:pt idx="3">
                  <c:v>45096</c:v>
                </c:pt>
              </c:numCache>
            </c:numRef>
          </c:val>
          <c:extLst xmlns:c16r2="http://schemas.microsoft.com/office/drawing/2015/06/chart">
            <c:ext xmlns:c16="http://schemas.microsoft.com/office/drawing/2014/chart" uri="{C3380CC4-5D6E-409C-BE32-E72D297353CC}">
              <c16:uniqueId val="{00000000-8B31-40DF-9A23-5037985A1AD6}"/>
            </c:ext>
          </c:extLst>
        </c:ser>
        <c:ser>
          <c:idx val="1"/>
          <c:order val="1"/>
          <c:tx>
            <c:strRef>
              <c:f>Salaries!$T$5</c:f>
              <c:strCache>
                <c:ptCount val="1"/>
                <c:pt idx="0">
                  <c:v>2020-2021</c:v>
                </c:pt>
              </c:strCache>
            </c:strRef>
          </c:tx>
          <c:invertIfNegative val="0"/>
          <c:cat>
            <c:strRef>
              <c:f>Salaries!$R$6:$R$9</c:f>
              <c:strCache>
                <c:ptCount val="4"/>
                <c:pt idx="0">
                  <c:v>Administrators (Cert./Non-Cert.)</c:v>
                </c:pt>
                <c:pt idx="1">
                  <c:v>Teachers (Full Time)</c:v>
                </c:pt>
                <c:pt idx="2">
                  <c:v>Other Certified (Lic.) Personnel</c:v>
                </c:pt>
                <c:pt idx="3">
                  <c:v>Classified Personnel</c:v>
                </c:pt>
              </c:strCache>
            </c:strRef>
          </c:cat>
          <c:val>
            <c:numRef>
              <c:f>Salaries!$T$6:$T$9</c:f>
              <c:numCache>
                <c:formatCode>#,##0</c:formatCode>
                <c:ptCount val="4"/>
                <c:pt idx="0">
                  <c:v>75098</c:v>
                </c:pt>
                <c:pt idx="1">
                  <c:v>65430</c:v>
                </c:pt>
                <c:pt idx="2">
                  <c:v>49190</c:v>
                </c:pt>
                <c:pt idx="3">
                  <c:v>34782</c:v>
                </c:pt>
              </c:numCache>
            </c:numRef>
          </c:val>
          <c:extLst xmlns:c16r2="http://schemas.microsoft.com/office/drawing/2015/06/chart">
            <c:ext xmlns:c16="http://schemas.microsoft.com/office/drawing/2014/chart" uri="{C3380CC4-5D6E-409C-BE32-E72D297353CC}">
              <c16:uniqueId val="{00000001-8B31-40DF-9A23-5037985A1AD6}"/>
            </c:ext>
          </c:extLst>
        </c:ser>
        <c:ser>
          <c:idx val="2"/>
          <c:order val="2"/>
          <c:tx>
            <c:strRef>
              <c:f>Salaries!$U$5</c:f>
              <c:strCache>
                <c:ptCount val="1"/>
                <c:pt idx="0">
                  <c:v>2021-2022</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Salaries!$R$6:$R$9</c:f>
              <c:strCache>
                <c:ptCount val="4"/>
                <c:pt idx="0">
                  <c:v>Administrators (Cert./Non-Cert.)</c:v>
                </c:pt>
                <c:pt idx="1">
                  <c:v>Teachers (Full Time)</c:v>
                </c:pt>
                <c:pt idx="2">
                  <c:v>Other Certified (Lic.) Personnel</c:v>
                </c:pt>
                <c:pt idx="3">
                  <c:v>Classified Personnel</c:v>
                </c:pt>
              </c:strCache>
            </c:strRef>
          </c:cat>
          <c:val>
            <c:numRef>
              <c:f>Salaries!$U$6:$U$9</c:f>
              <c:numCache>
                <c:formatCode>#,##0</c:formatCode>
                <c:ptCount val="4"/>
                <c:pt idx="0">
                  <c:v>80144</c:v>
                </c:pt>
                <c:pt idx="1">
                  <c:v>66846</c:v>
                </c:pt>
                <c:pt idx="2">
                  <c:v>49901</c:v>
                </c:pt>
                <c:pt idx="3">
                  <c:v>36470</c:v>
                </c:pt>
              </c:numCache>
            </c:numRef>
          </c:val>
          <c:extLst xmlns:c16r2="http://schemas.microsoft.com/office/drawing/2015/06/chart">
            <c:ext xmlns:c16="http://schemas.microsoft.com/office/drawing/2014/chart" uri="{C3380CC4-5D6E-409C-BE32-E72D297353CC}">
              <c16:uniqueId val="{00000002-8B31-40DF-9A23-5037985A1AD6}"/>
            </c:ext>
          </c:extLst>
        </c:ser>
        <c:dLbls>
          <c:showLegendKey val="0"/>
          <c:showVal val="0"/>
          <c:showCatName val="0"/>
          <c:showSerName val="0"/>
          <c:showPercent val="0"/>
          <c:showBubbleSize val="0"/>
        </c:dLbls>
        <c:gapWidth val="150"/>
        <c:shape val="box"/>
        <c:axId val="213173760"/>
        <c:axId val="213175296"/>
        <c:axId val="0"/>
      </c:bar3DChart>
      <c:catAx>
        <c:axId val="213173760"/>
        <c:scaling>
          <c:orientation val="minMax"/>
        </c:scaling>
        <c:delete val="0"/>
        <c:axPos val="b"/>
        <c:numFmt formatCode="General" sourceLinked="1"/>
        <c:majorTickMark val="none"/>
        <c:minorTickMark val="none"/>
        <c:tickLblPos val="nextTo"/>
        <c:txPr>
          <a:bodyPr/>
          <a:lstStyle/>
          <a:p>
            <a:pPr>
              <a:defRPr sz="800" baseline="0"/>
            </a:pPr>
            <a:endParaRPr lang="en-US"/>
          </a:p>
        </c:txPr>
        <c:crossAx val="213175296"/>
        <c:crosses val="autoZero"/>
        <c:auto val="1"/>
        <c:lblAlgn val="ctr"/>
        <c:lblOffset val="100"/>
        <c:noMultiLvlLbl val="0"/>
      </c:catAx>
      <c:valAx>
        <c:axId val="213175296"/>
        <c:scaling>
          <c:orientation val="minMax"/>
        </c:scaling>
        <c:delete val="0"/>
        <c:axPos val="l"/>
        <c:majorGridlines/>
        <c:numFmt formatCode="#,##0" sourceLinked="1"/>
        <c:majorTickMark val="none"/>
        <c:minorTickMark val="none"/>
        <c:tickLblPos val="nextTo"/>
        <c:txPr>
          <a:bodyPr/>
          <a:lstStyle/>
          <a:p>
            <a:pPr>
              <a:defRPr sz="900" baseline="0"/>
            </a:pPr>
            <a:endParaRPr lang="en-US"/>
          </a:p>
        </c:txPr>
        <c:crossAx val="213173760"/>
        <c:crosses val="autoZero"/>
        <c:crossBetween val="between"/>
      </c:valAx>
    </c:plotArea>
    <c:legend>
      <c:legendPos val="r"/>
      <c:layout>
        <c:manualLayout>
          <c:xMode val="edge"/>
          <c:yMode val="edge"/>
          <c:x val="0.88047646803234392"/>
          <c:y val="0.44689519457026206"/>
          <c:w val="0.10875637180614872"/>
          <c:h val="0.22817556322809807"/>
        </c:manualLayout>
      </c:layout>
      <c:overlay val="0"/>
    </c:legend>
    <c:plotVisOnly val="1"/>
    <c:dispBlanksAs val="gap"/>
    <c:showDLblsOverMax val="0"/>
  </c:chart>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3.emf"/></Relationships>
</file>

<file path=xl/drawings/_rels/drawing2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2</xdr:col>
      <xdr:colOff>190500</xdr:colOff>
      <xdr:row>0</xdr:row>
      <xdr:rowOff>47625</xdr:rowOff>
    </xdr:from>
    <xdr:to>
      <xdr:col>7</xdr:col>
      <xdr:colOff>0</xdr:colOff>
      <xdr:row>2</xdr:row>
      <xdr:rowOff>38100</xdr:rowOff>
    </xdr:to>
    <xdr:sp macro="" textlink="">
      <xdr:nvSpPr>
        <xdr:cNvPr id="53252" name="Text Box 4">
          <a:extLst>
            <a:ext uri="{FF2B5EF4-FFF2-40B4-BE49-F238E27FC236}">
              <a16:creationId xmlns:a16="http://schemas.microsoft.com/office/drawing/2014/main" xmlns="" id="{00000000-0008-0000-0000-000004D00000}"/>
            </a:ext>
          </a:extLst>
        </xdr:cNvPr>
        <xdr:cNvSpPr txBox="1">
          <a:spLocks noChangeArrowheads="1"/>
        </xdr:cNvSpPr>
      </xdr:nvSpPr>
      <xdr:spPr bwMode="auto">
        <a:xfrm>
          <a:off x="9134475" y="47625"/>
          <a:ext cx="2790825" cy="76200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panose="020B0604020202020204" pitchFamily="34" charset="0"/>
              <a:ea typeface="Open Sans Light" panose="020B0306030504020204" pitchFamily="34" charset="0"/>
              <a:cs typeface="Arial" panose="020B0604020202020204" pitchFamily="34" charset="0"/>
            </a:rPr>
            <a:t>To return to this page after clicking on a link:</a:t>
          </a:r>
        </a:p>
        <a:p>
          <a:pPr algn="l" rtl="0">
            <a:defRPr sz="1000"/>
          </a:pPr>
          <a:endParaRPr lang="en-US" sz="600" b="0" i="0" strike="noStrike">
            <a:solidFill>
              <a:srgbClr val="000000"/>
            </a:solidFill>
            <a:latin typeface="Arial" panose="020B0604020202020204" pitchFamily="34" charset="0"/>
            <a:ea typeface="Open Sans Light" panose="020B0306030504020204" pitchFamily="34" charset="0"/>
            <a:cs typeface="Arial" panose="020B0604020202020204" pitchFamily="34" charset="0"/>
          </a:endParaRPr>
        </a:p>
        <a:p>
          <a:pPr algn="l" rtl="0">
            <a:defRPr sz="1000"/>
          </a:pPr>
          <a:r>
            <a:rPr lang="en-US" sz="1000" b="0" i="0" strike="noStrike">
              <a:solidFill>
                <a:srgbClr val="000000"/>
              </a:solidFill>
              <a:latin typeface="Arial" panose="020B0604020202020204" pitchFamily="34" charset="0"/>
              <a:ea typeface="Open Sans Light" panose="020B0306030504020204" pitchFamily="34" charset="0"/>
              <a:cs typeface="Arial" panose="020B0604020202020204" pitchFamily="34" charset="0"/>
            </a:rPr>
            <a:t>Click</a:t>
          </a:r>
          <a:r>
            <a:rPr lang="en-US" sz="1000" b="0" i="0" strike="noStrike" baseline="0">
              <a:solidFill>
                <a:srgbClr val="000000"/>
              </a:solidFill>
              <a:latin typeface="Arial" panose="020B0604020202020204" pitchFamily="34" charset="0"/>
              <a:ea typeface="Open Sans Light" panose="020B0306030504020204" pitchFamily="34" charset="0"/>
              <a:cs typeface="Arial" panose="020B0604020202020204" pitchFamily="34" charset="0"/>
            </a:rPr>
            <a:t> on the </a:t>
          </a:r>
          <a:r>
            <a:rPr lang="en-US" sz="1000" b="0" i="0" u="sng" strike="noStrike">
              <a:solidFill>
                <a:srgbClr val="0000FF"/>
              </a:solidFill>
              <a:latin typeface="Arial" panose="020B0604020202020204" pitchFamily="34" charset="0"/>
              <a:ea typeface="Open Sans Light" panose="020B0306030504020204" pitchFamily="34" charset="0"/>
              <a:cs typeface="Arial" panose="020B0604020202020204" pitchFamily="34" charset="0"/>
            </a:rPr>
            <a:t>Return to Contents Page</a:t>
          </a:r>
          <a:r>
            <a:rPr lang="en-US" sz="1000" b="0" i="0" strike="noStrike">
              <a:solidFill>
                <a:srgbClr val="000000"/>
              </a:solidFill>
              <a:latin typeface="Arial" panose="020B0604020202020204" pitchFamily="34" charset="0"/>
              <a:ea typeface="Open Sans Light" panose="020B0306030504020204" pitchFamily="34" charset="0"/>
              <a:cs typeface="Arial" panose="020B0604020202020204" pitchFamily="34" charset="0"/>
            </a:rPr>
            <a:t> link in the upper, right-hand corner of each Fund or Form.</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editAs="absolute">
    <xdr:from>
      <xdr:col>10</xdr:col>
      <xdr:colOff>295275</xdr:colOff>
      <xdr:row>1</xdr:row>
      <xdr:rowOff>142875</xdr:rowOff>
    </xdr:from>
    <xdr:to>
      <xdr:col>10</xdr:col>
      <xdr:colOff>762000</xdr:colOff>
      <xdr:row>6</xdr:row>
      <xdr:rowOff>47625</xdr:rowOff>
    </xdr:to>
    <xdr:pic macro="[1]!F242_help">
      <xdr:nvPicPr>
        <xdr:cNvPr id="2" name="Picture 2" descr="helpbutton">
          <a:extLst>
            <a:ext uri="{FF2B5EF4-FFF2-40B4-BE49-F238E27FC236}">
              <a16:creationId xmlns:a16="http://schemas.microsoft.com/office/drawing/2014/main" xmlns=""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39025" y="323850"/>
          <a:ext cx="4667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1.xml><?xml version="1.0" encoding="utf-8"?>
<xdr:wsDr xmlns:xdr="http://schemas.openxmlformats.org/drawingml/2006/spreadsheetDrawing" xmlns:a="http://schemas.openxmlformats.org/drawingml/2006/main">
  <xdr:twoCellAnchor editAs="absolute">
    <xdr:from>
      <xdr:col>10</xdr:col>
      <xdr:colOff>180975</xdr:colOff>
      <xdr:row>1</xdr:row>
      <xdr:rowOff>95250</xdr:rowOff>
    </xdr:from>
    <xdr:to>
      <xdr:col>10</xdr:col>
      <xdr:colOff>647700</xdr:colOff>
      <xdr:row>6</xdr:row>
      <xdr:rowOff>0</xdr:rowOff>
    </xdr:to>
    <xdr:pic macro="[1]!F242a_help">
      <xdr:nvPicPr>
        <xdr:cNvPr id="2" name="Picture 2" descr="helpbutton">
          <a:extLst>
            <a:ext uri="{FF2B5EF4-FFF2-40B4-BE49-F238E27FC236}">
              <a16:creationId xmlns:a16="http://schemas.microsoft.com/office/drawing/2014/main" xmlns=""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62800" y="276225"/>
          <a:ext cx="4667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6</xdr:col>
      <xdr:colOff>76201</xdr:colOff>
      <xdr:row>2</xdr:row>
      <xdr:rowOff>0</xdr:rowOff>
    </xdr:from>
    <xdr:to>
      <xdr:col>8</xdr:col>
      <xdr:colOff>95250</xdr:colOff>
      <xdr:row>7</xdr:row>
      <xdr:rowOff>114300</xdr:rowOff>
    </xdr:to>
    <xdr:sp macro="" textlink="">
      <xdr:nvSpPr>
        <xdr:cNvPr id="3" name="TextBox 2">
          <a:extLst>
            <a:ext uri="{FF2B5EF4-FFF2-40B4-BE49-F238E27FC236}">
              <a16:creationId xmlns:a16="http://schemas.microsoft.com/office/drawing/2014/main" xmlns="" id="{00000000-0008-0000-1800-000003000000}"/>
            </a:ext>
          </a:extLst>
        </xdr:cNvPr>
        <xdr:cNvSpPr txBox="1"/>
      </xdr:nvSpPr>
      <xdr:spPr>
        <a:xfrm>
          <a:off x="6410326" y="400050"/>
          <a:ext cx="3171824" cy="1066800"/>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Beginnin</a:t>
          </a:r>
          <a:r>
            <a:rPr lang="en-US" sz="1100" baseline="0"/>
            <a:t>g in 2018-19, the minimum LOB transfer to Bilingual and At Risk (K-12) must be met before this fund will balance.  See transfers at bottom of fund for more information.</a:t>
          </a:r>
          <a:endParaRPr lang="en-US" sz="1100"/>
        </a:p>
      </xdr:txBody>
    </xdr:sp>
    <xdr:clientData/>
  </xdr:twoCellAnchor>
  <xdr:twoCellAnchor editAs="absolute">
    <xdr:from>
      <xdr:col>0</xdr:col>
      <xdr:colOff>41910</xdr:colOff>
      <xdr:row>0</xdr:row>
      <xdr:rowOff>76200</xdr:rowOff>
    </xdr:from>
    <xdr:to>
      <xdr:col>0</xdr:col>
      <xdr:colOff>575310</xdr:colOff>
      <xdr:row>3</xdr:row>
      <xdr:rowOff>95557</xdr:rowOff>
    </xdr:to>
    <xdr:pic macro="[1]!Code08_help">
      <xdr:nvPicPr>
        <xdr:cNvPr id="6" name="Picture 2" descr="helpbutton">
          <a:extLst>
            <a:ext uri="{FF2B5EF4-FFF2-40B4-BE49-F238E27FC236}">
              <a16:creationId xmlns:a16="http://schemas.microsoft.com/office/drawing/2014/main" xmlns="" id="{419024A1-78A1-4423-8D4F-CA53435CAE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 y="76200"/>
          <a:ext cx="533400" cy="50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257175</xdr:colOff>
      <xdr:row>0</xdr:row>
      <xdr:rowOff>104775</xdr:rowOff>
    </xdr:from>
    <xdr:to>
      <xdr:col>0</xdr:col>
      <xdr:colOff>781050</xdr:colOff>
      <xdr:row>3</xdr:row>
      <xdr:rowOff>114300</xdr:rowOff>
    </xdr:to>
    <xdr:pic macro="[1]!Code45_help">
      <xdr:nvPicPr>
        <xdr:cNvPr id="90610" name="Picture 2" descr="helpbutton">
          <a:extLst>
            <a:ext uri="{FF2B5EF4-FFF2-40B4-BE49-F238E27FC236}">
              <a16:creationId xmlns:a16="http://schemas.microsoft.com/office/drawing/2014/main" xmlns="" id="{00000000-0008-0000-2D00-0000F261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104775"/>
          <a:ext cx="5238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7</xdr:col>
      <xdr:colOff>885824</xdr:colOff>
      <xdr:row>16</xdr:row>
      <xdr:rowOff>28574</xdr:rowOff>
    </xdr:from>
    <xdr:to>
      <xdr:col>10</xdr:col>
      <xdr:colOff>590549</xdr:colOff>
      <xdr:row>19</xdr:row>
      <xdr:rowOff>123824</xdr:rowOff>
    </xdr:to>
    <xdr:sp macro="" textlink="">
      <xdr:nvSpPr>
        <xdr:cNvPr id="52240" name="Text Box 16">
          <a:extLst>
            <a:ext uri="{FF2B5EF4-FFF2-40B4-BE49-F238E27FC236}">
              <a16:creationId xmlns:a16="http://schemas.microsoft.com/office/drawing/2014/main" xmlns="" id="{00000000-0008-0000-2F00-000010CC0000}"/>
            </a:ext>
          </a:extLst>
        </xdr:cNvPr>
        <xdr:cNvSpPr txBox="1">
          <a:spLocks noChangeArrowheads="1"/>
        </xdr:cNvSpPr>
      </xdr:nvSpPr>
      <xdr:spPr bwMode="auto">
        <a:xfrm>
          <a:off x="8582024" y="2647949"/>
          <a:ext cx="2238375" cy="581025"/>
        </a:xfrm>
        <a:prstGeom prst="rect">
          <a:avLst/>
        </a:prstGeom>
        <a:solidFill>
          <a:srgbClr val="FFCC99"/>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sng" strike="noStrike">
              <a:solidFill>
                <a:srgbClr val="000000"/>
              </a:solidFill>
              <a:latin typeface="Arial"/>
              <a:cs typeface="Arial"/>
            </a:rPr>
            <a:t>To see what has been budgeted</a:t>
          </a:r>
          <a:r>
            <a:rPr lang="en-US" sz="1000" b="0" i="0" strike="noStrike">
              <a:solidFill>
                <a:srgbClr val="000000"/>
              </a:solidFill>
              <a:latin typeface="Arial"/>
              <a:cs typeface="Arial"/>
            </a:rPr>
            <a:t>:</a:t>
          </a:r>
        </a:p>
        <a:p>
          <a:pPr algn="l" rtl="0">
            <a:defRPr sz="1000"/>
          </a:pPr>
          <a:r>
            <a:rPr lang="en-US" sz="1000" b="0" i="0" strike="noStrike">
              <a:solidFill>
                <a:srgbClr val="000000"/>
              </a:solidFill>
              <a:latin typeface="Arial"/>
              <a:cs typeface="Arial"/>
            </a:rPr>
            <a:t>Salary information for the budget year is totaled by fund to the right------&gt;</a:t>
          </a: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285750</xdr:colOff>
      <xdr:row>0</xdr:row>
      <xdr:rowOff>76200</xdr:rowOff>
    </xdr:from>
    <xdr:to>
      <xdr:col>0</xdr:col>
      <xdr:colOff>809625</xdr:colOff>
      <xdr:row>3</xdr:row>
      <xdr:rowOff>85725</xdr:rowOff>
    </xdr:to>
    <xdr:pic macro="[1]!Code62_help">
      <xdr:nvPicPr>
        <xdr:cNvPr id="96729" name="Picture 8" descr="helpbutton">
          <a:extLst>
            <a:ext uri="{FF2B5EF4-FFF2-40B4-BE49-F238E27FC236}">
              <a16:creationId xmlns:a16="http://schemas.microsoft.com/office/drawing/2014/main" xmlns="" id="{00000000-0008-0000-3300-0000D979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76200"/>
          <a:ext cx="5238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8</xdr:col>
      <xdr:colOff>38100</xdr:colOff>
      <xdr:row>43</xdr:row>
      <xdr:rowOff>47626</xdr:rowOff>
    </xdr:from>
    <xdr:to>
      <xdr:col>8</xdr:col>
      <xdr:colOff>2628900</xdr:colOff>
      <xdr:row>46</xdr:row>
      <xdr:rowOff>133350</xdr:rowOff>
    </xdr:to>
    <xdr:sp macro="" textlink="">
      <xdr:nvSpPr>
        <xdr:cNvPr id="2" name="TextBox 1">
          <a:extLst>
            <a:ext uri="{FF2B5EF4-FFF2-40B4-BE49-F238E27FC236}">
              <a16:creationId xmlns:a16="http://schemas.microsoft.com/office/drawing/2014/main" xmlns="" id="{00000000-0008-0000-3300-000002000000}"/>
            </a:ext>
          </a:extLst>
        </xdr:cNvPr>
        <xdr:cNvSpPr txBox="1"/>
      </xdr:nvSpPr>
      <xdr:spPr>
        <a:xfrm>
          <a:off x="8839200" y="7705726"/>
          <a:ext cx="2590800" cy="628649"/>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ysClr val="windowText" lastClr="000000"/>
              </a:solidFill>
              <a:latin typeface="Open Sans Light" panose="020B0306030504020204" pitchFamily="34" charset="0"/>
              <a:ea typeface="Open Sans Light" panose="020B0306030504020204" pitchFamily="34" charset="0"/>
              <a:cs typeface="Open Sans Light" panose="020B0306030504020204" pitchFamily="34" charset="0"/>
            </a:rPr>
            <a:t>USD 113</a:t>
          </a:r>
          <a:r>
            <a:rPr lang="en-US" sz="1000" baseline="0">
              <a:solidFill>
                <a:sysClr val="windowText" lastClr="000000"/>
              </a:solidFill>
              <a:latin typeface="Open Sans Light" panose="020B0306030504020204" pitchFamily="34" charset="0"/>
              <a:ea typeface="Open Sans Light" panose="020B0306030504020204" pitchFamily="34" charset="0"/>
              <a:cs typeface="Open Sans Light" panose="020B0306030504020204" pitchFamily="34" charset="0"/>
            </a:rPr>
            <a:t> uses C062 for original USD 441 bonds.   This references cell A18 on Open page which is normally for B&amp;I #2.</a:t>
          </a:r>
          <a:endParaRPr lang="en-US" sz="1000">
            <a:solidFill>
              <a:sysClr val="windowText" lastClr="000000"/>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333375</xdr:colOff>
      <xdr:row>0</xdr:row>
      <xdr:rowOff>66675</xdr:rowOff>
    </xdr:from>
    <xdr:to>
      <xdr:col>0</xdr:col>
      <xdr:colOff>819150</xdr:colOff>
      <xdr:row>3</xdr:row>
      <xdr:rowOff>38100</xdr:rowOff>
    </xdr:to>
    <xdr:pic macro="[1]!Code63_help">
      <xdr:nvPicPr>
        <xdr:cNvPr id="84469" name="Picture 4" descr="helpbutton">
          <a:extLst>
            <a:ext uri="{FF2B5EF4-FFF2-40B4-BE49-F238E27FC236}">
              <a16:creationId xmlns:a16="http://schemas.microsoft.com/office/drawing/2014/main" xmlns="" id="{00000000-0008-0000-3400-0000F549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66675"/>
          <a:ext cx="4857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276225</xdr:colOff>
      <xdr:row>0</xdr:row>
      <xdr:rowOff>57150</xdr:rowOff>
    </xdr:from>
    <xdr:to>
      <xdr:col>0</xdr:col>
      <xdr:colOff>733425</xdr:colOff>
      <xdr:row>3</xdr:row>
      <xdr:rowOff>9525</xdr:rowOff>
    </xdr:to>
    <xdr:pic macro="[1]!Co78_help">
      <xdr:nvPicPr>
        <xdr:cNvPr id="91634" name="Picture 2" descr="helpbutton">
          <a:extLst>
            <a:ext uri="{FF2B5EF4-FFF2-40B4-BE49-F238E27FC236}">
              <a16:creationId xmlns:a16="http://schemas.microsoft.com/office/drawing/2014/main" xmlns="" id="{00000000-0008-0000-3800-0000F265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57150"/>
          <a:ext cx="4572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219075</xdr:colOff>
      <xdr:row>0</xdr:row>
      <xdr:rowOff>142875</xdr:rowOff>
    </xdr:from>
    <xdr:to>
      <xdr:col>0</xdr:col>
      <xdr:colOff>742950</xdr:colOff>
      <xdr:row>4</xdr:row>
      <xdr:rowOff>4233</xdr:rowOff>
    </xdr:to>
    <xdr:pic macro="[1]!Code82_help">
      <xdr:nvPicPr>
        <xdr:cNvPr id="3" name="Picture 8" descr="helpbutton">
          <a:extLst>
            <a:ext uri="{FF2B5EF4-FFF2-40B4-BE49-F238E27FC236}">
              <a16:creationId xmlns:a16="http://schemas.microsoft.com/office/drawing/2014/main" xmlns="" id="{AA1B0819-9368-4B3C-9C68-9F22076038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142875"/>
          <a:ext cx="5238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238125</xdr:colOff>
      <xdr:row>0</xdr:row>
      <xdr:rowOff>47625</xdr:rowOff>
    </xdr:from>
    <xdr:to>
      <xdr:col>0</xdr:col>
      <xdr:colOff>733425</xdr:colOff>
      <xdr:row>3</xdr:row>
      <xdr:rowOff>28575</xdr:rowOff>
    </xdr:to>
    <xdr:pic macro="[1]!Code83_help">
      <xdr:nvPicPr>
        <xdr:cNvPr id="92658" name="Picture 2" descr="helpbutton">
          <a:extLst>
            <a:ext uri="{FF2B5EF4-FFF2-40B4-BE49-F238E27FC236}">
              <a16:creationId xmlns:a16="http://schemas.microsoft.com/office/drawing/2014/main" xmlns="" id="{00000000-0008-0000-3B00-0000F269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47625"/>
          <a:ext cx="4953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0</xdr:col>
      <xdr:colOff>5715</xdr:colOff>
      <xdr:row>0</xdr:row>
      <xdr:rowOff>0</xdr:rowOff>
    </xdr:from>
    <xdr:to>
      <xdr:col>0</xdr:col>
      <xdr:colOff>457200</xdr:colOff>
      <xdr:row>2</xdr:row>
      <xdr:rowOff>5715</xdr:rowOff>
    </xdr:to>
    <xdr:pic macro="[1]!Open_help">
      <xdr:nvPicPr>
        <xdr:cNvPr id="76450" name="Picture 7" descr="helpbutton">
          <a:extLst>
            <a:ext uri="{FF2B5EF4-FFF2-40B4-BE49-F238E27FC236}">
              <a16:creationId xmlns:a16="http://schemas.microsoft.com/office/drawing/2014/main" xmlns="" id="{00000000-0008-0000-0100-0000A22A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0"/>
          <a:ext cx="4476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7</xdr:col>
      <xdr:colOff>38100</xdr:colOff>
      <xdr:row>1</xdr:row>
      <xdr:rowOff>57150</xdr:rowOff>
    </xdr:from>
    <xdr:to>
      <xdr:col>8</xdr:col>
      <xdr:colOff>361950</xdr:colOff>
      <xdr:row>5</xdr:row>
      <xdr:rowOff>152400</xdr:rowOff>
    </xdr:to>
    <xdr:sp macro="" textlink="">
      <xdr:nvSpPr>
        <xdr:cNvPr id="4" name="TextBox 3">
          <a:extLst>
            <a:ext uri="{FF2B5EF4-FFF2-40B4-BE49-F238E27FC236}">
              <a16:creationId xmlns:a16="http://schemas.microsoft.com/office/drawing/2014/main" xmlns="" id="{00000000-0008-0000-0100-000004000000}"/>
            </a:ext>
          </a:extLst>
        </xdr:cNvPr>
        <xdr:cNvSpPr txBox="1"/>
      </xdr:nvSpPr>
      <xdr:spPr>
        <a:xfrm>
          <a:off x="9972675" y="276225"/>
          <a:ext cx="1895475" cy="86677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ysClr val="windowText" lastClr="000000"/>
              </a:solidFill>
              <a:latin typeface="Arial" panose="020B0604020202020204" pitchFamily="34" charset="0"/>
              <a:ea typeface="Open Sans Light" panose="020B0306030504020204" pitchFamily="34" charset="0"/>
              <a:cs typeface="Arial" panose="020B0604020202020204" pitchFamily="34" charset="0"/>
            </a:rPr>
            <a:t>HINT</a:t>
          </a:r>
          <a:r>
            <a:rPr lang="en-US" sz="1000">
              <a:latin typeface="Arial" panose="020B0604020202020204" pitchFamily="34" charset="0"/>
              <a:ea typeface="Open Sans Light" panose="020B0306030504020204" pitchFamily="34" charset="0"/>
              <a:cs typeface="Arial" panose="020B0604020202020204" pitchFamily="34" charset="0"/>
            </a:rPr>
            <a:t>:</a:t>
          </a:r>
          <a:r>
            <a:rPr lang="en-US" sz="1000" baseline="0">
              <a:latin typeface="Arial" panose="020B0604020202020204" pitchFamily="34" charset="0"/>
              <a:ea typeface="Open Sans Light" panose="020B0306030504020204" pitchFamily="34" charset="0"/>
              <a:cs typeface="Arial" panose="020B0604020202020204" pitchFamily="34" charset="0"/>
            </a:rPr>
            <a:t>  If cell comments do not appear when you mouse over cells then close the Budget_Glance.xlsx file.</a:t>
          </a:r>
          <a:endParaRPr lang="en-US" sz="1000">
            <a:latin typeface="Arial" panose="020B0604020202020204" pitchFamily="34" charset="0"/>
            <a:ea typeface="Open Sans Light" panose="020B0306030504020204" pitchFamily="34" charset="0"/>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1</xdr:col>
      <xdr:colOff>1653268</xdr:colOff>
      <xdr:row>0</xdr:row>
      <xdr:rowOff>28575</xdr:rowOff>
    </xdr:from>
    <xdr:to>
      <xdr:col>1</xdr:col>
      <xdr:colOff>2129518</xdr:colOff>
      <xdr:row>2</xdr:row>
      <xdr:rowOff>161925</xdr:rowOff>
    </xdr:to>
    <xdr:pic macro="[1]!Co99_help">
      <xdr:nvPicPr>
        <xdr:cNvPr id="94180" name="Picture 2" descr="helpbutton">
          <a:extLst>
            <a:ext uri="{FF2B5EF4-FFF2-40B4-BE49-F238E27FC236}">
              <a16:creationId xmlns:a16="http://schemas.microsoft.com/office/drawing/2014/main" xmlns="" id="{00000000-0008-0000-3E00-0000E46F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5475" y="28575"/>
          <a:ext cx="4762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10</xdr:col>
      <xdr:colOff>152400</xdr:colOff>
      <xdr:row>1</xdr:row>
      <xdr:rowOff>104775</xdr:rowOff>
    </xdr:from>
    <xdr:to>
      <xdr:col>11</xdr:col>
      <xdr:colOff>1162049</xdr:colOff>
      <xdr:row>14</xdr:row>
      <xdr:rowOff>95250</xdr:rowOff>
    </xdr:to>
    <xdr:sp macro="" textlink="">
      <xdr:nvSpPr>
        <xdr:cNvPr id="47107" name="Text Box 3">
          <a:extLst>
            <a:ext uri="{FF2B5EF4-FFF2-40B4-BE49-F238E27FC236}">
              <a16:creationId xmlns:a16="http://schemas.microsoft.com/office/drawing/2014/main" xmlns="" id="{00000000-0008-0000-3E00-000003B80000}"/>
            </a:ext>
          </a:extLst>
        </xdr:cNvPr>
        <xdr:cNvSpPr txBox="1">
          <a:spLocks noChangeArrowheads="1"/>
        </xdr:cNvSpPr>
      </xdr:nvSpPr>
      <xdr:spPr bwMode="auto">
        <a:xfrm>
          <a:off x="8915400" y="295275"/>
          <a:ext cx="1257299" cy="3333750"/>
        </a:xfrm>
        <a:prstGeom prst="rect">
          <a:avLst/>
        </a:prstGeom>
        <a:solidFill>
          <a:srgbClr val="FFCC99"/>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You can easily make an electronic copy of this page to send to the newspaper.</a:t>
          </a:r>
        </a:p>
        <a:p>
          <a:pPr algn="l" rtl="0">
            <a:defRPr sz="1000"/>
          </a:pP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Open</a:t>
          </a:r>
          <a:r>
            <a:rPr lang="en-US" sz="1000" b="0" i="0" strike="noStrike" baseline="0">
              <a:solidFill>
                <a:srgbClr val="000000"/>
              </a:solidFill>
              <a:latin typeface="Arial"/>
              <a:cs typeface="Arial"/>
            </a:rPr>
            <a:t> the </a:t>
          </a:r>
          <a:r>
            <a:rPr lang="en-US" sz="1000" b="0" i="0" strike="noStrike">
              <a:solidFill>
                <a:srgbClr val="000000"/>
              </a:solidFill>
              <a:latin typeface="Arial"/>
              <a:cs typeface="Arial"/>
            </a:rPr>
            <a:t>Tools.xlsm file</a:t>
          </a:r>
          <a:r>
            <a:rPr lang="en-US" sz="1000" b="0" i="0" strike="noStrike" baseline="0">
              <a:solidFill>
                <a:srgbClr val="000000"/>
              </a:solidFill>
              <a:latin typeface="Arial"/>
              <a:cs typeface="Arial"/>
            </a:rPr>
            <a:t> and on the </a:t>
          </a:r>
          <a:r>
            <a:rPr lang="en-US" sz="1000" b="0" i="0" strike="noStrike">
              <a:solidFill>
                <a:srgbClr val="000000"/>
              </a:solidFill>
              <a:latin typeface="Arial"/>
              <a:cs typeface="Arial"/>
            </a:rPr>
            <a:t>Main worksheet click the</a:t>
          </a:r>
          <a:r>
            <a:rPr lang="en-US" sz="1000" b="0" i="0" strike="noStrike" baseline="0">
              <a:solidFill>
                <a:srgbClr val="000000"/>
              </a:solidFill>
              <a:latin typeface="Arial"/>
              <a:cs typeface="Arial"/>
            </a:rPr>
            <a:t> "</a:t>
          </a:r>
          <a:r>
            <a:rPr lang="en-US" sz="1000" b="0" i="0" strike="noStrike">
              <a:solidFill>
                <a:srgbClr val="000000"/>
              </a:solidFill>
              <a:latin typeface="Arial"/>
              <a:cs typeface="Arial"/>
            </a:rPr>
            <a:t>Notice of Hearing" button.</a:t>
          </a:r>
        </a:p>
        <a:p>
          <a:pPr algn="l" rtl="0">
            <a:defRPr sz="1000"/>
          </a:pP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A separate file will be created in the the same folder as this file.</a:t>
          </a:r>
        </a:p>
        <a:p>
          <a:pPr algn="l" rtl="0">
            <a:defRPr sz="1000"/>
          </a:pP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Do NOT do a SAVE AS on this</a:t>
          </a:r>
          <a:r>
            <a:rPr lang="en-US" sz="1000" b="0" i="0" strike="noStrike" baseline="0">
              <a:solidFill>
                <a:srgbClr val="000000"/>
              </a:solidFill>
              <a:latin typeface="Arial"/>
              <a:cs typeface="Arial"/>
            </a:rPr>
            <a:t> Excel file (Codes.xlsx) in order to make a </a:t>
          </a:r>
          <a:r>
            <a:rPr lang="en-US" sz="1000" b="0" i="0" strike="noStrike">
              <a:solidFill>
                <a:srgbClr val="000000"/>
              </a:solidFill>
              <a:latin typeface="Arial"/>
              <a:cs typeface="Arial"/>
            </a:rPr>
            <a:t>copy as that will break</a:t>
          </a:r>
          <a:r>
            <a:rPr lang="en-US" sz="1000" b="0" i="0" strike="noStrike" baseline="0">
              <a:solidFill>
                <a:srgbClr val="000000"/>
              </a:solidFill>
              <a:latin typeface="Arial"/>
              <a:cs typeface="Arial"/>
            </a:rPr>
            <a:t> </a:t>
          </a:r>
          <a:r>
            <a:rPr lang="en-US" sz="1000" b="0" i="0" strike="noStrike">
              <a:solidFill>
                <a:srgbClr val="000000"/>
              </a:solidFill>
              <a:latin typeface="Arial"/>
              <a:cs typeface="Arial"/>
            </a:rPr>
            <a:t>the links.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9524</xdr:colOff>
      <xdr:row>0</xdr:row>
      <xdr:rowOff>9526</xdr:rowOff>
    </xdr:from>
    <xdr:to>
      <xdr:col>10</xdr:col>
      <xdr:colOff>12699</xdr:colOff>
      <xdr:row>5</xdr:row>
      <xdr:rowOff>120984</xdr:rowOff>
    </xdr:to>
    <xdr:pic>
      <xdr:nvPicPr>
        <xdr:cNvPr id="3" name="Picture 2" descr="bigflagphoto">
          <a:extLst>
            <a:ext uri="{FF2B5EF4-FFF2-40B4-BE49-F238E27FC236}">
              <a16:creationId xmlns:a16="http://schemas.microsoft.com/office/drawing/2014/main" xmlns="" id="{00000000-0008-0000-3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8868" r="19733" b="83395"/>
        <a:stretch>
          <a:fillRect/>
        </a:stretch>
      </xdr:blipFill>
      <xdr:spPr bwMode="auto">
        <a:xfrm>
          <a:off x="9524" y="9526"/>
          <a:ext cx="6810375" cy="936958"/>
        </a:xfrm>
        <a:prstGeom prst="rect">
          <a:avLst/>
        </a:prstGeom>
        <a:noFill/>
        <a:ln w="25400">
          <a:solidFill>
            <a:schemeClr val="tx1"/>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9524</xdr:colOff>
      <xdr:row>35</xdr:row>
      <xdr:rowOff>38100</xdr:rowOff>
    </xdr:from>
    <xdr:to>
      <xdr:col>10</xdr:col>
      <xdr:colOff>12699</xdr:colOff>
      <xdr:row>41</xdr:row>
      <xdr:rowOff>166288</xdr:rowOff>
    </xdr:to>
    <xdr:pic>
      <xdr:nvPicPr>
        <xdr:cNvPr id="4" name="Picture 3" descr="bigflagphoto">
          <a:extLst>
            <a:ext uri="{FF2B5EF4-FFF2-40B4-BE49-F238E27FC236}">
              <a16:creationId xmlns:a16="http://schemas.microsoft.com/office/drawing/2014/main" xmlns="" id="{00000000-0008-0000-3F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0420" t="82014" r="18291" b="7770"/>
        <a:stretch>
          <a:fillRect/>
        </a:stretch>
      </xdr:blipFill>
      <xdr:spPr bwMode="auto">
        <a:xfrm>
          <a:off x="9524" y="7315200"/>
          <a:ext cx="6810375" cy="1118788"/>
        </a:xfrm>
        <a:prstGeom prst="rect">
          <a:avLst/>
        </a:prstGeom>
        <a:noFill/>
        <a:ln w="25400">
          <a:solidFill>
            <a:schemeClr val="tx1"/>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2</xdr:row>
          <xdr:rowOff>142874</xdr:rowOff>
        </xdr:from>
        <xdr:to>
          <xdr:col>6</xdr:col>
          <xdr:colOff>202126</xdr:colOff>
          <xdr:row>34</xdr:row>
          <xdr:rowOff>114299</xdr:rowOff>
        </xdr:to>
        <xdr:pic>
          <xdr:nvPicPr>
            <xdr:cNvPr id="3" name="Picture 2">
              <a:extLst>
                <a:ext uri="{FF2B5EF4-FFF2-40B4-BE49-F238E27FC236}">
                  <a16:creationId xmlns:a16="http://schemas.microsoft.com/office/drawing/2014/main" xmlns="" id="{0EBC9073-90F9-4745-87BD-70EAC076C244}"/>
                </a:ext>
              </a:extLst>
            </xdr:cNvPr>
            <xdr:cNvPicPr>
              <a:picLocks noChangeAspect="1" noChangeArrowheads="1"/>
              <a:extLst>
                <a:ext uri="{84589F7E-364E-4C9E-8A38-B11213B215E9}">
                  <a14:cameraTool cellRange="'CO99'!$A$87:$K$122" spid="_x0000_s359398"/>
                </a:ext>
              </a:extLst>
            </xdr:cNvPicPr>
          </xdr:nvPicPr>
          <xdr:blipFill rotWithShape="1">
            <a:blip xmlns:r="http://schemas.openxmlformats.org/officeDocument/2006/relationships" r:embed="rId1"/>
            <a:srcRect t="3737"/>
            <a:stretch>
              <a:fillRect/>
            </a:stretch>
          </xdr:blipFill>
          <xdr:spPr bwMode="auto">
            <a:xfrm>
              <a:off x="66675" y="495299"/>
              <a:ext cx="7688776" cy="51530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0</xdr:col>
      <xdr:colOff>1066800</xdr:colOff>
      <xdr:row>9</xdr:row>
      <xdr:rowOff>19050</xdr:rowOff>
    </xdr:from>
    <xdr:to>
      <xdr:col>8</xdr:col>
      <xdr:colOff>771525</xdr:colOff>
      <xdr:row>24</xdr:row>
      <xdr:rowOff>0</xdr:rowOff>
    </xdr:to>
    <xdr:graphicFrame macro="">
      <xdr:nvGraphicFramePr>
        <xdr:cNvPr id="2" name="Chart 1" title="Bar chart of average salaries by category and year">
          <a:extLst>
            <a:ext uri="{FF2B5EF4-FFF2-40B4-BE49-F238E27FC236}">
              <a16:creationId xmlns:a16="http://schemas.microsoft.com/office/drawing/2014/main" xmlns=""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2524125</xdr:colOff>
      <xdr:row>78</xdr:row>
      <xdr:rowOff>76200</xdr:rowOff>
    </xdr:from>
    <xdr:to>
      <xdr:col>13</xdr:col>
      <xdr:colOff>676275</xdr:colOff>
      <xdr:row>88</xdr:row>
      <xdr:rowOff>76200</xdr:rowOff>
    </xdr:to>
    <xdr:sp macro="" textlink="">
      <xdr:nvSpPr>
        <xdr:cNvPr id="3" name="TextBox 2">
          <a:extLst>
            <a:ext uri="{FF2B5EF4-FFF2-40B4-BE49-F238E27FC236}">
              <a16:creationId xmlns:a16="http://schemas.microsoft.com/office/drawing/2014/main" xmlns="" id="{00000000-0008-0000-4700-000003000000}"/>
            </a:ext>
          </a:extLst>
        </xdr:cNvPr>
        <xdr:cNvSpPr txBox="1"/>
      </xdr:nvSpPr>
      <xdr:spPr>
        <a:xfrm>
          <a:off x="9229725" y="12706350"/>
          <a:ext cx="1905000" cy="1619250"/>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113</a:t>
          </a:r>
          <a:r>
            <a:rPr lang="en-US" sz="1100" baseline="0">
              <a:solidFill>
                <a:srgbClr val="FF0000"/>
              </a:solidFill>
            </a:rPr>
            <a:t> may need to be removed from above since USD 488 will be paid off.   Need to check other items this affects for USD 113 since they will only have B&amp;I #1 now but using cell A17 on Open pg. for assessed valuation.</a:t>
          </a:r>
          <a:endParaRPr lang="en-US" sz="1100">
            <a:solidFill>
              <a:srgbClr val="FF000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42</xdr:col>
      <xdr:colOff>381000</xdr:colOff>
      <xdr:row>2</xdr:row>
      <xdr:rowOff>1</xdr:rowOff>
    </xdr:from>
    <xdr:to>
      <xdr:col>47</xdr:col>
      <xdr:colOff>114300</xdr:colOff>
      <xdr:row>9</xdr:row>
      <xdr:rowOff>19051</xdr:rowOff>
    </xdr:to>
    <xdr:sp macro="" textlink="">
      <xdr:nvSpPr>
        <xdr:cNvPr id="5" name="TextBox 4">
          <a:extLst>
            <a:ext uri="{FF2B5EF4-FFF2-40B4-BE49-F238E27FC236}">
              <a16:creationId xmlns:a16="http://schemas.microsoft.com/office/drawing/2014/main" xmlns="" id="{00000000-0008-0000-4900-000005000000}"/>
            </a:ext>
          </a:extLst>
        </xdr:cNvPr>
        <xdr:cNvSpPr txBox="1"/>
      </xdr:nvSpPr>
      <xdr:spPr>
        <a:xfrm>
          <a:off x="42967275" y="161926"/>
          <a:ext cx="2781300" cy="11620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Be sure to take caution</a:t>
          </a:r>
          <a:r>
            <a:rPr lang="en-US" sz="1000" baseline="0"/>
            <a:t> when loading Rec Commission mill rate for USD 114 (D0406/D0486) and USD 422 (D0422/D0424) due to consolidation.  Also USD 113 (D0441/D0488) will have separate B&amp;I mill rates due to consolidation.</a:t>
          </a:r>
        </a:p>
        <a:p>
          <a:endParaRPr lang="en-US" sz="1000" baseline="0"/>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110490</xdr:colOff>
      <xdr:row>7</xdr:row>
      <xdr:rowOff>103414</xdr:rowOff>
    </xdr:from>
    <xdr:to>
      <xdr:col>1</xdr:col>
      <xdr:colOff>569214</xdr:colOff>
      <xdr:row>10</xdr:row>
      <xdr:rowOff>130629</xdr:rowOff>
    </xdr:to>
    <xdr:pic macro="[1]!F110_help">
      <xdr:nvPicPr>
        <xdr:cNvPr id="2" name="Picture 6" descr="helpbutton">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1200150"/>
          <a:ext cx="464439"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14</xdr:col>
      <xdr:colOff>95250</xdr:colOff>
      <xdr:row>1</xdr:row>
      <xdr:rowOff>152400</xdr:rowOff>
    </xdr:from>
    <xdr:to>
      <xdr:col>15</xdr:col>
      <xdr:colOff>647700</xdr:colOff>
      <xdr:row>7</xdr:row>
      <xdr:rowOff>38100</xdr:rowOff>
    </xdr:to>
    <xdr:sp macro="" textlink="">
      <xdr:nvSpPr>
        <xdr:cNvPr id="3" name="TextBox 2">
          <a:extLst>
            <a:ext uri="{FF2B5EF4-FFF2-40B4-BE49-F238E27FC236}">
              <a16:creationId xmlns:a16="http://schemas.microsoft.com/office/drawing/2014/main" xmlns="" id="{00000000-0008-0000-0200-000003000000}"/>
            </a:ext>
          </a:extLst>
        </xdr:cNvPr>
        <xdr:cNvSpPr txBox="1"/>
      </xdr:nvSpPr>
      <xdr:spPr>
        <a:xfrm>
          <a:off x="9467850" y="342900"/>
          <a:ext cx="1933575" cy="819150"/>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Arial" panose="020B0604020202020204" pitchFamily="34" charset="0"/>
              <a:ea typeface="Open Sans Light" panose="020B0306030504020204" pitchFamily="34" charset="0"/>
              <a:cs typeface="Arial" panose="020B0604020202020204" pitchFamily="34" charset="0"/>
            </a:rPr>
            <a:t>The 20 mills</a:t>
          </a:r>
          <a:r>
            <a:rPr lang="en-US" sz="1000" baseline="0">
              <a:latin typeface="Arial" panose="020B0604020202020204" pitchFamily="34" charset="0"/>
              <a:ea typeface="Open Sans Light" panose="020B0306030504020204" pitchFamily="34" charset="0"/>
              <a:cs typeface="Arial" panose="020B0604020202020204" pitchFamily="34" charset="0"/>
            </a:rPr>
            <a:t> for General Fund is remitted to the State Treasurer rather than direct to school districts.</a:t>
          </a:r>
          <a:endParaRPr lang="en-US" sz="1000">
            <a:latin typeface="Arial" panose="020B0604020202020204" pitchFamily="34" charset="0"/>
            <a:ea typeface="Open Sans Light" panose="020B0306030504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581025</xdr:colOff>
      <xdr:row>246</xdr:row>
      <xdr:rowOff>133351</xdr:rowOff>
    </xdr:from>
    <xdr:to>
      <xdr:col>12</xdr:col>
      <xdr:colOff>1285875</xdr:colOff>
      <xdr:row>251</xdr:row>
      <xdr:rowOff>142875</xdr:rowOff>
    </xdr:to>
    <xdr:sp macro="" textlink="">
      <xdr:nvSpPr>
        <xdr:cNvPr id="3" name="TextBox 2">
          <a:extLst>
            <a:ext uri="{FF2B5EF4-FFF2-40B4-BE49-F238E27FC236}">
              <a16:creationId xmlns:a16="http://schemas.microsoft.com/office/drawing/2014/main" xmlns="" id="{00000000-0008-0000-0500-000003000000}"/>
            </a:ext>
          </a:extLst>
        </xdr:cNvPr>
        <xdr:cNvSpPr txBox="1"/>
      </xdr:nvSpPr>
      <xdr:spPr>
        <a:xfrm>
          <a:off x="9696450" y="37823776"/>
          <a:ext cx="2105025" cy="771524"/>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Open Sans Light" panose="020B0306030504020204" pitchFamily="34" charset="0"/>
              <a:ea typeface="Open Sans Light" panose="020B0306030504020204" pitchFamily="34" charset="0"/>
              <a:cs typeface="Open Sans Light" panose="020B0306030504020204" pitchFamily="34" charset="0"/>
            </a:rPr>
            <a:t>The district will qualify</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for the 3yr average if the three questions to the left have the answer YES.</a:t>
          </a:r>
          <a:endParaRPr lang="en-US" sz="1000">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28574</xdr:colOff>
      <xdr:row>2</xdr:row>
      <xdr:rowOff>38100</xdr:rowOff>
    </xdr:from>
    <xdr:to>
      <xdr:col>13</xdr:col>
      <xdr:colOff>3174</xdr:colOff>
      <xdr:row>20</xdr:row>
      <xdr:rowOff>9525</xdr:rowOff>
    </xdr:to>
    <xdr:sp macro="" textlink="">
      <xdr:nvSpPr>
        <xdr:cNvPr id="3" name="TextBox 2">
          <a:extLst>
            <a:ext uri="{FF2B5EF4-FFF2-40B4-BE49-F238E27FC236}">
              <a16:creationId xmlns:a16="http://schemas.microsoft.com/office/drawing/2014/main" xmlns="" id="{00000000-0008-0000-0600-000003000000}"/>
            </a:ext>
          </a:extLst>
        </xdr:cNvPr>
        <xdr:cNvSpPr txBox="1"/>
      </xdr:nvSpPr>
      <xdr:spPr>
        <a:xfrm>
          <a:off x="28574" y="400050"/>
          <a:ext cx="13166725" cy="322897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1">
              <a:solidFill>
                <a:srgbClr val="FF0000"/>
              </a:solidFill>
              <a:latin typeface="Arial" panose="020B0604020202020204" pitchFamily="34" charset="0"/>
              <a:ea typeface="Open Sans Light" panose="020B0306030504020204" pitchFamily="34" charset="0"/>
              <a:cs typeface="Arial" panose="020B0604020202020204" pitchFamily="34" charset="0"/>
            </a:rPr>
            <a:t>If your</a:t>
          </a:r>
          <a:r>
            <a:rPr lang="en-US" sz="1000" b="1" i="1" baseline="0">
              <a:solidFill>
                <a:srgbClr val="FF0000"/>
              </a:solidFill>
              <a:latin typeface="Arial" panose="020B0604020202020204" pitchFamily="34" charset="0"/>
              <a:ea typeface="Open Sans Light" panose="020B0306030504020204" pitchFamily="34" charset="0"/>
              <a:cs typeface="Arial" panose="020B0604020202020204" pitchFamily="34" charset="0"/>
            </a:rPr>
            <a:t> district's "Free Lunch Percentage" is greater than or equal to 50% (computed on Form 150 Table VI), it is not necessary to enter the total headcount and free meal counts for each of your buildings.  </a:t>
          </a:r>
          <a:r>
            <a:rPr lang="en-US" sz="1000" baseline="0">
              <a:latin typeface="Arial" panose="020B0604020202020204" pitchFamily="34" charset="0"/>
              <a:ea typeface="Open Sans Light" panose="020B0306030504020204" pitchFamily="34" charset="0"/>
              <a:cs typeface="Arial" panose="020B0604020202020204" pitchFamily="34" charset="0"/>
            </a:rPr>
            <a:t>Otherwise, this information may be used to determine the high density at-risk weighting.  High density at-risk weighting will be determined based on the </a:t>
          </a:r>
          <a:r>
            <a:rPr lang="en-US" sz="1000" b="1" i="1" baseline="0">
              <a:latin typeface="Arial" panose="020B0604020202020204" pitchFamily="34" charset="0"/>
              <a:ea typeface="Open Sans Light" panose="020B0306030504020204" pitchFamily="34" charset="0"/>
              <a:cs typeface="Arial" panose="020B0604020202020204" pitchFamily="34" charset="0"/>
            </a:rPr>
            <a:t>maximum</a:t>
          </a:r>
          <a:r>
            <a:rPr lang="en-US" sz="1000" baseline="0">
              <a:latin typeface="Arial" panose="020B0604020202020204" pitchFamily="34" charset="0"/>
              <a:ea typeface="Open Sans Light" panose="020B0306030504020204" pitchFamily="34" charset="0"/>
              <a:cs typeface="Arial" panose="020B0604020202020204" pitchFamily="34" charset="0"/>
            </a:rPr>
            <a:t> calculation at the district level compared to the calculation at the building level.  </a:t>
          </a:r>
        </a:p>
        <a:p>
          <a:endParaRPr lang="en-US" sz="1000" baseline="0">
            <a:latin typeface="Arial" panose="020B0604020202020204" pitchFamily="34" charset="0"/>
            <a:ea typeface="Open Sans Light" panose="020B0306030504020204" pitchFamily="34" charset="0"/>
            <a:cs typeface="Arial" panose="020B0604020202020204" pitchFamily="34" charset="0"/>
          </a:endParaRPr>
        </a:p>
        <a:p>
          <a:r>
            <a:rPr lang="en-US" sz="1000" baseline="0">
              <a:latin typeface="Arial" panose="020B0604020202020204" pitchFamily="34" charset="0"/>
              <a:ea typeface="Open Sans Light" panose="020B0306030504020204" pitchFamily="34" charset="0"/>
              <a:cs typeface="Arial" panose="020B0604020202020204" pitchFamily="34" charset="0"/>
            </a:rPr>
            <a:t>The building list below is based on the </a:t>
          </a:r>
          <a:r>
            <a:rPr lang="en-US" sz="1000" baseline="0">
              <a:solidFill>
                <a:srgbClr val="00B050"/>
              </a:solidFill>
              <a:latin typeface="Arial" panose="020B0604020202020204" pitchFamily="34" charset="0"/>
              <a:ea typeface="Open Sans Light" panose="020B0306030504020204" pitchFamily="34" charset="0"/>
              <a:cs typeface="Arial" panose="020B0604020202020204" pitchFamily="34" charset="0"/>
            </a:rPr>
            <a:t>2020-2021</a:t>
          </a:r>
          <a:r>
            <a:rPr lang="en-US" sz="1000" baseline="0">
              <a:latin typeface="Arial" panose="020B0604020202020204" pitchFamily="34" charset="0"/>
              <a:ea typeface="Open Sans Light" panose="020B0306030504020204" pitchFamily="34" charset="0"/>
              <a:cs typeface="Arial" panose="020B0604020202020204" pitchFamily="34" charset="0"/>
            </a:rPr>
            <a:t> school year.  If you have new school buildings  (not programs) that will open for the </a:t>
          </a:r>
          <a:r>
            <a:rPr lang="en-US" sz="1000" baseline="0">
              <a:solidFill>
                <a:srgbClr val="00B050"/>
              </a:solidFill>
              <a:latin typeface="Arial" panose="020B0604020202020204" pitchFamily="34" charset="0"/>
              <a:ea typeface="Open Sans Light" panose="020B0306030504020204" pitchFamily="34" charset="0"/>
              <a:cs typeface="Arial" panose="020B0604020202020204" pitchFamily="34" charset="0"/>
            </a:rPr>
            <a:t>2021-2022 </a:t>
          </a:r>
          <a:r>
            <a:rPr lang="en-US" sz="1000" baseline="0">
              <a:latin typeface="Arial" panose="020B0604020202020204" pitchFamily="34" charset="0"/>
              <a:ea typeface="Open Sans Light" panose="020B0306030504020204" pitchFamily="34" charset="0"/>
              <a:cs typeface="Arial" panose="020B0604020202020204" pitchFamily="34" charset="0"/>
            </a:rPr>
            <a:t>school year, they will need to be added to the list beginning on Excel row </a:t>
          </a:r>
          <a:r>
            <a:rPr lang="en-US" sz="1000" b="1" baseline="0">
              <a:solidFill>
                <a:srgbClr val="00B050"/>
              </a:solidFill>
              <a:latin typeface="Arial" panose="020B0604020202020204" pitchFamily="34" charset="0"/>
              <a:ea typeface="Open Sans Light" panose="020B0306030504020204" pitchFamily="34" charset="0"/>
              <a:cs typeface="Arial" panose="020B0604020202020204" pitchFamily="34" charset="0"/>
            </a:rPr>
            <a:t>1336</a:t>
          </a:r>
          <a:r>
            <a:rPr lang="en-US" sz="1000" baseline="0">
              <a:latin typeface="Arial" panose="020B0604020202020204" pitchFamily="34" charset="0"/>
              <a:ea typeface="Open Sans Light" panose="020B0306030504020204" pitchFamily="34" charset="0"/>
              <a:cs typeface="Arial" panose="020B0604020202020204" pitchFamily="34" charset="0"/>
            </a:rPr>
            <a:t>.  To complete the building information for your district, follow the steps below.  </a:t>
          </a:r>
          <a:r>
            <a:rPr lang="en-US" sz="1000" b="1" i="1" u="none" baseline="0">
              <a:latin typeface="Arial" panose="020B0604020202020204" pitchFamily="34" charset="0"/>
              <a:ea typeface="Open Sans Light" panose="020B0306030504020204" pitchFamily="34" charset="0"/>
              <a:cs typeface="Arial" panose="020B0604020202020204" pitchFamily="34" charset="0"/>
            </a:rPr>
            <a:t>NOTE:  Free Lunch Headcount for at-risk funding excludes any student enrolled less than full-time in grades 1 through 12 or any student 20 years of age and over.  These provisions would not apply for any student who has an individualized education plan (IEP).  </a:t>
          </a:r>
        </a:p>
        <a:p>
          <a:r>
            <a:rPr lang="en-US" sz="1000" b="1" i="1" u="none" baseline="0">
              <a:latin typeface="Arial" panose="020B0604020202020204" pitchFamily="34" charset="0"/>
              <a:ea typeface="Open Sans Light" panose="020B0306030504020204" pitchFamily="34" charset="0"/>
              <a:cs typeface="Arial" panose="020B0604020202020204" pitchFamily="34" charset="0"/>
            </a:rPr>
            <a:t>	</a:t>
          </a:r>
          <a:r>
            <a:rPr lang="en-US" sz="1000" b="0" i="0" u="none" baseline="0">
              <a:latin typeface="Arial" panose="020B0604020202020204" pitchFamily="34" charset="0"/>
              <a:ea typeface="Open Sans Light" panose="020B0306030504020204" pitchFamily="34" charset="0"/>
              <a:cs typeface="Arial" panose="020B0604020202020204" pitchFamily="34" charset="0"/>
            </a:rPr>
            <a:t>1.  Click the arrow in cell </a:t>
          </a:r>
          <a:r>
            <a:rPr lang="en-US" sz="1000" b="0" i="0" u="none" baseline="0">
              <a:solidFill>
                <a:srgbClr val="00B050"/>
              </a:solidFill>
              <a:latin typeface="Arial" panose="020B0604020202020204" pitchFamily="34" charset="0"/>
              <a:ea typeface="Open Sans Light" panose="020B0306030504020204" pitchFamily="34" charset="0"/>
              <a:cs typeface="Arial" panose="020B0604020202020204" pitchFamily="34" charset="0"/>
            </a:rPr>
            <a:t>A31</a:t>
          </a:r>
          <a:r>
            <a:rPr lang="en-US" sz="1000" b="0" i="0" u="none" baseline="0">
              <a:latin typeface="Arial" panose="020B0604020202020204" pitchFamily="34" charset="0"/>
              <a:ea typeface="Open Sans Light" panose="020B0306030504020204" pitchFamily="34" charset="0"/>
              <a:cs typeface="Arial" panose="020B0604020202020204" pitchFamily="34" charset="0"/>
            </a:rPr>
            <a:t> to get a message box.</a:t>
          </a:r>
        </a:p>
        <a:p>
          <a:r>
            <a:rPr lang="en-US" sz="1000" b="0" i="0" u="none" baseline="0">
              <a:latin typeface="Arial" panose="020B0604020202020204" pitchFamily="34" charset="0"/>
              <a:ea typeface="Open Sans Light" panose="020B0306030504020204" pitchFamily="34" charset="0"/>
              <a:cs typeface="Arial" panose="020B0604020202020204" pitchFamily="34" charset="0"/>
            </a:rPr>
            <a:t>	      a.  In the message box, </a:t>
          </a:r>
          <a:r>
            <a:rPr lang="en-US" sz="1000" b="1" i="1" u="none" baseline="0">
              <a:latin typeface="Arial" panose="020B0604020202020204" pitchFamily="34" charset="0"/>
              <a:ea typeface="Open Sans Light" panose="020B0306030504020204" pitchFamily="34" charset="0"/>
              <a:cs typeface="Arial" panose="020B0604020202020204" pitchFamily="34" charset="0"/>
            </a:rPr>
            <a:t>uncheck</a:t>
          </a:r>
          <a:r>
            <a:rPr lang="en-US" sz="1000" b="0" i="0" u="none" baseline="0">
              <a:latin typeface="Arial" panose="020B0604020202020204" pitchFamily="34" charset="0"/>
              <a:ea typeface="Open Sans Light" panose="020B0306030504020204" pitchFamily="34" charset="0"/>
              <a:cs typeface="Arial" panose="020B0604020202020204" pitchFamily="34" charset="0"/>
            </a:rPr>
            <a:t> (Select All) so no districts are selected.</a:t>
          </a:r>
        </a:p>
        <a:p>
          <a:r>
            <a:rPr lang="en-US" sz="1000" b="0" i="0" u="none" baseline="0">
              <a:latin typeface="Arial" panose="020B0604020202020204" pitchFamily="34" charset="0"/>
              <a:ea typeface="Open Sans Light" panose="020B0306030504020204" pitchFamily="34" charset="0"/>
              <a:cs typeface="Arial" panose="020B0604020202020204" pitchFamily="34" charset="0"/>
            </a:rPr>
            <a:t>	      b.  Scroll in the list to locate your district number and </a:t>
          </a:r>
          <a:r>
            <a:rPr lang="en-US" sz="1000" b="1" i="1" u="none" baseline="0">
              <a:latin typeface="Arial" panose="020B0604020202020204" pitchFamily="34" charset="0"/>
              <a:ea typeface="Open Sans Light" panose="020B0306030504020204" pitchFamily="34" charset="0"/>
              <a:cs typeface="Arial" panose="020B0604020202020204" pitchFamily="34" charset="0"/>
            </a:rPr>
            <a:t>check</a:t>
          </a:r>
          <a:r>
            <a:rPr lang="en-US" sz="1000" b="0" i="0" u="none" baseline="0">
              <a:latin typeface="Arial" panose="020B0604020202020204" pitchFamily="34" charset="0"/>
              <a:ea typeface="Open Sans Light" panose="020B0306030504020204" pitchFamily="34" charset="0"/>
              <a:cs typeface="Arial" panose="020B0604020202020204" pitchFamily="34" charset="0"/>
            </a:rPr>
            <a:t> the box to the left to select.</a:t>
          </a:r>
        </a:p>
        <a:p>
          <a:r>
            <a:rPr lang="en-US" sz="1000" b="0" i="0" u="none" baseline="0">
              <a:latin typeface="Arial" panose="020B0604020202020204" pitchFamily="34" charset="0"/>
              <a:ea typeface="Open Sans Light" panose="020B0306030504020204" pitchFamily="34" charset="0"/>
              <a:cs typeface="Arial" panose="020B0604020202020204" pitchFamily="34" charset="0"/>
            </a:rPr>
            <a:t>	2.  Enter the </a:t>
          </a:r>
          <a:r>
            <a:rPr lang="en-US" sz="1000" b="1" i="1" u="none" baseline="0">
              <a:latin typeface="Arial" panose="020B0604020202020204" pitchFamily="34" charset="0"/>
              <a:ea typeface="Open Sans Light" panose="020B0306030504020204" pitchFamily="34" charset="0"/>
              <a:cs typeface="Arial" panose="020B0604020202020204" pitchFamily="34" charset="0"/>
            </a:rPr>
            <a:t>9/20/20</a:t>
          </a:r>
          <a:r>
            <a:rPr lang="en-US" sz="1000" b="1" i="1" u="none" baseline="0">
              <a:solidFill>
                <a:srgbClr val="00B050"/>
              </a:solidFill>
              <a:latin typeface="Arial" panose="020B0604020202020204" pitchFamily="34" charset="0"/>
              <a:ea typeface="Open Sans Light" panose="020B0306030504020204" pitchFamily="34" charset="0"/>
              <a:cs typeface="Arial" panose="020B0604020202020204" pitchFamily="34" charset="0"/>
            </a:rPr>
            <a:t>21</a:t>
          </a:r>
          <a:r>
            <a:rPr lang="en-US" sz="1000" b="1" i="1" u="none" baseline="0">
              <a:latin typeface="Arial" panose="020B0604020202020204" pitchFamily="34" charset="0"/>
              <a:ea typeface="Open Sans Light" panose="020B0306030504020204" pitchFamily="34" charset="0"/>
              <a:cs typeface="Arial" panose="020B0604020202020204" pitchFamily="34" charset="0"/>
            </a:rPr>
            <a:t> Total Headcount</a:t>
          </a:r>
          <a:r>
            <a:rPr lang="en-US" sz="1000" b="0" i="0" u="none" baseline="0">
              <a:latin typeface="Arial" panose="020B0604020202020204" pitchFamily="34" charset="0"/>
              <a:ea typeface="Open Sans Light" panose="020B0306030504020204" pitchFamily="34" charset="0"/>
              <a:cs typeface="Arial" panose="020B0604020202020204" pitchFamily="34" charset="0"/>
            </a:rPr>
            <a:t>.  Districts with military students will also enter the </a:t>
          </a:r>
          <a:r>
            <a:rPr lang="en-US" sz="1000" b="1" i="1" u="none" baseline="0">
              <a:latin typeface="Arial" panose="020B0604020202020204" pitchFamily="34" charset="0"/>
              <a:ea typeface="Open Sans Light" panose="020B0306030504020204" pitchFamily="34" charset="0"/>
              <a:cs typeface="Arial" panose="020B0604020202020204" pitchFamily="34" charset="0"/>
            </a:rPr>
            <a:t>2/20/20</a:t>
          </a:r>
          <a:r>
            <a:rPr lang="en-US" sz="1000" b="1" i="1" u="none" baseline="0">
              <a:solidFill>
                <a:srgbClr val="00B050"/>
              </a:solidFill>
              <a:latin typeface="Arial" panose="020B0604020202020204" pitchFamily="34" charset="0"/>
              <a:ea typeface="Open Sans Light" panose="020B0306030504020204" pitchFamily="34" charset="0"/>
              <a:cs typeface="Arial" panose="020B0604020202020204" pitchFamily="34" charset="0"/>
            </a:rPr>
            <a:t>22</a:t>
          </a:r>
          <a:r>
            <a:rPr lang="en-US" sz="1000" b="1" i="1" u="none" baseline="0">
              <a:latin typeface="Arial" panose="020B0604020202020204" pitchFamily="34" charset="0"/>
              <a:ea typeface="Open Sans Light" panose="020B0306030504020204" pitchFamily="34" charset="0"/>
              <a:cs typeface="Arial" panose="020B0604020202020204" pitchFamily="34" charset="0"/>
            </a:rPr>
            <a:t> Total Headcount </a:t>
          </a:r>
          <a:r>
            <a:rPr lang="en-US" sz="1000" b="0" i="0" u="none" baseline="0">
              <a:latin typeface="Arial" panose="020B0604020202020204" pitchFamily="34" charset="0"/>
              <a:ea typeface="Open Sans Light" panose="020B0306030504020204" pitchFamily="34" charset="0"/>
              <a:cs typeface="Arial" panose="020B0604020202020204" pitchFamily="34" charset="0"/>
            </a:rPr>
            <a:t>(excluding non-funded pre-school students and excluding virtual students.)</a:t>
          </a:r>
        </a:p>
        <a:p>
          <a:r>
            <a:rPr lang="en-US" sz="1000" b="0" i="0" u="none" baseline="0">
              <a:latin typeface="Arial" panose="020B0604020202020204" pitchFamily="34" charset="0"/>
              <a:ea typeface="Open Sans Light" panose="020B0306030504020204" pitchFamily="34" charset="0"/>
              <a:cs typeface="Arial" panose="020B0604020202020204" pitchFamily="34" charset="0"/>
            </a:rPr>
            <a:t>	3.  Enter the </a:t>
          </a:r>
          <a:r>
            <a:rPr lang="en-US" sz="1000" b="1" i="1" u="none" baseline="0">
              <a:latin typeface="Arial" panose="020B0604020202020204" pitchFamily="34" charset="0"/>
              <a:ea typeface="Open Sans Light" panose="020B0306030504020204" pitchFamily="34" charset="0"/>
              <a:cs typeface="Arial" panose="020B0604020202020204" pitchFamily="34" charset="0"/>
            </a:rPr>
            <a:t>9/20/20</a:t>
          </a:r>
          <a:r>
            <a:rPr lang="en-US" sz="1000" b="1" i="1" u="none" baseline="0">
              <a:solidFill>
                <a:srgbClr val="00B050"/>
              </a:solidFill>
              <a:latin typeface="Arial" panose="020B0604020202020204" pitchFamily="34" charset="0"/>
              <a:ea typeface="Open Sans Light" panose="020B0306030504020204" pitchFamily="34" charset="0"/>
              <a:cs typeface="Arial" panose="020B0604020202020204" pitchFamily="34" charset="0"/>
            </a:rPr>
            <a:t>21</a:t>
          </a:r>
          <a:r>
            <a:rPr lang="en-US" sz="1000" b="1" i="1" u="none" baseline="0">
              <a:latin typeface="Arial" panose="020B0604020202020204" pitchFamily="34" charset="0"/>
              <a:ea typeface="Open Sans Light" panose="020B0306030504020204" pitchFamily="34" charset="0"/>
              <a:cs typeface="Arial" panose="020B0604020202020204" pitchFamily="34" charset="0"/>
            </a:rPr>
            <a:t> Free Lunch Headcount</a:t>
          </a:r>
          <a:r>
            <a:rPr lang="en-US" sz="1000" b="0" i="0" u="none" baseline="0">
              <a:latin typeface="Arial" panose="020B0604020202020204" pitchFamily="34" charset="0"/>
              <a:ea typeface="Open Sans Light" panose="020B0306030504020204" pitchFamily="34" charset="0"/>
              <a:cs typeface="Arial" panose="020B0604020202020204" pitchFamily="34" charset="0"/>
            </a:rPr>
            <a:t>.  Districts with military students will also enter the </a:t>
          </a:r>
          <a:r>
            <a:rPr lang="en-US" sz="1000" b="1" i="1" u="none" baseline="0">
              <a:latin typeface="Arial" panose="020B0604020202020204" pitchFamily="34" charset="0"/>
              <a:ea typeface="Open Sans Light" panose="020B0306030504020204" pitchFamily="34" charset="0"/>
              <a:cs typeface="Arial" panose="020B0604020202020204" pitchFamily="34" charset="0"/>
            </a:rPr>
            <a:t>2/20/20</a:t>
          </a:r>
          <a:r>
            <a:rPr lang="en-US" sz="1000" b="1" i="1" u="none" baseline="0">
              <a:solidFill>
                <a:srgbClr val="00B050"/>
              </a:solidFill>
              <a:latin typeface="Arial" panose="020B0604020202020204" pitchFamily="34" charset="0"/>
              <a:ea typeface="Open Sans Light" panose="020B0306030504020204" pitchFamily="34" charset="0"/>
              <a:cs typeface="Arial" panose="020B0604020202020204" pitchFamily="34" charset="0"/>
            </a:rPr>
            <a:t>22 </a:t>
          </a:r>
          <a:r>
            <a:rPr lang="en-US" sz="1000" b="1" i="1" u="none" baseline="0">
              <a:latin typeface="Arial" panose="020B0604020202020204" pitchFamily="34" charset="0"/>
              <a:ea typeface="Open Sans Light" panose="020B0306030504020204" pitchFamily="34" charset="0"/>
              <a:cs typeface="Arial" panose="020B0604020202020204" pitchFamily="34" charset="0"/>
            </a:rPr>
            <a:t>Free Lunch Headcount </a:t>
          </a:r>
          <a:r>
            <a:rPr lang="en-US" sz="1000" b="0" i="0" u="none" baseline="0">
              <a:latin typeface="Arial" panose="020B0604020202020204" pitchFamily="34" charset="0"/>
              <a:ea typeface="Open Sans Light" panose="020B0306030504020204" pitchFamily="34" charset="0"/>
              <a:cs typeface="Arial" panose="020B0604020202020204" pitchFamily="34" charset="0"/>
            </a:rPr>
            <a:t>(excluding non-funded pre-school students and excluding virtual students;</a:t>
          </a:r>
        </a:p>
        <a:p>
          <a:r>
            <a:rPr lang="en-US" sz="1000" b="0" i="0" u="none" baseline="0">
              <a:latin typeface="Arial" panose="020B0604020202020204" pitchFamily="34" charset="0"/>
              <a:ea typeface="Open Sans Light" panose="020B0306030504020204" pitchFamily="34" charset="0"/>
              <a:cs typeface="Arial" panose="020B0604020202020204" pitchFamily="34" charset="0"/>
            </a:rPr>
            <a:t> 	     also see note above.)</a:t>
          </a:r>
        </a:p>
        <a:p>
          <a:r>
            <a:rPr lang="en-US" sz="1000" b="0" i="0" u="none" baseline="0">
              <a:latin typeface="Arial" panose="020B0604020202020204" pitchFamily="34" charset="0"/>
              <a:ea typeface="Open Sans Light" panose="020B0306030504020204" pitchFamily="34" charset="0"/>
              <a:cs typeface="Arial" panose="020B0604020202020204" pitchFamily="34" charset="0"/>
            </a:rPr>
            <a:t>	4.  Add new school buildings beginning on Excel row </a:t>
          </a:r>
          <a:r>
            <a:rPr lang="en-US" sz="1000" b="1" i="0" u="none" baseline="0">
              <a:solidFill>
                <a:srgbClr val="00B050"/>
              </a:solidFill>
              <a:latin typeface="Arial" panose="020B0604020202020204" pitchFamily="34" charset="0"/>
              <a:ea typeface="Open Sans Light" panose="020B0306030504020204" pitchFamily="34" charset="0"/>
              <a:cs typeface="Arial" panose="020B0604020202020204" pitchFamily="34" charset="0"/>
            </a:rPr>
            <a:t>1336</a:t>
          </a:r>
          <a:r>
            <a:rPr lang="en-US" sz="1000" b="0" i="0" u="none" baseline="0">
              <a:latin typeface="Arial" panose="020B0604020202020204" pitchFamily="34" charset="0"/>
              <a:ea typeface="Open Sans Light" panose="020B0306030504020204" pitchFamily="34" charset="0"/>
              <a:cs typeface="Arial" panose="020B0604020202020204" pitchFamily="34" charset="0"/>
            </a:rPr>
            <a:t>.  If this row is hidden, click the 'filter' button found in the header row for LEA_ID to get a message box and check the box next to (Select All).  Scroll </a:t>
          </a:r>
        </a:p>
        <a:p>
          <a:r>
            <a:rPr lang="en-US" sz="1000" b="0" i="0" u="none" baseline="0">
              <a:latin typeface="Arial" panose="020B0604020202020204" pitchFamily="34" charset="0"/>
              <a:ea typeface="Open Sans Light" panose="020B0306030504020204" pitchFamily="34" charset="0"/>
              <a:cs typeface="Arial" panose="020B0604020202020204" pitchFamily="34" charset="0"/>
            </a:rPr>
            <a:t>                                  to the bottom of the list.</a:t>
          </a:r>
        </a:p>
        <a:p>
          <a:r>
            <a:rPr lang="en-US" sz="1000" b="0" i="0" u="none" baseline="0">
              <a:latin typeface="Arial" panose="020B0604020202020204" pitchFamily="34" charset="0"/>
              <a:ea typeface="Open Sans Light" panose="020B0306030504020204" pitchFamily="34" charset="0"/>
              <a:cs typeface="Arial" panose="020B0604020202020204" pitchFamily="34" charset="0"/>
            </a:rPr>
            <a:t>	     a.  LEA_ID (USD#) should be entered as numeric value only (eg. 101).</a:t>
          </a:r>
        </a:p>
        <a:p>
          <a:r>
            <a:rPr lang="en-US" sz="1000" b="0" i="0" u="none" baseline="0">
              <a:latin typeface="Arial" panose="020B0604020202020204" pitchFamily="34" charset="0"/>
              <a:ea typeface="Open Sans Light" panose="020B0306030504020204" pitchFamily="34" charset="0"/>
              <a:cs typeface="Arial" panose="020B0604020202020204" pitchFamily="34" charset="0"/>
            </a:rPr>
            <a:t>	     b.  State_School_ID should be entered as numeric value only as assigned by KSDE on Directory Updates web application (eg. 9999).</a:t>
          </a:r>
        </a:p>
        <a:p>
          <a:r>
            <a:rPr lang="en-US" sz="1000" b="0" i="0" u="none" baseline="0">
              <a:latin typeface="Arial" panose="020B0604020202020204" pitchFamily="34" charset="0"/>
              <a:ea typeface="Open Sans Light" panose="020B0306030504020204" pitchFamily="34" charset="0"/>
              <a:cs typeface="Arial" panose="020B0604020202020204" pitchFamily="34" charset="0"/>
            </a:rPr>
            <a:t>	     c.  School_Name should be entered as approved on KSDE Directory Updates web application.</a:t>
          </a:r>
        </a:p>
        <a:p>
          <a:r>
            <a:rPr lang="en-US" sz="1000" b="0" i="0" u="none">
              <a:latin typeface="Arial" panose="020B0604020202020204" pitchFamily="34" charset="0"/>
              <a:ea typeface="Open Sans Light" panose="020B0306030504020204" pitchFamily="34" charset="0"/>
              <a:cs typeface="Arial" panose="020B0604020202020204" pitchFamily="34" charset="0"/>
            </a:rPr>
            <a:t>	     d.  Complete</a:t>
          </a:r>
          <a:r>
            <a:rPr lang="en-US" sz="1000" b="0" i="0" u="none" baseline="0">
              <a:latin typeface="Arial" panose="020B0604020202020204" pitchFamily="34" charset="0"/>
              <a:ea typeface="Open Sans Light" panose="020B0306030504020204" pitchFamily="34" charset="0"/>
              <a:cs typeface="Arial" panose="020B0604020202020204" pitchFamily="34" charset="0"/>
            </a:rPr>
            <a:t> the Headcount and Free Lunch headcount for each building.</a:t>
          </a:r>
        </a:p>
        <a:p>
          <a:r>
            <a:rPr lang="en-US" sz="1000" b="0" i="0" u="none" baseline="0">
              <a:latin typeface="Arial" panose="020B0604020202020204" pitchFamily="34" charset="0"/>
              <a:ea typeface="Open Sans Light" panose="020B0306030504020204" pitchFamily="34" charset="0"/>
              <a:cs typeface="Arial" panose="020B0604020202020204" pitchFamily="34" charset="0"/>
            </a:rPr>
            <a:t>	5.  Save (Click on Excel "File" menu in top left corner then click "Save").</a:t>
          </a:r>
        </a:p>
        <a:p>
          <a:r>
            <a:rPr lang="en-US" sz="1000" b="0" i="0" u="none" baseline="0">
              <a:latin typeface="Arial" panose="020B0604020202020204" pitchFamily="34" charset="0"/>
              <a:ea typeface="Open Sans Light" panose="020B0306030504020204" pitchFamily="34" charset="0"/>
              <a:cs typeface="Arial" panose="020B0604020202020204" pitchFamily="34" charset="0"/>
            </a:rPr>
            <a:t>This information will populate to </a:t>
          </a:r>
          <a:r>
            <a:rPr lang="en-US" sz="1000" b="0" i="0" u="none" baseline="0">
              <a:solidFill>
                <a:sysClr val="windowText" lastClr="000000"/>
              </a:solidFill>
              <a:latin typeface="Arial" panose="020B0604020202020204" pitchFamily="34" charset="0"/>
              <a:ea typeface="Open Sans Light" panose="020B0306030504020204" pitchFamily="34" charset="0"/>
              <a:cs typeface="Arial" panose="020B0604020202020204" pitchFamily="34" charset="0"/>
            </a:rPr>
            <a:t>Form 150 Table V Line #2B.</a:t>
          </a:r>
          <a:endParaRPr lang="en-US" sz="1000" b="0" i="0" u="none">
            <a:solidFill>
              <a:sysClr val="windowText" lastClr="000000"/>
            </a:solidFill>
            <a:latin typeface="Arial" panose="020B0604020202020204" pitchFamily="34" charset="0"/>
            <a:ea typeface="Open Sans Light" panose="020B0306030504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114300</xdr:colOff>
      <xdr:row>2</xdr:row>
      <xdr:rowOff>1</xdr:rowOff>
    </xdr:from>
    <xdr:to>
      <xdr:col>13</xdr:col>
      <xdr:colOff>695325</xdr:colOff>
      <xdr:row>7</xdr:row>
      <xdr:rowOff>19051</xdr:rowOff>
    </xdr:to>
    <xdr:sp macro="" textlink="">
      <xdr:nvSpPr>
        <xdr:cNvPr id="2" name="TextBox 1">
          <a:extLst>
            <a:ext uri="{FF2B5EF4-FFF2-40B4-BE49-F238E27FC236}">
              <a16:creationId xmlns:a16="http://schemas.microsoft.com/office/drawing/2014/main" xmlns="" id="{00000000-0008-0000-0700-000002000000}"/>
            </a:ext>
          </a:extLst>
        </xdr:cNvPr>
        <xdr:cNvSpPr txBox="1"/>
      </xdr:nvSpPr>
      <xdr:spPr>
        <a:xfrm>
          <a:off x="7505700" y="361951"/>
          <a:ext cx="2247900" cy="742950"/>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Arial" panose="020B0604020202020204" pitchFamily="34" charset="0"/>
              <a:ea typeface="Open Sans Light" panose="020B0306030504020204" pitchFamily="34" charset="0"/>
              <a:cs typeface="Arial" panose="020B0604020202020204" pitchFamily="34" charset="0"/>
            </a:rPr>
            <a:t>Minimum</a:t>
          </a:r>
          <a:r>
            <a:rPr lang="en-US" sz="1000" baseline="0">
              <a:latin typeface="Arial" panose="020B0604020202020204" pitchFamily="34" charset="0"/>
              <a:ea typeface="Open Sans Light" panose="020B0306030504020204" pitchFamily="34" charset="0"/>
              <a:cs typeface="Arial" panose="020B0604020202020204" pitchFamily="34" charset="0"/>
            </a:rPr>
            <a:t> adopted LOB must be greater than or equal to 15% of LOB Base General Fund.  Otherwise zero will go to C08 and F239.  </a:t>
          </a:r>
          <a:endParaRPr lang="en-US" sz="1000">
            <a:latin typeface="Arial" panose="020B0604020202020204" pitchFamily="34" charset="0"/>
            <a:ea typeface="Open Sans Light" panose="020B0306030504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14</xdr:col>
      <xdr:colOff>180975</xdr:colOff>
      <xdr:row>0</xdr:row>
      <xdr:rowOff>95250</xdr:rowOff>
    </xdr:from>
    <xdr:to>
      <xdr:col>15</xdr:col>
      <xdr:colOff>428625</xdr:colOff>
      <xdr:row>3</xdr:row>
      <xdr:rowOff>19050</xdr:rowOff>
    </xdr:to>
    <xdr:pic macro="[1]!F194_help">
      <xdr:nvPicPr>
        <xdr:cNvPr id="2" name="Picture 2" descr="helpbutton">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44025" y="95250"/>
          <a:ext cx="4857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8.xml><?xml version="1.0" encoding="utf-8"?>
<xdr:wsDr xmlns:xdr="http://schemas.openxmlformats.org/drawingml/2006/spreadsheetDrawing" xmlns:a="http://schemas.openxmlformats.org/drawingml/2006/main">
  <xdr:twoCellAnchor>
    <xdr:from>
      <xdr:col>9</xdr:col>
      <xdr:colOff>9525</xdr:colOff>
      <xdr:row>4</xdr:row>
      <xdr:rowOff>171450</xdr:rowOff>
    </xdr:from>
    <xdr:to>
      <xdr:col>12</xdr:col>
      <xdr:colOff>19050</xdr:colOff>
      <xdr:row>10</xdr:row>
      <xdr:rowOff>9525</xdr:rowOff>
    </xdr:to>
    <xdr:sp macro="" textlink="">
      <xdr:nvSpPr>
        <xdr:cNvPr id="2" name="TextBox 1">
          <a:extLst>
            <a:ext uri="{FF2B5EF4-FFF2-40B4-BE49-F238E27FC236}">
              <a16:creationId xmlns:a16="http://schemas.microsoft.com/office/drawing/2014/main" xmlns="" id="{F317DB95-6720-4CB2-A162-B0332CFD186F}"/>
            </a:ext>
          </a:extLst>
        </xdr:cNvPr>
        <xdr:cNvSpPr txBox="1"/>
      </xdr:nvSpPr>
      <xdr:spPr>
        <a:xfrm>
          <a:off x="7715250" y="933450"/>
          <a:ext cx="1838325" cy="98107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Open Sans Light" panose="020B0306030504020204" pitchFamily="34" charset="0"/>
              <a:ea typeface="Open Sans Light" panose="020B0306030504020204" pitchFamily="34" charset="0"/>
              <a:cs typeface="Open Sans Light" panose="020B0306030504020204" pitchFamily="34" charset="0"/>
            </a:rPr>
            <a:t>Beginning</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FY2022 the CTE </a:t>
          </a:r>
          <a:r>
            <a:rPr lang="en-US" sz="100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Transportation</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is no longer funded.  sjb</a:t>
          </a:r>
          <a:endParaRPr lang="en-US" sz="1000">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10</xdr:col>
      <xdr:colOff>125730</xdr:colOff>
      <xdr:row>1</xdr:row>
      <xdr:rowOff>99060</xdr:rowOff>
    </xdr:from>
    <xdr:to>
      <xdr:col>10</xdr:col>
      <xdr:colOff>590550</xdr:colOff>
      <xdr:row>5</xdr:row>
      <xdr:rowOff>55245</xdr:rowOff>
    </xdr:to>
    <xdr:pic macro="[1]!F239_help">
      <xdr:nvPicPr>
        <xdr:cNvPr id="3" name="Picture 2" descr="helpbutton">
          <a:extLst>
            <a:ext uri="{FF2B5EF4-FFF2-40B4-BE49-F238E27FC236}">
              <a16:creationId xmlns:a16="http://schemas.microsoft.com/office/drawing/2014/main" xmlns="" id="{CBC04385-1CF4-4DEB-A737-898DAF6C65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07505" y="260985"/>
          <a:ext cx="46482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d237/Documents/GroupWise/tool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Print_Funds"/>
      <sheetName val="Print_Forms"/>
      <sheetName val="Budget Help"/>
      <sheetName val="KSDE Contacts"/>
      <sheetName val="tools"/>
    </sheetNames>
    <definedNames>
      <definedName name="Co78_help"/>
      <definedName name="Co99_help"/>
      <definedName name="Code08_help"/>
      <definedName name="Code45_help"/>
      <definedName name="Code62_help"/>
      <definedName name="Code63_help"/>
      <definedName name="Code82_help"/>
      <definedName name="Code83_help"/>
      <definedName name="F110_help"/>
      <definedName name="F194_help"/>
      <definedName name="F239_help"/>
      <definedName name="F242_help"/>
      <definedName name="F242a_help"/>
      <definedName name="Open_help"/>
    </definedNames>
    <sheetDataSet>
      <sheetData sheetId="0"/>
      <sheetData sheetId="1"/>
      <sheetData sheetId="2"/>
      <sheetData sheetId="3"/>
      <sheetData sheetId="4"/>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44.bin"/><Relationship Id="rId4" Type="http://schemas.openxmlformats.org/officeDocument/2006/relationships/comments" Target="../comments14.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46.bin"/><Relationship Id="rId4" Type="http://schemas.openxmlformats.org/officeDocument/2006/relationships/comments" Target="../comments15.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50.bin"/><Relationship Id="rId4" Type="http://schemas.openxmlformats.org/officeDocument/2006/relationships/comments" Target="../comments16.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51.bin"/><Relationship Id="rId4" Type="http://schemas.openxmlformats.org/officeDocument/2006/relationships/comments" Target="../comments17.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1.xml"/><Relationship Id="rId1" Type="http://schemas.openxmlformats.org/officeDocument/2006/relationships/printerSettings" Target="../printerSettings/printerSettings62.bin"/><Relationship Id="rId4" Type="http://schemas.openxmlformats.org/officeDocument/2006/relationships/comments" Target="../comments18.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70.bin"/><Relationship Id="rId4" Type="http://schemas.openxmlformats.org/officeDocument/2006/relationships/comments" Target="../comments19.xml"/></Relationships>
</file>

<file path=xl/worksheets/_rels/sheet7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5.xml"/><Relationship Id="rId1" Type="http://schemas.openxmlformats.org/officeDocument/2006/relationships/printerSettings" Target="../printerSettings/printerSettings72.bin"/><Relationship Id="rId4" Type="http://schemas.openxmlformats.org/officeDocument/2006/relationships/comments" Target="../comments21.xm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39997558519241921"/>
  </sheetPr>
  <dimension ref="A1:E87"/>
  <sheetViews>
    <sheetView showGridLines="0" zoomScaleNormal="100" zoomScaleSheetLayoutView="100" workbookViewId="0">
      <selection activeCell="B6" sqref="B6"/>
    </sheetView>
  </sheetViews>
  <sheetFormatPr defaultColWidth="9.109375" defaultRowHeight="13.2"/>
  <cols>
    <col min="1" max="1" width="59.44140625" style="4667" bestFit="1" customWidth="1"/>
    <col min="2" max="2" width="74.44140625" style="4667" bestFit="1" customWidth="1"/>
    <col min="3" max="3" width="8.109375" style="4667" customWidth="1"/>
    <col min="4" max="16384" width="9.109375" style="4667"/>
  </cols>
  <sheetData>
    <row r="1" spans="1:5" ht="39.75" customHeight="1">
      <c r="A1" s="5931" t="s">
        <v>5271</v>
      </c>
      <c r="B1" s="5931"/>
      <c r="C1" s="4665"/>
      <c r="D1" s="4666"/>
      <c r="E1" s="4666"/>
    </row>
    <row r="2" spans="1:5" ht="17.399999999999999">
      <c r="A2" s="4668" t="s">
        <v>1677</v>
      </c>
      <c r="B2" s="4669" t="s">
        <v>1678</v>
      </c>
    </row>
    <row r="3" spans="1:5" ht="33.75" customHeight="1">
      <c r="A3" s="4670" t="s">
        <v>1067</v>
      </c>
      <c r="B3" s="4671" t="s">
        <v>1618</v>
      </c>
    </row>
    <row r="4" spans="1:5" ht="15" customHeight="1">
      <c r="A4" s="4670" t="s">
        <v>1081</v>
      </c>
      <c r="B4" s="4671" t="s">
        <v>1619</v>
      </c>
    </row>
    <row r="5" spans="1:5" ht="15" customHeight="1">
      <c r="A5" s="4670" t="s">
        <v>714</v>
      </c>
      <c r="B5" s="4671" t="s">
        <v>1730</v>
      </c>
    </row>
    <row r="6" spans="1:5" ht="15" customHeight="1">
      <c r="A6" s="4670" t="s">
        <v>715</v>
      </c>
      <c r="B6" s="4671" t="s">
        <v>1809</v>
      </c>
    </row>
    <row r="7" spans="1:5" ht="15" customHeight="1">
      <c r="A7" s="4670" t="s">
        <v>716</v>
      </c>
      <c r="B7" s="4671" t="s">
        <v>1620</v>
      </c>
    </row>
    <row r="8" spans="1:5" ht="15" customHeight="1">
      <c r="A8" s="4670" t="s">
        <v>717</v>
      </c>
      <c r="B8" s="4671" t="s">
        <v>1621</v>
      </c>
    </row>
    <row r="9" spans="1:5" ht="15" customHeight="1">
      <c r="A9" s="4670" t="s">
        <v>718</v>
      </c>
      <c r="B9" s="4671" t="s">
        <v>1622</v>
      </c>
    </row>
    <row r="10" spans="1:5" ht="15" customHeight="1">
      <c r="A10" s="4670" t="s">
        <v>719</v>
      </c>
      <c r="B10" s="4671" t="s">
        <v>5011</v>
      </c>
    </row>
    <row r="11" spans="1:5" ht="15" customHeight="1">
      <c r="A11" s="4670" t="s">
        <v>720</v>
      </c>
      <c r="B11" s="4672" t="s">
        <v>1623</v>
      </c>
    </row>
    <row r="12" spans="1:5" ht="15" customHeight="1">
      <c r="A12" s="4670" t="s">
        <v>721</v>
      </c>
      <c r="B12" s="4671" t="s">
        <v>1697</v>
      </c>
    </row>
    <row r="13" spans="1:5" ht="15" customHeight="1">
      <c r="A13" s="4670" t="s">
        <v>4550</v>
      </c>
      <c r="B13" s="4671" t="s">
        <v>1624</v>
      </c>
    </row>
    <row r="14" spans="1:5" ht="15" customHeight="1">
      <c r="A14" s="4670" t="s">
        <v>722</v>
      </c>
      <c r="B14" s="4671" t="s">
        <v>1625</v>
      </c>
    </row>
    <row r="15" spans="1:5" ht="15" customHeight="1">
      <c r="A15" s="4670" t="s">
        <v>723</v>
      </c>
      <c r="B15" s="4671"/>
    </row>
    <row r="16" spans="1:5" ht="15" customHeight="1">
      <c r="A16" s="4670" t="s">
        <v>724</v>
      </c>
      <c r="B16" s="4673"/>
    </row>
    <row r="17" spans="1:2" ht="15" customHeight="1">
      <c r="A17" s="4670" t="s">
        <v>800</v>
      </c>
      <c r="B17" s="4674" t="s">
        <v>1617</v>
      </c>
    </row>
    <row r="18" spans="1:2" ht="15" customHeight="1">
      <c r="A18" s="4670" t="s">
        <v>725</v>
      </c>
      <c r="B18" s="4674" t="s">
        <v>4901</v>
      </c>
    </row>
    <row r="19" spans="1:2" ht="15" customHeight="1">
      <c r="A19" s="4670" t="s">
        <v>726</v>
      </c>
      <c r="B19" s="4674"/>
    </row>
    <row r="20" spans="1:2" ht="15" customHeight="1">
      <c r="A20" s="4670" t="s">
        <v>727</v>
      </c>
      <c r="B20" s="4674" t="s">
        <v>1681</v>
      </c>
    </row>
    <row r="21" spans="1:2" ht="15" customHeight="1">
      <c r="A21" s="4670" t="s">
        <v>728</v>
      </c>
      <c r="B21" s="4674" t="s">
        <v>4613</v>
      </c>
    </row>
    <row r="22" spans="1:2" ht="15" customHeight="1">
      <c r="A22" s="4670" t="s">
        <v>729</v>
      </c>
      <c r="B22" s="4674" t="s">
        <v>1616</v>
      </c>
    </row>
    <row r="23" spans="1:2" ht="15" customHeight="1">
      <c r="A23" s="4670" t="s">
        <v>730</v>
      </c>
      <c r="B23" s="4674" t="s">
        <v>1626</v>
      </c>
    </row>
    <row r="24" spans="1:2" ht="15" customHeight="1">
      <c r="A24" s="4670" t="s">
        <v>731</v>
      </c>
      <c r="B24" s="4674"/>
    </row>
    <row r="25" spans="1:2" ht="15" customHeight="1">
      <c r="A25" s="4670" t="s">
        <v>732</v>
      </c>
      <c r="B25" s="4674" t="s">
        <v>1682</v>
      </c>
    </row>
    <row r="26" spans="1:2" ht="15" customHeight="1">
      <c r="A26" s="4670" t="s">
        <v>733</v>
      </c>
      <c r="B26" s="4674"/>
    </row>
    <row r="27" spans="1:2" ht="15" customHeight="1">
      <c r="A27" s="4675" t="s">
        <v>753</v>
      </c>
      <c r="B27" s="4676"/>
    </row>
    <row r="28" spans="1:2" ht="15" customHeight="1">
      <c r="A28" s="4675" t="s">
        <v>1810</v>
      </c>
      <c r="B28" s="4674"/>
    </row>
    <row r="29" spans="1:2" ht="15" customHeight="1">
      <c r="A29" s="4675" t="s">
        <v>734</v>
      </c>
      <c r="B29" s="4674"/>
    </row>
    <row r="30" spans="1:2" ht="15" customHeight="1">
      <c r="A30" s="4675" t="s">
        <v>735</v>
      </c>
      <c r="B30" s="4674"/>
    </row>
    <row r="31" spans="1:2" ht="15" customHeight="1">
      <c r="A31" s="4675" t="s">
        <v>736</v>
      </c>
      <c r="B31" s="4674"/>
    </row>
    <row r="32" spans="1:2" ht="15" customHeight="1">
      <c r="A32" s="4675" t="s">
        <v>737</v>
      </c>
      <c r="B32" s="4671"/>
    </row>
    <row r="33" spans="1:2" ht="15" customHeight="1">
      <c r="A33" s="4675" t="s">
        <v>1679</v>
      </c>
      <c r="B33" s="4671"/>
    </row>
    <row r="34" spans="1:2" ht="15" customHeight="1">
      <c r="A34" s="4675" t="s">
        <v>738</v>
      </c>
      <c r="B34" s="4671"/>
    </row>
    <row r="35" spans="1:2" ht="15" customHeight="1">
      <c r="A35" s="4675" t="s">
        <v>739</v>
      </c>
      <c r="B35" s="4671"/>
    </row>
    <row r="36" spans="1:2" ht="15" customHeight="1">
      <c r="A36" s="4675" t="s">
        <v>740</v>
      </c>
      <c r="B36" s="4671"/>
    </row>
    <row r="37" spans="1:2" ht="15" customHeight="1">
      <c r="A37" s="4675" t="s">
        <v>1137</v>
      </c>
      <c r="B37" s="4671"/>
    </row>
    <row r="38" spans="1:2" ht="15" customHeight="1">
      <c r="A38" s="4675" t="s">
        <v>741</v>
      </c>
      <c r="B38" s="4671"/>
    </row>
    <row r="39" spans="1:2" ht="15" customHeight="1">
      <c r="A39" s="4675" t="s">
        <v>742</v>
      </c>
      <c r="B39" s="4671"/>
    </row>
    <row r="40" spans="1:2" ht="15" customHeight="1">
      <c r="A40" s="4675" t="s">
        <v>1680</v>
      </c>
      <c r="B40" s="4671"/>
    </row>
    <row r="41" spans="1:2" ht="15" customHeight="1">
      <c r="A41" s="4675" t="s">
        <v>743</v>
      </c>
      <c r="B41" s="4671"/>
    </row>
    <row r="42" spans="1:2" ht="15" customHeight="1">
      <c r="A42" s="4675" t="s">
        <v>744</v>
      </c>
      <c r="B42" s="4671"/>
    </row>
    <row r="43" spans="1:2" ht="15" customHeight="1">
      <c r="A43" s="4675" t="s">
        <v>745</v>
      </c>
      <c r="B43" s="4671"/>
    </row>
    <row r="44" spans="1:2" ht="15" customHeight="1">
      <c r="A44" s="4675" t="s">
        <v>747</v>
      </c>
      <c r="B44" s="4671"/>
    </row>
    <row r="45" spans="1:2" ht="15" customHeight="1">
      <c r="A45" s="4675" t="s">
        <v>748</v>
      </c>
      <c r="B45" s="4671"/>
    </row>
    <row r="46" spans="1:2" ht="15" customHeight="1">
      <c r="A46" s="4675" t="s">
        <v>749</v>
      </c>
      <c r="B46" s="4671"/>
    </row>
    <row r="47" spans="1:2" ht="15" customHeight="1">
      <c r="A47" s="4675" t="s">
        <v>750</v>
      </c>
      <c r="B47" s="4671"/>
    </row>
    <row r="48" spans="1:2" ht="15" customHeight="1">
      <c r="A48" s="4675" t="s">
        <v>751</v>
      </c>
      <c r="B48" s="4671"/>
    </row>
    <row r="49" spans="1:2" ht="15" customHeight="1">
      <c r="A49" s="4675" t="s">
        <v>752</v>
      </c>
      <c r="B49" s="4671"/>
    </row>
    <row r="50" spans="1:2" ht="15" customHeight="1">
      <c r="A50" s="4675" t="s">
        <v>4901</v>
      </c>
      <c r="B50" s="4671"/>
    </row>
    <row r="51" spans="1:2">
      <c r="A51" s="4675"/>
      <c r="B51" s="4671"/>
    </row>
    <row r="52" spans="1:2">
      <c r="A52" s="3578"/>
      <c r="B52" s="3578"/>
    </row>
    <row r="53" spans="1:2">
      <c r="A53" s="3578"/>
      <c r="B53" s="3578"/>
    </row>
    <row r="54" spans="1:2">
      <c r="A54" s="3578"/>
      <c r="B54" s="3578"/>
    </row>
    <row r="55" spans="1:2">
      <c r="A55" s="3578"/>
      <c r="B55" s="3578"/>
    </row>
    <row r="56" spans="1:2">
      <c r="A56" s="3578"/>
      <c r="B56" s="3578"/>
    </row>
    <row r="57" spans="1:2">
      <c r="A57" s="3578"/>
      <c r="B57" s="3578"/>
    </row>
    <row r="58" spans="1:2">
      <c r="A58" s="3578"/>
      <c r="B58" s="3578"/>
    </row>
    <row r="59" spans="1:2">
      <c r="A59" s="3578"/>
      <c r="B59" s="3578"/>
    </row>
    <row r="60" spans="1:2">
      <c r="A60" s="3578"/>
      <c r="B60" s="3578"/>
    </row>
    <row r="61" spans="1:2" ht="17.399999999999999">
      <c r="A61" s="4677"/>
      <c r="B61" s="3578"/>
    </row>
    <row r="62" spans="1:2" ht="17.399999999999999">
      <c r="A62" s="3578"/>
      <c r="B62" s="4677"/>
    </row>
    <row r="63" spans="1:2">
      <c r="A63" s="4678"/>
      <c r="B63" s="3578"/>
    </row>
    <row r="64" spans="1:2">
      <c r="A64" s="4678"/>
      <c r="B64" s="4679"/>
    </row>
    <row r="65" spans="1:2">
      <c r="A65" s="4678"/>
      <c r="B65" s="4679"/>
    </row>
    <row r="66" spans="1:2">
      <c r="A66" s="4678"/>
      <c r="B66" s="4679"/>
    </row>
    <row r="67" spans="1:2">
      <c r="A67" s="4678"/>
      <c r="B67" s="4679"/>
    </row>
    <row r="68" spans="1:2">
      <c r="A68" s="4678"/>
      <c r="B68" s="4679"/>
    </row>
    <row r="69" spans="1:2">
      <c r="A69" s="4678"/>
      <c r="B69" s="4679"/>
    </row>
    <row r="70" spans="1:2">
      <c r="A70" s="4678"/>
      <c r="B70" s="4679"/>
    </row>
    <row r="71" spans="1:2">
      <c r="A71" s="3578"/>
      <c r="B71" s="4679"/>
    </row>
    <row r="72" spans="1:2">
      <c r="A72" s="4678"/>
      <c r="B72" s="4679"/>
    </row>
    <row r="73" spans="1:2">
      <c r="A73" s="4678"/>
      <c r="B73" s="4679"/>
    </row>
    <row r="74" spans="1:2">
      <c r="A74" s="4678"/>
      <c r="B74" s="4679"/>
    </row>
    <row r="75" spans="1:2">
      <c r="A75" s="4678"/>
      <c r="B75" s="4679"/>
    </row>
    <row r="76" spans="1:2">
      <c r="A76" s="4678"/>
      <c r="B76" s="4679"/>
    </row>
    <row r="77" spans="1:2">
      <c r="A77" s="4678"/>
      <c r="B77" s="4679"/>
    </row>
    <row r="78" spans="1:2">
      <c r="A78" s="4678"/>
      <c r="B78" s="4679"/>
    </row>
    <row r="79" spans="1:2">
      <c r="A79" s="4679"/>
      <c r="B79" s="4679"/>
    </row>
    <row r="80" spans="1:2">
      <c r="A80" s="4678"/>
      <c r="B80" s="4679"/>
    </row>
    <row r="81" spans="1:2">
      <c r="A81" s="4678"/>
      <c r="B81" s="4679"/>
    </row>
    <row r="82" spans="1:2">
      <c r="A82" s="4679"/>
      <c r="B82" s="4679"/>
    </row>
    <row r="83" spans="1:2">
      <c r="A83" s="4679"/>
      <c r="B83" s="4679"/>
    </row>
    <row r="84" spans="1:2">
      <c r="A84" s="4679"/>
      <c r="B84" s="4679"/>
    </row>
    <row r="85" spans="1:2">
      <c r="A85" s="4680"/>
      <c r="B85" s="4679"/>
    </row>
    <row r="86" spans="1:2">
      <c r="A86" s="4680"/>
      <c r="B86" s="4680"/>
    </row>
    <row r="87" spans="1:2">
      <c r="A87" s="4680"/>
      <c r="B87" s="4680"/>
    </row>
  </sheetData>
  <sheetProtection algorithmName="SHA-512" hashValue="SFTAccum/NLrV0wM1vtjdufGuuIaoE2PCj32yULsoXjs8F1lscgMAAK+Cj4ngR6MxebNqkylh5s/rLyulSMS3w==" saltValue="dg4e6ZFwEPt7M5sWshB/aQ==" spinCount="100000" sheet="1" objects="1" scenarios="1"/>
  <mergeCells count="1">
    <mergeCell ref="A1:B1"/>
  </mergeCells>
  <phoneticPr fontId="12" type="noConversion"/>
  <hyperlinks>
    <hyperlink ref="A3" location="OPEN!B1" display="Open page - USD Information - DO FIRST"/>
    <hyperlink ref="A6" location="'C04'!A1" display="C04-Worksheet 1"/>
    <hyperlink ref="A7" location="'C05'!A1" display="C05-Statement of Indebtedness"/>
    <hyperlink ref="A8" location="'C05a'!A1" display="C05a-Statement of Conditional Lease"/>
    <hyperlink ref="A9" location="'C06'!A1" display="C06-General Fund"/>
    <hyperlink ref="A10" location="'C07'!A1" display="C07-Federal Funds"/>
    <hyperlink ref="A11" location="'C08'!A1" display="C08-Supplemental General"/>
    <hyperlink ref="A12" location="'C010'!A1" display="C010-Adult Education"/>
    <hyperlink ref="A13" location="'C011'!A1" display="C011-At Risk (4yr Old)"/>
    <hyperlink ref="A14" location="'C012'!A1" display="C012-Adult Supplemental Education"/>
    <hyperlink ref="A15" location="'C013'!A1" display="C013-At Risk (K-12)"/>
    <hyperlink ref="A16" location="'C014'!A1" display="C014-Bilingual Education"/>
    <hyperlink ref="A18" location="'C016'!A1" display="C016-Capital Outlay"/>
    <hyperlink ref="A19" location="'C018'!A1" display="C018-Driver Training"/>
    <hyperlink ref="A20" location="'C019'!A1" display="C019-Declining Enrollment"/>
    <hyperlink ref="A21" location="'C022'!A1" display="C022-Extraordinary School Program"/>
    <hyperlink ref="A22" location="'C024'!A1" display="C024-Food Service"/>
    <hyperlink ref="A23" location="'C026'!A1" display="C026-Professional Development"/>
    <hyperlink ref="A24" location="'C028'!A1" display="C028-Parent Education Program"/>
    <hyperlink ref="A25" location="'C029'!A1" display="C029-Summer School"/>
    <hyperlink ref="A26" location="'C030'!A1" display="C030-Special Education"/>
    <hyperlink ref="A17" location="'C015'!A1" display="C015-Virtual Education"/>
    <hyperlink ref="A4" location="'C01'!A1" display="C01-Certificate"/>
    <hyperlink ref="A5" location="'C02'!A1" display="C02-Levy Limits for Tax Funds"/>
    <hyperlink ref="A27" location="'C033'!A1" display="C033-Cost of Living"/>
    <hyperlink ref="A28" location="'C034'!A1" display="C034-Vocational Education"/>
    <hyperlink ref="A29" location="'C035'!A1" display="C035-Gifts/Grants"/>
    <hyperlink ref="A30" location="'C042'!A1" display="C042-Special Liability Expense (includes Judgments)"/>
    <hyperlink ref="A31" location="'C044'!A1" display="C044-School Retirement"/>
    <hyperlink ref="A32" location="'C045'!A1" display="C045-Extraordinary Growth Facilities"/>
    <hyperlink ref="A33" location="'C047'!A1" display="C047-Special Reserve"/>
    <hyperlink ref="A34" location="'C051'!A1" display="C051-KPERS Special Retirement Contribution"/>
    <hyperlink ref="A35" location="'C053'!A1" display="C053-Contingency Reserve"/>
    <hyperlink ref="A36" location="'C055'!A1" display="C055-Textbook &amp; Student Materials Revolving"/>
    <hyperlink ref="A37" location="'C056'!A1" display="C056-Activity Funds"/>
    <hyperlink ref="A38" location="'C062'!A1" display="C062-Bond and Interest #1"/>
    <hyperlink ref="A39" location="'C063'!A1" display="C063-Bond and Interest #2"/>
    <hyperlink ref="A40" location="'C066'!A1" display="C066-No Fund Warrant"/>
    <hyperlink ref="A41" location="'C067'!A1" display="C067-Special Assessment"/>
    <hyperlink ref="A42" location="'C068'!A1" display="C068-Temporary Note"/>
    <hyperlink ref="A43" location="'C078'!A1" display="C078-COOP Special Education"/>
    <hyperlink ref="A44" location="'C080'!A1" display="C080-Historical Museum"/>
    <hyperlink ref="A45" location="'C082'!A1" display="C082-Public Library Board (USD 446 &amp; 500 only)"/>
    <hyperlink ref="A46" location="'C083'!A1" display="C083-Public Library Board Employee Benefits (USD 446 &amp; 500 only)"/>
    <hyperlink ref="A47" location="'C084'!A1" display="C084-Recreation Commission"/>
    <hyperlink ref="A48" location="'C086'!A1" display="C086-Recreation Commission Employee Benefits &amp; Special Liability"/>
    <hyperlink ref="A49" location="'CO99'!A1" display="C099-Publication"/>
    <hyperlink ref="A50" location="'2nd Publication'!A1" display="Revenue Neutral (County Certification)"/>
    <hyperlink ref="B3" location="'F110'!A1" display="Form 110-Tax in Process"/>
    <hyperlink ref="B4" location="'F118'!A1" display="Form 118-Estimated Special Education Aid"/>
    <hyperlink ref="B6" location="'F150'!A1" display="Form 150-Estimated Legal Maximum General Fund Budget"/>
    <hyperlink ref="B8" location="'F162'!A1" display="Form 162-Estimated Food Service Revenue"/>
    <hyperlink ref="B9" location="'F194'!A1" display="Form 194-Estimated Motor Vehicle Tax and IRB Payments"/>
    <hyperlink ref="B10" location="'F195'!A1" display="Form 195-Estimated State Aids for Drivers Education, Motorcycle Safety and KPERS"/>
    <hyperlink ref="B11" location="'F196'!A1" display="Form 196-Estimated State Aid for Transportation to Comm Colleges/Technical Colleges"/>
    <hyperlink ref="B13" location="'F242'!A1" display="Form 242-Estimated Bond &amp; Interest #1 State Aid"/>
    <hyperlink ref="B14" location="F242A!A1" display="Form 242A-Estimated Bond &amp; Interest #2 State Aid"/>
    <hyperlink ref="B17" location="Certify!A1" display="Certify-Superintendent must sign!"/>
    <hyperlink ref="B20" location="AMEND!A1" display="Amend-Budget Amendment Instructions"/>
    <hyperlink ref="B22" location="Salaries!A1" display="Salaries page"/>
    <hyperlink ref="B23" location="CashBalances!A1" display="Cash Balances on all funds"/>
    <hyperlink ref="B25" location="'Bdgt Checks'!A1" display="Budget Checks-Quick checks if funds are in balance"/>
    <hyperlink ref="B18" location="Revenue_Neutral" display="Revenue Neutral (County Certification)"/>
    <hyperlink ref="B12" location="'F239'!A1" display="Form 239-Estimated Supplemental (LOB) State Aid and Capital Outlay State Aid"/>
    <hyperlink ref="B5" location="'F148'!A1" display="Form 148-Estimated General Fund State Aid"/>
    <hyperlink ref="B7" location="'F155'!A1" display="Form 155-Local Option Budget (Supplemental General Fund)"/>
    <hyperlink ref="B21" location="AveSalary!Print_Area" display="Average Salary-(OPTIONAL)"/>
  </hyperlinks>
  <printOptions horizontalCentered="1"/>
  <pageMargins left="0.5" right="0.5" top="0.5" bottom="0.5" header="0.3" footer="0.3"/>
  <pageSetup scale="66" orientation="portrait" blackAndWhite="1" r:id="rId1"/>
  <headerFooter scaleWithDoc="0">
    <oddFooter>&amp;L&amp;"Open Sans Light,Regular"&amp;8&amp;D   &amp;T&amp;C&amp;"Open Sans Light,Regular"&amp;8Page &amp;P&amp;R&amp;"Open Sans Light,Regular"&amp;8Budet Contents</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6" tint="-0.249977111117893"/>
  </sheetPr>
  <dimension ref="A1:AK138"/>
  <sheetViews>
    <sheetView showGridLines="0" topLeftCell="A46" zoomScaleNormal="100" zoomScaleSheetLayoutView="100" workbookViewId="0">
      <selection activeCell="B22" sqref="B22"/>
    </sheetView>
  </sheetViews>
  <sheetFormatPr defaultColWidth="10.6640625" defaultRowHeight="14.85" customHeight="1"/>
  <cols>
    <col min="1" max="1" width="3.6640625" style="5480" customWidth="1"/>
    <col min="2" max="2" width="27" style="5480" customWidth="1"/>
    <col min="3" max="3" width="0.88671875" style="5480" customWidth="1"/>
    <col min="4" max="4" width="17" style="5480" customWidth="1"/>
    <col min="5" max="5" width="1.109375" style="5480" customWidth="1"/>
    <col min="6" max="6" width="14.109375" style="5480" customWidth="1"/>
    <col min="7" max="7" width="3.109375" style="5480" customWidth="1"/>
    <col min="8" max="8" width="13.109375" style="5480" customWidth="1"/>
    <col min="9" max="9" width="3" style="5480" customWidth="1"/>
    <col min="10" max="10" width="15.33203125" style="5480" customWidth="1"/>
    <col min="11" max="11" width="3.44140625" style="5480" customWidth="1"/>
    <col min="12" max="12" width="16.6640625" style="5480" customWidth="1"/>
    <col min="13" max="13" width="3.33203125" style="5480" customWidth="1"/>
    <col min="14" max="14" width="15.44140625" style="5480" customWidth="1"/>
    <col min="15" max="15" width="3.44140625" style="5480" customWidth="1"/>
    <col min="16" max="16" width="14.109375" style="5479" customWidth="1"/>
    <col min="17" max="17" width="3.33203125" style="5479" customWidth="1"/>
    <col min="18" max="18" width="14.109375" style="5479" customWidth="1"/>
    <col min="19" max="19" width="2.88671875" style="5480" customWidth="1"/>
    <col min="20" max="20" width="3.44140625" style="5480" customWidth="1"/>
    <col min="21" max="21" width="2.44140625" style="5480" customWidth="1"/>
    <col min="22" max="22" width="3.33203125" style="5480" customWidth="1"/>
    <col min="23" max="23" width="18" style="5479" customWidth="1"/>
    <col min="24" max="26" width="10.6640625" style="5479"/>
    <col min="27" max="37" width="10.6640625" style="5481"/>
    <col min="38" max="16384" width="10.6640625" style="5482"/>
  </cols>
  <sheetData>
    <row r="1" spans="1:23" ht="14.85" customHeight="1">
      <c r="A1" s="4888" t="s">
        <v>1511</v>
      </c>
      <c r="B1" s="5479"/>
      <c r="C1" s="5479"/>
      <c r="D1" s="5479"/>
      <c r="E1" s="5479"/>
      <c r="F1" s="5479"/>
      <c r="G1" s="5479"/>
      <c r="H1" s="5479"/>
      <c r="I1" s="5479"/>
      <c r="J1" s="5479"/>
      <c r="K1" s="5479"/>
      <c r="L1" s="5479"/>
      <c r="M1" s="5479"/>
      <c r="N1" s="5479"/>
      <c r="O1" s="5479"/>
      <c r="R1" s="5970" t="str">
        <f>"USD #"&amp;OPEN!$B$4</f>
        <v>USD #237</v>
      </c>
      <c r="S1" s="5970"/>
      <c r="W1" s="4891" t="s">
        <v>754</v>
      </c>
    </row>
    <row r="2" spans="1:23" ht="14.85" customHeight="1">
      <c r="A2" s="5479" t="s">
        <v>4977</v>
      </c>
      <c r="B2" s="5483"/>
      <c r="C2" s="5479"/>
      <c r="D2" s="5479"/>
      <c r="E2" s="5479"/>
      <c r="F2" s="5479"/>
      <c r="G2" s="5479"/>
      <c r="H2" s="5479"/>
      <c r="I2" s="5479"/>
      <c r="J2" s="5479"/>
      <c r="K2" s="5479"/>
      <c r="L2" s="5479"/>
      <c r="M2" s="5479"/>
      <c r="N2" s="5479"/>
      <c r="O2" s="5479"/>
      <c r="R2" s="5968">
        <f>OpenData!$N$3</f>
        <v>44348</v>
      </c>
      <c r="S2" s="5968"/>
    </row>
    <row r="3" spans="1:23" ht="14.85" customHeight="1">
      <c r="A3" s="5967"/>
      <c r="B3" s="5967"/>
      <c r="C3" s="5484"/>
      <c r="D3" s="5484"/>
      <c r="E3" s="5484"/>
      <c r="F3" s="5484"/>
      <c r="G3" s="5484"/>
      <c r="H3" s="5484"/>
      <c r="I3" s="5484"/>
      <c r="J3" s="5484"/>
      <c r="K3" s="5484"/>
      <c r="L3" s="5484"/>
      <c r="M3" s="5484"/>
      <c r="N3" s="5484"/>
      <c r="O3" s="5479"/>
    </row>
    <row r="4" spans="1:23" ht="14.85" customHeight="1">
      <c r="A4" s="5479"/>
      <c r="B4" s="5479"/>
      <c r="C4" s="5479"/>
      <c r="D4" s="5479"/>
      <c r="E4" s="5479"/>
      <c r="F4" s="5479"/>
      <c r="G4" s="5479"/>
      <c r="H4" s="5479"/>
      <c r="I4" s="5479"/>
      <c r="J4" s="5479"/>
      <c r="K4" s="5479"/>
      <c r="L4" s="5485"/>
      <c r="M4" s="5482"/>
      <c r="N4" s="5482"/>
      <c r="O4" s="5479"/>
      <c r="Q4" s="5485"/>
      <c r="R4" s="5486"/>
    </row>
    <row r="5" spans="1:23" ht="14.85" customHeight="1">
      <c r="A5" s="5487" t="str">
        <f>OpenData!$N$2</f>
        <v>2021-2022</v>
      </c>
      <c r="B5" s="5484"/>
      <c r="C5" s="5484"/>
      <c r="D5" s="5484"/>
      <c r="E5" s="5484"/>
      <c r="F5" s="5484"/>
      <c r="G5" s="5484"/>
      <c r="H5" s="5484"/>
      <c r="I5" s="5484"/>
      <c r="J5" s="5484"/>
      <c r="K5" s="5484"/>
      <c r="L5" s="5484"/>
      <c r="M5" s="5484"/>
      <c r="N5" s="5484"/>
      <c r="O5" s="5484"/>
      <c r="P5" s="5484"/>
      <c r="Q5" s="5484"/>
      <c r="R5" s="5484"/>
      <c r="S5" s="5488"/>
    </row>
    <row r="6" spans="1:23" ht="14.85" customHeight="1">
      <c r="A6" s="5487" t="s">
        <v>1529</v>
      </c>
      <c r="B6" s="5484"/>
      <c r="C6" s="5484"/>
      <c r="D6" s="5484"/>
      <c r="E6" s="5484"/>
      <c r="F6" s="5484"/>
      <c r="G6" s="5484"/>
      <c r="H6" s="5484"/>
      <c r="I6" s="5484"/>
      <c r="J6" s="5484"/>
      <c r="K6" s="5484"/>
      <c r="L6" s="5484"/>
      <c r="M6" s="5484"/>
      <c r="N6" s="5484"/>
      <c r="O6" s="5484"/>
      <c r="P6" s="5484"/>
      <c r="Q6" s="5484"/>
      <c r="R6" s="5484"/>
      <c r="S6" s="5488"/>
    </row>
    <row r="7" spans="1:23" ht="14.85" customHeight="1">
      <c r="A7" s="5487" t="s">
        <v>1530</v>
      </c>
      <c r="B7" s="5484"/>
      <c r="C7" s="5484"/>
      <c r="D7" s="5484"/>
      <c r="E7" s="5484"/>
      <c r="F7" s="5484"/>
      <c r="G7" s="5484"/>
      <c r="H7" s="5484"/>
      <c r="I7" s="5484"/>
      <c r="J7" s="5484"/>
      <c r="K7" s="5484"/>
      <c r="L7" s="5484"/>
      <c r="M7" s="5484"/>
      <c r="N7" s="5484"/>
      <c r="O7" s="5484"/>
      <c r="P7" s="5484"/>
      <c r="Q7" s="5484"/>
      <c r="R7" s="5484"/>
      <c r="S7" s="5488"/>
    </row>
    <row r="8" spans="1:23" ht="14.85" customHeight="1">
      <c r="A8" s="5487" t="str">
        <f>"and In Lieu of Taxes on Industrial Revenue Bonds for July 1, "&amp;OpenData!$Q$5&amp;" to December 31, "&amp;OpenData!$Q$5</f>
        <v>and In Lieu of Taxes on Industrial Revenue Bonds for July 1, 2021 to December 31, 2021</v>
      </c>
      <c r="B8" s="5484"/>
      <c r="C8" s="5484"/>
      <c r="D8" s="5484"/>
      <c r="E8" s="5484"/>
      <c r="F8" s="5484"/>
      <c r="G8" s="5484"/>
      <c r="H8" s="5484"/>
      <c r="I8" s="5484"/>
      <c r="J8" s="5484"/>
      <c r="K8" s="5484"/>
      <c r="L8" s="5484"/>
      <c r="M8" s="5484"/>
      <c r="N8" s="5484"/>
      <c r="O8" s="5484"/>
      <c r="P8" s="5484"/>
      <c r="Q8" s="5484"/>
      <c r="R8" s="5484"/>
      <c r="S8" s="5488"/>
    </row>
    <row r="9" spans="1:23" ht="14.85" customHeight="1">
      <c r="A9" s="5487"/>
      <c r="B9" s="5484"/>
      <c r="C9" s="5484"/>
      <c r="D9" s="5484"/>
      <c r="E9" s="5484"/>
      <c r="F9" s="5484"/>
      <c r="G9" s="5484"/>
      <c r="H9" s="5484"/>
      <c r="I9" s="5484"/>
      <c r="J9" s="5484"/>
      <c r="K9" s="5484"/>
      <c r="L9" s="5484"/>
      <c r="M9" s="5484"/>
      <c r="N9" s="5484"/>
      <c r="O9" s="5484"/>
      <c r="P9" s="5484"/>
      <c r="Q9" s="5484"/>
      <c r="R9" s="5484"/>
      <c r="S9" s="5488"/>
    </row>
    <row r="10" spans="1:23" ht="14.85" customHeight="1">
      <c r="A10" s="5484" t="s">
        <v>1531</v>
      </c>
      <c r="B10" s="5484"/>
      <c r="C10" s="5484"/>
      <c r="D10" s="5484"/>
      <c r="E10" s="5484"/>
      <c r="F10" s="5484"/>
      <c r="G10" s="5484"/>
      <c r="H10" s="5484"/>
      <c r="I10" s="5484"/>
      <c r="J10" s="5484"/>
      <c r="K10" s="5484"/>
      <c r="L10" s="5484"/>
      <c r="M10" s="5484"/>
      <c r="N10" s="5484"/>
      <c r="O10" s="5484"/>
      <c r="P10" s="5484"/>
      <c r="Q10" s="5484"/>
      <c r="R10" s="5484"/>
      <c r="S10" s="5488"/>
    </row>
    <row r="11" spans="1:23" ht="14.85" customHeight="1">
      <c r="A11" s="5484" t="str">
        <f>"For New Levies Made in "&amp;OpenData!$O$4&amp;" School Year Until March, "&amp;OpenData!$S$5&amp;".  For new levies made in "&amp;OpenData!$P$4</f>
        <v>For New Levies Made in 2020-2021 School Year Until March, 2022.  For new levies made in 2021-2022</v>
      </c>
      <c r="B11" s="5484"/>
      <c r="C11" s="5484"/>
      <c r="D11" s="5484"/>
      <c r="E11" s="5484"/>
      <c r="F11" s="5484"/>
      <c r="G11" s="5484"/>
      <c r="H11" s="5484"/>
      <c r="I11" s="5484"/>
      <c r="J11" s="5484"/>
      <c r="K11" s="5484"/>
      <c r="L11" s="5484"/>
      <c r="M11" s="5484"/>
      <c r="N11" s="5484"/>
      <c r="O11" s="5484"/>
      <c r="P11" s="5484"/>
      <c r="Q11" s="5484"/>
      <c r="R11" s="5484"/>
      <c r="S11" s="5488"/>
    </row>
    <row r="12" spans="1:23" ht="14.85" customHeight="1">
      <c r="A12" s="5484" t="str">
        <f>"revenues will not be received until March, "&amp;OpenData!$U$5</f>
        <v>revenues will not be received until March, 2023</v>
      </c>
      <c r="B12" s="5484"/>
      <c r="C12" s="5484"/>
      <c r="D12" s="5484"/>
      <c r="E12" s="5484"/>
      <c r="F12" s="5484"/>
      <c r="G12" s="5484"/>
      <c r="H12" s="5484"/>
      <c r="I12" s="5484"/>
      <c r="J12" s="5484"/>
      <c r="K12" s="5484"/>
      <c r="L12" s="5484"/>
      <c r="M12" s="5484"/>
      <c r="N12" s="5484"/>
      <c r="O12" s="5484"/>
      <c r="P12" s="5484"/>
      <c r="Q12" s="5484"/>
      <c r="R12" s="5484"/>
      <c r="S12" s="5488"/>
    </row>
    <row r="13" spans="1:23" ht="14.85" customHeight="1">
      <c r="A13" s="5484"/>
      <c r="B13" s="5484"/>
      <c r="C13" s="5484"/>
      <c r="D13" s="5484"/>
      <c r="E13" s="5484"/>
      <c r="F13" s="5484"/>
      <c r="G13" s="5484"/>
      <c r="H13" s="5484"/>
      <c r="I13" s="5484"/>
      <c r="J13" s="5484"/>
      <c r="K13" s="5484"/>
      <c r="L13" s="5484"/>
      <c r="M13" s="5484"/>
      <c r="N13" s="5484"/>
      <c r="O13" s="5479"/>
    </row>
    <row r="14" spans="1:23" ht="14.85" customHeight="1">
      <c r="A14" s="5489"/>
      <c r="B14" s="5489"/>
      <c r="C14" s="5489"/>
      <c r="D14" s="5490">
        <v>1</v>
      </c>
      <c r="E14" s="5491"/>
      <c r="F14" s="5490">
        <v>2</v>
      </c>
      <c r="G14" s="5491"/>
      <c r="H14" s="5490">
        <v>3</v>
      </c>
      <c r="I14" s="5490"/>
      <c r="J14" s="5490">
        <v>4</v>
      </c>
      <c r="K14" s="5491"/>
      <c r="L14" s="5490">
        <v>5</v>
      </c>
      <c r="M14" s="5491"/>
      <c r="N14" s="5490">
        <v>6</v>
      </c>
      <c r="O14" s="5479"/>
      <c r="P14" s="5490">
        <v>7</v>
      </c>
      <c r="R14" s="5490">
        <v>8</v>
      </c>
      <c r="S14" s="5492"/>
      <c r="T14" s="5492"/>
      <c r="U14" s="5492"/>
    </row>
    <row r="15" spans="1:23" ht="14.85" customHeight="1">
      <c r="A15" s="5489"/>
      <c r="B15" s="5489"/>
      <c r="C15" s="5489"/>
      <c r="D15" s="5491" t="str">
        <f>OpenData!$O$5&amp;" Taxes Levied"</f>
        <v>2019 Taxes Levied</v>
      </c>
      <c r="E15" s="5491"/>
      <c r="F15" s="5491" t="s">
        <v>1532</v>
      </c>
      <c r="G15" s="5491"/>
      <c r="H15" s="5491" t="s">
        <v>937</v>
      </c>
      <c r="I15" s="5491"/>
      <c r="J15" s="5491" t="s">
        <v>1532</v>
      </c>
      <c r="K15" s="5491"/>
      <c r="L15" s="5491" t="s">
        <v>1533</v>
      </c>
      <c r="M15" s="5491"/>
      <c r="N15" s="5491" t="s">
        <v>1534</v>
      </c>
      <c r="O15" s="5479"/>
      <c r="P15" s="5491"/>
      <c r="R15" s="5493" t="s">
        <v>1535</v>
      </c>
      <c r="S15" s="5492"/>
      <c r="T15" s="5492"/>
      <c r="U15" s="5492"/>
    </row>
    <row r="16" spans="1:23" ht="14.85" customHeight="1">
      <c r="A16" s="5489"/>
      <c r="B16" s="5489"/>
      <c r="C16" s="5489"/>
      <c r="D16" s="5491" t="s">
        <v>1536</v>
      </c>
      <c r="E16" s="5491"/>
      <c r="F16" s="5491" t="s">
        <v>1537</v>
      </c>
      <c r="G16" s="5491"/>
      <c r="H16" s="5491" t="s">
        <v>1538</v>
      </c>
      <c r="I16" s="5491"/>
      <c r="J16" s="5491" t="s">
        <v>1539</v>
      </c>
      <c r="K16" s="5491"/>
      <c r="L16" s="5491" t="s">
        <v>1538</v>
      </c>
      <c r="M16" s="5491"/>
      <c r="N16" s="5491" t="s">
        <v>1540</v>
      </c>
      <c r="O16" s="5479"/>
      <c r="P16" s="5491" t="s">
        <v>1541</v>
      </c>
      <c r="R16" s="5493" t="s">
        <v>1542</v>
      </c>
      <c r="S16" s="5492"/>
      <c r="T16" s="5492"/>
      <c r="U16" s="5492"/>
      <c r="W16" s="5479" t="s">
        <v>1543</v>
      </c>
    </row>
    <row r="17" spans="1:23" ht="14.85" customHeight="1">
      <c r="A17" s="5494">
        <v>1</v>
      </c>
      <c r="B17" s="5479" t="s">
        <v>1544</v>
      </c>
      <c r="C17" s="5479"/>
      <c r="D17" s="5495" t="s">
        <v>684</v>
      </c>
      <c r="E17" s="5479"/>
      <c r="F17" s="5495" t="s">
        <v>684</v>
      </c>
      <c r="G17" s="5479"/>
      <c r="H17" s="5495" t="s">
        <v>684</v>
      </c>
      <c r="I17" s="5496"/>
      <c r="J17" s="5497">
        <f>IF(W17=0,0,ROUND(W17/W36,4))</f>
        <v>0.39750000000000002</v>
      </c>
      <c r="K17" s="5479"/>
      <c r="L17" s="5495" t="s">
        <v>684</v>
      </c>
      <c r="M17" s="5479"/>
      <c r="N17" s="5495" t="s">
        <v>684</v>
      </c>
      <c r="O17" s="5479"/>
      <c r="P17" s="5495" t="s">
        <v>684</v>
      </c>
      <c r="R17" s="5495" t="s">
        <v>684</v>
      </c>
      <c r="S17" s="5492"/>
      <c r="T17" s="5492"/>
      <c r="U17" s="5492"/>
      <c r="W17" s="5496">
        <f>OPEN!F23</f>
        <v>893620</v>
      </c>
    </row>
    <row r="18" spans="1:23" ht="14.85" customHeight="1">
      <c r="A18" s="5494">
        <v>2</v>
      </c>
      <c r="B18" s="5479" t="s">
        <v>1545</v>
      </c>
      <c r="C18" s="5479"/>
      <c r="D18" s="5498">
        <f>OPEN!$F$24</f>
        <v>973821</v>
      </c>
      <c r="E18" s="5479"/>
      <c r="F18" s="5497">
        <f t="shared" ref="F18:F35" si="0">IF(D18=0,0,ROUND(D18/$D$36,4))</f>
        <v>0.71879999999999999</v>
      </c>
      <c r="G18" s="5479"/>
      <c r="H18" s="5498">
        <f t="shared" ref="H18:H35" si="1">F18*$H$36</f>
        <v>22347</v>
      </c>
      <c r="I18" s="5496"/>
      <c r="J18" s="5497">
        <f>IF(W18=0,0,ROUND(W18/W36,4))</f>
        <v>0.43309999999999998</v>
      </c>
      <c r="K18" s="5479"/>
      <c r="L18" s="5498">
        <f t="shared" ref="L18:L35" si="2">F18*$L$36</f>
        <v>604</v>
      </c>
      <c r="M18" s="5479"/>
      <c r="N18" s="5498">
        <f t="shared" ref="N18:N35" si="3">F18*$N$36</f>
        <v>0</v>
      </c>
      <c r="O18" s="5479"/>
      <c r="P18" s="5498">
        <f t="shared" ref="P18:P35" si="4">F18*$P$36</f>
        <v>6438</v>
      </c>
      <c r="R18" s="5498">
        <f>F18*$R$36</f>
        <v>1977</v>
      </c>
      <c r="S18" s="5492"/>
      <c r="T18" s="5492"/>
      <c r="U18" s="5492"/>
      <c r="W18" s="5496">
        <f>OPEN!F24</f>
        <v>973821</v>
      </c>
    </row>
    <row r="19" spans="1:23" ht="14.85" customHeight="1">
      <c r="A19" s="5494">
        <v>3</v>
      </c>
      <c r="B19" s="5479" t="s">
        <v>815</v>
      </c>
      <c r="C19" s="5479"/>
      <c r="D19" s="5498">
        <f>OPEN!$F$25</f>
        <v>0</v>
      </c>
      <c r="E19" s="5479"/>
      <c r="F19" s="5497">
        <f t="shared" si="0"/>
        <v>0</v>
      </c>
      <c r="G19" s="5479"/>
      <c r="H19" s="5498">
        <f t="shared" si="1"/>
        <v>0</v>
      </c>
      <c r="I19" s="5496"/>
      <c r="J19" s="5497">
        <f>IF(W19=0,0,ROUND(W19/W36,4))</f>
        <v>0</v>
      </c>
      <c r="K19" s="5479"/>
      <c r="L19" s="5498">
        <f t="shared" si="2"/>
        <v>0</v>
      </c>
      <c r="M19" s="5479"/>
      <c r="N19" s="5498">
        <f t="shared" si="3"/>
        <v>0</v>
      </c>
      <c r="O19" s="5479"/>
      <c r="P19" s="5498">
        <f t="shared" si="4"/>
        <v>0</v>
      </c>
      <c r="R19" s="5498">
        <f t="shared" ref="R19:R35" si="5">F19*$R$36</f>
        <v>0</v>
      </c>
      <c r="S19" s="5492"/>
      <c r="T19" s="5492"/>
      <c r="U19" s="5492"/>
      <c r="W19" s="5496">
        <f>OPEN!F25</f>
        <v>0</v>
      </c>
    </row>
    <row r="20" spans="1:23" ht="14.85" customHeight="1">
      <c r="A20" s="5494">
        <v>4</v>
      </c>
      <c r="B20" s="5479" t="s">
        <v>816</v>
      </c>
      <c r="C20" s="5479"/>
      <c r="D20" s="5498">
        <f>OPEN!$F$26</f>
        <v>380933</v>
      </c>
      <c r="E20" s="5479"/>
      <c r="F20" s="5497">
        <f t="shared" si="0"/>
        <v>0.28120000000000001</v>
      </c>
      <c r="G20" s="5479"/>
      <c r="H20" s="5498">
        <f t="shared" si="1"/>
        <v>8742</v>
      </c>
      <c r="I20" s="5496"/>
      <c r="J20" s="5497">
        <f>IF(W20=0,0,ROUND(W20/W36,4))</f>
        <v>0.1694</v>
      </c>
      <c r="K20" s="5479"/>
      <c r="L20" s="5498">
        <f t="shared" si="2"/>
        <v>236</v>
      </c>
      <c r="M20" s="5479"/>
      <c r="N20" s="5498">
        <f t="shared" si="3"/>
        <v>0</v>
      </c>
      <c r="O20" s="5479"/>
      <c r="P20" s="5498">
        <f t="shared" si="4"/>
        <v>2518</v>
      </c>
      <c r="R20" s="5498">
        <f t="shared" si="5"/>
        <v>774</v>
      </c>
      <c r="S20" s="5492"/>
      <c r="T20" s="5492"/>
      <c r="U20" s="5492"/>
      <c r="W20" s="5496">
        <f>OPEN!F26</f>
        <v>380933</v>
      </c>
    </row>
    <row r="21" spans="1:23" ht="14.85" customHeight="1">
      <c r="A21" s="5494">
        <v>5</v>
      </c>
      <c r="B21" s="5479" t="s">
        <v>819</v>
      </c>
      <c r="C21" s="5479"/>
      <c r="D21" s="5498">
        <f>OPEN!$F$31</f>
        <v>0</v>
      </c>
      <c r="E21" s="5479"/>
      <c r="F21" s="5497">
        <f t="shared" si="0"/>
        <v>0</v>
      </c>
      <c r="G21" s="5479"/>
      <c r="H21" s="5498">
        <f t="shared" si="1"/>
        <v>0</v>
      </c>
      <c r="I21" s="5496"/>
      <c r="J21" s="5497">
        <f>IF(W21=0,0,ROUND(W21/W36,4))</f>
        <v>0</v>
      </c>
      <c r="K21" s="5479"/>
      <c r="L21" s="5498">
        <f t="shared" si="2"/>
        <v>0</v>
      </c>
      <c r="M21" s="5479"/>
      <c r="N21" s="5498">
        <f t="shared" si="3"/>
        <v>0</v>
      </c>
      <c r="O21" s="5479"/>
      <c r="P21" s="5498">
        <f t="shared" si="4"/>
        <v>0</v>
      </c>
      <c r="R21" s="5498">
        <f t="shared" si="5"/>
        <v>0</v>
      </c>
      <c r="S21" s="5492"/>
      <c r="T21" s="5492"/>
      <c r="U21" s="5492"/>
      <c r="W21" s="5496">
        <f>OPEN!F31</f>
        <v>0</v>
      </c>
    </row>
    <row r="22" spans="1:23" ht="14.85" customHeight="1">
      <c r="A22" s="5494">
        <v>6</v>
      </c>
      <c r="B22" s="5479" t="str">
        <f>OpenData!$O$44</f>
        <v>Bond and Interest #1</v>
      </c>
      <c r="C22" s="5479"/>
      <c r="D22" s="5498">
        <f>OPEN!$F$28</f>
        <v>0</v>
      </c>
      <c r="E22" s="5479"/>
      <c r="F22" s="5497">
        <f t="shared" si="0"/>
        <v>0</v>
      </c>
      <c r="G22" s="5479"/>
      <c r="H22" s="5498">
        <f t="shared" si="1"/>
        <v>0</v>
      </c>
      <c r="I22" s="5496"/>
      <c r="J22" s="5497">
        <f>IF(W22=0,0,ROUND(W22/W36,4))</f>
        <v>0</v>
      </c>
      <c r="K22" s="5479"/>
      <c r="L22" s="5498">
        <f t="shared" si="2"/>
        <v>0</v>
      </c>
      <c r="M22" s="5479"/>
      <c r="N22" s="5498">
        <f t="shared" si="3"/>
        <v>0</v>
      </c>
      <c r="O22" s="5479"/>
      <c r="P22" s="5498">
        <f t="shared" si="4"/>
        <v>0</v>
      </c>
      <c r="R22" s="5498">
        <f t="shared" si="5"/>
        <v>0</v>
      </c>
      <c r="S22" s="5492"/>
      <c r="T22" s="5492"/>
      <c r="U22" s="5492"/>
      <c r="W22" s="5496">
        <f>OPEN!F28</f>
        <v>0</v>
      </c>
    </row>
    <row r="23" spans="1:23" ht="14.85" customHeight="1">
      <c r="A23" s="5494">
        <v>7</v>
      </c>
      <c r="B23" s="5479" t="str">
        <f>OpenData!$O$46</f>
        <v>Bond and Interest #2</v>
      </c>
      <c r="C23" s="5479"/>
      <c r="D23" s="5498">
        <f>OPEN!$F$29</f>
        <v>0</v>
      </c>
      <c r="E23" s="5479"/>
      <c r="F23" s="5497">
        <f t="shared" si="0"/>
        <v>0</v>
      </c>
      <c r="G23" s="5479"/>
      <c r="H23" s="5498">
        <f t="shared" si="1"/>
        <v>0</v>
      </c>
      <c r="I23" s="5496"/>
      <c r="J23" s="5497">
        <f>IF(W23=0,0,ROUND(W23/W36,4))</f>
        <v>0</v>
      </c>
      <c r="K23" s="5479"/>
      <c r="L23" s="5498">
        <f t="shared" si="2"/>
        <v>0</v>
      </c>
      <c r="M23" s="5479"/>
      <c r="N23" s="5498">
        <f t="shared" si="3"/>
        <v>0</v>
      </c>
      <c r="O23" s="5479"/>
      <c r="P23" s="5498">
        <f t="shared" si="4"/>
        <v>0</v>
      </c>
      <c r="R23" s="5498">
        <f t="shared" si="5"/>
        <v>0</v>
      </c>
      <c r="S23" s="5492"/>
      <c r="T23" s="5492"/>
      <c r="U23" s="5492"/>
      <c r="W23" s="5496">
        <f>OPEN!F29</f>
        <v>0</v>
      </c>
    </row>
    <row r="24" spans="1:23" ht="14.85" customHeight="1">
      <c r="A24" s="5494">
        <v>8</v>
      </c>
      <c r="B24" s="5479" t="s">
        <v>1546</v>
      </c>
      <c r="C24" s="5479"/>
      <c r="D24" s="5498">
        <f>OPEN!$F$32</f>
        <v>0</v>
      </c>
      <c r="E24" s="5479"/>
      <c r="F24" s="5497">
        <f t="shared" si="0"/>
        <v>0</v>
      </c>
      <c r="G24" s="5479"/>
      <c r="H24" s="5498">
        <f t="shared" si="1"/>
        <v>0</v>
      </c>
      <c r="I24" s="5496"/>
      <c r="J24" s="5497">
        <f>IF(W24=0,0,ROUND(W24/W36,4))</f>
        <v>0</v>
      </c>
      <c r="K24" s="5479"/>
      <c r="L24" s="5498">
        <f t="shared" si="2"/>
        <v>0</v>
      </c>
      <c r="M24" s="5479"/>
      <c r="N24" s="5498">
        <f t="shared" si="3"/>
        <v>0</v>
      </c>
      <c r="O24" s="5479"/>
      <c r="P24" s="5498">
        <f t="shared" si="4"/>
        <v>0</v>
      </c>
      <c r="R24" s="5498">
        <f t="shared" si="5"/>
        <v>0</v>
      </c>
      <c r="S24" s="5492"/>
      <c r="T24" s="5492"/>
      <c r="U24" s="5492"/>
      <c r="W24" s="5496">
        <f>OPEN!F32</f>
        <v>0</v>
      </c>
    </row>
    <row r="25" spans="1:23" ht="14.85" customHeight="1">
      <c r="A25" s="5494">
        <v>9</v>
      </c>
      <c r="B25" s="5479" t="str">
        <f>OpenData!$O$53</f>
        <v>Recreation Commission</v>
      </c>
      <c r="C25" s="5479"/>
      <c r="D25" s="5498">
        <f>OPEN!$F$36</f>
        <v>0</v>
      </c>
      <c r="E25" s="5479"/>
      <c r="F25" s="5497">
        <f t="shared" si="0"/>
        <v>0</v>
      </c>
      <c r="G25" s="5479"/>
      <c r="H25" s="5498">
        <f t="shared" si="1"/>
        <v>0</v>
      </c>
      <c r="I25" s="5496"/>
      <c r="J25" s="5497">
        <f>IF(W25=0,0,ROUND(W25/W36,4))</f>
        <v>0</v>
      </c>
      <c r="K25" s="5479"/>
      <c r="L25" s="5498">
        <f t="shared" si="2"/>
        <v>0</v>
      </c>
      <c r="M25" s="5479"/>
      <c r="N25" s="5498">
        <f t="shared" si="3"/>
        <v>0</v>
      </c>
      <c r="O25" s="5479"/>
      <c r="P25" s="5498">
        <f t="shared" si="4"/>
        <v>0</v>
      </c>
      <c r="R25" s="5498">
        <f t="shared" si="5"/>
        <v>0</v>
      </c>
      <c r="S25" s="5492"/>
      <c r="T25" s="5492"/>
      <c r="U25" s="5492"/>
      <c r="W25" s="5496">
        <f>OPEN!F36</f>
        <v>0</v>
      </c>
    </row>
    <row r="26" spans="1:23" ht="14.85" customHeight="1">
      <c r="A26" s="5494">
        <v>10</v>
      </c>
      <c r="B26" s="5479" t="str">
        <f>OpenData!$Q$62</f>
        <v>Rec Comm Employee Bnfts</v>
      </c>
      <c r="C26" s="5479"/>
      <c r="D26" s="5498">
        <f>OPEN!$F$37</f>
        <v>0</v>
      </c>
      <c r="E26" s="5479"/>
      <c r="F26" s="5497">
        <f t="shared" si="0"/>
        <v>0</v>
      </c>
      <c r="G26" s="5479"/>
      <c r="H26" s="5498">
        <f t="shared" si="1"/>
        <v>0</v>
      </c>
      <c r="I26" s="5496"/>
      <c r="J26" s="5497">
        <f>IF(W26=0,0,ROUND(W26/W36,4))</f>
        <v>0</v>
      </c>
      <c r="K26" s="5479"/>
      <c r="L26" s="5498">
        <f t="shared" si="2"/>
        <v>0</v>
      </c>
      <c r="M26" s="5479"/>
      <c r="N26" s="5498">
        <f t="shared" si="3"/>
        <v>0</v>
      </c>
      <c r="O26" s="5479"/>
      <c r="P26" s="5498">
        <f t="shared" si="4"/>
        <v>0</v>
      </c>
      <c r="R26" s="5498">
        <f t="shared" si="5"/>
        <v>0</v>
      </c>
      <c r="S26" s="5492"/>
      <c r="T26" s="5492"/>
      <c r="U26" s="5492"/>
      <c r="W26" s="5496">
        <f>OPEN!$F$37</f>
        <v>0</v>
      </c>
    </row>
    <row r="27" spans="1:23" ht="14.85" customHeight="1">
      <c r="A27" s="5494">
        <v>11</v>
      </c>
      <c r="B27" s="5499" t="s">
        <v>818</v>
      </c>
      <c r="C27" s="5499"/>
      <c r="D27" s="5498">
        <f>OPEN!$F$30</f>
        <v>0</v>
      </c>
      <c r="E27" s="5479"/>
      <c r="F27" s="5497">
        <f t="shared" si="0"/>
        <v>0</v>
      </c>
      <c r="G27" s="5479"/>
      <c r="H27" s="5498">
        <f t="shared" si="1"/>
        <v>0</v>
      </c>
      <c r="I27" s="5496"/>
      <c r="J27" s="5497">
        <f>IF(W27=0,0,ROUND(W27/W36,4))</f>
        <v>0</v>
      </c>
      <c r="K27" s="5479"/>
      <c r="L27" s="5498">
        <f t="shared" si="2"/>
        <v>0</v>
      </c>
      <c r="M27" s="5479"/>
      <c r="N27" s="5498">
        <f t="shared" si="3"/>
        <v>0</v>
      </c>
      <c r="O27" s="5479"/>
      <c r="P27" s="5498">
        <f t="shared" si="4"/>
        <v>0</v>
      </c>
      <c r="R27" s="5498">
        <f t="shared" si="5"/>
        <v>0</v>
      </c>
      <c r="S27" s="5492"/>
      <c r="T27" s="5492"/>
      <c r="U27" s="5492"/>
      <c r="W27" s="5496">
        <f>OPEN!F30</f>
        <v>0</v>
      </c>
    </row>
    <row r="28" spans="1:23" ht="14.85" customHeight="1">
      <c r="A28" s="5494">
        <v>13</v>
      </c>
      <c r="B28" s="5499" t="s">
        <v>823</v>
      </c>
      <c r="C28" s="5499"/>
      <c r="D28" s="5498">
        <f>OPEN!$F$27</f>
        <v>0</v>
      </c>
      <c r="E28" s="5479"/>
      <c r="F28" s="5497">
        <f t="shared" si="0"/>
        <v>0</v>
      </c>
      <c r="G28" s="5479"/>
      <c r="H28" s="5498">
        <f t="shared" si="1"/>
        <v>0</v>
      </c>
      <c r="I28" s="5496"/>
      <c r="J28" s="5497">
        <f>IF(W28=0,0,ROUND(W28/W36,4))</f>
        <v>0</v>
      </c>
      <c r="K28" s="5479"/>
      <c r="L28" s="5498">
        <f t="shared" si="2"/>
        <v>0</v>
      </c>
      <c r="M28" s="5479"/>
      <c r="N28" s="5498">
        <f t="shared" si="3"/>
        <v>0</v>
      </c>
      <c r="O28" s="5479"/>
      <c r="P28" s="5498">
        <f t="shared" si="4"/>
        <v>0</v>
      </c>
      <c r="R28" s="5498">
        <f t="shared" si="5"/>
        <v>0</v>
      </c>
      <c r="S28" s="5492"/>
      <c r="T28" s="5492"/>
      <c r="U28" s="5492"/>
      <c r="W28" s="5496">
        <f>OPEN!F27</f>
        <v>0</v>
      </c>
    </row>
    <row r="29" spans="1:23" ht="14.85" customHeight="1">
      <c r="A29" s="5494">
        <v>14</v>
      </c>
      <c r="B29" s="5479" t="s">
        <v>817</v>
      </c>
      <c r="C29" s="5479"/>
      <c r="D29" s="5495" t="s">
        <v>684</v>
      </c>
      <c r="E29" s="5479"/>
      <c r="F29" s="5495" t="s">
        <v>684</v>
      </c>
      <c r="G29" s="5479"/>
      <c r="H29" s="5495" t="s">
        <v>684</v>
      </c>
      <c r="I29" s="5496"/>
      <c r="J29" s="5495" t="s">
        <v>684</v>
      </c>
      <c r="K29" s="5479"/>
      <c r="L29" s="5495" t="s">
        <v>684</v>
      </c>
      <c r="M29" s="5479"/>
      <c r="N29" s="5495" t="s">
        <v>684</v>
      </c>
      <c r="O29" s="5479"/>
      <c r="P29" s="5495" t="s">
        <v>684</v>
      </c>
      <c r="R29" s="5495" t="s">
        <v>684</v>
      </c>
      <c r="S29" s="5492"/>
      <c r="T29" s="5492"/>
      <c r="U29" s="5492"/>
      <c r="W29" s="5496">
        <v>0</v>
      </c>
    </row>
    <row r="30" spans="1:23" ht="14.85" customHeight="1">
      <c r="A30" s="5494">
        <v>15</v>
      </c>
      <c r="B30" s="5479" t="s">
        <v>821</v>
      </c>
      <c r="C30" s="5479"/>
      <c r="D30" s="5498">
        <f>OPEN!$F$33</f>
        <v>0</v>
      </c>
      <c r="E30" s="5479"/>
      <c r="F30" s="5497">
        <f t="shared" si="0"/>
        <v>0</v>
      </c>
      <c r="G30" s="5479"/>
      <c r="H30" s="5498">
        <f t="shared" si="1"/>
        <v>0</v>
      </c>
      <c r="I30" s="5496"/>
      <c r="J30" s="5497">
        <f>IF(W30=0,0,ROUND(W30/W36,4))</f>
        <v>0</v>
      </c>
      <c r="K30" s="5479"/>
      <c r="L30" s="5498">
        <f t="shared" si="2"/>
        <v>0</v>
      </c>
      <c r="M30" s="5479"/>
      <c r="N30" s="5498">
        <f t="shared" si="3"/>
        <v>0</v>
      </c>
      <c r="O30" s="5479"/>
      <c r="P30" s="5498">
        <f t="shared" si="4"/>
        <v>0</v>
      </c>
      <c r="R30" s="5498">
        <f t="shared" si="5"/>
        <v>0</v>
      </c>
      <c r="S30" s="5492"/>
      <c r="T30" s="5492"/>
      <c r="U30" s="5492"/>
      <c r="W30" s="5496">
        <f>OPEN!F33</f>
        <v>0</v>
      </c>
    </row>
    <row r="31" spans="1:23" ht="14.85" customHeight="1">
      <c r="A31" s="5494">
        <v>16</v>
      </c>
      <c r="B31" s="5479" t="s">
        <v>824</v>
      </c>
      <c r="C31" s="5479"/>
      <c r="D31" s="5498">
        <f>OPEN!$F$38</f>
        <v>0</v>
      </c>
      <c r="E31" s="5479"/>
      <c r="F31" s="5497">
        <f t="shared" si="0"/>
        <v>0</v>
      </c>
      <c r="G31" s="5479"/>
      <c r="H31" s="5498">
        <f t="shared" si="1"/>
        <v>0</v>
      </c>
      <c r="I31" s="5496"/>
      <c r="J31" s="5497">
        <f>IF(W31=0,0,ROUND(W31/W36,4))</f>
        <v>0</v>
      </c>
      <c r="K31" s="5479"/>
      <c r="L31" s="5498">
        <f t="shared" si="2"/>
        <v>0</v>
      </c>
      <c r="M31" s="5479"/>
      <c r="N31" s="5498">
        <f t="shared" si="3"/>
        <v>0</v>
      </c>
      <c r="O31" s="5479"/>
      <c r="P31" s="5498">
        <f t="shared" si="4"/>
        <v>0</v>
      </c>
      <c r="R31" s="5498">
        <f t="shared" si="5"/>
        <v>0</v>
      </c>
      <c r="S31" s="5492"/>
      <c r="T31" s="5492"/>
      <c r="U31" s="5492"/>
      <c r="W31" s="5496">
        <f>OPEN!F38</f>
        <v>0</v>
      </c>
    </row>
    <row r="32" spans="1:23" ht="14.85" customHeight="1">
      <c r="A32" s="5494">
        <v>17</v>
      </c>
      <c r="B32" s="5479" t="s">
        <v>822</v>
      </c>
      <c r="C32" s="5479"/>
      <c r="D32" s="5498">
        <f>OPEN!$F$34</f>
        <v>0</v>
      </c>
      <c r="E32" s="5479"/>
      <c r="F32" s="5497">
        <f t="shared" si="0"/>
        <v>0</v>
      </c>
      <c r="G32" s="5479"/>
      <c r="H32" s="5498">
        <f t="shared" si="1"/>
        <v>0</v>
      </c>
      <c r="I32" s="5496"/>
      <c r="J32" s="5497">
        <f>IF(W32=0,0,ROUND(W32/W36,4))</f>
        <v>0</v>
      </c>
      <c r="K32" s="5479"/>
      <c r="L32" s="5498">
        <f t="shared" si="2"/>
        <v>0</v>
      </c>
      <c r="M32" s="5479"/>
      <c r="N32" s="5498">
        <f t="shared" si="3"/>
        <v>0</v>
      </c>
      <c r="O32" s="5479"/>
      <c r="P32" s="5498">
        <f t="shared" si="4"/>
        <v>0</v>
      </c>
      <c r="R32" s="5498">
        <f t="shared" si="5"/>
        <v>0</v>
      </c>
      <c r="S32" s="5492"/>
      <c r="T32" s="5492"/>
      <c r="U32" s="5492"/>
      <c r="W32" s="5496">
        <f>OPEN!F34</f>
        <v>0</v>
      </c>
    </row>
    <row r="33" spans="1:37" ht="14.85" customHeight="1">
      <c r="A33" s="5494">
        <v>18</v>
      </c>
      <c r="B33" s="5479" t="s">
        <v>4467</v>
      </c>
      <c r="C33" s="5479"/>
      <c r="D33" s="5498">
        <f>OPEN!$F$35</f>
        <v>0</v>
      </c>
      <c r="E33" s="5479"/>
      <c r="F33" s="5497">
        <f t="shared" si="0"/>
        <v>0</v>
      </c>
      <c r="G33" s="5479"/>
      <c r="H33" s="5498">
        <f t="shared" si="1"/>
        <v>0</v>
      </c>
      <c r="I33" s="5496"/>
      <c r="J33" s="5497">
        <f>IF(W33=0,0,ROUND(W33/W36,4))</f>
        <v>0</v>
      </c>
      <c r="K33" s="5479"/>
      <c r="L33" s="5498">
        <f t="shared" si="2"/>
        <v>0</v>
      </c>
      <c r="M33" s="5479"/>
      <c r="N33" s="5498">
        <f t="shared" si="3"/>
        <v>0</v>
      </c>
      <c r="O33" s="5479"/>
      <c r="P33" s="5498">
        <f t="shared" si="4"/>
        <v>0</v>
      </c>
      <c r="R33" s="5498">
        <f t="shared" si="5"/>
        <v>0</v>
      </c>
      <c r="S33" s="5492"/>
      <c r="T33" s="5492"/>
      <c r="U33" s="5492"/>
      <c r="W33" s="5496">
        <f>OPEN!F35</f>
        <v>0</v>
      </c>
    </row>
    <row r="34" spans="1:37" ht="14.85" customHeight="1">
      <c r="A34" s="5494">
        <v>19</v>
      </c>
      <c r="B34" s="5479" t="s">
        <v>305</v>
      </c>
      <c r="C34" s="5479"/>
      <c r="D34" s="5495" t="s">
        <v>684</v>
      </c>
      <c r="E34" s="5479"/>
      <c r="F34" s="5495" t="s">
        <v>684</v>
      </c>
      <c r="G34" s="5479"/>
      <c r="H34" s="5495" t="s">
        <v>684</v>
      </c>
      <c r="I34" s="5496"/>
      <c r="J34" s="5495" t="s">
        <v>684</v>
      </c>
      <c r="K34" s="5479"/>
      <c r="L34" s="5495" t="s">
        <v>684</v>
      </c>
      <c r="M34" s="5479"/>
      <c r="N34" s="5495" t="s">
        <v>684</v>
      </c>
      <c r="O34" s="5479"/>
      <c r="P34" s="5495" t="s">
        <v>684</v>
      </c>
      <c r="R34" s="5495" t="s">
        <v>684</v>
      </c>
      <c r="S34" s="5492"/>
      <c r="T34" s="5492"/>
      <c r="U34" s="5492"/>
      <c r="W34" s="5496">
        <v>0</v>
      </c>
    </row>
    <row r="35" spans="1:37" ht="14.85" customHeight="1">
      <c r="A35" s="5494">
        <v>20</v>
      </c>
      <c r="B35" s="5479" t="s">
        <v>929</v>
      </c>
      <c r="C35" s="5479"/>
      <c r="D35" s="5496">
        <f>OPEN!$F$39</f>
        <v>0</v>
      </c>
      <c r="E35" s="5479"/>
      <c r="F35" s="5500">
        <f t="shared" si="0"/>
        <v>0</v>
      </c>
      <c r="G35" s="5479"/>
      <c r="H35" s="5496">
        <f t="shared" si="1"/>
        <v>0</v>
      </c>
      <c r="I35" s="5496"/>
      <c r="J35" s="5500">
        <f>IF(W35=0,0,ROUND(W35/W36,4))</f>
        <v>0</v>
      </c>
      <c r="K35" s="5479"/>
      <c r="L35" s="5496">
        <f t="shared" si="2"/>
        <v>0</v>
      </c>
      <c r="M35" s="5479"/>
      <c r="N35" s="5496">
        <f t="shared" si="3"/>
        <v>0</v>
      </c>
      <c r="O35" s="5479"/>
      <c r="P35" s="5496">
        <f t="shared" si="4"/>
        <v>0</v>
      </c>
      <c r="R35" s="5498">
        <f t="shared" si="5"/>
        <v>0</v>
      </c>
      <c r="S35" s="5492"/>
      <c r="T35" s="5492"/>
      <c r="U35" s="5492"/>
      <c r="W35" s="5498">
        <f>OPEN!$F$39</f>
        <v>0</v>
      </c>
    </row>
    <row r="36" spans="1:37" ht="14.85" customHeight="1" thickBot="1">
      <c r="A36" s="5494">
        <v>21</v>
      </c>
      <c r="B36" s="5479" t="s">
        <v>884</v>
      </c>
      <c r="C36" s="5479"/>
      <c r="D36" s="5501">
        <f>SUM(D17:D35)</f>
        <v>1354754</v>
      </c>
      <c r="E36" s="5479"/>
      <c r="F36" s="5502">
        <f>ROUND(SUM(F17:F35),2)</f>
        <v>1</v>
      </c>
      <c r="G36" s="5479" t="s">
        <v>1547</v>
      </c>
      <c r="H36" s="5501">
        <f>'F110'!$B$90*0.67</f>
        <v>31089</v>
      </c>
      <c r="I36" s="5479" t="s">
        <v>1548</v>
      </c>
      <c r="J36" s="5502">
        <f>ROUND(SUM(J17:J35),2)</f>
        <v>1</v>
      </c>
      <c r="K36" s="5479" t="s">
        <v>1547</v>
      </c>
      <c r="L36" s="5501">
        <f>'F110'!$G$90*0.67</f>
        <v>840</v>
      </c>
      <c r="M36" s="5479" t="s">
        <v>1548</v>
      </c>
      <c r="N36" s="5501">
        <f>'F110'!$K$90*0.67</f>
        <v>0</v>
      </c>
      <c r="O36" s="5479" t="s">
        <v>1548</v>
      </c>
      <c r="P36" s="5501">
        <f>'F110'!$B$93*0.67</f>
        <v>8956</v>
      </c>
      <c r="Q36" s="5479" t="s">
        <v>1548</v>
      </c>
      <c r="R36" s="5503">
        <f>'F110'!$G$93*0.67</f>
        <v>2751</v>
      </c>
      <c r="S36" s="5499" t="s">
        <v>1548</v>
      </c>
      <c r="T36" s="5499"/>
      <c r="U36" s="5499"/>
      <c r="W36" s="5504">
        <f>SUM(W17:W35)</f>
        <v>2248374</v>
      </c>
    </row>
    <row r="37" spans="1:37" ht="14.85" customHeight="1" thickTop="1">
      <c r="A37" s="5479"/>
      <c r="B37" s="5479"/>
      <c r="C37" s="5479"/>
      <c r="D37" s="5479"/>
      <c r="E37" s="5479"/>
      <c r="F37" s="5479"/>
      <c r="G37" s="5479"/>
      <c r="H37" s="5479"/>
      <c r="I37" s="5479"/>
      <c r="J37" s="5479"/>
      <c r="K37" s="5479"/>
      <c r="L37" s="5479"/>
      <c r="M37" s="5479"/>
      <c r="N37" s="5479"/>
      <c r="O37" s="5479"/>
    </row>
    <row r="38" spans="1:37" s="5480" customFormat="1" ht="14.85" customHeight="1">
      <c r="A38" s="5479"/>
      <c r="B38" s="5479"/>
      <c r="C38" s="5479"/>
      <c r="D38" s="5479"/>
      <c r="E38" s="5479"/>
      <c r="F38" s="5479"/>
      <c r="G38" s="5479"/>
      <c r="H38" s="5479"/>
      <c r="I38" s="5479"/>
      <c r="J38" s="5479"/>
      <c r="K38" s="5479"/>
      <c r="L38" s="5479"/>
      <c r="M38" s="5479"/>
      <c r="N38" s="5479"/>
      <c r="O38" s="5479"/>
      <c r="P38" s="5479"/>
      <c r="Q38" s="5479"/>
      <c r="R38" s="5479"/>
      <c r="W38" s="5479"/>
      <c r="X38" s="5479"/>
      <c r="Y38" s="5479"/>
      <c r="Z38" s="5479"/>
      <c r="AA38" s="5479"/>
      <c r="AB38" s="5479"/>
      <c r="AC38" s="5479"/>
      <c r="AD38" s="5479"/>
      <c r="AE38" s="5479"/>
      <c r="AF38" s="5479"/>
      <c r="AG38" s="5479"/>
      <c r="AH38" s="5479"/>
      <c r="AI38" s="5479"/>
      <c r="AJ38" s="5479"/>
      <c r="AK38" s="5479"/>
    </row>
    <row r="39" spans="1:37" s="5480" customFormat="1" ht="14.85" customHeight="1">
      <c r="A39" s="5479" t="s">
        <v>1549</v>
      </c>
      <c r="B39" s="5479" t="str">
        <f>"Do not include taxes levied for any funds in which a budget will not be made in "&amp;OpenData!$P$4&amp;"."</f>
        <v>Do not include taxes levied for any funds in which a budget will not be made in 2021-2022.</v>
      </c>
      <c r="C39" s="5479"/>
      <c r="D39" s="5479"/>
      <c r="E39" s="5479"/>
      <c r="F39" s="5479"/>
      <c r="G39" s="5479"/>
      <c r="H39" s="5479"/>
      <c r="I39" s="5479"/>
      <c r="J39" s="5479"/>
      <c r="K39" s="5479"/>
      <c r="L39" s="5479"/>
      <c r="M39" s="5479"/>
      <c r="N39" s="5479"/>
      <c r="O39" s="5479"/>
      <c r="P39" s="5479"/>
      <c r="Q39" s="5479"/>
      <c r="R39" s="5479"/>
      <c r="W39" s="5479"/>
      <c r="X39" s="5479"/>
      <c r="Y39" s="5479"/>
      <c r="Z39" s="5479"/>
      <c r="AA39" s="5479"/>
      <c r="AB39" s="5479"/>
      <c r="AC39" s="5479"/>
      <c r="AD39" s="5479"/>
      <c r="AE39" s="5479"/>
      <c r="AF39" s="5479"/>
      <c r="AG39" s="5479"/>
      <c r="AH39" s="5479"/>
      <c r="AI39" s="5479"/>
      <c r="AJ39" s="5479"/>
      <c r="AK39" s="5479"/>
    </row>
    <row r="40" spans="1:37" s="5480" customFormat="1" ht="14.85" customHeight="1">
      <c r="A40" s="5479" t="s">
        <v>1550</v>
      </c>
      <c r="B40" s="5479" t="s">
        <v>1551</v>
      </c>
      <c r="C40" s="5479"/>
      <c r="D40" s="5479"/>
      <c r="E40" s="5479"/>
      <c r="F40" s="5479"/>
      <c r="G40" s="5479"/>
      <c r="H40" s="5479"/>
      <c r="I40" s="5479"/>
      <c r="J40" s="5479"/>
      <c r="K40" s="5479"/>
      <c r="L40" s="5479"/>
      <c r="M40" s="5479"/>
      <c r="N40" s="5479"/>
      <c r="O40" s="5479"/>
      <c r="P40" s="5479"/>
      <c r="Q40" s="5479"/>
      <c r="R40" s="5479"/>
      <c r="W40" s="5479"/>
      <c r="X40" s="5479"/>
      <c r="Y40" s="5479"/>
      <c r="Z40" s="5479"/>
      <c r="AA40" s="5479"/>
      <c r="AB40" s="5479"/>
      <c r="AC40" s="5479"/>
      <c r="AD40" s="5479"/>
      <c r="AE40" s="5479"/>
      <c r="AF40" s="5479"/>
      <c r="AG40" s="5479"/>
      <c r="AH40" s="5479"/>
      <c r="AI40" s="5479"/>
      <c r="AJ40" s="5479"/>
      <c r="AK40" s="5479"/>
    </row>
    <row r="41" spans="1:37" s="5480" customFormat="1" ht="14.85" customHeight="1">
      <c r="A41" s="5479" t="s">
        <v>1547</v>
      </c>
      <c r="B41" s="5479" t="s">
        <v>1552</v>
      </c>
      <c r="C41" s="5479"/>
      <c r="D41" s="5479"/>
      <c r="E41" s="5479"/>
      <c r="F41" s="5479"/>
      <c r="G41" s="5479"/>
      <c r="H41" s="5479"/>
      <c r="I41" s="5479"/>
      <c r="J41" s="5479"/>
      <c r="K41" s="5479"/>
      <c r="L41" s="5479"/>
      <c r="M41" s="5479"/>
      <c r="N41" s="5479"/>
      <c r="O41" s="5479"/>
      <c r="P41" s="5479"/>
      <c r="Q41" s="5479"/>
      <c r="R41" s="5479"/>
      <c r="W41" s="5479"/>
      <c r="X41" s="5479"/>
      <c r="Y41" s="5479"/>
      <c r="Z41" s="5479"/>
      <c r="AA41" s="5479"/>
      <c r="AB41" s="5479"/>
      <c r="AC41" s="5479"/>
      <c r="AD41" s="5479"/>
      <c r="AE41" s="5479"/>
      <c r="AF41" s="5479"/>
      <c r="AG41" s="5479"/>
      <c r="AH41" s="5479"/>
      <c r="AI41" s="5479"/>
      <c r="AJ41" s="5479"/>
      <c r="AK41" s="5479"/>
    </row>
    <row r="42" spans="1:37" s="5480" customFormat="1" ht="14.85" customHeight="1">
      <c r="A42" s="5479" t="s">
        <v>1553</v>
      </c>
      <c r="B42" s="5479" t="s">
        <v>1554</v>
      </c>
      <c r="C42" s="5479"/>
      <c r="D42" s="5479"/>
      <c r="E42" s="5479"/>
      <c r="F42" s="5479"/>
      <c r="G42" s="5479"/>
      <c r="H42" s="5479"/>
      <c r="I42" s="5479"/>
      <c r="J42" s="5479"/>
      <c r="K42" s="5479"/>
      <c r="L42" s="5479"/>
      <c r="M42" s="5479"/>
      <c r="N42" s="5479"/>
      <c r="O42" s="5479"/>
      <c r="P42" s="5479"/>
      <c r="Q42" s="5479"/>
      <c r="R42" s="5479"/>
      <c r="W42" s="5479"/>
      <c r="X42" s="5479"/>
      <c r="Y42" s="5479"/>
      <c r="Z42" s="5479"/>
      <c r="AA42" s="5479"/>
      <c r="AB42" s="5479"/>
      <c r="AC42" s="5479"/>
      <c r="AD42" s="5479"/>
      <c r="AE42" s="5479"/>
      <c r="AF42" s="5479"/>
      <c r="AG42" s="5479"/>
      <c r="AH42" s="5479"/>
      <c r="AI42" s="5479"/>
      <c r="AJ42" s="5479"/>
      <c r="AK42" s="5479"/>
    </row>
    <row r="43" spans="1:37" s="5480" customFormat="1" ht="14.85" customHeight="1">
      <c r="A43" s="5479" t="s">
        <v>1548</v>
      </c>
      <c r="B43" s="5479" t="s">
        <v>1555</v>
      </c>
      <c r="C43" s="5479"/>
      <c r="D43" s="5479"/>
      <c r="E43" s="5479"/>
      <c r="F43" s="5479"/>
      <c r="G43" s="5479"/>
      <c r="H43" s="5479"/>
      <c r="I43" s="5479"/>
      <c r="J43" s="5479"/>
      <c r="K43" s="5479"/>
      <c r="L43" s="5479"/>
      <c r="M43" s="5479"/>
      <c r="N43" s="5479"/>
      <c r="O43" s="5479"/>
      <c r="P43" s="5479"/>
      <c r="Q43" s="5479"/>
      <c r="R43" s="5479"/>
      <c r="W43" s="5479"/>
      <c r="X43" s="5479"/>
      <c r="Y43" s="5479"/>
      <c r="Z43" s="5479"/>
      <c r="AA43" s="5479"/>
      <c r="AB43" s="5479"/>
      <c r="AC43" s="5479"/>
      <c r="AD43" s="5479"/>
      <c r="AE43" s="5479"/>
      <c r="AF43" s="5479"/>
      <c r="AG43" s="5479"/>
      <c r="AH43" s="5479"/>
      <c r="AI43" s="5479"/>
      <c r="AJ43" s="5479"/>
      <c r="AK43" s="5479"/>
    </row>
    <row r="44" spans="1:37" s="5480" customFormat="1" ht="14.85" customHeight="1">
      <c r="A44" s="5479" t="s">
        <v>1556</v>
      </c>
      <c r="B44" s="5479" t="str">
        <f>"Includes the total "&amp;OpenData!$O$5&amp;" General Fund taxes levied."</f>
        <v>Includes the total 2019 General Fund taxes levied.</v>
      </c>
      <c r="C44" s="5479"/>
      <c r="D44" s="5479"/>
      <c r="E44" s="5479"/>
      <c r="F44" s="5479"/>
      <c r="G44" s="5479"/>
      <c r="H44" s="5479"/>
      <c r="I44" s="5479"/>
      <c r="J44" s="5479"/>
      <c r="K44" s="5479"/>
      <c r="L44" s="5479"/>
      <c r="M44" s="5479"/>
      <c r="N44" s="5479"/>
      <c r="O44" s="5479"/>
      <c r="P44" s="5479"/>
      <c r="Q44" s="5479"/>
      <c r="R44" s="5479"/>
      <c r="W44" s="5479"/>
      <c r="X44" s="5479"/>
      <c r="Y44" s="5479"/>
      <c r="Z44" s="5479"/>
      <c r="AA44" s="5479"/>
      <c r="AB44" s="5479"/>
      <c r="AC44" s="5479"/>
      <c r="AD44" s="5479"/>
      <c r="AE44" s="5479"/>
      <c r="AF44" s="5479"/>
      <c r="AG44" s="5479"/>
      <c r="AH44" s="5479"/>
      <c r="AI44" s="5479"/>
      <c r="AJ44" s="5479"/>
      <c r="AK44" s="5479"/>
    </row>
    <row r="45" spans="1:37" s="5480" customFormat="1" ht="14.85" customHeight="1">
      <c r="A45" s="5479" t="s">
        <v>1557</v>
      </c>
      <c r="B45" s="5489" t="s">
        <v>1554</v>
      </c>
      <c r="C45" s="5479"/>
      <c r="D45" s="5479"/>
      <c r="E45" s="5479"/>
      <c r="F45" s="5479"/>
      <c r="G45" s="5479"/>
      <c r="H45" s="5479"/>
      <c r="I45" s="5479"/>
      <c r="J45" s="5479"/>
      <c r="K45" s="5479"/>
      <c r="L45" s="5479"/>
      <c r="M45" s="5479"/>
      <c r="N45" s="5479"/>
      <c r="O45" s="5479"/>
      <c r="P45" s="5479"/>
      <c r="Q45" s="5479"/>
      <c r="R45" s="5479"/>
      <c r="W45" s="5479"/>
      <c r="X45" s="5479"/>
      <c r="Y45" s="5479"/>
      <c r="Z45" s="5479"/>
      <c r="AA45" s="5479"/>
      <c r="AB45" s="5479"/>
      <c r="AC45" s="5479"/>
      <c r="AD45" s="5479"/>
      <c r="AE45" s="5479"/>
      <c r="AF45" s="5479"/>
      <c r="AG45" s="5479"/>
      <c r="AH45" s="5479"/>
      <c r="AI45" s="5479"/>
      <c r="AJ45" s="5479"/>
      <c r="AK45" s="5479"/>
    </row>
    <row r="46" spans="1:37" s="5480" customFormat="1" ht="14.85" customHeight="1">
      <c r="A46" s="5479"/>
      <c r="B46" s="5479"/>
      <c r="C46" s="5479"/>
      <c r="D46" s="5479"/>
      <c r="E46" s="5479"/>
      <c r="F46" s="5479"/>
      <c r="G46" s="5479"/>
      <c r="H46" s="5479"/>
      <c r="I46" s="5479"/>
      <c r="J46" s="5479"/>
      <c r="K46" s="5479"/>
      <c r="L46" s="5479"/>
      <c r="M46" s="5479"/>
      <c r="N46" s="5479"/>
      <c r="O46" s="5479"/>
      <c r="P46" s="5479"/>
      <c r="Q46" s="5479"/>
      <c r="R46" s="5479"/>
      <c r="W46" s="5479"/>
      <c r="X46" s="5479"/>
      <c r="Y46" s="5479"/>
      <c r="Z46" s="5479"/>
      <c r="AA46" s="5479"/>
      <c r="AB46" s="5479"/>
      <c r="AC46" s="5479"/>
      <c r="AD46" s="5479"/>
      <c r="AE46" s="5479"/>
      <c r="AF46" s="5479"/>
      <c r="AG46" s="5479"/>
      <c r="AH46" s="5479"/>
      <c r="AI46" s="5479"/>
      <c r="AJ46" s="5479"/>
      <c r="AK46" s="5479"/>
    </row>
    <row r="47" spans="1:37" s="5480" customFormat="1" ht="14.85" hidden="1" customHeight="1">
      <c r="A47" s="5479"/>
      <c r="B47" s="5479"/>
      <c r="C47" s="5479"/>
      <c r="D47" s="5479"/>
      <c r="E47" s="5479"/>
      <c r="F47" s="5479"/>
      <c r="G47" s="5479"/>
      <c r="H47" s="5479"/>
      <c r="I47" s="5479"/>
      <c r="J47" s="5479"/>
      <c r="K47" s="5479"/>
      <c r="L47" s="5479"/>
      <c r="M47" s="5479"/>
      <c r="N47" s="5479"/>
      <c r="O47" s="5479"/>
      <c r="P47" s="5479"/>
      <c r="Q47" s="5479"/>
      <c r="R47" s="5479"/>
      <c r="W47" s="5479"/>
      <c r="X47" s="5479"/>
      <c r="Y47" s="5479"/>
      <c r="Z47" s="5479"/>
      <c r="AA47" s="5479"/>
      <c r="AB47" s="5479"/>
      <c r="AC47" s="5479"/>
      <c r="AD47" s="5479"/>
      <c r="AE47" s="5479"/>
      <c r="AF47" s="5479"/>
      <c r="AG47" s="5479"/>
      <c r="AH47" s="5479"/>
      <c r="AI47" s="5479"/>
      <c r="AJ47" s="5479"/>
      <c r="AK47" s="5479"/>
    </row>
    <row r="48" spans="1:37" s="5480" customFormat="1" ht="14.85" hidden="1" customHeight="1">
      <c r="A48" s="5479"/>
      <c r="B48" s="5489"/>
      <c r="C48" s="5484"/>
      <c r="D48" s="5505"/>
      <c r="E48" s="5484"/>
      <c r="F48" s="5484"/>
      <c r="G48" s="5484"/>
      <c r="H48" s="5484"/>
      <c r="I48" s="5484"/>
      <c r="J48" s="5484"/>
      <c r="K48" s="5484"/>
      <c r="L48" s="5484"/>
      <c r="M48" s="5479"/>
      <c r="N48" s="5479"/>
      <c r="O48" s="5479"/>
      <c r="P48" s="5479"/>
      <c r="Q48" s="5479"/>
      <c r="R48" s="5479"/>
      <c r="W48" s="5479"/>
      <c r="X48" s="5479"/>
      <c r="Y48" s="5479"/>
      <c r="Z48" s="5479"/>
      <c r="AA48" s="5479"/>
      <c r="AB48" s="5479"/>
      <c r="AC48" s="5479"/>
      <c r="AD48" s="5479"/>
      <c r="AE48" s="5479"/>
      <c r="AF48" s="5479"/>
      <c r="AG48" s="5479"/>
      <c r="AH48" s="5479"/>
      <c r="AI48" s="5479"/>
      <c r="AJ48" s="5479"/>
      <c r="AK48" s="5479"/>
    </row>
    <row r="49" spans="1:37" s="5480" customFormat="1" ht="14.85" hidden="1" customHeight="1">
      <c r="A49" s="5479"/>
      <c r="B49" s="5506"/>
      <c r="C49" s="5479"/>
      <c r="D49" s="5479"/>
      <c r="E49" s="5479"/>
      <c r="F49" s="5487"/>
      <c r="G49" s="5479"/>
      <c r="H49" s="5487"/>
      <c r="I49" s="5487"/>
      <c r="J49" s="5487"/>
      <c r="K49" s="5479"/>
      <c r="L49" s="5479"/>
      <c r="M49" s="5479"/>
      <c r="N49" s="5479"/>
      <c r="O49" s="5479"/>
      <c r="P49" s="5479"/>
      <c r="Q49" s="5479"/>
      <c r="R49" s="5479"/>
      <c r="W49" s="5479"/>
      <c r="X49" s="5479"/>
      <c r="Y49" s="5479"/>
      <c r="Z49" s="5479"/>
      <c r="AA49" s="5479"/>
      <c r="AB49" s="5479"/>
      <c r="AC49" s="5479"/>
      <c r="AD49" s="5479"/>
      <c r="AE49" s="5479"/>
      <c r="AF49" s="5479"/>
      <c r="AG49" s="5479"/>
      <c r="AH49" s="5479"/>
      <c r="AI49" s="5479"/>
      <c r="AJ49" s="5479"/>
      <c r="AK49" s="5479"/>
    </row>
    <row r="50" spans="1:37" s="5480" customFormat="1" ht="14.85" hidden="1" customHeight="1">
      <c r="A50" s="5479"/>
      <c r="B50" s="5479"/>
      <c r="C50" s="5479"/>
      <c r="D50" s="5479"/>
      <c r="E50" s="5479"/>
      <c r="F50" s="5487"/>
      <c r="G50" s="5479"/>
      <c r="H50" s="5507"/>
      <c r="I50" s="5487"/>
      <c r="J50" s="5487"/>
      <c r="K50" s="5479"/>
      <c r="L50" s="5479"/>
      <c r="M50" s="5479"/>
      <c r="N50" s="5479"/>
      <c r="O50" s="5479"/>
      <c r="P50" s="5479"/>
      <c r="Q50" s="5479"/>
      <c r="R50" s="5479"/>
      <c r="W50" s="5479"/>
      <c r="X50" s="5479"/>
      <c r="Y50" s="5479"/>
      <c r="Z50" s="5479"/>
      <c r="AA50" s="5479"/>
      <c r="AB50" s="5479"/>
      <c r="AC50" s="5479"/>
      <c r="AD50" s="5479"/>
      <c r="AE50" s="5479"/>
      <c r="AF50" s="5479"/>
      <c r="AG50" s="5479"/>
      <c r="AH50" s="5479"/>
      <c r="AI50" s="5479"/>
      <c r="AJ50" s="5479"/>
      <c r="AK50" s="5479"/>
    </row>
    <row r="51" spans="1:37" ht="14.85" hidden="1" customHeight="1">
      <c r="A51" s="5479"/>
      <c r="B51" s="5506"/>
      <c r="C51" s="5479"/>
      <c r="D51" s="5479"/>
      <c r="E51" s="5479"/>
      <c r="F51" s="5508"/>
      <c r="G51" s="5499"/>
      <c r="H51" s="5496"/>
      <c r="I51" s="5496"/>
      <c r="J51" s="5496"/>
      <c r="K51" s="5479"/>
      <c r="L51" s="5479"/>
      <c r="M51" s="5479"/>
      <c r="N51" s="5479"/>
      <c r="O51" s="5479"/>
    </row>
    <row r="52" spans="1:37" ht="14.85" hidden="1" customHeight="1">
      <c r="A52" s="5479"/>
      <c r="B52" s="5506"/>
      <c r="C52" s="5479"/>
      <c r="D52" s="5479"/>
      <c r="E52" s="5479"/>
      <c r="F52" s="5496"/>
      <c r="G52" s="5499"/>
      <c r="H52" s="5496"/>
      <c r="I52" s="5499"/>
      <c r="J52" s="5499"/>
      <c r="K52" s="5479"/>
      <c r="L52" s="5479"/>
      <c r="M52" s="5479"/>
      <c r="N52" s="5479"/>
      <c r="O52" s="5479"/>
    </row>
    <row r="53" spans="1:37" ht="14.85" hidden="1" customHeight="1">
      <c r="A53" s="5479"/>
      <c r="B53" s="5506"/>
      <c r="C53" s="5479"/>
      <c r="D53" s="5479"/>
      <c r="E53" s="5479"/>
      <c r="F53" s="5499"/>
      <c r="G53" s="5499"/>
      <c r="H53" s="5499"/>
      <c r="I53" s="5479"/>
      <c r="J53" s="5479"/>
      <c r="K53" s="5479"/>
      <c r="L53" s="5479"/>
      <c r="M53" s="5479"/>
      <c r="N53" s="5479"/>
      <c r="O53" s="5479"/>
    </row>
    <row r="54" spans="1:37" ht="14.85" hidden="1" customHeight="1">
      <c r="A54" s="5479"/>
      <c r="B54" s="5506"/>
      <c r="C54" s="5479"/>
      <c r="D54" s="5479"/>
      <c r="E54" s="5479"/>
      <c r="F54" s="5496"/>
      <c r="G54" s="5499"/>
      <c r="H54" s="5496"/>
      <c r="I54" s="5496"/>
      <c r="J54" s="5496"/>
      <c r="K54" s="5479"/>
      <c r="L54" s="5479"/>
      <c r="M54" s="5479"/>
      <c r="N54" s="5479"/>
      <c r="O54" s="5479"/>
    </row>
    <row r="55" spans="1:37" ht="14.85" hidden="1" customHeight="1">
      <c r="A55" s="5479"/>
      <c r="B55" s="5506"/>
      <c r="C55" s="5479"/>
      <c r="D55" s="5479"/>
      <c r="E55" s="5479"/>
      <c r="F55" s="5509"/>
      <c r="G55" s="5499"/>
      <c r="H55" s="5509"/>
      <c r="I55" s="5499"/>
      <c r="J55" s="5499"/>
      <c r="K55" s="5479"/>
      <c r="L55" s="5479"/>
      <c r="M55" s="5479"/>
      <c r="N55" s="5479"/>
      <c r="O55" s="5479"/>
    </row>
    <row r="56" spans="1:37" ht="14.85" hidden="1" customHeight="1">
      <c r="A56" s="5479"/>
      <c r="B56" s="5506"/>
      <c r="C56" s="5479"/>
      <c r="D56" s="5479"/>
      <c r="E56" s="5479"/>
      <c r="F56" s="5509"/>
      <c r="G56" s="5479"/>
      <c r="H56" s="5509"/>
      <c r="I56" s="5499"/>
      <c r="J56" s="5499"/>
      <c r="K56" s="5479"/>
      <c r="L56" s="5479"/>
      <c r="M56" s="5479"/>
      <c r="N56" s="5479"/>
      <c r="O56" s="5479"/>
    </row>
    <row r="57" spans="1:37" ht="14.85" hidden="1" customHeight="1">
      <c r="A57" s="5479"/>
      <c r="B57" s="5506"/>
      <c r="C57" s="5479"/>
      <c r="D57" s="5479"/>
      <c r="E57" s="5479"/>
      <c r="F57" s="5509"/>
      <c r="G57" s="5479"/>
      <c r="H57" s="5509"/>
      <c r="I57" s="5499"/>
      <c r="J57" s="5499"/>
      <c r="K57" s="5479"/>
      <c r="L57" s="5479"/>
      <c r="M57" s="5479"/>
      <c r="N57" s="5479"/>
      <c r="O57" s="5479"/>
    </row>
    <row r="58" spans="1:37" ht="14.85" hidden="1" customHeight="1">
      <c r="B58" s="5479"/>
      <c r="C58" s="5479"/>
      <c r="D58" s="5479"/>
      <c r="E58" s="5479"/>
      <c r="F58" s="5479"/>
      <c r="G58" s="5479"/>
      <c r="H58" s="5479"/>
      <c r="I58" s="5479"/>
      <c r="J58" s="5479"/>
      <c r="K58" s="5479"/>
      <c r="L58" s="5479"/>
      <c r="M58" s="5479"/>
      <c r="N58" s="5479"/>
      <c r="O58" s="5479"/>
    </row>
    <row r="59" spans="1:37" ht="14.85" customHeight="1">
      <c r="A59" s="4888" t="str">
        <f>A1</f>
        <v>Kansas Department of Education</v>
      </c>
      <c r="B59" s="5483"/>
      <c r="C59" s="5479"/>
      <c r="D59" s="5479"/>
      <c r="E59" s="5479"/>
      <c r="F59" s="5479"/>
      <c r="G59" s="5479"/>
      <c r="H59" s="5479"/>
      <c r="I59" s="5479"/>
      <c r="J59" s="5479"/>
      <c r="K59" s="5479"/>
      <c r="L59" s="5510"/>
      <c r="M59" s="5482"/>
      <c r="N59" s="5482"/>
      <c r="O59" s="5479"/>
      <c r="Q59" s="5485"/>
      <c r="R59" s="5970" t="str">
        <f>R1</f>
        <v>USD #237</v>
      </c>
      <c r="S59" s="5970"/>
      <c r="T59" s="5479"/>
    </row>
    <row r="60" spans="1:37" ht="14.85" customHeight="1">
      <c r="A60" s="4888" t="str">
        <f>A2</f>
        <v>Form 0-135-194</v>
      </c>
      <c r="B60" s="5511"/>
      <c r="C60" s="5484"/>
      <c r="D60" s="5484"/>
      <c r="E60" s="5484"/>
      <c r="F60" s="5484"/>
      <c r="G60" s="5484"/>
      <c r="H60" s="5484"/>
      <c r="I60" s="5484"/>
      <c r="J60" s="5484"/>
      <c r="K60" s="5484"/>
      <c r="L60" s="5484"/>
      <c r="M60" s="5484"/>
      <c r="N60" s="5484"/>
      <c r="O60" s="5479"/>
      <c r="R60" s="5969">
        <f>R2</f>
        <v>44348</v>
      </c>
      <c r="S60" s="5969"/>
    </row>
    <row r="61" spans="1:37" ht="14.85" customHeight="1">
      <c r="A61" s="5479"/>
      <c r="B61" s="5479"/>
      <c r="C61" s="5479"/>
      <c r="D61" s="5479"/>
      <c r="E61" s="5479"/>
      <c r="F61" s="5479"/>
      <c r="G61" s="5479"/>
      <c r="H61" s="5479"/>
      <c r="I61" s="5479"/>
      <c r="J61" s="5479"/>
      <c r="K61" s="5479"/>
      <c r="L61" s="5479"/>
      <c r="M61" s="5479"/>
      <c r="N61" s="5479"/>
      <c r="O61" s="5479"/>
    </row>
    <row r="62" spans="1:37" ht="14.85" customHeight="1">
      <c r="A62" s="5487" t="str">
        <f>A5</f>
        <v>2021-2022</v>
      </c>
      <c r="B62" s="5484"/>
      <c r="C62" s="5484"/>
      <c r="D62" s="5484"/>
      <c r="E62" s="5484"/>
      <c r="F62" s="5484"/>
      <c r="G62" s="5484"/>
      <c r="H62" s="5484"/>
      <c r="I62" s="5484"/>
      <c r="J62" s="5484"/>
      <c r="K62" s="5484"/>
      <c r="L62" s="5484"/>
      <c r="M62" s="5484"/>
      <c r="N62" s="5484"/>
      <c r="O62" s="5484"/>
      <c r="P62" s="5484"/>
      <c r="Q62" s="5484"/>
      <c r="R62" s="5484"/>
      <c r="S62" s="5488"/>
    </row>
    <row r="63" spans="1:37" ht="14.85" customHeight="1">
      <c r="A63" s="5487" t="s">
        <v>1558</v>
      </c>
      <c r="B63" s="5487"/>
      <c r="C63" s="5484"/>
      <c r="D63" s="5484"/>
      <c r="E63" s="5484"/>
      <c r="F63" s="5484"/>
      <c r="G63" s="5484"/>
      <c r="H63" s="5484"/>
      <c r="I63" s="5484"/>
      <c r="J63" s="5484"/>
      <c r="K63" s="5484"/>
      <c r="L63" s="5484"/>
      <c r="M63" s="5484"/>
      <c r="N63" s="5484"/>
      <c r="O63" s="5484"/>
      <c r="P63" s="5484"/>
      <c r="Q63" s="5484"/>
      <c r="R63" s="5484"/>
      <c r="S63" s="5488"/>
    </row>
    <row r="64" spans="1:37" ht="14.85" customHeight="1">
      <c r="A64" s="5487" t="s">
        <v>1559</v>
      </c>
      <c r="B64" s="5487"/>
      <c r="C64" s="5484"/>
      <c r="D64" s="5484"/>
      <c r="E64" s="5484"/>
      <c r="F64" s="5484"/>
      <c r="G64" s="5484"/>
      <c r="H64" s="5484"/>
      <c r="I64" s="5484"/>
      <c r="J64" s="5484"/>
      <c r="K64" s="5484"/>
      <c r="L64" s="5484"/>
      <c r="M64" s="5484"/>
      <c r="N64" s="5484"/>
      <c r="O64" s="5484"/>
      <c r="P64" s="5484"/>
      <c r="Q64" s="5484"/>
      <c r="R64" s="5484"/>
      <c r="S64" s="5488"/>
    </row>
    <row r="65" spans="1:24" ht="14.85" customHeight="1">
      <c r="A65" s="5487" t="str">
        <f>"and In Lieu of Taxes on Industrial Revenue Bonds for January 1, "&amp;OpenData!$S$5&amp;", to June 30, "&amp;OpenData!$S$5</f>
        <v>and In Lieu of Taxes on Industrial Revenue Bonds for January 1, 2022, to June 30, 2022</v>
      </c>
      <c r="B65" s="5487"/>
      <c r="C65" s="5484"/>
      <c r="D65" s="5484"/>
      <c r="E65" s="5484"/>
      <c r="F65" s="5484"/>
      <c r="G65" s="5484"/>
      <c r="H65" s="5484"/>
      <c r="I65" s="5484"/>
      <c r="J65" s="5484"/>
      <c r="K65" s="5484"/>
      <c r="L65" s="5484"/>
      <c r="M65" s="5484"/>
      <c r="N65" s="5484"/>
      <c r="O65" s="5484"/>
      <c r="P65" s="5484"/>
      <c r="Q65" s="5484"/>
      <c r="R65" s="5484"/>
      <c r="S65" s="5488"/>
    </row>
    <row r="66" spans="1:24" ht="14.85" customHeight="1">
      <c r="A66" s="5479"/>
      <c r="B66" s="5479"/>
      <c r="C66" s="5479"/>
      <c r="D66" s="5479"/>
      <c r="E66" s="5479"/>
      <c r="F66" s="5479"/>
      <c r="G66" s="5479"/>
      <c r="H66" s="5479"/>
      <c r="I66" s="5479"/>
      <c r="J66" s="5479"/>
      <c r="K66" s="5479"/>
      <c r="L66" s="5479"/>
      <c r="M66" s="5479"/>
      <c r="N66" s="5479"/>
      <c r="O66" s="5479"/>
    </row>
    <row r="67" spans="1:24" ht="14.85" customHeight="1">
      <c r="A67" s="5484" t="s">
        <v>1531</v>
      </c>
      <c r="B67" s="5484"/>
      <c r="C67" s="5484"/>
      <c r="D67" s="5484"/>
      <c r="E67" s="5484"/>
      <c r="F67" s="5484"/>
      <c r="G67" s="5484"/>
      <c r="H67" s="5484"/>
      <c r="I67" s="5484"/>
      <c r="J67" s="5484"/>
      <c r="K67" s="5484"/>
      <c r="L67" s="5484"/>
      <c r="M67" s="5484"/>
      <c r="N67" s="5484"/>
      <c r="O67" s="5484"/>
      <c r="P67" s="5484"/>
      <c r="Q67" s="5484"/>
      <c r="R67" s="5484"/>
      <c r="S67" s="5488"/>
    </row>
    <row r="68" spans="1:24" ht="14.85" customHeight="1">
      <c r="A68" s="5484" t="str">
        <f>"For New Levies Made in "&amp;OpenData!$O$4&amp;" School Year Until March, "&amp;OpenData!$S$5&amp;".  For new levies made in "&amp;OpenData!$P$4</f>
        <v>For New Levies Made in 2020-2021 School Year Until March, 2022.  For new levies made in 2021-2022</v>
      </c>
      <c r="B68" s="5484"/>
      <c r="C68" s="5484"/>
      <c r="D68" s="5484"/>
      <c r="E68" s="5484"/>
      <c r="F68" s="5484"/>
      <c r="G68" s="5484"/>
      <c r="H68" s="5484"/>
      <c r="I68" s="5484"/>
      <c r="J68" s="5484"/>
      <c r="K68" s="5484"/>
      <c r="L68" s="5484"/>
      <c r="M68" s="5484"/>
      <c r="N68" s="5484"/>
      <c r="O68" s="5484"/>
      <c r="P68" s="5484"/>
      <c r="Q68" s="5484"/>
      <c r="R68" s="5484"/>
      <c r="S68" s="5488"/>
    </row>
    <row r="69" spans="1:24" ht="14.85" customHeight="1">
      <c r="A69" s="5484" t="str">
        <f>"revenues will not be received until March, "&amp;OpenData!$U$5</f>
        <v>revenues will not be received until March, 2023</v>
      </c>
      <c r="B69" s="5484"/>
      <c r="C69" s="5484"/>
      <c r="D69" s="5484"/>
      <c r="E69" s="5484"/>
      <c r="F69" s="5484"/>
      <c r="G69" s="5484"/>
      <c r="H69" s="5484"/>
      <c r="I69" s="5484"/>
      <c r="J69" s="5484"/>
      <c r="K69" s="5484"/>
      <c r="L69" s="5484"/>
      <c r="M69" s="5484"/>
      <c r="N69" s="5484"/>
      <c r="O69" s="5484"/>
      <c r="P69" s="5484"/>
      <c r="Q69" s="5484"/>
      <c r="R69" s="5484"/>
      <c r="S69" s="5488"/>
    </row>
    <row r="70" spans="1:24" ht="14.85" customHeight="1">
      <c r="A70" s="5484"/>
      <c r="B70" s="5484"/>
      <c r="C70" s="5484"/>
      <c r="D70" s="5484"/>
      <c r="E70" s="5484"/>
      <c r="F70" s="5484"/>
      <c r="G70" s="5484"/>
      <c r="H70" s="5484"/>
      <c r="I70" s="5484"/>
      <c r="J70" s="5484"/>
      <c r="K70" s="5484"/>
      <c r="L70" s="5484"/>
      <c r="M70" s="5484"/>
      <c r="N70" s="5484"/>
      <c r="O70" s="5479"/>
    </row>
    <row r="71" spans="1:24" ht="14.85" customHeight="1">
      <c r="A71" s="5489"/>
      <c r="B71" s="5489"/>
      <c r="C71" s="5489"/>
      <c r="D71" s="5490">
        <v>1</v>
      </c>
      <c r="E71" s="5491"/>
      <c r="F71" s="5490">
        <v>2</v>
      </c>
      <c r="G71" s="5491"/>
      <c r="H71" s="5490">
        <v>3</v>
      </c>
      <c r="I71" s="5490"/>
      <c r="J71" s="5490">
        <v>4</v>
      </c>
      <c r="K71" s="5491"/>
      <c r="L71" s="5490">
        <v>5</v>
      </c>
      <c r="M71" s="5491"/>
      <c r="N71" s="5490">
        <v>6</v>
      </c>
      <c r="O71" s="5479"/>
      <c r="P71" s="5490">
        <v>7</v>
      </c>
      <c r="R71" s="5490">
        <v>8</v>
      </c>
      <c r="S71" s="5492"/>
      <c r="T71" s="5492"/>
      <c r="U71" s="5492"/>
    </row>
    <row r="72" spans="1:24" ht="14.85" customHeight="1">
      <c r="A72" s="5489"/>
      <c r="B72" s="5489"/>
      <c r="C72" s="5489"/>
      <c r="D72" s="5491" t="str">
        <f>OpenData!$P$5&amp;" Taxes Levied"</f>
        <v>2020 Taxes Levied</v>
      </c>
      <c r="E72" s="5491"/>
      <c r="F72" s="5491" t="s">
        <v>1532</v>
      </c>
      <c r="G72" s="5491"/>
      <c r="H72" s="5491" t="s">
        <v>937</v>
      </c>
      <c r="I72" s="5491"/>
      <c r="J72" s="5491" t="s">
        <v>1532</v>
      </c>
      <c r="K72" s="5491"/>
      <c r="L72" s="5491" t="s">
        <v>1533</v>
      </c>
      <c r="M72" s="5491"/>
      <c r="N72" s="5491" t="s">
        <v>1534</v>
      </c>
      <c r="O72" s="5479"/>
      <c r="P72" s="5491"/>
      <c r="R72" s="5493" t="s">
        <v>1535</v>
      </c>
      <c r="S72" s="5492"/>
      <c r="T72" s="5492"/>
      <c r="U72" s="5492"/>
    </row>
    <row r="73" spans="1:24" ht="14.85" customHeight="1">
      <c r="A73" s="5489"/>
      <c r="B73" s="5489"/>
      <c r="C73" s="5489"/>
      <c r="D73" s="5491" t="s">
        <v>1536</v>
      </c>
      <c r="E73" s="5491"/>
      <c r="F73" s="5491" t="s">
        <v>1537</v>
      </c>
      <c r="G73" s="5491"/>
      <c r="H73" s="5491" t="s">
        <v>1538</v>
      </c>
      <c r="I73" s="5491"/>
      <c r="J73" s="5491" t="s">
        <v>1539</v>
      </c>
      <c r="K73" s="5491"/>
      <c r="L73" s="5491" t="s">
        <v>1538</v>
      </c>
      <c r="M73" s="5491"/>
      <c r="N73" s="5491" t="s">
        <v>1540</v>
      </c>
      <c r="O73" s="5479"/>
      <c r="P73" s="5491" t="str">
        <f>P16</f>
        <v>16/20M Tax (d)</v>
      </c>
      <c r="R73" s="5493" t="s">
        <v>1542</v>
      </c>
      <c r="S73" s="5492"/>
      <c r="T73" s="5492"/>
      <c r="U73" s="5492"/>
      <c r="W73" s="5479" t="s">
        <v>1560</v>
      </c>
    </row>
    <row r="74" spans="1:24" ht="14.85" customHeight="1">
      <c r="A74" s="5494">
        <v>1</v>
      </c>
      <c r="B74" s="5479" t="s">
        <v>1544</v>
      </c>
      <c r="C74" s="5479"/>
      <c r="D74" s="5495" t="s">
        <v>684</v>
      </c>
      <c r="E74" s="5479"/>
      <c r="F74" s="5495" t="s">
        <v>684</v>
      </c>
      <c r="G74" s="5479"/>
      <c r="H74" s="5495" t="s">
        <v>684</v>
      </c>
      <c r="I74" s="5496"/>
      <c r="J74" s="5497">
        <f>IF(W74=0,0,ROUND(W74/W93,4))</f>
        <v>0.40510000000000002</v>
      </c>
      <c r="K74" s="5479"/>
      <c r="L74" s="5495" t="s">
        <v>684</v>
      </c>
      <c r="M74" s="5479"/>
      <c r="N74" s="5495" t="s">
        <v>684</v>
      </c>
      <c r="O74" s="5479"/>
      <c r="P74" s="5495" t="s">
        <v>684</v>
      </c>
      <c r="R74" s="5495" t="s">
        <v>684</v>
      </c>
      <c r="S74" s="5492"/>
      <c r="T74" s="5492"/>
      <c r="U74" s="5492"/>
      <c r="W74" s="5496">
        <f>OPEN!$A$13*(20/1000)</f>
        <v>950205</v>
      </c>
      <c r="X74" s="5512"/>
    </row>
    <row r="75" spans="1:24" ht="14.85" customHeight="1">
      <c r="A75" s="5494">
        <v>2</v>
      </c>
      <c r="B75" s="5479" t="s">
        <v>1545</v>
      </c>
      <c r="C75" s="5479"/>
      <c r="D75" s="5498">
        <f>'F110'!$G$16</f>
        <v>991595</v>
      </c>
      <c r="E75" s="5479"/>
      <c r="F75" s="5497">
        <f t="shared" ref="F75:F92" si="6">IF(D75=0,0,ROUND(D75/$D$93,4))</f>
        <v>0.7107</v>
      </c>
      <c r="G75" s="5479"/>
      <c r="H75" s="5498">
        <f t="shared" ref="H75:H92" si="7">$H$93*F75</f>
        <v>10882</v>
      </c>
      <c r="I75" s="5496"/>
      <c r="J75" s="5497">
        <f>IF(W75=0,0,ROUND(W75/W93,4))</f>
        <v>0.42280000000000001</v>
      </c>
      <c r="K75" s="5479"/>
      <c r="L75" s="5498">
        <f t="shared" ref="L75:L92" si="8">$L$93*F75</f>
        <v>294</v>
      </c>
      <c r="M75" s="5479"/>
      <c r="N75" s="5498">
        <f t="shared" ref="N75:N92" si="9">$N$93*F75</f>
        <v>0</v>
      </c>
      <c r="O75" s="5479"/>
      <c r="P75" s="5498">
        <f t="shared" ref="P75:P92" si="10">$P$93*F75</f>
        <v>3135</v>
      </c>
      <c r="R75" s="5498">
        <f>$R$93*F75</f>
        <v>963</v>
      </c>
      <c r="S75" s="5492"/>
      <c r="T75" s="5492"/>
      <c r="U75" s="5492"/>
      <c r="W75" s="5496">
        <f>'F110'!$G$16</f>
        <v>991595</v>
      </c>
    </row>
    <row r="76" spans="1:24" ht="14.85" customHeight="1">
      <c r="A76" s="5494">
        <v>3</v>
      </c>
      <c r="B76" s="5479" t="s">
        <v>815</v>
      </c>
      <c r="C76" s="5479"/>
      <c r="D76" s="5498">
        <f>'F110'!$E$64</f>
        <v>0</v>
      </c>
      <c r="E76" s="5479"/>
      <c r="F76" s="5497">
        <f t="shared" si="6"/>
        <v>0</v>
      </c>
      <c r="G76" s="5479"/>
      <c r="H76" s="5498">
        <f t="shared" si="7"/>
        <v>0</v>
      </c>
      <c r="I76" s="5496"/>
      <c r="J76" s="5497">
        <f>IF(W76=0,0,ROUND(W76/W93,4))</f>
        <v>0</v>
      </c>
      <c r="K76" s="5479"/>
      <c r="L76" s="5498">
        <f t="shared" si="8"/>
        <v>0</v>
      </c>
      <c r="M76" s="5479"/>
      <c r="N76" s="5498">
        <f t="shared" si="9"/>
        <v>0</v>
      </c>
      <c r="O76" s="5479"/>
      <c r="P76" s="5498">
        <f>$P$93*F76</f>
        <v>0</v>
      </c>
      <c r="R76" s="5498">
        <f t="shared" ref="R76:R92" si="11">$R$93*F76</f>
        <v>0</v>
      </c>
      <c r="S76" s="5492"/>
      <c r="T76" s="5492"/>
      <c r="U76" s="5492"/>
      <c r="W76" s="5496">
        <f>'F110'!$E$64</f>
        <v>0</v>
      </c>
    </row>
    <row r="77" spans="1:24" ht="14.85" customHeight="1">
      <c r="A77" s="5494">
        <v>4</v>
      </c>
      <c r="B77" s="5479" t="s">
        <v>816</v>
      </c>
      <c r="C77" s="5479"/>
      <c r="D77" s="5498">
        <f>'F110'!$I$16</f>
        <v>403614</v>
      </c>
      <c r="E77" s="5479"/>
      <c r="F77" s="5497">
        <f t="shared" si="6"/>
        <v>0.2893</v>
      </c>
      <c r="G77" s="5479"/>
      <c r="H77" s="5498">
        <f t="shared" si="7"/>
        <v>4430</v>
      </c>
      <c r="I77" s="5496"/>
      <c r="J77" s="5497">
        <f>IF(W77=0,0,ROUND(W77/W93,4))</f>
        <v>0.1721</v>
      </c>
      <c r="K77" s="5479"/>
      <c r="L77" s="5498">
        <f t="shared" si="8"/>
        <v>119</v>
      </c>
      <c r="M77" s="5479"/>
      <c r="N77" s="5498">
        <f t="shared" si="9"/>
        <v>0</v>
      </c>
      <c r="O77" s="5479"/>
      <c r="P77" s="5498">
        <f t="shared" si="10"/>
        <v>1276</v>
      </c>
      <c r="R77" s="5498">
        <f t="shared" si="11"/>
        <v>392</v>
      </c>
      <c r="S77" s="5492"/>
      <c r="T77" s="5492"/>
      <c r="U77" s="5492"/>
      <c r="W77" s="5496">
        <f>'F110'!$I$16</f>
        <v>403614</v>
      </c>
    </row>
    <row r="78" spans="1:24" ht="14.85" customHeight="1">
      <c r="A78" s="5494">
        <v>5</v>
      </c>
      <c r="B78" s="5479" t="s">
        <v>819</v>
      </c>
      <c r="C78" s="5479"/>
      <c r="D78" s="5498">
        <f>'F110'!$G$113</f>
        <v>0</v>
      </c>
      <c r="E78" s="5479"/>
      <c r="F78" s="5497">
        <f t="shared" si="6"/>
        <v>0</v>
      </c>
      <c r="G78" s="5479"/>
      <c r="H78" s="5498">
        <f t="shared" si="7"/>
        <v>0</v>
      </c>
      <c r="I78" s="5496"/>
      <c r="J78" s="5497">
        <f>IF(W78=0,0,ROUND(W78/W93,4))</f>
        <v>0</v>
      </c>
      <c r="K78" s="5479"/>
      <c r="L78" s="5498">
        <f t="shared" si="8"/>
        <v>0</v>
      </c>
      <c r="M78" s="5479"/>
      <c r="N78" s="5498">
        <f t="shared" si="9"/>
        <v>0</v>
      </c>
      <c r="O78" s="5479"/>
      <c r="P78" s="5498">
        <f t="shared" si="10"/>
        <v>0</v>
      </c>
      <c r="R78" s="5498">
        <f t="shared" si="11"/>
        <v>0</v>
      </c>
      <c r="S78" s="5492"/>
      <c r="T78" s="5492"/>
      <c r="U78" s="5492"/>
      <c r="W78" s="5496">
        <f>'F110'!$G$113</f>
        <v>0</v>
      </c>
    </row>
    <row r="79" spans="1:24" ht="14.85" customHeight="1">
      <c r="A79" s="5494">
        <v>6</v>
      </c>
      <c r="B79" s="5479" t="str">
        <f>B22</f>
        <v>Bond and Interest #1</v>
      </c>
      <c r="C79" s="5479"/>
      <c r="D79" s="5498">
        <f>'F110'!$K$16</f>
        <v>0</v>
      </c>
      <c r="E79" s="5479"/>
      <c r="F79" s="5497">
        <f t="shared" si="6"/>
        <v>0</v>
      </c>
      <c r="G79" s="5479"/>
      <c r="H79" s="5498">
        <f t="shared" si="7"/>
        <v>0</v>
      </c>
      <c r="I79" s="5496"/>
      <c r="J79" s="5497">
        <f>IF(W79=0,0,ROUND(W79/W93,4))</f>
        <v>0</v>
      </c>
      <c r="K79" s="5479"/>
      <c r="L79" s="5498">
        <f t="shared" si="8"/>
        <v>0</v>
      </c>
      <c r="M79" s="5479"/>
      <c r="N79" s="5498">
        <f t="shared" si="9"/>
        <v>0</v>
      </c>
      <c r="O79" s="5479"/>
      <c r="P79" s="5498">
        <f t="shared" si="10"/>
        <v>0</v>
      </c>
      <c r="R79" s="5498">
        <f t="shared" si="11"/>
        <v>0</v>
      </c>
      <c r="S79" s="5492"/>
      <c r="T79" s="5492"/>
      <c r="U79" s="5492"/>
      <c r="W79" s="5496">
        <f>'F110'!$K$16</f>
        <v>0</v>
      </c>
    </row>
    <row r="80" spans="1:24" ht="14.85" customHeight="1">
      <c r="A80" s="5494">
        <v>7</v>
      </c>
      <c r="B80" s="5479" t="str">
        <f>B23</f>
        <v>Bond and Interest #2</v>
      </c>
      <c r="C80" s="5479"/>
      <c r="D80" s="5498">
        <f>'F110'!$K$64</f>
        <v>0</v>
      </c>
      <c r="E80" s="5479"/>
      <c r="F80" s="5497">
        <f t="shared" si="6"/>
        <v>0</v>
      </c>
      <c r="G80" s="5479"/>
      <c r="H80" s="5498">
        <f t="shared" si="7"/>
        <v>0</v>
      </c>
      <c r="I80" s="5496"/>
      <c r="J80" s="5497">
        <f>IF(W80=0,0,ROUND(W80/W93,4))</f>
        <v>0</v>
      </c>
      <c r="K80" s="5479"/>
      <c r="L80" s="5498">
        <f t="shared" si="8"/>
        <v>0</v>
      </c>
      <c r="M80" s="5479"/>
      <c r="N80" s="5498">
        <f t="shared" si="9"/>
        <v>0</v>
      </c>
      <c r="O80" s="5479"/>
      <c r="P80" s="5498">
        <f t="shared" si="10"/>
        <v>0</v>
      </c>
      <c r="R80" s="5498">
        <f t="shared" si="11"/>
        <v>0</v>
      </c>
      <c r="S80" s="5492"/>
      <c r="T80" s="5492"/>
      <c r="U80" s="5492"/>
      <c r="W80" s="5496">
        <f>'F110'!$K$64</f>
        <v>0</v>
      </c>
    </row>
    <row r="81" spans="1:23" ht="14.85" customHeight="1">
      <c r="A81" s="5494">
        <v>8</v>
      </c>
      <c r="B81" s="5479" t="s">
        <v>1546</v>
      </c>
      <c r="C81" s="5479"/>
      <c r="D81" s="5498">
        <f>'F110'!$I$113</f>
        <v>0</v>
      </c>
      <c r="E81" s="5479"/>
      <c r="F81" s="5497">
        <f t="shared" si="6"/>
        <v>0</v>
      </c>
      <c r="G81" s="5479"/>
      <c r="H81" s="5498">
        <f t="shared" si="7"/>
        <v>0</v>
      </c>
      <c r="I81" s="5496"/>
      <c r="J81" s="5497">
        <f>IF(W81=0,0,ROUND(W81/W93,4))</f>
        <v>0</v>
      </c>
      <c r="K81" s="5479"/>
      <c r="L81" s="5498">
        <f t="shared" si="8"/>
        <v>0</v>
      </c>
      <c r="M81" s="5479"/>
      <c r="N81" s="5498">
        <f t="shared" si="9"/>
        <v>0</v>
      </c>
      <c r="O81" s="5479"/>
      <c r="P81" s="5498">
        <f t="shared" si="10"/>
        <v>0</v>
      </c>
      <c r="R81" s="5498">
        <f t="shared" si="11"/>
        <v>0</v>
      </c>
      <c r="S81" s="5492"/>
      <c r="T81" s="5492"/>
      <c r="U81" s="5492"/>
      <c r="W81" s="5496">
        <f>'F110'!$I$113</f>
        <v>0</v>
      </c>
    </row>
    <row r="82" spans="1:23" ht="14.85" customHeight="1">
      <c r="A82" s="5494">
        <v>9</v>
      </c>
      <c r="B82" s="5479" t="str">
        <f>B25</f>
        <v>Recreation Commission</v>
      </c>
      <c r="C82" s="5479"/>
      <c r="D82" s="5498">
        <f>'F110'!$M$16</f>
        <v>0</v>
      </c>
      <c r="E82" s="5479"/>
      <c r="F82" s="5497">
        <f t="shared" si="6"/>
        <v>0</v>
      </c>
      <c r="G82" s="5479"/>
      <c r="H82" s="5498">
        <f t="shared" si="7"/>
        <v>0</v>
      </c>
      <c r="I82" s="5496"/>
      <c r="J82" s="5497">
        <f>IF(W82=0,0,ROUND(W82/W93,4))</f>
        <v>0</v>
      </c>
      <c r="K82" s="5479"/>
      <c r="L82" s="5498">
        <f t="shared" si="8"/>
        <v>0</v>
      </c>
      <c r="M82" s="5479"/>
      <c r="N82" s="5498">
        <f t="shared" si="9"/>
        <v>0</v>
      </c>
      <c r="O82" s="5479"/>
      <c r="P82" s="5498">
        <f t="shared" si="10"/>
        <v>0</v>
      </c>
      <c r="R82" s="5498">
        <f t="shared" si="11"/>
        <v>0</v>
      </c>
      <c r="S82" s="5492"/>
      <c r="T82" s="5492"/>
      <c r="U82" s="5492"/>
      <c r="W82" s="5496">
        <f>'F110'!$M$16</f>
        <v>0</v>
      </c>
    </row>
    <row r="83" spans="1:23" ht="14.85" customHeight="1">
      <c r="A83" s="5494">
        <v>10</v>
      </c>
      <c r="B83" s="5479" t="str">
        <f>B26</f>
        <v>Rec Comm Employee Bnfts</v>
      </c>
      <c r="C83" s="5479"/>
      <c r="D83" s="5498">
        <f>'F110'!$G$155</f>
        <v>0</v>
      </c>
      <c r="E83" s="5479"/>
      <c r="F83" s="5497">
        <f t="shared" si="6"/>
        <v>0</v>
      </c>
      <c r="G83" s="5479"/>
      <c r="H83" s="5498">
        <f t="shared" si="7"/>
        <v>0</v>
      </c>
      <c r="I83" s="5496"/>
      <c r="J83" s="5497">
        <f>IF(W83=0,0,ROUND(W83/W93,4))</f>
        <v>0</v>
      </c>
      <c r="K83" s="5479"/>
      <c r="L83" s="5498">
        <f t="shared" si="8"/>
        <v>0</v>
      </c>
      <c r="M83" s="5479"/>
      <c r="N83" s="5498">
        <f t="shared" si="9"/>
        <v>0</v>
      </c>
      <c r="O83" s="5479"/>
      <c r="P83" s="5498">
        <f t="shared" si="10"/>
        <v>0</v>
      </c>
      <c r="R83" s="5498">
        <f t="shared" si="11"/>
        <v>0</v>
      </c>
      <c r="S83" s="5492"/>
      <c r="T83" s="5492"/>
      <c r="U83" s="5492"/>
      <c r="W83" s="5496">
        <f>'F110'!$G$155</f>
        <v>0</v>
      </c>
    </row>
    <row r="84" spans="1:23" ht="14.85" customHeight="1">
      <c r="A84" s="5494">
        <v>11</v>
      </c>
      <c r="B84" s="5499" t="s">
        <v>818</v>
      </c>
      <c r="C84" s="5499"/>
      <c r="D84" s="5498">
        <f>'F110'!$E$113</f>
        <v>0</v>
      </c>
      <c r="E84" s="5479"/>
      <c r="F84" s="5497">
        <f t="shared" si="6"/>
        <v>0</v>
      </c>
      <c r="G84" s="5479"/>
      <c r="H84" s="5498">
        <f t="shared" si="7"/>
        <v>0</v>
      </c>
      <c r="I84" s="5496"/>
      <c r="J84" s="5497">
        <f>IF(W84=0,0,ROUND(W84/W93,4))</f>
        <v>0</v>
      </c>
      <c r="K84" s="5479"/>
      <c r="L84" s="5498">
        <f t="shared" si="8"/>
        <v>0</v>
      </c>
      <c r="M84" s="5479"/>
      <c r="N84" s="5498">
        <f t="shared" si="9"/>
        <v>0</v>
      </c>
      <c r="O84" s="5479"/>
      <c r="P84" s="5498">
        <f t="shared" si="10"/>
        <v>0</v>
      </c>
      <c r="R84" s="5498">
        <f t="shared" si="11"/>
        <v>0</v>
      </c>
      <c r="S84" s="5492"/>
      <c r="T84" s="5492"/>
      <c r="U84" s="5492"/>
      <c r="W84" s="5496">
        <f>'F110'!$E$113</f>
        <v>0</v>
      </c>
    </row>
    <row r="85" spans="1:23" ht="14.85" customHeight="1">
      <c r="A85" s="5494">
        <v>13</v>
      </c>
      <c r="B85" s="5479" t="s">
        <v>823</v>
      </c>
      <c r="C85" s="5479"/>
      <c r="D85" s="5498">
        <f>'F110'!$G$64</f>
        <v>0</v>
      </c>
      <c r="E85" s="5479"/>
      <c r="F85" s="5497">
        <f t="shared" si="6"/>
        <v>0</v>
      </c>
      <c r="G85" s="5479"/>
      <c r="H85" s="5498">
        <f t="shared" si="7"/>
        <v>0</v>
      </c>
      <c r="I85" s="5496"/>
      <c r="J85" s="5497">
        <f>IF(W85=0,0,ROUND(W85/W93,4))</f>
        <v>0</v>
      </c>
      <c r="K85" s="5479"/>
      <c r="L85" s="5498">
        <f t="shared" si="8"/>
        <v>0</v>
      </c>
      <c r="M85" s="5479"/>
      <c r="N85" s="5498">
        <f t="shared" si="9"/>
        <v>0</v>
      </c>
      <c r="O85" s="5479"/>
      <c r="P85" s="5498">
        <f t="shared" si="10"/>
        <v>0</v>
      </c>
      <c r="R85" s="5498">
        <f t="shared" si="11"/>
        <v>0</v>
      </c>
      <c r="S85" s="5492"/>
      <c r="T85" s="5492"/>
      <c r="U85" s="5492"/>
      <c r="W85" s="5496">
        <f>'F110'!$G$64</f>
        <v>0</v>
      </c>
    </row>
    <row r="86" spans="1:23" ht="14.85" customHeight="1">
      <c r="A86" s="5494">
        <v>14</v>
      </c>
      <c r="B86" s="5479" t="s">
        <v>817</v>
      </c>
      <c r="C86" s="5479"/>
      <c r="D86" s="5495" t="s">
        <v>684</v>
      </c>
      <c r="E86" s="5479"/>
      <c r="F86" s="5495" t="s">
        <v>684</v>
      </c>
      <c r="G86" s="5479"/>
      <c r="H86" s="5495" t="s">
        <v>684</v>
      </c>
      <c r="I86" s="5496"/>
      <c r="J86" s="5495" t="s">
        <v>684</v>
      </c>
      <c r="K86" s="5479"/>
      <c r="L86" s="5495" t="s">
        <v>684</v>
      </c>
      <c r="M86" s="5479"/>
      <c r="N86" s="5495" t="s">
        <v>684</v>
      </c>
      <c r="O86" s="5479"/>
      <c r="P86" s="5495" t="s">
        <v>684</v>
      </c>
      <c r="R86" s="5495" t="s">
        <v>684</v>
      </c>
      <c r="S86" s="5492"/>
      <c r="T86" s="5492"/>
      <c r="U86" s="5492"/>
      <c r="W86" s="5496">
        <f>'F110'!$I$64</f>
        <v>0</v>
      </c>
    </row>
    <row r="87" spans="1:23" ht="14.85" customHeight="1">
      <c r="A87" s="5494">
        <v>15</v>
      </c>
      <c r="B87" s="5479" t="s">
        <v>821</v>
      </c>
      <c r="C87" s="5479"/>
      <c r="D87" s="5498">
        <f>'F110'!$K$113</f>
        <v>0</v>
      </c>
      <c r="E87" s="5479"/>
      <c r="F87" s="5497">
        <f t="shared" si="6"/>
        <v>0</v>
      </c>
      <c r="G87" s="5479"/>
      <c r="H87" s="5498">
        <f t="shared" si="7"/>
        <v>0</v>
      </c>
      <c r="I87" s="5496"/>
      <c r="J87" s="5497">
        <f>IF(W87=0,0,ROUND(W87/W93,4))</f>
        <v>0</v>
      </c>
      <c r="K87" s="5479"/>
      <c r="L87" s="5498">
        <f t="shared" si="8"/>
        <v>0</v>
      </c>
      <c r="M87" s="5479"/>
      <c r="N87" s="5498">
        <f t="shared" si="9"/>
        <v>0</v>
      </c>
      <c r="O87" s="5479"/>
      <c r="P87" s="5498">
        <f t="shared" si="10"/>
        <v>0</v>
      </c>
      <c r="R87" s="5498">
        <f t="shared" si="11"/>
        <v>0</v>
      </c>
      <c r="S87" s="5492"/>
      <c r="T87" s="5492"/>
      <c r="U87" s="5492"/>
      <c r="W87" s="5496">
        <f>'F110'!$K$113</f>
        <v>0</v>
      </c>
    </row>
    <row r="88" spans="1:23" ht="14.85" customHeight="1">
      <c r="A88" s="5494">
        <v>16</v>
      </c>
      <c r="B88" s="5479" t="s">
        <v>824</v>
      </c>
      <c r="C88" s="5479"/>
      <c r="D88" s="5498">
        <f>'F110'!$I$155</f>
        <v>0</v>
      </c>
      <c r="E88" s="5479"/>
      <c r="F88" s="5497">
        <f t="shared" si="6"/>
        <v>0</v>
      </c>
      <c r="G88" s="5479"/>
      <c r="H88" s="5498">
        <f t="shared" si="7"/>
        <v>0</v>
      </c>
      <c r="I88" s="5496"/>
      <c r="J88" s="5497">
        <f>IF(W88=0,0,ROUND(W88/W93,4))</f>
        <v>0</v>
      </c>
      <c r="K88" s="5479"/>
      <c r="L88" s="5498">
        <f t="shared" si="8"/>
        <v>0</v>
      </c>
      <c r="M88" s="5479"/>
      <c r="N88" s="5498">
        <f t="shared" si="9"/>
        <v>0</v>
      </c>
      <c r="O88" s="5479"/>
      <c r="P88" s="5498">
        <f t="shared" si="10"/>
        <v>0</v>
      </c>
      <c r="R88" s="5498">
        <f t="shared" si="11"/>
        <v>0</v>
      </c>
      <c r="S88" s="5492"/>
      <c r="T88" s="5492"/>
      <c r="U88" s="5492"/>
      <c r="W88" s="5496">
        <f>'F110'!$I$155</f>
        <v>0</v>
      </c>
    </row>
    <row r="89" spans="1:23" ht="14.85" customHeight="1">
      <c r="A89" s="5494">
        <v>17</v>
      </c>
      <c r="B89" s="5479" t="s">
        <v>822</v>
      </c>
      <c r="C89" s="5479"/>
      <c r="D89" s="5498">
        <f>'F110'!$M$113</f>
        <v>0</v>
      </c>
      <c r="E89" s="5479"/>
      <c r="F89" s="5497">
        <f t="shared" si="6"/>
        <v>0</v>
      </c>
      <c r="G89" s="5479"/>
      <c r="H89" s="5498">
        <f t="shared" si="7"/>
        <v>0</v>
      </c>
      <c r="I89" s="5496"/>
      <c r="J89" s="5497">
        <f>IF(W89=0,0,ROUND(W89/W93,4))</f>
        <v>0</v>
      </c>
      <c r="K89" s="5479"/>
      <c r="L89" s="5498">
        <f t="shared" si="8"/>
        <v>0</v>
      </c>
      <c r="M89" s="5479"/>
      <c r="N89" s="5498">
        <f t="shared" si="9"/>
        <v>0</v>
      </c>
      <c r="O89" s="5479"/>
      <c r="P89" s="5498">
        <f t="shared" si="10"/>
        <v>0</v>
      </c>
      <c r="R89" s="5498">
        <f t="shared" si="11"/>
        <v>0</v>
      </c>
      <c r="S89" s="5492"/>
      <c r="T89" s="5492"/>
      <c r="U89" s="5492"/>
      <c r="W89" s="5496">
        <f>'F110'!$M$113</f>
        <v>0</v>
      </c>
    </row>
    <row r="90" spans="1:23" ht="14.85" customHeight="1">
      <c r="A90" s="5494">
        <v>18</v>
      </c>
      <c r="B90" s="5479" t="s">
        <v>4466</v>
      </c>
      <c r="C90" s="5479"/>
      <c r="D90" s="5498">
        <f>'F110'!$K$155</f>
        <v>0</v>
      </c>
      <c r="E90" s="5479"/>
      <c r="F90" s="5497">
        <f t="shared" si="6"/>
        <v>0</v>
      </c>
      <c r="G90" s="5479"/>
      <c r="H90" s="5498">
        <f t="shared" si="7"/>
        <v>0</v>
      </c>
      <c r="I90" s="5496"/>
      <c r="J90" s="5497">
        <f>IF(W90=0,0,ROUND(W90/W93,4))</f>
        <v>0</v>
      </c>
      <c r="K90" s="5479"/>
      <c r="L90" s="5498">
        <f t="shared" si="8"/>
        <v>0</v>
      </c>
      <c r="M90" s="5479"/>
      <c r="N90" s="5498">
        <f t="shared" si="9"/>
        <v>0</v>
      </c>
      <c r="O90" s="5479"/>
      <c r="P90" s="5498">
        <f t="shared" si="10"/>
        <v>0</v>
      </c>
      <c r="R90" s="5498">
        <f t="shared" si="11"/>
        <v>0</v>
      </c>
      <c r="S90" s="5492"/>
      <c r="T90" s="5492"/>
      <c r="U90" s="5492"/>
      <c r="W90" s="5496">
        <f>'F110'!$K$155</f>
        <v>0</v>
      </c>
    </row>
    <row r="91" spans="1:23" ht="14.85" customHeight="1">
      <c r="A91" s="5494">
        <v>19</v>
      </c>
      <c r="B91" s="5479" t="s">
        <v>305</v>
      </c>
      <c r="C91" s="5479"/>
      <c r="D91" s="5495" t="s">
        <v>684</v>
      </c>
      <c r="E91" s="5479"/>
      <c r="F91" s="5495" t="s">
        <v>684</v>
      </c>
      <c r="G91" s="5479"/>
      <c r="H91" s="5495" t="s">
        <v>684</v>
      </c>
      <c r="I91" s="5496"/>
      <c r="J91" s="5495" t="s">
        <v>684</v>
      </c>
      <c r="K91" s="5479"/>
      <c r="L91" s="5495" t="s">
        <v>684</v>
      </c>
      <c r="M91" s="5479"/>
      <c r="N91" s="5495" t="s">
        <v>684</v>
      </c>
      <c r="O91" s="5479"/>
      <c r="P91" s="5495" t="s">
        <v>684</v>
      </c>
      <c r="R91" s="5495" t="s">
        <v>684</v>
      </c>
      <c r="S91" s="5492"/>
      <c r="T91" s="5492"/>
      <c r="U91" s="5492"/>
      <c r="W91" s="5496">
        <f>'F110'!E155</f>
        <v>0</v>
      </c>
    </row>
    <row r="92" spans="1:23" ht="14.85" customHeight="1">
      <c r="A92" s="5494">
        <v>20</v>
      </c>
      <c r="B92" s="5479" t="s">
        <v>929</v>
      </c>
      <c r="C92" s="5479"/>
      <c r="D92" s="5498">
        <f>'F110'!M155</f>
        <v>0</v>
      </c>
      <c r="E92" s="5479"/>
      <c r="F92" s="5497">
        <f t="shared" si="6"/>
        <v>0</v>
      </c>
      <c r="G92" s="5479"/>
      <c r="H92" s="5498">
        <f t="shared" si="7"/>
        <v>0</v>
      </c>
      <c r="I92" s="5496"/>
      <c r="J92" s="5497">
        <f>IF(W92=0,0,ROUND(W92/W93,4))</f>
        <v>0</v>
      </c>
      <c r="K92" s="5479"/>
      <c r="L92" s="5498">
        <f t="shared" si="8"/>
        <v>0</v>
      </c>
      <c r="M92" s="5479"/>
      <c r="N92" s="5498">
        <f t="shared" si="9"/>
        <v>0</v>
      </c>
      <c r="O92" s="5479"/>
      <c r="P92" s="5498">
        <f t="shared" si="10"/>
        <v>0</v>
      </c>
      <c r="R92" s="5498">
        <f t="shared" si="11"/>
        <v>0</v>
      </c>
      <c r="S92" s="5492"/>
      <c r="T92" s="5492"/>
      <c r="U92" s="5492"/>
      <c r="W92" s="5498">
        <f>'F110'!M155</f>
        <v>0</v>
      </c>
    </row>
    <row r="93" spans="1:23" ht="14.85" customHeight="1" thickBot="1">
      <c r="A93" s="5494">
        <v>21</v>
      </c>
      <c r="B93" s="5479" t="s">
        <v>884</v>
      </c>
      <c r="C93" s="5479"/>
      <c r="D93" s="5501">
        <f>SUM(D74:D92)</f>
        <v>1395209</v>
      </c>
      <c r="E93" s="5479"/>
      <c r="F93" s="5502">
        <f>ROUND(SUM(F74:F92),2)</f>
        <v>1</v>
      </c>
      <c r="G93" s="5479" t="s">
        <v>1547</v>
      </c>
      <c r="H93" s="5501">
        <f>'F110'!$B$90*0.33</f>
        <v>15312</v>
      </c>
      <c r="I93" s="5479" t="s">
        <v>1548</v>
      </c>
      <c r="J93" s="5502">
        <f>ROUND(SUM(J74:J92),2)</f>
        <v>1</v>
      </c>
      <c r="K93" s="5479" t="s">
        <v>1547</v>
      </c>
      <c r="L93" s="5501">
        <f>'F110'!$G$90*0.33</f>
        <v>413</v>
      </c>
      <c r="M93" s="5479" t="s">
        <v>1548</v>
      </c>
      <c r="N93" s="5501">
        <f>'F110'!$K$90*0.33</f>
        <v>0</v>
      </c>
      <c r="O93" s="5479" t="s">
        <v>1548</v>
      </c>
      <c r="P93" s="5501">
        <f>'F110'!$B$93*0.33</f>
        <v>4411</v>
      </c>
      <c r="Q93" s="5479" t="s">
        <v>1548</v>
      </c>
      <c r="R93" s="5503">
        <f>'F110'!$G$93*0.33</f>
        <v>1355</v>
      </c>
      <c r="S93" s="5499" t="s">
        <v>1548</v>
      </c>
      <c r="T93" s="5499"/>
      <c r="U93" s="5499"/>
      <c r="W93" s="5504">
        <f>SUM(W74:W92)</f>
        <v>2345414</v>
      </c>
    </row>
    <row r="94" spans="1:23" ht="14.85" customHeight="1" thickTop="1">
      <c r="A94" s="5479"/>
      <c r="B94" s="5479"/>
      <c r="C94" s="5479"/>
      <c r="D94" s="5479"/>
      <c r="E94" s="5479"/>
      <c r="F94" s="5479"/>
      <c r="G94" s="5479"/>
      <c r="H94" s="5479"/>
      <c r="I94" s="5479"/>
      <c r="J94" s="5479"/>
      <c r="K94" s="5479"/>
      <c r="L94" s="5479"/>
      <c r="M94" s="5479"/>
      <c r="N94" s="5479"/>
      <c r="O94" s="5479"/>
    </row>
    <row r="95" spans="1:23" ht="14.85" customHeight="1">
      <c r="A95" s="5479" t="s">
        <v>1549</v>
      </c>
      <c r="B95" s="5479" t="str">
        <f>"Do not include taxes levied for any funds in which a budget will not be made in "&amp;OpenData!$P$4&amp;"."</f>
        <v>Do not include taxes levied for any funds in which a budget will not be made in 2021-2022.</v>
      </c>
      <c r="C95" s="5479"/>
      <c r="D95" s="5479"/>
      <c r="E95" s="5479"/>
      <c r="F95" s="5479"/>
      <c r="G95" s="5479"/>
      <c r="H95" s="5479"/>
      <c r="I95" s="5479"/>
      <c r="J95" s="5479"/>
      <c r="K95" s="5479"/>
      <c r="L95" s="5479"/>
      <c r="M95" s="5479"/>
      <c r="N95" s="5479"/>
      <c r="O95" s="5479"/>
    </row>
    <row r="96" spans="1:23" ht="14.85" customHeight="1">
      <c r="A96" s="5479" t="s">
        <v>1550</v>
      </c>
      <c r="B96" s="5479" t="s">
        <v>1551</v>
      </c>
      <c r="C96" s="5479"/>
      <c r="D96" s="5479"/>
      <c r="E96" s="5479"/>
      <c r="F96" s="5479"/>
      <c r="G96" s="5479"/>
      <c r="H96" s="5479"/>
      <c r="I96" s="5479"/>
      <c r="J96" s="5479"/>
      <c r="K96" s="5479"/>
      <c r="L96" s="5479"/>
      <c r="M96" s="5479"/>
      <c r="N96" s="5479"/>
      <c r="O96" s="5479"/>
    </row>
    <row r="97" spans="1:15" ht="14.85" customHeight="1">
      <c r="A97" s="5479" t="s">
        <v>1547</v>
      </c>
      <c r="B97" s="5479" t="s">
        <v>1552</v>
      </c>
      <c r="C97" s="5479"/>
      <c r="D97" s="5479"/>
      <c r="E97" s="5479"/>
      <c r="F97" s="5479"/>
      <c r="G97" s="5479"/>
      <c r="H97" s="5479"/>
      <c r="I97" s="5479"/>
      <c r="J97" s="5479"/>
      <c r="K97" s="5479"/>
      <c r="L97" s="5479"/>
      <c r="M97" s="5479"/>
      <c r="N97" s="5479"/>
      <c r="O97" s="5479"/>
    </row>
    <row r="98" spans="1:15" ht="14.85" customHeight="1">
      <c r="A98" s="5479" t="s">
        <v>1553</v>
      </c>
      <c r="B98" s="5479" t="s">
        <v>1554</v>
      </c>
      <c r="C98" s="5479"/>
      <c r="D98" s="5479"/>
      <c r="E98" s="5479"/>
      <c r="F98" s="5479"/>
      <c r="G98" s="5479"/>
      <c r="H98" s="5479"/>
      <c r="I98" s="5479"/>
      <c r="J98" s="5479"/>
      <c r="K98" s="5479"/>
      <c r="L98" s="5479"/>
      <c r="M98" s="5479"/>
      <c r="N98" s="5479"/>
      <c r="O98" s="5479"/>
    </row>
    <row r="99" spans="1:15" ht="14.85" customHeight="1">
      <c r="A99" s="5479" t="s">
        <v>1548</v>
      </c>
      <c r="B99" s="5479" t="s">
        <v>1561</v>
      </c>
      <c r="C99" s="5479"/>
      <c r="D99" s="5479"/>
      <c r="E99" s="5479"/>
      <c r="F99" s="5479"/>
      <c r="G99" s="5479"/>
      <c r="H99" s="5479"/>
      <c r="I99" s="5479"/>
      <c r="J99" s="5479"/>
      <c r="K99" s="5479"/>
      <c r="L99" s="5479"/>
      <c r="M99" s="5479"/>
      <c r="N99" s="5479"/>
      <c r="O99" s="5479"/>
    </row>
    <row r="100" spans="1:15" ht="14.85" customHeight="1">
      <c r="A100" s="5479" t="s">
        <v>1556</v>
      </c>
      <c r="B100" s="5479" t="str">
        <f>"Includes the total "&amp;OpenData!$P$5&amp;" General Fund taxes levied."</f>
        <v>Includes the total 2020 General Fund taxes levied.</v>
      </c>
      <c r="C100" s="5479"/>
      <c r="D100" s="5479"/>
      <c r="E100" s="5479"/>
      <c r="F100" s="5479"/>
      <c r="G100" s="5479"/>
      <c r="H100" s="5479"/>
      <c r="I100" s="5479"/>
      <c r="J100" s="5479"/>
      <c r="K100" s="5479"/>
      <c r="L100" s="5479"/>
      <c r="M100" s="5479"/>
      <c r="N100" s="5479"/>
      <c r="O100" s="5479"/>
    </row>
    <row r="101" spans="1:15" ht="14.85" customHeight="1">
      <c r="A101" s="5479" t="s">
        <v>1557</v>
      </c>
      <c r="B101" s="5479" t="s">
        <v>1554</v>
      </c>
      <c r="C101" s="5479"/>
      <c r="D101" s="5479"/>
      <c r="E101" s="5479"/>
      <c r="F101" s="5479"/>
      <c r="G101" s="5479"/>
      <c r="H101" s="5479"/>
      <c r="I101" s="5479"/>
      <c r="J101" s="5479"/>
      <c r="K101" s="5479"/>
      <c r="L101" s="5479"/>
      <c r="M101" s="5479"/>
      <c r="N101" s="5479"/>
      <c r="O101" s="5479"/>
    </row>
    <row r="102" spans="1:15" ht="14.85" customHeight="1">
      <c r="A102" s="5479"/>
      <c r="B102" s="5479"/>
      <c r="C102" s="5479"/>
      <c r="D102" s="5479"/>
      <c r="E102" s="5479"/>
      <c r="F102" s="5479"/>
      <c r="G102" s="5479"/>
      <c r="H102" s="5479"/>
      <c r="I102" s="5479"/>
      <c r="J102" s="5479"/>
      <c r="K102" s="5479"/>
      <c r="L102" s="5479"/>
      <c r="M102" s="5479"/>
      <c r="N102" s="5479"/>
      <c r="O102" s="5479"/>
    </row>
    <row r="103" spans="1:15" ht="14.85" customHeight="1">
      <c r="A103" s="5479"/>
      <c r="B103" s="5479"/>
      <c r="C103" s="5479"/>
      <c r="D103" s="5479"/>
      <c r="E103" s="5479"/>
      <c r="F103" s="5479"/>
      <c r="G103" s="5479"/>
      <c r="H103" s="5479"/>
      <c r="I103" s="5479"/>
      <c r="J103" s="5479"/>
      <c r="K103" s="5479"/>
      <c r="L103" s="5479"/>
      <c r="M103" s="5479"/>
      <c r="N103" s="5479"/>
      <c r="O103" s="5479"/>
    </row>
    <row r="104" spans="1:15" ht="14.85" customHeight="1">
      <c r="A104" s="5479"/>
      <c r="B104" s="5479"/>
      <c r="C104" s="5479"/>
      <c r="D104" s="5479"/>
      <c r="E104" s="5479"/>
      <c r="F104" s="5479"/>
      <c r="G104" s="5479"/>
      <c r="H104" s="5479"/>
      <c r="I104" s="5479"/>
      <c r="J104" s="5479"/>
      <c r="K104" s="5479"/>
      <c r="L104" s="5479"/>
      <c r="M104" s="5479"/>
      <c r="N104" s="5479"/>
      <c r="O104" s="5479"/>
    </row>
    <row r="105" spans="1:15" ht="14.85" customHeight="1">
      <c r="A105" s="5479"/>
      <c r="B105" s="5479"/>
      <c r="C105" s="5479"/>
      <c r="D105" s="5479"/>
      <c r="E105" s="5479"/>
      <c r="F105" s="5479"/>
      <c r="G105" s="5479"/>
      <c r="H105" s="5479"/>
      <c r="I105" s="5479"/>
      <c r="J105" s="5479"/>
      <c r="K105" s="5479"/>
      <c r="L105" s="5479"/>
      <c r="M105" s="5479"/>
      <c r="N105" s="5479"/>
      <c r="O105" s="5479"/>
    </row>
    <row r="106" spans="1:15" ht="14.85" customHeight="1">
      <c r="A106" s="5479"/>
      <c r="B106" s="5479"/>
      <c r="C106" s="5479"/>
      <c r="D106" s="5479"/>
      <c r="E106" s="5479"/>
      <c r="F106" s="5479"/>
      <c r="G106" s="5479"/>
      <c r="H106" s="5479"/>
      <c r="I106" s="5479"/>
      <c r="J106" s="5479"/>
      <c r="K106" s="5479"/>
      <c r="L106" s="5479"/>
      <c r="M106" s="5479"/>
      <c r="N106" s="5479"/>
      <c r="O106" s="5479"/>
    </row>
    <row r="107" spans="1:15" ht="14.85" customHeight="1">
      <c r="A107" s="5479"/>
      <c r="B107" s="5479"/>
      <c r="C107" s="5479"/>
      <c r="D107" s="5479"/>
      <c r="E107" s="5479"/>
      <c r="F107" s="5479"/>
      <c r="G107" s="5479"/>
      <c r="H107" s="5479"/>
      <c r="I107" s="5479"/>
      <c r="J107" s="5479"/>
      <c r="K107" s="5479"/>
      <c r="L107" s="5479"/>
      <c r="M107" s="5479"/>
      <c r="N107" s="5479"/>
      <c r="O107" s="5479"/>
    </row>
    <row r="108" spans="1:15" ht="14.85" customHeight="1">
      <c r="A108" s="5479"/>
      <c r="B108" s="5479"/>
      <c r="C108" s="5479"/>
      <c r="D108" s="5479"/>
      <c r="E108" s="5479"/>
      <c r="F108" s="5479"/>
      <c r="G108" s="5479"/>
      <c r="H108" s="5479"/>
      <c r="I108" s="5479"/>
      <c r="J108" s="5479"/>
      <c r="K108" s="5479"/>
      <c r="L108" s="5479"/>
      <c r="M108" s="5479"/>
      <c r="N108" s="5479"/>
      <c r="O108" s="5479"/>
    </row>
    <row r="109" spans="1:15" ht="14.85" customHeight="1">
      <c r="A109" s="5479"/>
      <c r="B109" s="5479"/>
      <c r="C109" s="5479"/>
      <c r="D109" s="5479"/>
      <c r="E109" s="5479"/>
      <c r="F109" s="5479"/>
      <c r="G109" s="5479"/>
      <c r="H109" s="5479"/>
      <c r="I109" s="5479"/>
      <c r="J109" s="5479"/>
      <c r="K109" s="5479"/>
      <c r="L109" s="5479"/>
      <c r="M109" s="5479"/>
      <c r="N109" s="5479"/>
      <c r="O109" s="5479"/>
    </row>
    <row r="110" spans="1:15" ht="14.85" customHeight="1">
      <c r="A110" s="5479"/>
      <c r="B110" s="5479"/>
      <c r="C110" s="5479"/>
      <c r="D110" s="5479"/>
      <c r="E110" s="5479"/>
      <c r="F110" s="5479"/>
      <c r="G110" s="5479"/>
      <c r="H110" s="5479"/>
      <c r="I110" s="5479"/>
      <c r="J110" s="5479"/>
      <c r="K110" s="5479"/>
      <c r="L110" s="5479"/>
      <c r="M110" s="5479"/>
      <c r="N110" s="5479"/>
      <c r="O110" s="5479"/>
    </row>
    <row r="111" spans="1:15" ht="14.85" customHeight="1">
      <c r="A111" s="5479"/>
      <c r="B111" s="5479"/>
      <c r="C111" s="5479"/>
      <c r="D111" s="5479"/>
      <c r="E111" s="5479"/>
      <c r="F111" s="5479"/>
      <c r="G111" s="5479"/>
      <c r="H111" s="5479"/>
      <c r="I111" s="5479"/>
      <c r="J111" s="5479"/>
      <c r="K111" s="5479"/>
      <c r="L111" s="5479"/>
      <c r="M111" s="5479"/>
      <c r="N111" s="5479"/>
      <c r="O111" s="5479"/>
    </row>
    <row r="112" spans="1:15" ht="14.85" customHeight="1">
      <c r="A112" s="5479"/>
      <c r="B112" s="5479"/>
      <c r="C112" s="5479"/>
      <c r="D112" s="5479"/>
      <c r="E112" s="5479"/>
      <c r="F112" s="5479"/>
      <c r="G112" s="5479"/>
      <c r="H112" s="5479"/>
      <c r="I112" s="5479"/>
      <c r="J112" s="5479"/>
      <c r="K112" s="5479"/>
      <c r="L112" s="5479"/>
      <c r="M112" s="5479"/>
      <c r="N112" s="5479"/>
      <c r="O112" s="5479"/>
    </row>
    <row r="113" spans="1:15" ht="14.85" customHeight="1">
      <c r="A113" s="5479"/>
      <c r="B113" s="5479"/>
      <c r="C113" s="5479"/>
      <c r="D113" s="5479"/>
      <c r="E113" s="5479"/>
      <c r="F113" s="5479"/>
      <c r="G113" s="5479"/>
      <c r="H113" s="5479"/>
      <c r="I113" s="5479"/>
      <c r="J113" s="5479"/>
      <c r="K113" s="5479"/>
      <c r="L113" s="5479"/>
      <c r="M113" s="5479"/>
      <c r="N113" s="5479"/>
      <c r="O113" s="5479"/>
    </row>
    <row r="114" spans="1:15" ht="14.85" customHeight="1">
      <c r="A114" s="5479"/>
      <c r="B114" s="5479"/>
      <c r="C114" s="5479"/>
      <c r="D114" s="5479"/>
      <c r="E114" s="5479"/>
      <c r="F114" s="5479"/>
      <c r="G114" s="5479"/>
      <c r="H114" s="5479"/>
      <c r="I114" s="5479"/>
      <c r="J114" s="5479"/>
      <c r="K114" s="5479"/>
      <c r="L114" s="5479"/>
      <c r="M114" s="5479"/>
      <c r="N114" s="5479"/>
      <c r="O114" s="5479"/>
    </row>
    <row r="115" spans="1:15" ht="14.85" customHeight="1">
      <c r="A115" s="5479"/>
      <c r="B115" s="5479"/>
      <c r="C115" s="5479"/>
      <c r="D115" s="5479"/>
      <c r="E115" s="5479"/>
      <c r="F115" s="5479"/>
      <c r="G115" s="5479"/>
      <c r="H115" s="5479"/>
      <c r="I115" s="5479"/>
      <c r="J115" s="5479"/>
      <c r="K115" s="5479"/>
      <c r="L115" s="5479"/>
      <c r="M115" s="5479"/>
      <c r="N115" s="5479"/>
      <c r="O115" s="5479"/>
    </row>
    <row r="116" spans="1:15" ht="14.85" customHeight="1">
      <c r="A116" s="5479"/>
      <c r="B116" s="5479"/>
      <c r="C116" s="5479"/>
      <c r="D116" s="5479"/>
      <c r="E116" s="5479"/>
      <c r="F116" s="5479"/>
      <c r="G116" s="5479"/>
      <c r="H116" s="5479"/>
      <c r="I116" s="5479"/>
      <c r="J116" s="5479"/>
      <c r="K116" s="5479"/>
      <c r="L116" s="5479"/>
      <c r="M116" s="5479"/>
      <c r="N116" s="5479"/>
      <c r="O116" s="5479"/>
    </row>
    <row r="117" spans="1:15" ht="14.85" customHeight="1">
      <c r="A117" s="5479"/>
      <c r="B117" s="5479"/>
      <c r="C117" s="5479"/>
      <c r="D117" s="5479"/>
      <c r="E117" s="5479"/>
      <c r="F117" s="5479"/>
      <c r="G117" s="5479"/>
      <c r="H117" s="5479"/>
      <c r="I117" s="5479"/>
      <c r="J117" s="5479"/>
      <c r="K117" s="5479"/>
      <c r="L117" s="5479"/>
      <c r="M117" s="5479"/>
      <c r="N117" s="5479"/>
      <c r="O117" s="5479"/>
    </row>
    <row r="118" spans="1:15" ht="14.85" customHeight="1">
      <c r="A118" s="5479"/>
      <c r="B118" s="5479"/>
      <c r="C118" s="5479"/>
      <c r="D118" s="5479"/>
      <c r="E118" s="5479"/>
      <c r="F118" s="5479"/>
      <c r="G118" s="5479"/>
      <c r="H118" s="5479"/>
      <c r="I118" s="5479"/>
      <c r="J118" s="5479"/>
      <c r="K118" s="5479"/>
      <c r="L118" s="5479"/>
      <c r="M118" s="5479"/>
      <c r="N118" s="5479"/>
      <c r="O118" s="5479"/>
    </row>
    <row r="119" spans="1:15" ht="14.85" customHeight="1">
      <c r="A119" s="5479"/>
      <c r="B119" s="5479"/>
      <c r="C119" s="5479"/>
      <c r="D119" s="5479"/>
      <c r="E119" s="5479"/>
      <c r="F119" s="5479"/>
      <c r="G119" s="5479"/>
      <c r="H119" s="5479"/>
      <c r="I119" s="5479"/>
      <c r="J119" s="5479"/>
      <c r="K119" s="5479"/>
      <c r="L119" s="5479"/>
      <c r="M119" s="5479"/>
      <c r="N119" s="5479"/>
      <c r="O119" s="5479"/>
    </row>
    <row r="120" spans="1:15" ht="14.85" customHeight="1">
      <c r="A120" s="5479"/>
      <c r="B120" s="5479"/>
      <c r="C120" s="5479"/>
      <c r="D120" s="5479"/>
      <c r="E120" s="5479"/>
      <c r="F120" s="5479"/>
      <c r="G120" s="5479"/>
      <c r="H120" s="5479"/>
      <c r="I120" s="5479"/>
      <c r="J120" s="5479"/>
      <c r="K120" s="5479"/>
      <c r="L120" s="5479"/>
      <c r="M120" s="5479"/>
      <c r="N120" s="5479"/>
      <c r="O120" s="5479"/>
    </row>
    <row r="121" spans="1:15" ht="14.85" customHeight="1">
      <c r="A121" s="5479"/>
      <c r="B121" s="5479"/>
      <c r="C121" s="5479"/>
      <c r="D121" s="5479"/>
      <c r="E121" s="5479"/>
      <c r="F121" s="5479"/>
      <c r="G121" s="5479"/>
      <c r="H121" s="5479"/>
      <c r="I121" s="5479"/>
      <c r="J121" s="5479"/>
      <c r="K121" s="5479"/>
      <c r="L121" s="5479"/>
      <c r="M121" s="5479"/>
      <c r="N121" s="5479"/>
      <c r="O121" s="5479"/>
    </row>
    <row r="122" spans="1:15" ht="14.85" customHeight="1">
      <c r="A122" s="5479"/>
      <c r="B122" s="5479"/>
      <c r="C122" s="5479"/>
      <c r="D122" s="5479"/>
      <c r="E122" s="5479"/>
      <c r="F122" s="5479"/>
      <c r="G122" s="5479"/>
      <c r="H122" s="5479"/>
      <c r="I122" s="5479"/>
      <c r="J122" s="5479"/>
      <c r="K122" s="5479"/>
      <c r="L122" s="5479"/>
      <c r="M122" s="5479"/>
      <c r="N122" s="5479"/>
      <c r="O122" s="5479"/>
    </row>
    <row r="123" spans="1:15" ht="14.85" customHeight="1">
      <c r="A123" s="5479"/>
      <c r="B123" s="5479"/>
      <c r="C123" s="5479"/>
      <c r="D123" s="5479"/>
      <c r="E123" s="5479"/>
      <c r="F123" s="5479"/>
      <c r="G123" s="5479"/>
      <c r="H123" s="5479"/>
      <c r="I123" s="5479"/>
      <c r="J123" s="5479"/>
      <c r="K123" s="5479"/>
      <c r="L123" s="5479"/>
      <c r="M123" s="5479"/>
      <c r="N123" s="5479"/>
      <c r="O123" s="5479"/>
    </row>
    <row r="124" spans="1:15" ht="14.85" customHeight="1">
      <c r="A124" s="5479"/>
      <c r="B124" s="5479"/>
      <c r="C124" s="5479"/>
      <c r="D124" s="5479"/>
      <c r="E124" s="5479"/>
      <c r="F124" s="5479"/>
      <c r="G124" s="5479"/>
      <c r="H124" s="5479"/>
      <c r="I124" s="5479"/>
      <c r="J124" s="5479"/>
      <c r="K124" s="5479"/>
      <c r="L124" s="5479"/>
      <c r="M124" s="5479"/>
      <c r="N124" s="5479"/>
      <c r="O124" s="5479"/>
    </row>
    <row r="125" spans="1:15" ht="14.85" customHeight="1">
      <c r="A125" s="5479"/>
      <c r="B125" s="5479"/>
      <c r="C125" s="5479"/>
      <c r="D125" s="5479"/>
      <c r="E125" s="5479"/>
      <c r="F125" s="5479"/>
      <c r="G125" s="5479"/>
      <c r="H125" s="5479"/>
      <c r="I125" s="5479"/>
      <c r="J125" s="5479"/>
      <c r="K125" s="5479"/>
      <c r="L125" s="5479"/>
      <c r="M125" s="5479"/>
      <c r="N125" s="5479"/>
      <c r="O125" s="5479"/>
    </row>
    <row r="126" spans="1:15" ht="14.85" customHeight="1">
      <c r="A126" s="5479"/>
      <c r="B126" s="5479"/>
      <c r="C126" s="5479"/>
      <c r="D126" s="5479"/>
      <c r="E126" s="5479"/>
      <c r="F126" s="5479"/>
      <c r="G126" s="5479"/>
      <c r="H126" s="5479"/>
      <c r="I126" s="5479"/>
      <c r="J126" s="5479"/>
      <c r="K126" s="5479"/>
      <c r="L126" s="5479"/>
      <c r="M126" s="5479"/>
      <c r="N126" s="5479"/>
      <c r="O126" s="5479"/>
    </row>
    <row r="127" spans="1:15" ht="14.85" customHeight="1">
      <c r="A127" s="5479"/>
      <c r="B127" s="5479"/>
      <c r="C127" s="5479"/>
      <c r="D127" s="5479"/>
      <c r="E127" s="5479"/>
      <c r="F127" s="5479"/>
      <c r="G127" s="5479"/>
      <c r="H127" s="5479"/>
      <c r="I127" s="5479"/>
      <c r="J127" s="5479"/>
      <c r="K127" s="5479"/>
      <c r="L127" s="5479"/>
      <c r="M127" s="5479"/>
      <c r="N127" s="5479"/>
      <c r="O127" s="5479"/>
    </row>
    <row r="128" spans="1:15" ht="14.85" customHeight="1">
      <c r="A128" s="5479"/>
      <c r="B128" s="5479"/>
      <c r="C128" s="5479"/>
      <c r="D128" s="5479"/>
      <c r="E128" s="5479"/>
      <c r="F128" s="5479"/>
      <c r="G128" s="5479"/>
      <c r="H128" s="5479"/>
      <c r="I128" s="5479"/>
      <c r="J128" s="5479"/>
      <c r="K128" s="5479"/>
      <c r="L128" s="5479"/>
      <c r="M128" s="5479"/>
      <c r="N128" s="5479"/>
      <c r="O128" s="5479"/>
    </row>
    <row r="129" spans="1:15" ht="14.85" customHeight="1">
      <c r="A129" s="5479"/>
      <c r="B129" s="5479"/>
      <c r="C129" s="5479"/>
      <c r="D129" s="5479"/>
      <c r="E129" s="5479"/>
      <c r="F129" s="5479"/>
      <c r="G129" s="5479"/>
      <c r="H129" s="5479"/>
      <c r="I129" s="5479"/>
      <c r="J129" s="5479"/>
      <c r="K129" s="5479"/>
      <c r="L129" s="5479"/>
      <c r="M129" s="5479"/>
      <c r="N129" s="5479"/>
      <c r="O129" s="5479"/>
    </row>
    <row r="130" spans="1:15" ht="14.85" customHeight="1">
      <c r="A130" s="5479"/>
      <c r="B130" s="5479"/>
      <c r="C130" s="5479"/>
      <c r="D130" s="5479"/>
      <c r="E130" s="5479"/>
      <c r="F130" s="5479"/>
      <c r="G130" s="5479"/>
      <c r="H130" s="5479"/>
      <c r="I130" s="5479"/>
      <c r="J130" s="5479"/>
      <c r="K130" s="5479"/>
      <c r="L130" s="5479"/>
      <c r="M130" s="5479"/>
      <c r="N130" s="5479"/>
      <c r="O130" s="5479"/>
    </row>
    <row r="131" spans="1:15" ht="14.85" customHeight="1">
      <c r="A131" s="5479"/>
      <c r="B131" s="5479"/>
      <c r="C131" s="5479"/>
      <c r="D131" s="5479"/>
      <c r="E131" s="5479"/>
      <c r="F131" s="5479"/>
      <c r="G131" s="5479"/>
      <c r="H131" s="5479"/>
      <c r="I131" s="5479"/>
      <c r="J131" s="5479"/>
      <c r="K131" s="5479"/>
      <c r="L131" s="5479"/>
      <c r="M131" s="5479"/>
      <c r="N131" s="5479"/>
      <c r="O131" s="5479"/>
    </row>
    <row r="132" spans="1:15" ht="14.85" customHeight="1">
      <c r="A132" s="5479"/>
      <c r="B132" s="5479"/>
      <c r="C132" s="5479"/>
      <c r="D132" s="5479"/>
      <c r="E132" s="5479"/>
      <c r="F132" s="5479"/>
      <c r="G132" s="5479"/>
      <c r="H132" s="5479"/>
      <c r="I132" s="5479"/>
      <c r="J132" s="5479"/>
      <c r="K132" s="5479"/>
      <c r="L132" s="5479"/>
      <c r="M132" s="5479"/>
      <c r="N132" s="5479"/>
      <c r="O132" s="5479"/>
    </row>
    <row r="133" spans="1:15" ht="14.85" customHeight="1">
      <c r="A133" s="5479"/>
      <c r="B133" s="5479"/>
      <c r="C133" s="5479"/>
      <c r="D133" s="5479"/>
      <c r="E133" s="5479"/>
      <c r="F133" s="5479"/>
      <c r="G133" s="5479"/>
      <c r="H133" s="5479"/>
      <c r="I133" s="5479"/>
      <c r="J133" s="5479"/>
      <c r="K133" s="5479"/>
      <c r="L133" s="5479"/>
      <c r="M133" s="5479"/>
      <c r="N133" s="5479"/>
      <c r="O133" s="5479"/>
    </row>
    <row r="134" spans="1:15" ht="14.85" customHeight="1">
      <c r="A134" s="5479"/>
      <c r="B134" s="5479"/>
      <c r="C134" s="5479"/>
      <c r="D134" s="5479"/>
      <c r="E134" s="5479"/>
      <c r="F134" s="5479"/>
      <c r="G134" s="5479"/>
      <c r="H134" s="5479"/>
      <c r="I134" s="5479"/>
      <c r="J134" s="5479"/>
      <c r="K134" s="5479"/>
      <c r="L134" s="5479"/>
      <c r="M134" s="5479"/>
      <c r="N134" s="5479"/>
      <c r="O134" s="5479"/>
    </row>
    <row r="135" spans="1:15" ht="14.85" customHeight="1">
      <c r="A135" s="5479"/>
      <c r="B135" s="5479"/>
      <c r="C135" s="5479"/>
      <c r="D135" s="5479"/>
      <c r="E135" s="5479"/>
      <c r="F135" s="5479"/>
      <c r="G135" s="5479"/>
      <c r="H135" s="5479"/>
      <c r="I135" s="5479"/>
      <c r="J135" s="5479"/>
      <c r="K135" s="5479"/>
      <c r="L135" s="5479"/>
      <c r="M135" s="5479"/>
      <c r="N135" s="5479"/>
      <c r="O135" s="5479"/>
    </row>
    <row r="136" spans="1:15" ht="14.85" customHeight="1">
      <c r="A136" s="5479"/>
      <c r="B136" s="5479"/>
      <c r="C136" s="5479"/>
      <c r="D136" s="5479"/>
      <c r="E136" s="5479"/>
      <c r="F136" s="5479"/>
      <c r="G136" s="5479"/>
      <c r="H136" s="5479"/>
      <c r="I136" s="5479"/>
      <c r="J136" s="5479"/>
      <c r="K136" s="5479"/>
      <c r="L136" s="5479"/>
      <c r="M136" s="5479"/>
      <c r="N136" s="5479"/>
      <c r="O136" s="5479"/>
    </row>
    <row r="137" spans="1:15" ht="14.85" customHeight="1">
      <c r="A137" s="5479"/>
      <c r="B137" s="5479"/>
      <c r="C137" s="5479"/>
      <c r="D137" s="5479"/>
      <c r="E137" s="5479"/>
      <c r="F137" s="5479"/>
      <c r="G137" s="5479"/>
      <c r="H137" s="5479"/>
      <c r="I137" s="5479"/>
      <c r="J137" s="5479"/>
      <c r="K137" s="5479"/>
      <c r="L137" s="5479"/>
      <c r="M137" s="5479"/>
      <c r="N137" s="5479"/>
      <c r="O137" s="5479"/>
    </row>
    <row r="138" spans="1:15" ht="14.85" customHeight="1">
      <c r="A138" s="5479"/>
      <c r="B138" s="5479"/>
      <c r="C138" s="5479"/>
      <c r="D138" s="5479"/>
      <c r="E138" s="5479"/>
      <c r="F138" s="5479"/>
      <c r="G138" s="5479"/>
      <c r="H138" s="5479"/>
      <c r="I138" s="5479"/>
      <c r="J138" s="5479"/>
      <c r="K138" s="5479"/>
      <c r="L138" s="5479"/>
      <c r="M138" s="5479"/>
      <c r="N138" s="5479"/>
      <c r="O138" s="5479"/>
    </row>
  </sheetData>
  <sheetProtection algorithmName="SHA-512" hashValue="rlbPr3M/NqLy/1entZlIskDJ9p21c3+kVRGsv7hy8lzjcnIT+X5E9flYBzUcyBAfqXZ4PysSmKEpRBsfzbdcrA==" saltValue="vdNFKtAyvANZkbwWxVEIBg==" spinCount="100000" sheet="1" objects="1" scenarios="1"/>
  <mergeCells count="5">
    <mergeCell ref="A3:B3"/>
    <mergeCell ref="R2:S2"/>
    <mergeCell ref="R60:S60"/>
    <mergeCell ref="R1:S1"/>
    <mergeCell ref="R59:S59"/>
  </mergeCells>
  <dataValidations disablePrompts="1" count="1">
    <dataValidation type="whole" operator="greaterThanOrEqual" showInputMessage="1" showErrorMessage="1" errorTitle="Invalid Data Entry" error="Enter a positive whole number or press the delete key.   Leave blank if using the normal distribution." sqref="F51:F52 F54 H54 H51:H52">
      <formula1>0</formula1>
    </dataValidation>
  </dataValidations>
  <hyperlinks>
    <hyperlink ref="W1" location="Contents!A1" display="Return to Contents page"/>
  </hyperlinks>
  <printOptions horizontalCentered="1"/>
  <pageMargins left="0.75" right="0.75" top="0.5" bottom="0.5" header="0.3" footer="0.3"/>
  <pageSetup scale="64" orientation="landscape" blackAndWhite="1" r:id="rId1"/>
  <headerFooter scaleWithDoc="0">
    <oddFooter>&amp;L&amp;"Open Sans Light,Regular"&amp;8&amp;D   &amp;T&amp;C&amp;"Open Sans Light,Regular"&amp;8Page &amp;P&amp;R&amp;"Open Sans Light,Regular"&amp;8Form 194 / Form 194-A</oddFooter>
  </headerFooter>
  <rowBreaks count="1" manualBreakCount="1">
    <brk id="46" max="1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6" tint="-0.249977111117893"/>
  </sheetPr>
  <dimension ref="A1:Z56"/>
  <sheetViews>
    <sheetView showGridLines="0" topLeftCell="A4" zoomScaleNormal="100" zoomScaleSheetLayoutView="100" workbookViewId="0">
      <selection activeCell="B22" sqref="B22"/>
    </sheetView>
  </sheetViews>
  <sheetFormatPr defaultColWidth="10.6640625" defaultRowHeight="14.85" customHeight="1"/>
  <cols>
    <col min="1" max="1" width="4" style="5516" customWidth="1"/>
    <col min="2" max="2" width="10.6640625" style="5516" customWidth="1"/>
    <col min="3" max="3" width="38.44140625" style="5516" customWidth="1"/>
    <col min="4" max="4" width="10.44140625" style="5516" customWidth="1"/>
    <col min="5" max="5" width="4.33203125" style="5516" customWidth="1"/>
    <col min="6" max="6" width="9" style="5516" customWidth="1"/>
    <col min="7" max="7" width="2.44140625" style="5516" customWidth="1"/>
    <col min="8" max="8" width="18.44140625" style="5516" customWidth="1"/>
    <col min="9" max="9" width="2.88671875" style="5516" customWidth="1"/>
    <col min="10" max="26" width="10.6640625" style="5516"/>
    <col min="27" max="16384" width="10.6640625" style="5517"/>
  </cols>
  <sheetData>
    <row r="1" spans="1:10" ht="14.85" customHeight="1">
      <c r="A1" s="5972" t="s">
        <v>1511</v>
      </c>
      <c r="B1" s="5972"/>
      <c r="C1" s="5972"/>
      <c r="D1" s="5005"/>
      <c r="E1" s="5005"/>
      <c r="F1" s="5513"/>
      <c r="G1" s="5514"/>
      <c r="H1" s="5515" t="str">
        <f>"USD #"&amp;OPEN!$B$4</f>
        <v>USD #237</v>
      </c>
      <c r="J1" s="4891" t="s">
        <v>754</v>
      </c>
    </row>
    <row r="2" spans="1:10" ht="14.85" customHeight="1">
      <c r="A2" s="5971" t="s">
        <v>4866</v>
      </c>
      <c r="B2" s="5971"/>
      <c r="C2" s="5005"/>
      <c r="D2" s="5005"/>
      <c r="E2" s="5005"/>
      <c r="F2" s="5005"/>
      <c r="G2" s="5005"/>
      <c r="H2" s="5511">
        <f>OpenData!$N$3</f>
        <v>44348</v>
      </c>
      <c r="I2" s="5511"/>
    </row>
    <row r="3" spans="1:10" ht="14.85" customHeight="1">
      <c r="A3" s="5967"/>
      <c r="B3" s="5967"/>
      <c r="C3" s="5005"/>
      <c r="D3" s="5005"/>
      <c r="E3" s="5518"/>
      <c r="F3" s="5005"/>
      <c r="G3" s="5005"/>
      <c r="H3" s="5518"/>
    </row>
    <row r="4" spans="1:10" ht="14.85" customHeight="1">
      <c r="A4" s="5519" t="s">
        <v>1562</v>
      </c>
      <c r="B4" s="5520"/>
      <c r="C4" s="5520"/>
      <c r="D4" s="5520"/>
      <c r="E4" s="5520"/>
      <c r="F4" s="5520"/>
      <c r="G4" s="5520"/>
      <c r="H4" s="5520"/>
    </row>
    <row r="5" spans="1:10" ht="14.85" customHeight="1">
      <c r="A5" s="5519" t="str">
        <f>OpenData!$N$2&amp;" Estimated State Aid"</f>
        <v>2021-2022 Estimated State Aid</v>
      </c>
      <c r="B5" s="5520"/>
      <c r="C5" s="5520"/>
      <c r="D5" s="5520"/>
      <c r="E5" s="5520"/>
      <c r="F5" s="5520"/>
      <c r="G5" s="5520"/>
      <c r="H5" s="5520"/>
    </row>
    <row r="6" spans="1:10" ht="14.85" hidden="1" customHeight="1">
      <c r="A6" s="5521"/>
      <c r="B6" s="5520"/>
      <c r="C6" s="5520"/>
      <c r="D6" s="5520"/>
      <c r="E6" s="5520"/>
      <c r="F6" s="5520"/>
      <c r="G6" s="5520"/>
      <c r="H6" s="5520"/>
    </row>
    <row r="7" spans="1:10" ht="14.85" customHeight="1">
      <c r="A7" s="5521"/>
      <c r="B7" s="5520"/>
      <c r="C7" s="5520"/>
      <c r="D7" s="5520"/>
      <c r="E7" s="5520"/>
      <c r="F7" s="5520"/>
      <c r="G7" s="5520"/>
      <c r="H7" s="5520"/>
    </row>
    <row r="8" spans="1:10" ht="14.85" customHeight="1">
      <c r="A8" s="5514" t="s">
        <v>1563</v>
      </c>
      <c r="B8" s="5005"/>
      <c r="C8" s="5005"/>
      <c r="D8" s="5005"/>
      <c r="E8" s="5005"/>
      <c r="F8" s="5005"/>
      <c r="G8" s="5005"/>
      <c r="H8" s="5522"/>
    </row>
    <row r="9" spans="1:10" ht="14.85" hidden="1" customHeight="1">
      <c r="A9" s="5005"/>
      <c r="B9" s="5005"/>
      <c r="C9" s="5005"/>
      <c r="D9" s="5005"/>
      <c r="E9" s="5005"/>
      <c r="F9" s="5005"/>
      <c r="G9" s="5005"/>
      <c r="H9" s="5522"/>
    </row>
    <row r="10" spans="1:10" ht="14.85" customHeight="1">
      <c r="A10" s="5005"/>
      <c r="B10" s="5005" t="str">
        <f>"1.   Estimated aid 7/1/"&amp;OpenData!$Q$5&amp;" to 6/30/"&amp;OpenData!$S$5&amp;" (12 mo.) (No. of driver ed."</f>
        <v>1.   Estimated aid 7/1/2021 to 6/30/2022 (12 mo.) (No. of driver ed.</v>
      </c>
      <c r="C10" s="5005"/>
      <c r="D10" s="5005"/>
      <c r="E10" s="5005"/>
      <c r="F10" s="5005"/>
      <c r="G10" s="5005"/>
      <c r="H10" s="5522"/>
    </row>
    <row r="11" spans="1:10" ht="14.85" customHeight="1">
      <c r="A11" s="5005"/>
      <c r="B11" s="5005" t="s">
        <v>3035</v>
      </c>
      <c r="C11" s="5005"/>
      <c r="D11" s="5523">
        <v>37</v>
      </c>
      <c r="E11" s="5005" t="str">
        <f>"x $"&amp;OpenData!$N$27&amp;")"</f>
        <v>x $120)</v>
      </c>
      <c r="F11" s="5005"/>
      <c r="G11" s="5005" t="s">
        <v>907</v>
      </c>
      <c r="H11" s="5524">
        <f>D11*OpenData!$N$27</f>
        <v>4440</v>
      </c>
    </row>
    <row r="12" spans="1:10" ht="14.85" customHeight="1">
      <c r="A12" s="5005"/>
      <c r="B12" s="5005"/>
      <c r="C12" s="5005"/>
      <c r="D12" s="5005"/>
      <c r="E12" s="5005"/>
      <c r="F12" s="5005"/>
      <c r="G12" s="5005"/>
      <c r="H12" s="5522"/>
    </row>
    <row r="13" spans="1:10" ht="14.85" customHeight="1">
      <c r="A13" s="5514" t="s">
        <v>1564</v>
      </c>
      <c r="B13" s="5005"/>
      <c r="C13" s="5005"/>
      <c r="D13" s="5005"/>
      <c r="E13" s="5005"/>
      <c r="F13" s="5005"/>
      <c r="G13" s="5005"/>
      <c r="H13" s="5522"/>
    </row>
    <row r="14" spans="1:10" ht="14.85" hidden="1" customHeight="1">
      <c r="A14" s="5005"/>
      <c r="B14" s="5005"/>
      <c r="C14" s="5005"/>
      <c r="D14" s="5005"/>
      <c r="E14" s="5005"/>
      <c r="F14" s="5005"/>
      <c r="G14" s="5005"/>
      <c r="H14" s="5522"/>
    </row>
    <row r="15" spans="1:10" ht="14.85" customHeight="1">
      <c r="A15" s="5005"/>
      <c r="B15" s="5005" t="str">
        <f>"1.  Estimated aid 7/1/"&amp;OpenData!$Q$5&amp;" to 6/30/"&amp;OpenData!$S$5&amp;" (12 mo.) (No. of motorcycle"</f>
        <v>1.  Estimated aid 7/1/2021 to 6/30/2022 (12 mo.) (No. of motorcycle</v>
      </c>
      <c r="C15" s="5005"/>
      <c r="D15" s="5005"/>
      <c r="E15" s="5005"/>
      <c r="F15" s="5005"/>
      <c r="G15" s="5005"/>
      <c r="H15" s="5522"/>
    </row>
    <row r="16" spans="1:10" ht="14.85" customHeight="1">
      <c r="A16" s="5005"/>
      <c r="B16" s="5005" t="s">
        <v>3034</v>
      </c>
      <c r="C16" s="5005"/>
      <c r="D16" s="5523"/>
      <c r="E16" s="5005" t="str">
        <f>"x $"&amp;OpenData!$N$28&amp;")"</f>
        <v>x $90)</v>
      </c>
      <c r="F16" s="5005"/>
      <c r="G16" s="5005" t="s">
        <v>907</v>
      </c>
      <c r="H16" s="5524">
        <f>D16*OpenData!$N$28</f>
        <v>0</v>
      </c>
    </row>
    <row r="17" spans="1:11" ht="14.85" customHeight="1">
      <c r="A17" s="5005"/>
      <c r="B17" s="5005"/>
      <c r="C17" s="5005"/>
      <c r="D17" s="5005"/>
      <c r="E17" s="5005"/>
      <c r="F17" s="5005"/>
      <c r="G17" s="5005"/>
      <c r="H17" s="5525"/>
    </row>
    <row r="18" spans="1:11" ht="14.85" customHeight="1">
      <c r="A18" s="5514" t="s">
        <v>1806</v>
      </c>
      <c r="B18" s="5005"/>
      <c r="C18" s="5005"/>
      <c r="D18" s="5005"/>
      <c r="E18" s="5005"/>
      <c r="F18" s="5005"/>
      <c r="G18" s="5005"/>
      <c r="H18" s="5525"/>
    </row>
    <row r="19" spans="1:11" ht="14.85" hidden="1" customHeight="1">
      <c r="A19" s="5005"/>
      <c r="B19" s="5005"/>
      <c r="C19" s="5005"/>
      <c r="D19" s="5005"/>
      <c r="E19" s="5005"/>
      <c r="F19" s="5005"/>
      <c r="G19" s="5005"/>
      <c r="H19" s="5525"/>
    </row>
    <row r="20" spans="1:11" ht="14.85" customHeight="1">
      <c r="A20" s="5005"/>
      <c r="B20" s="5005" t="str">
        <f>"1.  KPERS State Aid for "&amp;OpenData!$O$4 &amp;" School Year"</f>
        <v>1.  KPERS State Aid for 2020-2021 School Year</v>
      </c>
      <c r="C20" s="5005"/>
      <c r="D20" s="5005"/>
      <c r="E20" s="5005"/>
      <c r="F20" s="5005"/>
      <c r="G20" s="5005" t="s">
        <v>907</v>
      </c>
      <c r="H20" s="5526">
        <f>VLOOKUP(OPEN!$B$4,DATA!A4:AT289,31,FALSE)</f>
        <v>425144</v>
      </c>
      <c r="K20" s="5527"/>
    </row>
    <row r="21" spans="1:11" ht="14.85" customHeight="1">
      <c r="H21" s="5528"/>
    </row>
    <row r="22" spans="1:11" ht="14.85" customHeight="1">
      <c r="B22" s="5005" t="str">
        <f>"2.  Est. increase due to KPERS rate (Line 1 x " &amp; OpenData!$O$29 &amp;"%)"</f>
        <v>2.  Est. increase due to KPERS rate (Line 1 x 10.00%)</v>
      </c>
      <c r="C22" s="5005"/>
      <c r="D22" s="5005"/>
      <c r="E22" s="5005"/>
      <c r="F22" s="5005"/>
      <c r="G22" s="5005" t="s">
        <v>907</v>
      </c>
      <c r="H22" s="5526">
        <f>H20*OpenData!$N$29</f>
        <v>42514</v>
      </c>
    </row>
    <row r="23" spans="1:11" ht="14.85" customHeight="1">
      <c r="H23" s="5528"/>
    </row>
    <row r="24" spans="1:11" ht="14.85" customHeight="1">
      <c r="B24" s="5005" t="s">
        <v>1565</v>
      </c>
      <c r="H24" s="5528"/>
    </row>
    <row r="25" spans="1:11" ht="14.85" customHeight="1">
      <c r="A25" s="5005"/>
      <c r="B25" s="5005" t="s">
        <v>1566</v>
      </c>
      <c r="C25" s="5005"/>
      <c r="D25" s="5529">
        <v>12</v>
      </c>
      <c r="E25" s="5005" t="s">
        <v>1567</v>
      </c>
      <c r="F25" s="5005"/>
      <c r="G25" s="5005" t="s">
        <v>907</v>
      </c>
      <c r="H25" s="5526">
        <f>(H20+H22)*D25/100</f>
        <v>56119</v>
      </c>
    </row>
    <row r="26" spans="1:11" ht="14.85" customHeight="1">
      <c r="A26" s="5005"/>
      <c r="B26" s="5005"/>
      <c r="C26" s="5005"/>
      <c r="D26" s="5005"/>
      <c r="E26" s="5005"/>
      <c r="F26" s="5005"/>
      <c r="G26" s="5005"/>
      <c r="H26" s="5525"/>
    </row>
    <row r="27" spans="1:11" ht="14.85" customHeight="1">
      <c r="A27" s="5005"/>
      <c r="B27" s="5005" t="str">
        <f>"4.  Est. KPERS State Aid for "&amp;OpenData!$P$14&amp;" (Line 1 + Line 2 + Line 3)"</f>
        <v>4.  Est. KPERS State Aid for 2021-22 (Line 1 + Line 2 + Line 3)</v>
      </c>
      <c r="C27" s="5005"/>
      <c r="D27" s="5005"/>
      <c r="E27" s="5005"/>
      <c r="F27" s="5005"/>
      <c r="G27" s="5005" t="s">
        <v>907</v>
      </c>
      <c r="H27" s="5526">
        <f>SUM(H20:H25)</f>
        <v>523777</v>
      </c>
    </row>
    <row r="28" spans="1:11" ht="14.85" customHeight="1">
      <c r="A28" s="5005"/>
      <c r="B28" s="5005"/>
      <c r="C28" s="5005"/>
      <c r="D28" s="5005"/>
      <c r="E28" s="5005"/>
      <c r="F28" s="5005"/>
      <c r="G28" s="5005"/>
      <c r="H28" s="5525"/>
    </row>
    <row r="29" spans="1:11" ht="14.85" customHeight="1">
      <c r="A29" s="5514" t="s">
        <v>4978</v>
      </c>
      <c r="B29" s="5005"/>
      <c r="C29" s="5005"/>
      <c r="D29" s="5005"/>
      <c r="E29" s="5005"/>
      <c r="F29" s="5005"/>
      <c r="G29" s="5005"/>
      <c r="H29" s="5525"/>
    </row>
    <row r="30" spans="1:11" ht="14.85" hidden="1" customHeight="1">
      <c r="A30" s="5005"/>
      <c r="B30" s="5005"/>
      <c r="C30" s="5005"/>
      <c r="D30" s="5005"/>
      <c r="E30" s="5005"/>
      <c r="F30" s="5005"/>
      <c r="G30" s="5005"/>
      <c r="H30" s="5525"/>
      <c r="I30" s="5005"/>
      <c r="J30" s="5005"/>
      <c r="K30" s="5005"/>
    </row>
    <row r="31" spans="1:11" ht="14.85" hidden="1" customHeight="1">
      <c r="A31" s="5005"/>
      <c r="B31" s="5005" t="str">
        <f>"1.  Total estimated " &amp; OpenData!P14 &amp; " expenditures approved professional development program"</f>
        <v>1.  Total estimated 2021-22 expenditures approved professional development program</v>
      </c>
      <c r="C31" s="5005"/>
      <c r="D31" s="5005"/>
      <c r="E31" s="5005"/>
      <c r="F31" s="5005"/>
      <c r="G31" s="5530" t="s">
        <v>907</v>
      </c>
      <c r="H31" s="5531"/>
      <c r="I31" s="5005"/>
      <c r="J31" s="5005"/>
      <c r="K31" s="5005"/>
    </row>
    <row r="32" spans="1:11" ht="14.85" hidden="1" customHeight="1">
      <c r="A32" s="5005"/>
      <c r="B32" s="5005"/>
      <c r="C32" s="5005"/>
      <c r="D32" s="5005"/>
      <c r="E32" s="5005"/>
      <c r="F32" s="5005"/>
      <c r="G32" s="5005"/>
      <c r="H32" s="5525"/>
      <c r="I32" s="5005"/>
      <c r="J32" s="5005"/>
      <c r="K32" s="5005"/>
    </row>
    <row r="33" spans="1:11" ht="14.85" hidden="1" customHeight="1">
      <c r="A33" s="5005"/>
      <c r="B33" s="5005" t="str">
        <f>"2.  Total potential state aid (Line 1 X " &amp; OpenData!Q27 &amp; ")"</f>
        <v>2.  Total potential state aid (Line 1 X 0.5)</v>
      </c>
      <c r="C33" s="5005"/>
      <c r="D33" s="5005"/>
      <c r="E33" s="5005"/>
      <c r="F33" s="5005"/>
      <c r="G33" s="5530" t="s">
        <v>907</v>
      </c>
      <c r="H33" s="5532">
        <f>H31*OpenData!Q27</f>
        <v>0</v>
      </c>
      <c r="I33" s="5005"/>
      <c r="J33" s="5005"/>
      <c r="K33" s="5005"/>
    </row>
    <row r="34" spans="1:11" ht="14.85" hidden="1" customHeight="1">
      <c r="A34" s="5005"/>
      <c r="B34" s="5005"/>
      <c r="C34" s="5005"/>
      <c r="D34" s="5005"/>
      <c r="E34" s="5005"/>
      <c r="F34" s="5005"/>
      <c r="G34" s="5005"/>
      <c r="H34" s="5525"/>
      <c r="I34" s="5005"/>
      <c r="J34" s="5005"/>
      <c r="K34" s="5005"/>
    </row>
    <row r="35" spans="1:11" ht="14.85" hidden="1" customHeight="1">
      <c r="A35" s="5005"/>
      <c r="B35" s="5005" t="str">
        <f>"3.  Multiply legal maximum general fund budget X " &amp; OpenData!S27</f>
        <v>3.  Multiply legal maximum general fund budget X 0.005</v>
      </c>
      <c r="C35" s="5005"/>
      <c r="D35" s="5005"/>
      <c r="E35" s="5005"/>
      <c r="F35" s="5005"/>
      <c r="G35" s="5530" t="s">
        <v>907</v>
      </c>
      <c r="H35" s="5532">
        <f>'F150'!J51*OpenData!S27</f>
        <v>19692</v>
      </c>
      <c r="I35" s="5005"/>
      <c r="J35" s="5005"/>
      <c r="K35" s="5533"/>
    </row>
    <row r="36" spans="1:11" ht="14.85" hidden="1" customHeight="1">
      <c r="A36" s="5005"/>
      <c r="B36" s="5005"/>
      <c r="C36" s="5005"/>
      <c r="D36" s="5005"/>
      <c r="E36" s="5005"/>
      <c r="F36" s="5005"/>
      <c r="G36" s="5530"/>
      <c r="H36" s="5534"/>
      <c r="I36" s="5005"/>
      <c r="J36" s="5005"/>
      <c r="K36" s="5533"/>
    </row>
    <row r="37" spans="1:11" ht="14.85" hidden="1" customHeight="1">
      <c r="A37" s="5005"/>
      <c r="B37" s="5005" t="s">
        <v>4414</v>
      </c>
      <c r="C37" s="5005"/>
      <c r="D37" s="5005"/>
      <c r="E37" s="5005"/>
      <c r="F37" s="5005"/>
      <c r="G37" s="5530" t="s">
        <v>907</v>
      </c>
      <c r="H37" s="5532">
        <f>MIN(H33,H35)</f>
        <v>0</v>
      </c>
      <c r="I37" s="5005"/>
      <c r="J37" s="5005"/>
      <c r="K37" s="5533"/>
    </row>
    <row r="38" spans="1:11" ht="14.85" hidden="1" customHeight="1">
      <c r="A38" s="5005"/>
      <c r="B38" s="5005"/>
      <c r="C38" s="5005"/>
      <c r="D38" s="5005"/>
      <c r="E38" s="5005"/>
      <c r="F38" s="5005"/>
      <c r="G38" s="5005"/>
      <c r="H38" s="5525"/>
      <c r="I38" s="5005"/>
      <c r="J38" s="5005"/>
      <c r="K38" s="5005"/>
    </row>
    <row r="39" spans="1:11" ht="14.85" hidden="1" customHeight="1">
      <c r="A39" s="5005"/>
      <c r="B39" s="5005" t="str">
        <f>"5.  Estimated prorated state aid (Line 4 X " &amp; OpenData!Q28 &amp; ") to be paid on June 20, " &amp; OpenData!S5</f>
        <v>5.  Estimated prorated state aid (Line 4 X 0.3) to be paid on June 20, 2022</v>
      </c>
      <c r="C39" s="5005"/>
      <c r="D39" s="5005"/>
      <c r="E39" s="5005"/>
      <c r="F39" s="5005"/>
      <c r="G39" s="5530" t="s">
        <v>907</v>
      </c>
      <c r="H39" s="5532">
        <f>H37*OpenData!Q28</f>
        <v>0</v>
      </c>
      <c r="I39" s="5005"/>
      <c r="J39" s="5005"/>
      <c r="K39" s="5005"/>
    </row>
    <row r="40" spans="1:11" ht="14.85" customHeight="1">
      <c r="A40" s="5005"/>
      <c r="B40" s="5005"/>
      <c r="C40" s="5005"/>
      <c r="D40" s="5005"/>
      <c r="E40" s="5005"/>
      <c r="F40" s="5005"/>
      <c r="G40" s="5005"/>
      <c r="H40" s="5005"/>
      <c r="I40" s="5005"/>
      <c r="J40" s="5005"/>
      <c r="K40" s="5005"/>
    </row>
    <row r="41" spans="1:11" ht="14.85" customHeight="1">
      <c r="A41" s="5535"/>
      <c r="B41" s="5535"/>
      <c r="C41" s="5535"/>
      <c r="D41" s="5536"/>
      <c r="E41" s="5536"/>
      <c r="F41" s="5536"/>
      <c r="G41" s="5536"/>
      <c r="H41" s="5536"/>
      <c r="I41" s="5005"/>
      <c r="J41" s="5005"/>
      <c r="K41" s="5005"/>
    </row>
    <row r="42" spans="1:11" ht="14.85" customHeight="1">
      <c r="A42" s="5536"/>
      <c r="B42" s="5536"/>
      <c r="C42" s="5536"/>
      <c r="D42" s="5536"/>
      <c r="E42" s="5536"/>
      <c r="F42" s="5536"/>
      <c r="G42" s="5536"/>
      <c r="H42" s="5536"/>
      <c r="I42" s="5005"/>
      <c r="J42" s="5005"/>
      <c r="K42" s="5005"/>
    </row>
    <row r="43" spans="1:11" ht="14.85" customHeight="1">
      <c r="A43" s="5535"/>
      <c r="B43" s="5535"/>
      <c r="C43" s="5535"/>
      <c r="D43" s="5535"/>
      <c r="E43" s="5536"/>
      <c r="F43" s="5536"/>
      <c r="G43" s="5536"/>
      <c r="H43" s="5536"/>
      <c r="I43" s="5005"/>
      <c r="J43" s="5005"/>
      <c r="K43" s="5005"/>
    </row>
    <row r="44" spans="1:11" ht="14.85" customHeight="1">
      <c r="A44" s="5536"/>
      <c r="B44" s="5536"/>
      <c r="C44" s="5536"/>
      <c r="D44" s="5536"/>
      <c r="E44" s="5536"/>
      <c r="F44" s="5536"/>
      <c r="G44" s="5536"/>
      <c r="H44" s="5536"/>
      <c r="I44" s="5005"/>
      <c r="J44" s="5005"/>
      <c r="K44" s="5005"/>
    </row>
    <row r="45" spans="1:11" ht="14.85" customHeight="1">
      <c r="A45" s="5535"/>
      <c r="B45" s="5535"/>
      <c r="C45" s="5535"/>
      <c r="D45" s="5535"/>
      <c r="E45" s="5536"/>
      <c r="F45" s="5536"/>
      <c r="G45" s="5536"/>
      <c r="H45" s="5536"/>
      <c r="I45" s="5005"/>
      <c r="J45" s="5005"/>
      <c r="K45" s="5005"/>
    </row>
    <row r="46" spans="1:11" ht="14.85" customHeight="1">
      <c r="A46" s="5536"/>
      <c r="B46" s="5536"/>
      <c r="C46" s="5536"/>
      <c r="D46" s="5536"/>
      <c r="E46" s="5536"/>
      <c r="F46" s="5536"/>
      <c r="G46" s="5536"/>
      <c r="H46" s="5536"/>
      <c r="I46" s="5005"/>
      <c r="J46" s="5005"/>
      <c r="K46" s="5005"/>
    </row>
    <row r="47" spans="1:11" ht="14.85" customHeight="1">
      <c r="A47" s="5535"/>
      <c r="B47" s="5535"/>
      <c r="C47" s="5535"/>
      <c r="D47" s="5535"/>
      <c r="E47" s="5535"/>
      <c r="F47" s="5535"/>
      <c r="G47" s="5537"/>
      <c r="H47" s="5535"/>
      <c r="I47" s="5005"/>
      <c r="J47" s="5005"/>
      <c r="K47" s="5005"/>
    </row>
    <row r="48" spans="1:11" ht="14.85" customHeight="1">
      <c r="A48" s="5536"/>
      <c r="B48" s="5536"/>
      <c r="C48" s="5536"/>
      <c r="D48" s="5536"/>
      <c r="E48" s="5536"/>
      <c r="F48" s="5536"/>
      <c r="G48" s="5536"/>
      <c r="H48" s="5536"/>
      <c r="I48" s="5005"/>
      <c r="J48" s="5005"/>
      <c r="K48" s="5005"/>
    </row>
    <row r="49" spans="1:11" ht="14.85" customHeight="1">
      <c r="A49" s="5005"/>
      <c r="B49" s="5005"/>
      <c r="C49" s="5005"/>
      <c r="D49" s="5005"/>
      <c r="E49" s="5005"/>
      <c r="F49" s="5005"/>
      <c r="G49" s="5005"/>
      <c r="H49" s="5005"/>
      <c r="I49" s="5005"/>
      <c r="J49" s="5005"/>
      <c r="K49" s="5005"/>
    </row>
    <row r="50" spans="1:11" ht="14.85" customHeight="1">
      <c r="A50" s="5005"/>
      <c r="B50" s="5005"/>
      <c r="C50" s="5005"/>
      <c r="D50" s="5005"/>
      <c r="E50" s="5005"/>
      <c r="F50" s="5005"/>
      <c r="G50" s="5005"/>
      <c r="H50" s="5005"/>
      <c r="I50" s="5005"/>
      <c r="J50" s="5005"/>
      <c r="K50" s="5005"/>
    </row>
    <row r="51" spans="1:11" ht="14.85" customHeight="1">
      <c r="A51" s="5005"/>
      <c r="B51" s="5005"/>
      <c r="C51" s="5005"/>
      <c r="D51" s="5005"/>
      <c r="E51" s="5005"/>
      <c r="F51" s="5005"/>
      <c r="G51" s="5005"/>
      <c r="H51" s="5005"/>
      <c r="I51" s="5005"/>
      <c r="J51" s="5005"/>
      <c r="K51" s="5005"/>
    </row>
    <row r="52" spans="1:11" ht="14.85" customHeight="1">
      <c r="A52" s="5005"/>
      <c r="B52" s="5005"/>
      <c r="C52" s="5005"/>
      <c r="D52" s="5005"/>
      <c r="E52" s="5005"/>
      <c r="F52" s="5005"/>
      <c r="G52" s="5005"/>
      <c r="H52" s="5005"/>
      <c r="I52" s="5005"/>
      <c r="J52" s="5005"/>
      <c r="K52" s="5005"/>
    </row>
    <row r="53" spans="1:11" ht="14.85" customHeight="1">
      <c r="A53" s="5005"/>
      <c r="B53" s="5005"/>
      <c r="C53" s="5005"/>
      <c r="D53" s="5005"/>
      <c r="E53" s="5005"/>
      <c r="F53" s="5005"/>
      <c r="G53" s="5005"/>
      <c r="H53" s="5005"/>
      <c r="I53" s="5005"/>
      <c r="J53" s="5005"/>
      <c r="K53" s="5005"/>
    </row>
    <row r="54" spans="1:11" ht="14.85" customHeight="1">
      <c r="A54" s="5005"/>
      <c r="B54" s="5005"/>
      <c r="C54" s="5005"/>
      <c r="D54" s="5005"/>
      <c r="E54" s="5005"/>
      <c r="F54" s="5005"/>
      <c r="G54" s="5005"/>
      <c r="H54" s="5005"/>
      <c r="I54" s="5005"/>
      <c r="J54" s="5005"/>
      <c r="K54" s="5005"/>
    </row>
    <row r="55" spans="1:11" ht="14.85" customHeight="1">
      <c r="A55" s="5005"/>
      <c r="B55" s="5005"/>
      <c r="C55" s="5005"/>
      <c r="D55" s="5005"/>
      <c r="E55" s="5005"/>
      <c r="F55" s="5005"/>
      <c r="G55" s="5005"/>
      <c r="H55" s="5005"/>
      <c r="I55" s="5005"/>
      <c r="J55" s="5005"/>
      <c r="K55" s="5005"/>
    </row>
    <row r="56" spans="1:11" ht="14.85" customHeight="1">
      <c r="A56" s="5005"/>
      <c r="B56" s="5005"/>
      <c r="C56" s="5005"/>
      <c r="D56" s="5005"/>
      <c r="E56" s="5005"/>
      <c r="F56" s="5005"/>
      <c r="G56" s="5005"/>
      <c r="H56" s="5005"/>
      <c r="I56" s="5005"/>
      <c r="J56" s="5005"/>
      <c r="K56" s="5005"/>
    </row>
  </sheetData>
  <sheetProtection algorithmName="SHA-512" hashValue="iIpo2wW9M5YBTGv8R5ONXrhRBOQmr22Zq8Ko9ye7qVh5l4Jbo7dDUnTsOkPWY9CoaAbgvIuHvKql4a4SZXKHXg==" saltValue="UXyNe9Bmu34WL8h5eo1NzA==" spinCount="100000" sheet="1" objects="1" scenarios="1"/>
  <mergeCells count="3">
    <mergeCell ref="A3:B3"/>
    <mergeCell ref="A2:B2"/>
    <mergeCell ref="A1:C1"/>
  </mergeCells>
  <dataValidations count="1">
    <dataValidation type="whole" operator="greaterThanOrEqual" showInputMessage="1" showErrorMessage="1" errorTitle="Invalid Data Entry" error="Please enter a positive whole number or press the delete key or enter zero." sqref="D11 D16">
      <formula1>0</formula1>
    </dataValidation>
  </dataValidations>
  <hyperlinks>
    <hyperlink ref="J1" location="Contents!A1" display="Return to Contents page"/>
  </hyperlinks>
  <printOptions horizontalCentered="1"/>
  <pageMargins left="0.75" right="0.75" top="0.5" bottom="0.5" header="0.3" footer="0.3"/>
  <pageSetup scale="85" orientation="portrait" blackAndWhite="1" r:id="rId1"/>
  <headerFooter scaleWithDoc="0">
    <oddFooter>&amp;L&amp;"Open Sans Light,Regular"&amp;8&amp;D   &amp;T&amp;C&amp;"Open Sans Light,Regular"&amp;8Page &amp;P&amp;R&amp;"Open Sans Light,Regular"&amp;8Form 195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6" tint="-0.249977111117893"/>
  </sheetPr>
  <dimension ref="A1:Y35"/>
  <sheetViews>
    <sheetView workbookViewId="0">
      <selection sqref="A1:C1"/>
    </sheetView>
  </sheetViews>
  <sheetFormatPr defaultColWidth="9.109375" defaultRowHeight="13.2"/>
  <cols>
    <col min="1" max="1" width="4.6640625" style="2158" customWidth="1"/>
    <col min="2" max="2" width="14.109375" style="2158" customWidth="1"/>
    <col min="3" max="3" width="35.88671875" style="2158" customWidth="1"/>
    <col min="4" max="4" width="15.44140625" style="2158" customWidth="1"/>
    <col min="5" max="5" width="2.44140625" style="2158" customWidth="1"/>
    <col min="6" max="6" width="15.33203125" style="2158" customWidth="1"/>
    <col min="7" max="25" width="9.109375" style="2158"/>
    <col min="26" max="16384" width="9.109375" style="2161"/>
  </cols>
  <sheetData>
    <row r="1" spans="1:7">
      <c r="A1" s="5975" t="s">
        <v>1511</v>
      </c>
      <c r="B1" s="5975"/>
      <c r="C1" s="5975"/>
      <c r="D1" s="2169" t="s">
        <v>835</v>
      </c>
      <c r="E1" s="2168"/>
      <c r="F1" s="2170">
        <f>OPEN!$B$4</f>
        <v>237</v>
      </c>
      <c r="G1" s="2157" t="s">
        <v>754</v>
      </c>
    </row>
    <row r="2" spans="1:7">
      <c r="A2" s="5976" t="s">
        <v>1568</v>
      </c>
      <c r="B2" s="5976"/>
      <c r="C2" s="2160"/>
      <c r="D2" s="2166"/>
      <c r="E2" s="2160"/>
      <c r="F2" s="2171"/>
      <c r="G2" s="2157"/>
    </row>
    <row r="3" spans="1:7">
      <c r="A3" s="5977">
        <f>OpenData!$N$3</f>
        <v>44348</v>
      </c>
      <c r="B3" s="5977"/>
      <c r="C3" s="2160"/>
      <c r="D3" s="2166"/>
      <c r="E3" s="2160"/>
      <c r="F3" s="2171"/>
      <c r="G3" s="2157"/>
    </row>
    <row r="4" spans="1:7">
      <c r="A4" s="2167"/>
      <c r="B4" s="2167"/>
      <c r="D4" s="2166"/>
      <c r="E4" s="2160"/>
      <c r="F4" s="2171"/>
      <c r="G4" s="2157"/>
    </row>
    <row r="5" spans="1:7">
      <c r="B5" s="5973" t="s">
        <v>1568</v>
      </c>
      <c r="C5" s="5973"/>
      <c r="D5" s="5973"/>
    </row>
    <row r="6" spans="1:7">
      <c r="B6" s="5973" t="s">
        <v>1569</v>
      </c>
      <c r="C6" s="5973"/>
      <c r="D6" s="5973"/>
    </row>
    <row r="7" spans="1:7">
      <c r="B7" s="5973"/>
      <c r="C7" s="5973"/>
      <c r="D7" s="5973"/>
    </row>
    <row r="8" spans="1:7">
      <c r="B8" s="5973" t="str">
        <f>OpenData!N2&amp;" State Aid  for Transportation to"</f>
        <v>2021-2022 State Aid  for Transportation to</v>
      </c>
      <c r="C8" s="5973"/>
      <c r="D8" s="5973"/>
      <c r="E8" s="5973"/>
    </row>
    <row r="9" spans="1:7">
      <c r="B9" s="5973" t="s">
        <v>1570</v>
      </c>
      <c r="C9" s="5973"/>
      <c r="D9" s="5973"/>
      <c r="E9" s="5973"/>
    </row>
    <row r="10" spans="1:7">
      <c r="B10" s="2172"/>
      <c r="C10" s="2172"/>
      <c r="D10" s="2172"/>
      <c r="E10" s="2172"/>
    </row>
    <row r="11" spans="1:7">
      <c r="B11" s="2165" t="s">
        <v>1571</v>
      </c>
      <c r="C11" s="2165"/>
      <c r="D11" s="2165"/>
      <c r="E11" s="2165"/>
    </row>
    <row r="12" spans="1:7">
      <c r="B12" s="5974" t="s">
        <v>1572</v>
      </c>
      <c r="C12" s="5974"/>
      <c r="D12" s="5974"/>
      <c r="E12" s="5974"/>
    </row>
    <row r="14" spans="1:7">
      <c r="B14" s="2173" t="s">
        <v>1573</v>
      </c>
    </row>
    <row r="15" spans="1:7">
      <c r="B15" s="2158" t="s">
        <v>1574</v>
      </c>
    </row>
    <row r="16" spans="1:7">
      <c r="B16" s="2174"/>
      <c r="C16" s="2158" t="str">
        <f>"times amount per mile ("&amp;  OpenData!$R$36&amp; " per mile)"</f>
        <v>times amount per mile ($1.45 per mile)</v>
      </c>
      <c r="E16" s="2162" t="s">
        <v>907</v>
      </c>
      <c r="F16" s="2164">
        <f>ROUND(B16*OpenData!$Q$36,0)</f>
        <v>0</v>
      </c>
    </row>
    <row r="19" spans="2:10">
      <c r="B19" s="2173" t="s">
        <v>4610</v>
      </c>
    </row>
    <row r="20" spans="2:10">
      <c r="B20" s="2158" t="s">
        <v>1574</v>
      </c>
    </row>
    <row r="21" spans="2:10">
      <c r="B21" s="2174"/>
      <c r="C21" s="2158" t="str">
        <f>"times amount per mile ("&amp; OpenData!$R$37&amp; " per mile)"</f>
        <v>times amount per mile ($1.15 per mile)</v>
      </c>
      <c r="E21" s="2162" t="s">
        <v>907</v>
      </c>
      <c r="F21" s="2164">
        <f>ROUND(B21*OpenData!$Q$37,0)</f>
        <v>0</v>
      </c>
    </row>
    <row r="24" spans="2:10">
      <c r="B24" s="2173" t="s">
        <v>4611</v>
      </c>
    </row>
    <row r="25" spans="2:10">
      <c r="B25" s="2158" t="s">
        <v>1574</v>
      </c>
    </row>
    <row r="26" spans="2:10">
      <c r="B26" s="2174"/>
      <c r="C26" s="2158" t="str">
        <f>"times amount per mile (" &amp; OpenData!$R$38&amp; " per mile)"</f>
        <v>times amount per mile ($.90 per mile)</v>
      </c>
      <c r="E26" s="2162" t="s">
        <v>907</v>
      </c>
      <c r="F26" s="2164">
        <f>ROUND(B26*OpenData!$Q$38,0)</f>
        <v>0</v>
      </c>
    </row>
    <row r="27" spans="2:10">
      <c r="J27" s="2159"/>
    </row>
    <row r="29" spans="2:10">
      <c r="D29" s="2158" t="s">
        <v>884</v>
      </c>
      <c r="E29" s="2162" t="s">
        <v>907</v>
      </c>
      <c r="F29" s="2164">
        <f>SUM(F16:F26)</f>
        <v>0</v>
      </c>
    </row>
    <row r="31" spans="2:10">
      <c r="D31" s="2158" t="str">
        <f>"Pro-ration " &amp; OpenData!O35</f>
        <v>Pro-ration 60%</v>
      </c>
      <c r="E31" s="2162" t="s">
        <v>907</v>
      </c>
      <c r="F31" s="2164">
        <f>ROUND(F29*OpenData!N35,0)</f>
        <v>0</v>
      </c>
    </row>
    <row r="34" spans="2:2">
      <c r="B34" s="2158" t="s">
        <v>1575</v>
      </c>
    </row>
    <row r="35" spans="2:2">
      <c r="B35" s="2158" t="s">
        <v>1576</v>
      </c>
    </row>
  </sheetData>
  <mergeCells count="9">
    <mergeCell ref="B8:E8"/>
    <mergeCell ref="B9:E9"/>
    <mergeCell ref="B12:E12"/>
    <mergeCell ref="B7:D7"/>
    <mergeCell ref="A1:C1"/>
    <mergeCell ref="A2:B2"/>
    <mergeCell ref="A3:B3"/>
    <mergeCell ref="B5:D5"/>
    <mergeCell ref="B6:D6"/>
  </mergeCells>
  <dataValidations count="1">
    <dataValidation type="decimal" operator="greaterThanOrEqual" showErrorMessage="1" errorTitle="Invalid Data Entry" error="Please enter a positive amount up to 1/10th decimal or press the delete key or enter zero." sqref="B16 B21 B26">
      <formula1>0</formula1>
    </dataValidation>
  </dataValidations>
  <hyperlinks>
    <hyperlink ref="G1" location="Contents!A1" display="Return to Contents page"/>
  </hyperlinks>
  <printOptions horizontalCentered="1"/>
  <pageMargins left="0.5" right="0.5" top="0.5" bottom="0.5" header="0.3" footer="0.3"/>
  <pageSetup orientation="portrait" r:id="rId1"/>
  <headerFooter alignWithMargins="0">
    <oddFooter>&amp;L&amp;"Open Sans Light,Regular"&amp;8&amp;D  &amp;T&amp;C&amp;"Open Sans Light,Regular"&amp;8Page &amp;P&amp;R&amp;"Open Sans Light,Regular"&amp;8Form 196</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6" tint="-0.249977111117893"/>
  </sheetPr>
  <dimension ref="A1:Z30"/>
  <sheetViews>
    <sheetView showGridLines="0" zoomScaleNormal="100" zoomScaleSheetLayoutView="100" workbookViewId="0">
      <selection activeCell="I13" sqref="I13"/>
    </sheetView>
  </sheetViews>
  <sheetFormatPr defaultColWidth="9.109375" defaultRowHeight="13.2"/>
  <cols>
    <col min="1" max="1" width="8.88671875" style="459" customWidth="1"/>
    <col min="2" max="2" width="9.44140625" style="459" customWidth="1"/>
    <col min="3" max="3" width="16.33203125" style="459" customWidth="1"/>
    <col min="4" max="4" width="12.44140625" style="459" customWidth="1"/>
    <col min="5" max="5" width="12.33203125" style="459" customWidth="1"/>
    <col min="6" max="6" width="8.44140625" style="459" customWidth="1"/>
    <col min="7" max="7" width="11.44140625" style="459" customWidth="1"/>
    <col min="8" max="8" width="2" style="459" customWidth="1"/>
    <col min="9" max="9" width="14.44140625" style="459" customWidth="1"/>
    <col min="10" max="10" width="3" style="459" customWidth="1"/>
    <col min="11" max="11" width="21" style="459" customWidth="1"/>
    <col min="12" max="12" width="9.109375" style="459"/>
    <col min="13" max="13" width="17.44140625" style="459" customWidth="1"/>
    <col min="14" max="26" width="9.109375" style="459"/>
    <col min="27" max="16384" width="9.109375" style="4667"/>
  </cols>
  <sheetData>
    <row r="1" spans="1:13">
      <c r="A1" s="5972" t="s">
        <v>1511</v>
      </c>
      <c r="B1" s="5972"/>
      <c r="C1" s="5972"/>
      <c r="D1" s="5538"/>
      <c r="E1" s="5538"/>
      <c r="F1" s="5538"/>
      <c r="G1" s="5539"/>
      <c r="H1" s="5540"/>
      <c r="I1" s="5541" t="str">
        <f>"USD #"&amp;OPEN!$B$4</f>
        <v>USD #237</v>
      </c>
      <c r="J1" s="5538"/>
      <c r="K1" s="4891" t="s">
        <v>754</v>
      </c>
    </row>
    <row r="2" spans="1:13">
      <c r="A2" s="5971" t="s">
        <v>4867</v>
      </c>
      <c r="B2" s="5971"/>
      <c r="C2" s="5005"/>
      <c r="D2" s="5538"/>
      <c r="E2" s="5538"/>
      <c r="F2" s="5538"/>
      <c r="G2" s="5538"/>
      <c r="H2" s="5538"/>
      <c r="I2" s="5511">
        <f>OpenData!$N$3</f>
        <v>44348</v>
      </c>
      <c r="J2" s="5511"/>
      <c r="K2" s="5538"/>
    </row>
    <row r="3" spans="1:13">
      <c r="A3" s="5967"/>
      <c r="B3" s="5967"/>
      <c r="C3" s="5005"/>
      <c r="D3" s="5538"/>
      <c r="E3" s="5538"/>
      <c r="F3" s="5538"/>
      <c r="G3" s="5538"/>
      <c r="H3" s="5538"/>
      <c r="I3" s="5538"/>
      <c r="J3" s="5538"/>
      <c r="K3" s="5538"/>
    </row>
    <row r="4" spans="1:13" hidden="1">
      <c r="A4" s="5542"/>
      <c r="B4" s="5538"/>
      <c r="C4" s="5538"/>
      <c r="D4" s="5538"/>
      <c r="E4" s="5538"/>
      <c r="F4" s="5538"/>
      <c r="G4" s="5538"/>
      <c r="H4" s="5538"/>
      <c r="I4" s="5538"/>
      <c r="J4" s="5538"/>
      <c r="K4" s="5538"/>
    </row>
    <row r="5" spans="1:13">
      <c r="A5" s="5543" t="s">
        <v>1689</v>
      </c>
      <c r="B5" s="5544"/>
      <c r="C5" s="5544"/>
      <c r="D5" s="5544"/>
      <c r="E5" s="5544"/>
      <c r="F5" s="5544"/>
      <c r="G5" s="5544"/>
      <c r="H5" s="5544"/>
      <c r="I5" s="5544"/>
      <c r="J5" s="5538"/>
      <c r="K5" s="5538"/>
    </row>
    <row r="6" spans="1:13">
      <c r="A6" s="5978" t="str">
        <f>OpenData!$N$2&amp;" ESTIMATED SUPPLEMENTAL GENERAL (LOB) STATE AID"</f>
        <v>2021-2022 ESTIMATED SUPPLEMENTAL GENERAL (LOB) STATE AID</v>
      </c>
      <c r="B6" s="5978"/>
      <c r="C6" s="5978"/>
      <c r="D6" s="5978"/>
      <c r="E6" s="5978"/>
      <c r="F6" s="5978"/>
      <c r="G6" s="5978"/>
      <c r="H6" s="5978"/>
      <c r="I6" s="5978"/>
      <c r="J6" s="5538"/>
      <c r="K6" s="5538"/>
    </row>
    <row r="7" spans="1:13">
      <c r="A7" s="459" t="s">
        <v>1690</v>
      </c>
    </row>
    <row r="9" spans="1:13" hidden="1"/>
    <row r="10" spans="1:13">
      <c r="A10" s="459" t="str">
        <f>"1.  "&amp;OpenData!P14 &amp; " Adopted Supplemental General Fund Budget (cannot exceed Line 6 of Form 155)"</f>
        <v>1.  2021-22 Adopted Supplemental General Fund Budget (cannot exceed Line 6 of Form 155)</v>
      </c>
      <c r="H10" s="663" t="s">
        <v>907</v>
      </c>
      <c r="I10" s="5014">
        <f>'F155'!N23</f>
        <v>1299650</v>
      </c>
      <c r="M10" s="5545"/>
    </row>
    <row r="11" spans="1:13">
      <c r="I11" s="5010"/>
    </row>
    <row r="12" spans="1:13">
      <c r="A12" s="459" t="s">
        <v>1691</v>
      </c>
      <c r="I12" s="5010"/>
    </row>
    <row r="13" spans="1:13">
      <c r="B13" s="459" t="s">
        <v>1692</v>
      </c>
      <c r="C13" s="5546">
        <f>I10</f>
        <v>1299650</v>
      </c>
      <c r="D13" s="459" t="s">
        <v>1696</v>
      </c>
      <c r="E13" s="5547">
        <f>VLOOKUP(OPEN!$B$4,DATA!A4:BE289,28,FALSE)</f>
        <v>0.15340000000000001</v>
      </c>
      <c r="H13" s="663" t="s">
        <v>907</v>
      </c>
      <c r="I13" s="5014">
        <f>ROUND(C13*E13*OpenData!N47,0)</f>
        <v>199366</v>
      </c>
    </row>
    <row r="14" spans="1:13">
      <c r="I14" s="5010"/>
    </row>
    <row r="15" spans="1:13">
      <c r="A15" s="459" t="s">
        <v>1693</v>
      </c>
      <c r="H15" s="663" t="s">
        <v>1585</v>
      </c>
      <c r="I15" s="5548">
        <v>0</v>
      </c>
    </row>
    <row r="16" spans="1:13">
      <c r="I16" s="5010"/>
    </row>
    <row r="17" spans="1:11">
      <c r="A17" s="459" t="s">
        <v>1694</v>
      </c>
      <c r="H17" s="663" t="s">
        <v>907</v>
      </c>
      <c r="I17" s="5014">
        <f>I13-I15</f>
        <v>199366</v>
      </c>
    </row>
    <row r="18" spans="1:11" hidden="1"/>
    <row r="19" spans="1:11">
      <c r="A19" s="5549"/>
      <c r="B19" s="5549"/>
      <c r="C19" s="5549"/>
      <c r="D19" s="5549"/>
      <c r="E19" s="5549"/>
      <c r="F19" s="5549"/>
      <c r="G19" s="5549"/>
      <c r="H19" s="5549"/>
      <c r="I19" s="5549"/>
    </row>
    <row r="20" spans="1:11" hidden="1">
      <c r="A20" s="4526"/>
      <c r="B20" s="4526"/>
      <c r="C20" s="4526"/>
      <c r="D20" s="4526"/>
      <c r="E20" s="4526"/>
      <c r="F20" s="4526"/>
      <c r="G20" s="4526"/>
      <c r="H20" s="4526"/>
      <c r="I20" s="4526"/>
    </row>
    <row r="21" spans="1:11" ht="71.25" customHeight="1">
      <c r="A21" s="5972" t="str">
        <f>A1</f>
        <v>Kansas Department of Education</v>
      </c>
      <c r="B21" s="5972"/>
      <c r="C21" s="5972"/>
      <c r="I21" s="5550" t="str">
        <f>I1</f>
        <v>USD #237</v>
      </c>
    </row>
    <row r="22" spans="1:11">
      <c r="A22" s="5971" t="s">
        <v>4868</v>
      </c>
      <c r="B22" s="5971"/>
      <c r="C22" s="5005"/>
      <c r="D22" s="5544"/>
      <c r="E22" s="5544"/>
      <c r="F22" s="5544"/>
      <c r="G22" s="5544"/>
      <c r="H22" s="5544"/>
      <c r="I22" s="5551">
        <f>I2</f>
        <v>44348</v>
      </c>
    </row>
    <row r="23" spans="1:11">
      <c r="A23" s="5967"/>
      <c r="B23" s="5967"/>
      <c r="C23" s="5005"/>
      <c r="D23" s="5544"/>
      <c r="E23" s="5544"/>
      <c r="F23" s="5544"/>
      <c r="G23" s="5544"/>
      <c r="H23" s="5544"/>
      <c r="I23" s="5538"/>
    </row>
    <row r="24" spans="1:11" hidden="1">
      <c r="A24" s="5298"/>
      <c r="B24" s="5298"/>
      <c r="C24" s="5005"/>
      <c r="D24" s="5544"/>
      <c r="E24" s="5544"/>
      <c r="F24" s="5544"/>
      <c r="G24" s="5544"/>
      <c r="H24" s="5544"/>
      <c r="I24" s="5538"/>
    </row>
    <row r="25" spans="1:11">
      <c r="A25" s="5543" t="s">
        <v>1695</v>
      </c>
      <c r="B25" s="5544"/>
      <c r="C25" s="5544"/>
      <c r="D25" s="5544"/>
      <c r="E25" s="5544"/>
      <c r="F25" s="5544"/>
      <c r="G25" s="5544"/>
      <c r="H25" s="5544"/>
      <c r="I25" s="5544"/>
    </row>
    <row r="26" spans="1:11">
      <c r="A26" s="5978" t="str">
        <f>OpenData!$N$2&amp;" ESTIMATED CAPITAL OUTLAY STATE AID"</f>
        <v>2021-2022 ESTIMATED CAPITAL OUTLAY STATE AID</v>
      </c>
      <c r="B26" s="5978"/>
      <c r="C26" s="5978"/>
      <c r="D26" s="5978"/>
      <c r="E26" s="5978"/>
      <c r="F26" s="5978"/>
      <c r="G26" s="5978"/>
      <c r="H26" s="5978"/>
      <c r="I26" s="5978"/>
    </row>
    <row r="28" spans="1:11">
      <c r="A28" s="459" t="str">
        <f>"1.   Estimated " &amp; OpenData!Q5 &amp;" taxes levied in the Capital Outlay fund"</f>
        <v>1.   Estimated 2021 taxes levied in the Capital Outlay fund</v>
      </c>
      <c r="H28" s="663" t="s">
        <v>907</v>
      </c>
      <c r="I28" s="5014">
        <f>'C016'!F18</f>
        <v>407898</v>
      </c>
      <c r="K28" s="453" t="str">
        <f>IF(OPEN!A17&gt;0," ","*Capital Outlay Valuation is msissing on OPEN worksheet Cell A17.")</f>
        <v xml:space="preserve"> </v>
      </c>
    </row>
    <row r="29" spans="1:11">
      <c r="I29" s="5010"/>
    </row>
    <row r="30" spans="1:11">
      <c r="A30" s="459" t="s">
        <v>1703</v>
      </c>
      <c r="E30" s="5547">
        <f>VLOOKUP(OPEN!$B$4,DATA!A4:BE289,23,FALSE)</f>
        <v>0</v>
      </c>
      <c r="H30" s="663" t="s">
        <v>907</v>
      </c>
      <c r="I30" s="5014">
        <f>ROUND(I28*E30,0)</f>
        <v>0</v>
      </c>
    </row>
  </sheetData>
  <sheetProtection algorithmName="SHA-512" hashValue="5MRLTCLILoTM1oZ03ok5UHlCqrk/8EAo0cIYLcG8XliUNFCGZnzvbjiwq4FBuCMqpn8+Ioi0ol2GlEC912iT3A==" saltValue="M4jVZh8EXrxrnarsXpId1w==" spinCount="100000" sheet="1" objects="1" scenarios="1"/>
  <mergeCells count="8">
    <mergeCell ref="A6:I6"/>
    <mergeCell ref="A26:I26"/>
    <mergeCell ref="A1:C1"/>
    <mergeCell ref="A2:B2"/>
    <mergeCell ref="A3:B3"/>
    <mergeCell ref="A21:C21"/>
    <mergeCell ref="A22:B22"/>
    <mergeCell ref="A23:B23"/>
  </mergeCells>
  <dataValidations count="1">
    <dataValidation type="whole" operator="greaterThanOrEqual" allowBlank="1" showInputMessage="1" showErrorMessage="1" errorTitle="Invalid Data Entry" error="Please enter a positive number or press the delete key or enter zero." sqref="I15">
      <formula1>0</formula1>
    </dataValidation>
  </dataValidations>
  <hyperlinks>
    <hyperlink ref="K1" location="Contents!A1" display="Return to Contents page"/>
  </hyperlinks>
  <printOptions horizontalCentered="1"/>
  <pageMargins left="0.75" right="0.75" top="0.5" bottom="0.5" header="0.3" footer="0.3"/>
  <pageSetup scale="87" orientation="portrait" blackAndWhite="1" r:id="rId1"/>
  <headerFooter scaleWithDoc="0">
    <oddFooter>&amp;L&amp;"Open Sans Light,Regular"&amp;8&amp;D   &amp;T&amp;C&amp;"Open Sans Light,Regular"&amp;8Page &amp;P&amp;R&amp;"Open Sans Light,Regular"&amp;8Form 239</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6" tint="-0.249977111117893"/>
  </sheetPr>
  <dimension ref="A1:Z338"/>
  <sheetViews>
    <sheetView showGridLines="0" topLeftCell="A295" zoomScaleNormal="100" zoomScaleSheetLayoutView="100" workbookViewId="0">
      <selection sqref="A1:C1"/>
    </sheetView>
  </sheetViews>
  <sheetFormatPr defaultColWidth="10.6640625" defaultRowHeight="13.2"/>
  <cols>
    <col min="1" max="1" width="8.88671875" style="5538" customWidth="1"/>
    <col min="2" max="2" width="12" style="5538" customWidth="1"/>
    <col min="3" max="3" width="14.33203125" style="5538" customWidth="1"/>
    <col min="4" max="4" width="29.109375" style="5538" customWidth="1"/>
    <col min="5" max="5" width="12.33203125" style="5538" customWidth="1"/>
    <col min="6" max="6" width="2.44140625" style="5538" customWidth="1"/>
    <col min="7" max="7" width="8.88671875" style="5538" customWidth="1"/>
    <col min="8" max="8" width="2" style="5554" customWidth="1"/>
    <col min="9" max="9" width="14.33203125" style="5538" customWidth="1"/>
    <col min="10" max="10" width="3" style="5538" customWidth="1"/>
    <col min="11" max="11" width="21" style="5538" customWidth="1"/>
    <col min="12" max="12" width="3.33203125" style="5538" customWidth="1"/>
    <col min="13" max="13" width="14.109375" style="5538" customWidth="1"/>
    <col min="14" max="26" width="10.6640625" style="5538"/>
    <col min="27" max="16384" width="10.6640625" style="5552"/>
  </cols>
  <sheetData>
    <row r="1" spans="1:13" ht="14.85" customHeight="1">
      <c r="A1" s="5972" t="s">
        <v>1511</v>
      </c>
      <c r="B1" s="5972"/>
      <c r="C1" s="5972"/>
      <c r="G1" s="5539"/>
      <c r="H1" s="5539"/>
      <c r="I1" s="5541" t="str">
        <f>"USD #"&amp;OPEN!$B$4</f>
        <v>USD #237</v>
      </c>
      <c r="K1" s="4891" t="s">
        <v>754</v>
      </c>
    </row>
    <row r="2" spans="1:13" ht="14.85" customHeight="1">
      <c r="A2" s="4980" t="s">
        <v>4979</v>
      </c>
      <c r="B2" s="4980"/>
      <c r="C2" s="5553"/>
      <c r="I2" s="5511">
        <f>OpenData!$N$3</f>
        <v>44348</v>
      </c>
      <c r="J2" s="5511"/>
    </row>
    <row r="3" spans="1:13" ht="14.85" hidden="1" customHeight="1">
      <c r="A3" s="5967"/>
      <c r="B3" s="5967"/>
      <c r="C3" s="5005"/>
      <c r="D3" s="5544"/>
      <c r="E3" s="5544"/>
      <c r="F3" s="5544"/>
      <c r="G3" s="5544"/>
      <c r="I3" s="5544"/>
    </row>
    <row r="4" spans="1:13" hidden="1">
      <c r="A4" s="5544"/>
      <c r="B4" s="5544"/>
      <c r="C4" s="5544"/>
      <c r="D4" s="5544"/>
      <c r="E4" s="5544"/>
      <c r="F4" s="5544"/>
      <c r="G4" s="5544"/>
    </row>
    <row r="5" spans="1:13" ht="14.85" customHeight="1">
      <c r="A5" s="5978" t="s">
        <v>1577</v>
      </c>
      <c r="B5" s="5978"/>
      <c r="C5" s="5978"/>
      <c r="D5" s="5978"/>
      <c r="E5" s="5978"/>
      <c r="F5" s="5978"/>
      <c r="G5" s="5978"/>
      <c r="H5" s="5978"/>
      <c r="I5" s="5978"/>
    </row>
    <row r="6" spans="1:13" ht="14.85" customHeight="1">
      <c r="A6" s="5978" t="s">
        <v>1578</v>
      </c>
      <c r="B6" s="5978"/>
      <c r="C6" s="5978"/>
      <c r="D6" s="5978"/>
      <c r="E6" s="5978"/>
      <c r="F6" s="5978"/>
      <c r="G6" s="5978"/>
      <c r="H6" s="5978"/>
      <c r="I6" s="5978"/>
    </row>
    <row r="7" spans="1:13" ht="14.85" customHeight="1">
      <c r="A7" s="5978" t="str">
        <f>OpenData!$N$2&amp;" ESTIMATED BOND AND INTEREST STATE AID"</f>
        <v>2021-2022 ESTIMATED BOND AND INTEREST STATE AID</v>
      </c>
      <c r="B7" s="5978"/>
      <c r="C7" s="5978"/>
      <c r="D7" s="5978"/>
      <c r="E7" s="5978"/>
      <c r="F7" s="5978"/>
      <c r="G7" s="5978"/>
      <c r="H7" s="5978"/>
      <c r="I7" s="5978"/>
    </row>
    <row r="8" spans="1:13" ht="14.85" customHeight="1">
      <c r="A8" s="5981" t="s">
        <v>1579</v>
      </c>
      <c r="B8" s="5981"/>
      <c r="C8" s="5981"/>
      <c r="D8" s="5981"/>
      <c r="E8" s="5981"/>
      <c r="F8" s="5981"/>
      <c r="G8" s="5981"/>
      <c r="H8" s="5981"/>
      <c r="I8" s="5981"/>
      <c r="M8" s="5555"/>
    </row>
    <row r="9" spans="1:13" ht="14.85" hidden="1" customHeight="1">
      <c r="B9" s="5556"/>
      <c r="C9" s="5556"/>
      <c r="D9" s="5556"/>
      <c r="E9" s="5556"/>
      <c r="F9" s="5556"/>
      <c r="G9" s="5556"/>
      <c r="I9" s="5556"/>
    </row>
    <row r="10" spans="1:13" ht="14.85" customHeight="1">
      <c r="A10" s="5538" t="s">
        <v>1580</v>
      </c>
      <c r="B10" s="5556"/>
      <c r="C10" s="5556"/>
      <c r="D10" s="5556"/>
      <c r="E10" s="5556"/>
      <c r="F10" s="5556"/>
      <c r="G10" s="5556"/>
      <c r="I10" s="5556"/>
    </row>
    <row r="11" spans="1:13" ht="14.85" customHeight="1">
      <c r="A11" s="5538" t="s">
        <v>1581</v>
      </c>
      <c r="B11" s="5556"/>
      <c r="C11" s="5556"/>
      <c r="D11" s="5556"/>
      <c r="E11" s="5556"/>
      <c r="F11" s="5556"/>
      <c r="G11" s="5556"/>
      <c r="I11" s="5556"/>
    </row>
    <row r="12" spans="1:13" ht="12.75" customHeight="1">
      <c r="A12" s="5556"/>
      <c r="B12" s="5556"/>
      <c r="C12" s="5556"/>
      <c r="D12" s="5556"/>
      <c r="E12" s="5556"/>
      <c r="F12" s="5556"/>
      <c r="G12" s="5556"/>
      <c r="I12" s="5556"/>
    </row>
    <row r="13" spans="1:13" ht="14.85" customHeight="1">
      <c r="A13" s="5538" t="str">
        <f>"1.  Estimated "&amp;OpenData!$P$4&amp;" bond and interest fund payments"</f>
        <v>1.  Estimated 2021-2022 bond and interest fund payments</v>
      </c>
      <c r="H13" s="5554" t="s">
        <v>907</v>
      </c>
      <c r="I13" s="5557">
        <v>0</v>
      </c>
      <c r="K13" s="5538" t="str">
        <f>IF(OPEN!$B$4=113,"USD 113 enters payments for old USD 441 bonds here","")</f>
        <v/>
      </c>
    </row>
    <row r="14" spans="1:13" ht="12.75" customHeight="1">
      <c r="I14" s="5558"/>
    </row>
    <row r="15" spans="1:13" ht="14.85" customHeight="1">
      <c r="A15" s="5538" t="s">
        <v>1582</v>
      </c>
      <c r="H15" s="5554" t="s">
        <v>907</v>
      </c>
      <c r="I15" s="5557">
        <v>0</v>
      </c>
    </row>
    <row r="16" spans="1:13" ht="12.75" customHeight="1">
      <c r="I16" s="5559"/>
    </row>
    <row r="17" spans="1:13" ht="14.85" customHeight="1">
      <c r="A17" s="5538" t="s">
        <v>1583</v>
      </c>
      <c r="E17" s="5560">
        <f>VLOOKUP(OPEN!$B$4,DATA!A4:BE289,26,FALSE)</f>
        <v>0</v>
      </c>
      <c r="G17" s="5554"/>
      <c r="H17" s="5554" t="s">
        <v>907</v>
      </c>
      <c r="I17" s="5561">
        <f>(I13-I15)*E17</f>
        <v>0</v>
      </c>
      <c r="K17" s="5562"/>
    </row>
    <row r="18" spans="1:13" ht="12.75" customHeight="1">
      <c r="I18" s="5559"/>
    </row>
    <row r="19" spans="1:13" ht="14.85" customHeight="1">
      <c r="A19" s="5538" t="s">
        <v>1584</v>
      </c>
      <c r="H19" s="5539" t="s">
        <v>1585</v>
      </c>
      <c r="I19" s="5557">
        <v>0</v>
      </c>
    </row>
    <row r="20" spans="1:13" ht="12.75" customHeight="1">
      <c r="I20" s="5558"/>
    </row>
    <row r="21" spans="1:13" ht="14.85" customHeight="1">
      <c r="A21" s="5563" t="s">
        <v>4873</v>
      </c>
      <c r="H21" s="5554" t="s">
        <v>907</v>
      </c>
      <c r="I21" s="5561">
        <f>IF((I17-I19)&lt;0,0,I17-I19)</f>
        <v>0</v>
      </c>
    </row>
    <row r="22" spans="1:13" ht="14.85" customHeight="1">
      <c r="A22" s="5538" t="str">
        <f>"     (July 1, "&amp;OpenData!$Q$5&amp;" through June 30, "&amp;OpenData!$S$5&amp;") (Line 3 - Line 4)"</f>
        <v xml:space="preserve">     (July 1, 2021 through June 30, 2022) (Line 3 - Line 4)</v>
      </c>
      <c r="B22" s="5563"/>
      <c r="C22" s="5563"/>
      <c r="D22" s="5563"/>
      <c r="E22" s="5563"/>
      <c r="F22" s="5563"/>
      <c r="G22" s="5563"/>
      <c r="H22" s="5564"/>
      <c r="I22" s="5563"/>
    </row>
    <row r="23" spans="1:13" ht="12.75" customHeight="1"/>
    <row r="24" spans="1:13" ht="14.85" customHeight="1">
      <c r="A24" s="5565" t="str">
        <f>A1</f>
        <v>Kansas Department of Education</v>
      </c>
      <c r="B24" s="5565"/>
      <c r="C24" s="5565"/>
      <c r="D24" s="5565"/>
      <c r="E24" s="5565"/>
      <c r="F24" s="5565"/>
      <c r="G24" s="5565"/>
      <c r="H24" s="5566"/>
      <c r="I24" s="5567" t="str">
        <f>I1</f>
        <v>USD #237</v>
      </c>
    </row>
    <row r="25" spans="1:13" ht="14.85" customHeight="1">
      <c r="A25" s="5563" t="str">
        <f>A2</f>
        <v>Form 0-135-242</v>
      </c>
      <c r="B25" s="5563"/>
      <c r="C25" s="5563"/>
      <c r="D25" s="5563"/>
      <c r="E25" s="5563"/>
      <c r="F25" s="5563"/>
      <c r="G25" s="5563"/>
      <c r="H25" s="5564"/>
      <c r="I25" s="5511">
        <f>I2</f>
        <v>44348</v>
      </c>
    </row>
    <row r="26" spans="1:13" ht="14.85" customHeight="1">
      <c r="A26" s="5979" t="s">
        <v>4869</v>
      </c>
      <c r="B26" s="5979"/>
      <c r="C26" s="5979"/>
      <c r="D26" s="5979"/>
      <c r="E26" s="5979"/>
      <c r="F26" s="5979"/>
      <c r="G26" s="5979"/>
      <c r="H26" s="5979"/>
      <c r="I26" s="5979"/>
    </row>
    <row r="27" spans="1:13" ht="14.85" customHeight="1">
      <c r="A27" s="5978" t="s">
        <v>1578</v>
      </c>
      <c r="B27" s="5978"/>
      <c r="C27" s="5978"/>
      <c r="D27" s="5978"/>
      <c r="E27" s="5978"/>
      <c r="F27" s="5978"/>
      <c r="G27" s="5978"/>
      <c r="H27" s="5978"/>
      <c r="I27" s="5978"/>
    </row>
    <row r="28" spans="1:13" ht="14.85" customHeight="1">
      <c r="A28" s="5978" t="str">
        <f>OpenData!$N$2&amp;" ESTIMATED BOND AND INTEREST STATE AID"</f>
        <v>2021-2022 ESTIMATED BOND AND INTEREST STATE AID</v>
      </c>
      <c r="B28" s="5978"/>
      <c r="C28" s="5978"/>
      <c r="D28" s="5978"/>
      <c r="E28" s="5978"/>
      <c r="F28" s="5978"/>
      <c r="G28" s="5978"/>
      <c r="H28" s="5978"/>
      <c r="I28" s="5978"/>
    </row>
    <row r="29" spans="1:13" ht="14.85" customHeight="1">
      <c r="A29" s="5981" t="s">
        <v>5124</v>
      </c>
      <c r="B29" s="5981"/>
      <c r="C29" s="5981"/>
      <c r="D29" s="5981"/>
      <c r="E29" s="5981"/>
      <c r="F29" s="5981"/>
      <c r="G29" s="5981"/>
      <c r="H29" s="5981"/>
      <c r="I29" s="5981"/>
      <c r="M29" s="5555"/>
    </row>
    <row r="30" spans="1:13" ht="14.85" hidden="1" customHeight="1">
      <c r="A30" s="5568"/>
      <c r="B30" s="5568"/>
      <c r="C30" s="5568"/>
      <c r="D30" s="5568"/>
      <c r="E30" s="5568"/>
      <c r="F30" s="5568"/>
      <c r="G30" s="5568"/>
      <c r="H30" s="5568"/>
      <c r="I30" s="5568"/>
    </row>
    <row r="31" spans="1:13" ht="14.85" customHeight="1">
      <c r="A31" s="5538" t="s">
        <v>1580</v>
      </c>
    </row>
    <row r="32" spans="1:13" ht="14.85" customHeight="1">
      <c r="A32" s="5538" t="s">
        <v>1581</v>
      </c>
    </row>
    <row r="33" spans="1:11" ht="12.75" customHeight="1"/>
    <row r="34" spans="1:11" ht="14.85" customHeight="1">
      <c r="A34" s="5538" t="str">
        <f>"1.  Estimated "&amp;OpenData!$P$4&amp;" bond and interest fund payments"</f>
        <v>1.  Estimated 2021-2022 bond and interest fund payments</v>
      </c>
      <c r="H34" s="5554" t="s">
        <v>907</v>
      </c>
      <c r="I34" s="5557">
        <v>0</v>
      </c>
      <c r="K34" s="5569"/>
    </row>
    <row r="35" spans="1:11" ht="12.75" customHeight="1">
      <c r="I35" s="5558"/>
    </row>
    <row r="36" spans="1:11" ht="14.85" customHeight="1">
      <c r="A36" s="5538" t="s">
        <v>1582</v>
      </c>
      <c r="H36" s="5554" t="s">
        <v>907</v>
      </c>
      <c r="I36" s="5557">
        <v>0</v>
      </c>
    </row>
    <row r="37" spans="1:11" ht="12.75" customHeight="1">
      <c r="I37" s="5559"/>
    </row>
    <row r="38" spans="1:11" ht="14.85" customHeight="1">
      <c r="A38" s="5538" t="s">
        <v>1583</v>
      </c>
      <c r="E38" s="5560">
        <f>VLOOKUP(OPEN!$B$4,DATA!A4:BE289,27,FALSE)</f>
        <v>0</v>
      </c>
      <c r="G38" s="5554"/>
      <c r="H38" s="5554" t="s">
        <v>907</v>
      </c>
      <c r="I38" s="5561">
        <f>(I34-I36)*E38</f>
        <v>0</v>
      </c>
      <c r="K38" s="5569"/>
    </row>
    <row r="39" spans="1:11" ht="12.75" customHeight="1">
      <c r="I39" s="5559"/>
    </row>
    <row r="40" spans="1:11" ht="14.85" customHeight="1">
      <c r="A40" s="5538" t="s">
        <v>1584</v>
      </c>
      <c r="H40" s="5539" t="s">
        <v>1585</v>
      </c>
      <c r="I40" s="5557">
        <v>0</v>
      </c>
    </row>
    <row r="41" spans="1:11" ht="12.75" customHeight="1">
      <c r="I41" s="5558"/>
    </row>
    <row r="42" spans="1:11" ht="14.85" customHeight="1">
      <c r="A42" s="5563" t="s">
        <v>4873</v>
      </c>
      <c r="H42" s="5554" t="s">
        <v>907</v>
      </c>
      <c r="I42" s="5561">
        <f>IF((I38-I40)&lt;0,0,I38-I40)</f>
        <v>0</v>
      </c>
    </row>
    <row r="43" spans="1:11" ht="14.85" customHeight="1">
      <c r="A43" s="5538" t="str">
        <f>"     (July 1, "&amp;OpenData!$Q$5&amp;" through June 30, "&amp;OpenData!$S$5&amp;") (Line 3 - Line 4)"</f>
        <v xml:space="preserve">     (July 1, 2021 through June 30, 2022) (Line 3 - Line 4)</v>
      </c>
      <c r="B43" s="5563"/>
      <c r="C43" s="5563"/>
      <c r="D43" s="5563"/>
      <c r="E43" s="5563"/>
      <c r="F43" s="5563"/>
      <c r="G43" s="5563"/>
      <c r="H43" s="5564"/>
      <c r="I43" s="5563"/>
    </row>
    <row r="44" spans="1:11" ht="12.75" customHeight="1"/>
    <row r="45" spans="1:11">
      <c r="A45" s="5565" t="str">
        <f>A1</f>
        <v>Kansas Department of Education</v>
      </c>
      <c r="B45" s="5565"/>
      <c r="C45" s="5565"/>
      <c r="D45" s="5565"/>
      <c r="E45" s="5565"/>
      <c r="F45" s="5565"/>
      <c r="G45" s="5565"/>
      <c r="H45" s="5566"/>
      <c r="I45" s="5567" t="str">
        <f>I1</f>
        <v>USD #237</v>
      </c>
    </row>
    <row r="46" spans="1:11">
      <c r="A46" s="5563" t="str">
        <f>A2</f>
        <v>Form 0-135-242</v>
      </c>
      <c r="B46" s="5563"/>
      <c r="C46" s="5563"/>
      <c r="D46" s="5563"/>
      <c r="E46" s="5563"/>
      <c r="F46" s="5563"/>
      <c r="G46" s="5563"/>
      <c r="H46" s="5564"/>
      <c r="I46" s="5511">
        <f>I2</f>
        <v>44348</v>
      </c>
      <c r="J46" s="5570"/>
      <c r="K46" s="5570"/>
    </row>
    <row r="47" spans="1:11" ht="12.75" hidden="1" customHeight="1">
      <c r="A47" s="5563"/>
      <c r="B47" s="5571"/>
      <c r="C47" s="5571"/>
      <c r="D47" s="5563"/>
      <c r="E47" s="5571"/>
      <c r="F47" s="5571"/>
      <c r="G47" s="5572"/>
      <c r="H47" s="5572"/>
      <c r="I47" s="5541"/>
    </row>
    <row r="48" spans="1:11" ht="14.85" customHeight="1">
      <c r="A48" s="5979" t="s">
        <v>4870</v>
      </c>
      <c r="B48" s="5979"/>
      <c r="C48" s="5979"/>
      <c r="D48" s="5979"/>
      <c r="E48" s="5979"/>
      <c r="F48" s="5979"/>
      <c r="G48" s="5979"/>
      <c r="H48" s="5979"/>
      <c r="I48" s="5979"/>
    </row>
    <row r="49" spans="1:14" ht="14.85" customHeight="1">
      <c r="A49" s="5978" t="s">
        <v>1578</v>
      </c>
      <c r="B49" s="5978"/>
      <c r="C49" s="5978"/>
      <c r="D49" s="5978"/>
      <c r="E49" s="5978"/>
      <c r="F49" s="5978"/>
      <c r="G49" s="5978"/>
      <c r="H49" s="5978"/>
      <c r="I49" s="5978"/>
    </row>
    <row r="50" spans="1:14" ht="14.85" customHeight="1">
      <c r="A50" s="5978" t="str">
        <f>OpenData!$N$2&amp;" ESTIMATED BOND AND INTEREST STATE AID"</f>
        <v>2021-2022 ESTIMATED BOND AND INTEREST STATE AID</v>
      </c>
      <c r="B50" s="5978"/>
      <c r="C50" s="5978"/>
      <c r="D50" s="5978"/>
      <c r="E50" s="5978"/>
      <c r="F50" s="5978"/>
      <c r="G50" s="5978"/>
      <c r="H50" s="5978"/>
      <c r="I50" s="5978"/>
    </row>
    <row r="51" spans="1:14" ht="14.85" customHeight="1">
      <c r="A51" s="5980" t="s">
        <v>3051</v>
      </c>
      <c r="B51" s="5980"/>
      <c r="C51" s="5980"/>
      <c r="D51" s="5980"/>
      <c r="E51" s="5980"/>
      <c r="F51" s="5980"/>
      <c r="G51" s="5980"/>
      <c r="H51" s="5980"/>
      <c r="I51" s="5980"/>
    </row>
    <row r="52" spans="1:14" ht="14.85" hidden="1" customHeight="1">
      <c r="A52" s="5573"/>
      <c r="B52" s="5573"/>
      <c r="C52" s="5573"/>
      <c r="D52" s="5573"/>
      <c r="E52" s="5573"/>
      <c r="F52" s="5573"/>
      <c r="G52" s="5573"/>
      <c r="H52" s="5574"/>
      <c r="I52" s="5573"/>
    </row>
    <row r="53" spans="1:14" ht="14.85" customHeight="1">
      <c r="A53" s="5538" t="s">
        <v>1580</v>
      </c>
    </row>
    <row r="54" spans="1:14" ht="14.85" customHeight="1">
      <c r="A54" s="5538" t="s">
        <v>1581</v>
      </c>
    </row>
    <row r="55" spans="1:14" ht="12.75" customHeight="1"/>
    <row r="56" spans="1:14" ht="14.85" customHeight="1">
      <c r="A56" s="5538" t="str">
        <f>"1.  Estimated "&amp;OpenData!$P$4&amp;" bond and interest fund payments"</f>
        <v>1.  Estimated 2021-2022 bond and interest fund payments</v>
      </c>
      <c r="H56" s="5554" t="s">
        <v>907</v>
      </c>
      <c r="I56" s="5557">
        <v>0</v>
      </c>
      <c r="M56" s="5569"/>
    </row>
    <row r="57" spans="1:14" ht="12.75" customHeight="1">
      <c r="I57" s="5558"/>
    </row>
    <row r="58" spans="1:14" ht="14.85" customHeight="1">
      <c r="A58" s="5538" t="s">
        <v>1582</v>
      </c>
      <c r="H58" s="5554" t="s">
        <v>907</v>
      </c>
      <c r="I58" s="5557">
        <v>0</v>
      </c>
    </row>
    <row r="59" spans="1:14" ht="12.75" customHeight="1">
      <c r="F59" s="5575"/>
      <c r="G59" s="5575" t="s">
        <v>3053</v>
      </c>
      <c r="I59" s="5559"/>
    </row>
    <row r="60" spans="1:14" ht="14.85" customHeight="1">
      <c r="A60" s="5538" t="s">
        <v>1583</v>
      </c>
      <c r="E60" s="5560">
        <f>VLOOKUP(OPEN!$B$4,DATA!A4:BE289,27,FALSE)</f>
        <v>0</v>
      </c>
      <c r="F60" s="5576" t="s">
        <v>1380</v>
      </c>
      <c r="G60" s="5577">
        <f>VLOOKUP(OPEN!$B$4,DATA!A4:BE289,53,FALSE)*100</f>
        <v>100</v>
      </c>
      <c r="H60" s="5578" t="s">
        <v>3052</v>
      </c>
      <c r="I60" s="5561">
        <f>ROUND((I56-I58)*E60,0)*G60/100</f>
        <v>0</v>
      </c>
      <c r="M60" s="5555"/>
    </row>
    <row r="61" spans="1:14" ht="12.75" customHeight="1">
      <c r="I61" s="5559"/>
    </row>
    <row r="62" spans="1:14" ht="14.85" customHeight="1">
      <c r="A62" s="5538" t="s">
        <v>1584</v>
      </c>
      <c r="H62" s="5539" t="s">
        <v>1585</v>
      </c>
      <c r="I62" s="5557">
        <v>0</v>
      </c>
    </row>
    <row r="63" spans="1:14" ht="12.75" customHeight="1">
      <c r="I63" s="5558"/>
    </row>
    <row r="64" spans="1:14" ht="14.85" customHeight="1">
      <c r="A64" s="5563" t="s">
        <v>4873</v>
      </c>
      <c r="H64" s="5554" t="s">
        <v>907</v>
      </c>
      <c r="I64" s="5561">
        <f>IF((I60-I62)&lt;0,0,I60-I62)</f>
        <v>0</v>
      </c>
      <c r="N64" s="5579"/>
    </row>
    <row r="65" spans="1:9" ht="14.85" customHeight="1">
      <c r="A65" s="5538" t="str">
        <f>"     (July 1, "&amp;OpenData!$Q$5&amp;" through June 30, "&amp;OpenData!$S$5&amp;") (Line 3 - Line 4)"</f>
        <v xml:space="preserve">     (July 1, 2021 through June 30, 2022) (Line 3 - Line 4)</v>
      </c>
      <c r="B65" s="5563"/>
      <c r="C65" s="5563"/>
      <c r="D65" s="5563"/>
      <c r="E65" s="5563"/>
      <c r="F65" s="5563"/>
      <c r="G65" s="5563"/>
      <c r="H65" s="5564"/>
      <c r="I65" s="5563"/>
    </row>
    <row r="66" spans="1:9">
      <c r="A66" s="5563"/>
      <c r="B66" s="5563"/>
      <c r="C66" s="5563"/>
      <c r="D66" s="5563"/>
      <c r="E66" s="5563"/>
      <c r="F66" s="5563"/>
      <c r="G66" s="5563"/>
      <c r="H66" s="5564"/>
      <c r="I66" s="5563"/>
    </row>
    <row r="67" spans="1:9">
      <c r="A67" s="5580"/>
      <c r="B67" s="5563"/>
      <c r="C67" s="5563"/>
      <c r="D67" s="5563"/>
      <c r="E67" s="5563"/>
      <c r="F67" s="5563"/>
      <c r="G67" s="5563"/>
      <c r="H67" s="5564"/>
      <c r="I67" s="5563"/>
    </row>
    <row r="68" spans="1:9">
      <c r="A68" s="5581"/>
      <c r="B68" s="5207"/>
      <c r="C68" s="5200"/>
      <c r="D68" s="5200"/>
      <c r="E68" s="5207"/>
      <c r="G68" s="661"/>
      <c r="I68" s="5200"/>
    </row>
    <row r="69" spans="1:9">
      <c r="A69" s="5581"/>
      <c r="B69" s="5207"/>
      <c r="C69" s="5200"/>
      <c r="D69" s="5200"/>
      <c r="E69" s="5207"/>
      <c r="G69" s="661"/>
      <c r="I69" s="5200"/>
    </row>
    <row r="70" spans="1:9">
      <c r="A70" s="5581"/>
      <c r="B70" s="5207"/>
      <c r="C70" s="5200"/>
      <c r="D70" s="5200"/>
      <c r="E70" s="5207"/>
      <c r="G70" s="661"/>
      <c r="I70" s="5200"/>
    </row>
    <row r="71" spans="1:9">
      <c r="A71" s="5581"/>
      <c r="B71" s="5207"/>
      <c r="C71" s="5200"/>
      <c r="D71" s="5200"/>
      <c r="E71" s="5207"/>
      <c r="G71" s="661"/>
      <c r="I71" s="5200"/>
    </row>
    <row r="72" spans="1:9">
      <c r="A72" s="5581"/>
      <c r="B72" s="5207"/>
      <c r="C72" s="5200"/>
      <c r="D72" s="5200"/>
      <c r="E72" s="5207"/>
      <c r="G72" s="661"/>
      <c r="I72" s="5200"/>
    </row>
    <row r="73" spans="1:9">
      <c r="A73" s="5581"/>
      <c r="B73" s="5207"/>
      <c r="C73" s="5200"/>
      <c r="D73" s="5200"/>
      <c r="E73" s="5207"/>
      <c r="G73" s="661"/>
      <c r="I73" s="5200"/>
    </row>
    <row r="74" spans="1:9">
      <c r="A74" s="5581"/>
      <c r="B74" s="5207"/>
      <c r="C74" s="5200"/>
      <c r="D74" s="5200"/>
      <c r="E74" s="5207"/>
      <c r="G74" s="661"/>
      <c r="I74" s="5200"/>
    </row>
    <row r="75" spans="1:9">
      <c r="A75" s="5581"/>
      <c r="B75" s="5207"/>
      <c r="C75" s="5200"/>
      <c r="D75" s="5200"/>
      <c r="E75" s="5207"/>
      <c r="G75" s="661"/>
      <c r="I75" s="5200"/>
    </row>
    <row r="76" spans="1:9">
      <c r="A76" s="5581"/>
      <c r="B76" s="5207"/>
      <c r="C76" s="5200"/>
      <c r="D76" s="5200"/>
      <c r="E76" s="5207"/>
      <c r="G76" s="661"/>
      <c r="I76" s="5200"/>
    </row>
    <row r="77" spans="1:9">
      <c r="A77" s="5581"/>
      <c r="B77" s="5207"/>
      <c r="C77" s="5200"/>
      <c r="D77" s="5200"/>
      <c r="E77" s="5207"/>
      <c r="G77" s="661"/>
      <c r="I77" s="5200"/>
    </row>
    <row r="78" spans="1:9">
      <c r="A78" s="5581"/>
      <c r="B78" s="5207"/>
      <c r="C78" s="5200"/>
      <c r="D78" s="5200"/>
      <c r="E78" s="5207"/>
      <c r="G78" s="661"/>
      <c r="I78" s="5200"/>
    </row>
    <row r="79" spans="1:9">
      <c r="A79" s="5581"/>
      <c r="B79" s="5207"/>
      <c r="C79" s="5200"/>
      <c r="D79" s="5200"/>
      <c r="E79" s="5207"/>
      <c r="G79" s="661"/>
      <c r="I79" s="5200"/>
    </row>
    <row r="80" spans="1:9">
      <c r="A80" s="5581"/>
      <c r="B80" s="5207"/>
      <c r="C80" s="5200"/>
      <c r="D80" s="5200"/>
      <c r="E80" s="5207"/>
      <c r="G80" s="661"/>
      <c r="I80" s="5200"/>
    </row>
    <row r="81" spans="1:9">
      <c r="A81" s="5581"/>
      <c r="B81" s="5207"/>
      <c r="C81" s="5200"/>
      <c r="D81" s="5200"/>
      <c r="E81" s="5207"/>
      <c r="G81" s="661"/>
      <c r="I81" s="5200"/>
    </row>
    <row r="82" spans="1:9">
      <c r="A82" s="5581"/>
      <c r="B82" s="5207"/>
      <c r="C82" s="5200"/>
      <c r="D82" s="5200"/>
      <c r="E82" s="5207"/>
      <c r="G82" s="661"/>
      <c r="I82" s="5200"/>
    </row>
    <row r="83" spans="1:9">
      <c r="A83" s="5581"/>
      <c r="B83" s="5207"/>
      <c r="C83" s="5200"/>
      <c r="D83" s="5200"/>
      <c r="E83" s="5207"/>
      <c r="G83" s="661"/>
      <c r="I83" s="5200"/>
    </row>
    <row r="84" spans="1:9">
      <c r="A84" s="5581"/>
      <c r="B84" s="5207"/>
      <c r="C84" s="5200"/>
      <c r="D84" s="5200"/>
      <c r="E84" s="5207"/>
      <c r="G84" s="661"/>
      <c r="I84" s="5200"/>
    </row>
    <row r="85" spans="1:9">
      <c r="A85" s="5581"/>
      <c r="B85" s="5207"/>
      <c r="C85" s="5200"/>
      <c r="D85" s="5200"/>
      <c r="E85" s="5207"/>
      <c r="G85" s="661"/>
      <c r="I85" s="5200"/>
    </row>
    <row r="86" spans="1:9">
      <c r="A86" s="5581"/>
      <c r="B86" s="5207"/>
      <c r="C86" s="5200"/>
      <c r="D86" s="5200"/>
      <c r="E86" s="5207"/>
      <c r="G86" s="661"/>
      <c r="I86" s="5200"/>
    </row>
    <row r="87" spans="1:9">
      <c r="A87" s="5581"/>
      <c r="B87" s="5207"/>
      <c r="C87" s="5200"/>
      <c r="D87" s="5200"/>
      <c r="E87" s="5207"/>
      <c r="G87" s="661"/>
      <c r="I87" s="5200"/>
    </row>
    <row r="88" spans="1:9">
      <c r="A88" s="5581"/>
      <c r="B88" s="5207"/>
      <c r="C88" s="5200"/>
      <c r="D88" s="5200"/>
      <c r="E88" s="5207"/>
      <c r="G88" s="661"/>
      <c r="I88" s="5200"/>
    </row>
    <row r="89" spans="1:9">
      <c r="A89" s="5581"/>
      <c r="B89" s="5207"/>
      <c r="C89" s="5200"/>
      <c r="D89" s="5200"/>
      <c r="E89" s="5207"/>
      <c r="G89" s="661"/>
      <c r="I89" s="5200"/>
    </row>
    <row r="90" spans="1:9">
      <c r="A90" s="5581"/>
      <c r="B90" s="5207"/>
      <c r="C90" s="5200"/>
      <c r="D90" s="5200"/>
      <c r="E90" s="5207"/>
      <c r="G90" s="661"/>
      <c r="I90" s="5200"/>
    </row>
    <row r="91" spans="1:9">
      <c r="A91" s="5581"/>
      <c r="B91" s="5207"/>
      <c r="C91" s="5200"/>
      <c r="D91" s="5200"/>
      <c r="E91" s="5207"/>
      <c r="G91" s="661"/>
      <c r="I91" s="5200"/>
    </row>
    <row r="92" spans="1:9">
      <c r="A92" s="5581"/>
      <c r="B92" s="5207"/>
      <c r="C92" s="5200"/>
      <c r="D92" s="5200"/>
      <c r="E92" s="5207"/>
      <c r="G92" s="661"/>
      <c r="I92" s="5200"/>
    </row>
    <row r="93" spans="1:9">
      <c r="A93" s="5581"/>
      <c r="B93" s="5207"/>
      <c r="C93" s="5200"/>
      <c r="D93" s="5200"/>
      <c r="E93" s="5207"/>
      <c r="G93" s="661"/>
      <c r="I93" s="5200"/>
    </row>
    <row r="94" spans="1:9">
      <c r="A94" s="5581"/>
      <c r="B94" s="5207"/>
      <c r="C94" s="5200"/>
      <c r="D94" s="5200"/>
      <c r="E94" s="5207"/>
      <c r="G94" s="661"/>
      <c r="I94" s="5200"/>
    </row>
    <row r="95" spans="1:9">
      <c r="A95" s="5581"/>
      <c r="B95" s="5207"/>
      <c r="C95" s="5200"/>
      <c r="D95" s="5200"/>
      <c r="E95" s="5207"/>
      <c r="G95" s="661"/>
      <c r="I95" s="5200"/>
    </row>
    <row r="96" spans="1:9">
      <c r="A96" s="5581"/>
      <c r="B96" s="5207"/>
      <c r="C96" s="5200"/>
      <c r="D96" s="5200"/>
      <c r="E96" s="5207"/>
      <c r="G96" s="661"/>
      <c r="I96" s="5200"/>
    </row>
    <row r="97" spans="1:9">
      <c r="A97" s="5581"/>
      <c r="B97" s="5207"/>
      <c r="C97" s="5200"/>
      <c r="D97" s="5200"/>
      <c r="E97" s="5207"/>
      <c r="G97" s="661"/>
      <c r="I97" s="5200"/>
    </row>
    <row r="98" spans="1:9">
      <c r="A98" s="5581"/>
      <c r="B98" s="5207"/>
      <c r="C98" s="5200"/>
      <c r="D98" s="5200"/>
      <c r="E98" s="5207"/>
      <c r="G98" s="661"/>
      <c r="I98" s="5200"/>
    </row>
    <row r="99" spans="1:9">
      <c r="A99" s="5581"/>
      <c r="B99" s="5207"/>
      <c r="C99" s="5200"/>
      <c r="D99" s="5200"/>
      <c r="E99" s="5207"/>
      <c r="G99" s="661"/>
      <c r="I99" s="5200"/>
    </row>
    <row r="100" spans="1:9">
      <c r="A100" s="5581"/>
      <c r="B100" s="5207"/>
      <c r="C100" s="5200"/>
      <c r="D100" s="5200"/>
      <c r="E100" s="5207"/>
      <c r="G100" s="661"/>
      <c r="I100" s="5200"/>
    </row>
    <row r="101" spans="1:9">
      <c r="A101" s="5581"/>
      <c r="B101" s="5207"/>
      <c r="C101" s="5200"/>
      <c r="D101" s="5200"/>
      <c r="E101" s="5207"/>
      <c r="G101" s="661"/>
      <c r="I101" s="5200"/>
    </row>
    <row r="102" spans="1:9">
      <c r="A102" s="5581"/>
      <c r="B102" s="5207"/>
      <c r="C102" s="5200"/>
      <c r="D102" s="5200"/>
      <c r="E102" s="5207"/>
      <c r="G102" s="661"/>
      <c r="I102" s="5200"/>
    </row>
    <row r="103" spans="1:9">
      <c r="A103" s="5581"/>
      <c r="B103" s="5207"/>
      <c r="C103" s="5200"/>
      <c r="D103" s="5200"/>
      <c r="E103" s="5207"/>
      <c r="G103" s="661"/>
      <c r="I103" s="5200"/>
    </row>
    <row r="104" spans="1:9">
      <c r="A104" s="5581"/>
      <c r="B104" s="5207"/>
      <c r="C104" s="5200"/>
      <c r="D104" s="5200"/>
      <c r="E104" s="5207"/>
      <c r="G104" s="661"/>
      <c r="I104" s="5200"/>
    </row>
    <row r="105" spans="1:9">
      <c r="A105" s="5581"/>
      <c r="B105" s="5207"/>
      <c r="C105" s="5200"/>
      <c r="D105" s="5200"/>
      <c r="E105" s="5207"/>
      <c r="G105" s="661"/>
      <c r="I105" s="5200"/>
    </row>
    <row r="106" spans="1:9">
      <c r="A106" s="5581"/>
      <c r="B106" s="5207"/>
      <c r="C106" s="5200"/>
      <c r="D106" s="5200"/>
      <c r="E106" s="5207"/>
      <c r="G106" s="661"/>
      <c r="I106" s="5200"/>
    </row>
    <row r="107" spans="1:9">
      <c r="A107" s="5581"/>
      <c r="B107" s="5207"/>
      <c r="C107" s="5200"/>
      <c r="D107" s="5200"/>
      <c r="E107" s="5207"/>
      <c r="G107" s="661"/>
      <c r="I107" s="5200"/>
    </row>
    <row r="108" spans="1:9">
      <c r="A108" s="5581"/>
      <c r="B108" s="5207"/>
      <c r="C108" s="5200"/>
      <c r="D108" s="5200"/>
      <c r="E108" s="5207"/>
      <c r="G108" s="661"/>
      <c r="I108" s="5200"/>
    </row>
    <row r="109" spans="1:9">
      <c r="A109" s="5581"/>
      <c r="B109" s="5207"/>
      <c r="C109" s="5200"/>
      <c r="D109" s="5200"/>
      <c r="E109" s="5207"/>
      <c r="G109" s="661"/>
      <c r="I109" s="5200"/>
    </row>
    <row r="110" spans="1:9">
      <c r="A110" s="5581"/>
      <c r="B110" s="5207"/>
      <c r="C110" s="5200"/>
      <c r="D110" s="5200"/>
      <c r="E110" s="5207"/>
      <c r="G110" s="661"/>
      <c r="I110" s="5200"/>
    </row>
    <row r="111" spans="1:9">
      <c r="A111" s="5581"/>
      <c r="B111" s="5207"/>
      <c r="C111" s="5200"/>
      <c r="D111" s="5200"/>
      <c r="E111" s="5207"/>
      <c r="G111" s="661"/>
      <c r="I111" s="5200"/>
    </row>
    <row r="112" spans="1:9">
      <c r="A112" s="5581"/>
      <c r="B112" s="5207"/>
      <c r="C112" s="5200"/>
      <c r="D112" s="5200"/>
      <c r="E112" s="5207"/>
      <c r="G112" s="661"/>
      <c r="I112" s="5200"/>
    </row>
    <row r="113" spans="1:9">
      <c r="A113" s="5581"/>
      <c r="B113" s="5207"/>
      <c r="C113" s="5200"/>
      <c r="D113" s="5200"/>
      <c r="E113" s="5207"/>
      <c r="G113" s="661"/>
      <c r="I113" s="5200"/>
    </row>
    <row r="114" spans="1:9">
      <c r="A114" s="5582"/>
      <c r="B114" s="5583"/>
      <c r="C114" s="5584"/>
      <c r="D114" s="5584"/>
      <c r="E114" s="5207"/>
      <c r="G114" s="661"/>
      <c r="I114" s="5200"/>
    </row>
    <row r="115" spans="1:9">
      <c r="A115" s="5581"/>
      <c r="B115" s="5207"/>
      <c r="C115" s="5200"/>
      <c r="D115" s="5200"/>
      <c r="E115" s="5207"/>
      <c r="G115" s="661"/>
      <c r="I115" s="5200"/>
    </row>
    <row r="116" spans="1:9">
      <c r="A116" s="5581"/>
      <c r="B116" s="5207"/>
      <c r="C116" s="5200"/>
      <c r="D116" s="5200"/>
      <c r="E116" s="5207"/>
      <c r="G116" s="661"/>
      <c r="I116" s="5200"/>
    </row>
    <row r="117" spans="1:9">
      <c r="A117" s="5581"/>
      <c r="B117" s="5207"/>
      <c r="C117" s="5200"/>
      <c r="D117" s="5200"/>
      <c r="E117" s="5207"/>
      <c r="G117" s="661"/>
      <c r="I117" s="5200"/>
    </row>
    <row r="118" spans="1:9">
      <c r="A118" s="5581"/>
      <c r="B118" s="5207"/>
      <c r="C118" s="5200"/>
      <c r="D118" s="5200"/>
      <c r="E118" s="5207"/>
      <c r="G118" s="661"/>
      <c r="I118" s="5200"/>
    </row>
    <row r="119" spans="1:9">
      <c r="A119" s="5581"/>
      <c r="B119" s="5207"/>
      <c r="C119" s="5200"/>
      <c r="D119" s="5200"/>
      <c r="E119" s="5207"/>
      <c r="G119" s="661"/>
      <c r="I119" s="5200"/>
    </row>
    <row r="120" spans="1:9">
      <c r="A120" s="5581"/>
      <c r="B120" s="5207"/>
      <c r="C120" s="5200"/>
      <c r="D120" s="5200"/>
      <c r="E120" s="5207"/>
      <c r="G120" s="661"/>
      <c r="I120" s="5200"/>
    </row>
    <row r="121" spans="1:9">
      <c r="A121" s="5581"/>
      <c r="B121" s="5207"/>
      <c r="C121" s="5200"/>
      <c r="D121" s="5200"/>
      <c r="E121" s="5207"/>
      <c r="G121" s="661"/>
      <c r="I121" s="5200"/>
    </row>
    <row r="122" spans="1:9">
      <c r="A122" s="5581"/>
      <c r="B122" s="5207"/>
      <c r="C122" s="5200"/>
      <c r="D122" s="5200"/>
      <c r="E122" s="5207"/>
      <c r="G122" s="661"/>
      <c r="I122" s="5200"/>
    </row>
    <row r="123" spans="1:9">
      <c r="A123" s="5581"/>
      <c r="B123" s="5207"/>
      <c r="C123" s="5200"/>
      <c r="D123" s="5200"/>
      <c r="E123" s="5207"/>
      <c r="G123" s="661"/>
      <c r="I123" s="5200"/>
    </row>
    <row r="124" spans="1:9">
      <c r="A124" s="5581"/>
      <c r="B124" s="5207"/>
      <c r="C124" s="5200"/>
      <c r="D124" s="5200"/>
      <c r="E124" s="5207"/>
      <c r="G124" s="661"/>
      <c r="I124" s="5200"/>
    </row>
    <row r="125" spans="1:9">
      <c r="A125" s="5581"/>
      <c r="B125" s="5207"/>
      <c r="C125" s="5200"/>
      <c r="D125" s="5200"/>
      <c r="E125" s="5207"/>
      <c r="G125" s="661"/>
      <c r="I125" s="5200"/>
    </row>
    <row r="126" spans="1:9">
      <c r="A126" s="5581"/>
      <c r="B126" s="5207"/>
      <c r="C126" s="5200"/>
      <c r="D126" s="5200"/>
      <c r="E126" s="5207"/>
      <c r="G126" s="661"/>
      <c r="I126" s="5200"/>
    </row>
    <row r="127" spans="1:9">
      <c r="A127" s="5581"/>
      <c r="B127" s="5207"/>
      <c r="C127" s="5200"/>
      <c r="D127" s="5200"/>
      <c r="E127" s="5207"/>
      <c r="G127" s="661"/>
      <c r="I127" s="5200"/>
    </row>
    <row r="128" spans="1:9">
      <c r="A128" s="5581"/>
      <c r="B128" s="5207"/>
      <c r="C128" s="5200"/>
      <c r="D128" s="5200"/>
      <c r="E128" s="5207"/>
      <c r="G128" s="661"/>
      <c r="I128" s="5200"/>
    </row>
    <row r="129" spans="1:9">
      <c r="A129" s="5581"/>
      <c r="B129" s="5207"/>
      <c r="C129" s="5200"/>
      <c r="D129" s="5200"/>
      <c r="E129" s="5207"/>
      <c r="G129" s="661"/>
      <c r="I129" s="5200"/>
    </row>
    <row r="130" spans="1:9">
      <c r="A130" s="5581"/>
      <c r="B130" s="5207"/>
      <c r="C130" s="5200"/>
      <c r="D130" s="5200"/>
      <c r="E130" s="5207"/>
      <c r="G130" s="661"/>
      <c r="I130" s="5200"/>
    </row>
    <row r="131" spans="1:9">
      <c r="A131" s="5581"/>
      <c r="B131" s="5207"/>
      <c r="C131" s="5200"/>
      <c r="D131" s="5200"/>
      <c r="E131" s="5207"/>
      <c r="G131" s="661"/>
      <c r="I131" s="5200"/>
    </row>
    <row r="132" spans="1:9">
      <c r="A132" s="5581"/>
      <c r="B132" s="5207"/>
      <c r="C132" s="5200"/>
      <c r="D132" s="5200"/>
      <c r="E132" s="5207"/>
      <c r="G132" s="661"/>
      <c r="I132" s="5200"/>
    </row>
    <row r="133" spans="1:9">
      <c r="A133" s="5585"/>
      <c r="B133" s="5586"/>
      <c r="C133" s="5587"/>
      <c r="D133" s="5587"/>
      <c r="E133" s="5207"/>
      <c r="G133" s="661"/>
      <c r="I133" s="5200"/>
    </row>
    <row r="134" spans="1:9">
      <c r="A134" s="5581"/>
      <c r="B134" s="5207"/>
      <c r="C134" s="5200"/>
      <c r="D134" s="5200"/>
      <c r="E134" s="5207"/>
      <c r="G134" s="661"/>
      <c r="I134" s="5200"/>
    </row>
    <row r="135" spans="1:9">
      <c r="A135" s="5581"/>
      <c r="B135" s="5207"/>
      <c r="C135" s="5200"/>
      <c r="D135" s="5200"/>
      <c r="E135" s="5207"/>
      <c r="G135" s="661"/>
      <c r="I135" s="5200"/>
    </row>
    <row r="136" spans="1:9">
      <c r="A136" s="5581"/>
      <c r="B136" s="5207"/>
      <c r="C136" s="5200"/>
      <c r="D136" s="5200"/>
      <c r="E136" s="5207"/>
      <c r="G136" s="661"/>
      <c r="I136" s="5200"/>
    </row>
    <row r="137" spans="1:9">
      <c r="A137" s="5581"/>
      <c r="B137" s="5207"/>
      <c r="C137" s="5200"/>
      <c r="D137" s="5200"/>
      <c r="E137" s="5207"/>
      <c r="G137" s="661"/>
      <c r="I137" s="5200"/>
    </row>
    <row r="138" spans="1:9">
      <c r="A138" s="5581"/>
      <c r="B138" s="5207"/>
      <c r="C138" s="5200"/>
      <c r="D138" s="5200"/>
      <c r="E138" s="5207"/>
      <c r="G138" s="661"/>
      <c r="I138" s="5200"/>
    </row>
    <row r="139" spans="1:9">
      <c r="A139" s="5581"/>
      <c r="B139" s="5207"/>
      <c r="C139" s="5200"/>
      <c r="D139" s="5200"/>
      <c r="E139" s="5207"/>
      <c r="G139" s="661"/>
      <c r="I139" s="5200"/>
    </row>
    <row r="140" spans="1:9">
      <c r="A140" s="5581"/>
      <c r="B140" s="5207"/>
      <c r="C140" s="5200"/>
      <c r="D140" s="5200"/>
      <c r="E140" s="5207"/>
      <c r="G140" s="661"/>
      <c r="I140" s="5200"/>
    </row>
    <row r="141" spans="1:9">
      <c r="A141" s="5581"/>
      <c r="B141" s="5207"/>
      <c r="C141" s="5200"/>
      <c r="D141" s="5200"/>
      <c r="E141" s="5207"/>
      <c r="G141" s="661"/>
      <c r="I141" s="5200"/>
    </row>
    <row r="142" spans="1:9">
      <c r="A142" s="5581"/>
      <c r="B142" s="5207"/>
      <c r="C142" s="5200"/>
      <c r="D142" s="5200"/>
      <c r="E142" s="5207"/>
      <c r="G142" s="661"/>
      <c r="I142" s="5200"/>
    </row>
    <row r="143" spans="1:9">
      <c r="A143" s="5581"/>
      <c r="B143" s="5207"/>
      <c r="C143" s="5200"/>
      <c r="D143" s="5200"/>
      <c r="E143" s="5207"/>
      <c r="G143" s="661"/>
      <c r="I143" s="5200"/>
    </row>
    <row r="144" spans="1:9">
      <c r="A144" s="5581"/>
      <c r="B144" s="5207"/>
      <c r="C144" s="5200"/>
      <c r="D144" s="5200"/>
      <c r="E144" s="5207"/>
      <c r="G144" s="661"/>
      <c r="I144" s="5200"/>
    </row>
    <row r="145" spans="1:9">
      <c r="A145" s="5581"/>
      <c r="B145" s="5207"/>
      <c r="C145" s="5200"/>
      <c r="D145" s="5200"/>
      <c r="E145" s="5207"/>
      <c r="G145" s="661"/>
      <c r="I145" s="5200"/>
    </row>
    <row r="146" spans="1:9">
      <c r="A146" s="5581"/>
      <c r="B146" s="5207"/>
      <c r="C146" s="5200"/>
      <c r="D146" s="5200"/>
      <c r="E146" s="5207"/>
      <c r="G146" s="661"/>
      <c r="I146" s="5200"/>
    </row>
    <row r="147" spans="1:9">
      <c r="A147" s="5581"/>
      <c r="B147" s="5207"/>
      <c r="C147" s="5200"/>
      <c r="D147" s="5200"/>
      <c r="E147" s="5207"/>
      <c r="G147" s="661"/>
      <c r="I147" s="5200"/>
    </row>
    <row r="148" spans="1:9">
      <c r="A148" s="5581"/>
      <c r="B148" s="5207"/>
      <c r="C148" s="5200"/>
      <c r="D148" s="5200"/>
      <c r="E148" s="5207"/>
      <c r="G148" s="661"/>
      <c r="I148" s="5200"/>
    </row>
    <row r="149" spans="1:9">
      <c r="A149" s="5581"/>
      <c r="B149" s="5207"/>
      <c r="C149" s="5200"/>
      <c r="D149" s="5200"/>
      <c r="E149" s="5207"/>
      <c r="G149" s="661"/>
      <c r="I149" s="5200"/>
    </row>
    <row r="150" spans="1:9">
      <c r="A150" s="5581"/>
      <c r="B150" s="5207"/>
      <c r="C150" s="5200"/>
      <c r="D150" s="5200"/>
      <c r="E150" s="5207"/>
      <c r="G150" s="661"/>
      <c r="I150" s="5200"/>
    </row>
    <row r="151" spans="1:9">
      <c r="A151" s="5581"/>
      <c r="B151" s="5207"/>
      <c r="C151" s="5200"/>
      <c r="D151" s="5200"/>
      <c r="E151" s="5207"/>
      <c r="G151" s="661"/>
      <c r="I151" s="5200"/>
    </row>
    <row r="152" spans="1:9">
      <c r="A152" s="5581"/>
      <c r="B152" s="5207"/>
      <c r="C152" s="5200"/>
      <c r="D152" s="5200"/>
      <c r="E152" s="5207"/>
      <c r="G152" s="661"/>
      <c r="I152" s="5200"/>
    </row>
    <row r="153" spans="1:9">
      <c r="A153" s="5581"/>
      <c r="B153" s="5207"/>
      <c r="C153" s="5200"/>
      <c r="D153" s="5200"/>
      <c r="E153" s="5207"/>
      <c r="G153" s="661"/>
      <c r="I153" s="5200"/>
    </row>
    <row r="154" spans="1:9">
      <c r="A154" s="5581"/>
      <c r="B154" s="5207"/>
      <c r="C154" s="5200"/>
      <c r="D154" s="5200"/>
      <c r="E154" s="5207"/>
      <c r="G154" s="661"/>
      <c r="I154" s="5200"/>
    </row>
    <row r="155" spans="1:9">
      <c r="A155" s="5581"/>
      <c r="B155" s="5207"/>
      <c r="C155" s="5200"/>
      <c r="D155" s="5200"/>
      <c r="E155" s="5207"/>
      <c r="G155" s="661"/>
      <c r="I155" s="5200"/>
    </row>
    <row r="156" spans="1:9">
      <c r="A156" s="5581"/>
      <c r="B156" s="5207"/>
      <c r="C156" s="5200"/>
      <c r="D156" s="5200"/>
      <c r="E156" s="5207"/>
      <c r="G156" s="661"/>
      <c r="I156" s="5200"/>
    </row>
    <row r="157" spans="1:9">
      <c r="A157" s="5581"/>
      <c r="B157" s="5207"/>
      <c r="C157" s="5200"/>
      <c r="D157" s="5200"/>
      <c r="E157" s="5207"/>
      <c r="G157" s="661"/>
      <c r="I157" s="5200"/>
    </row>
    <row r="158" spans="1:9">
      <c r="A158" s="5581"/>
      <c r="B158" s="5207"/>
      <c r="C158" s="5200"/>
      <c r="D158" s="5200"/>
      <c r="E158" s="5207"/>
      <c r="G158" s="661"/>
      <c r="I158" s="5200"/>
    </row>
    <row r="159" spans="1:9">
      <c r="A159" s="5581"/>
      <c r="B159" s="5207"/>
      <c r="C159" s="5200"/>
      <c r="D159" s="5200"/>
      <c r="E159" s="5207"/>
      <c r="G159" s="661"/>
      <c r="I159" s="5200"/>
    </row>
    <row r="160" spans="1:9">
      <c r="A160" s="5581"/>
      <c r="B160" s="5207"/>
      <c r="C160" s="5200"/>
      <c r="D160" s="5200"/>
      <c r="E160" s="5207"/>
      <c r="G160" s="661"/>
      <c r="I160" s="5200"/>
    </row>
    <row r="161" spans="1:9">
      <c r="A161" s="5581"/>
      <c r="B161" s="5207"/>
      <c r="C161" s="5200"/>
      <c r="D161" s="5200"/>
      <c r="E161" s="5207"/>
      <c r="G161" s="661"/>
      <c r="I161" s="5200"/>
    </row>
    <row r="162" spans="1:9">
      <c r="A162" s="5581"/>
      <c r="B162" s="5207"/>
      <c r="C162" s="5200"/>
      <c r="D162" s="5200"/>
      <c r="E162" s="5207"/>
      <c r="G162" s="661"/>
      <c r="I162" s="5200"/>
    </row>
    <row r="163" spans="1:9">
      <c r="A163" s="5581"/>
      <c r="B163" s="5207"/>
      <c r="C163" s="5200"/>
      <c r="D163" s="5200"/>
      <c r="E163" s="5207"/>
      <c r="G163" s="661"/>
      <c r="I163" s="5200"/>
    </row>
    <row r="164" spans="1:9">
      <c r="A164" s="5581"/>
      <c r="B164" s="5207"/>
      <c r="C164" s="5200"/>
      <c r="D164" s="5200"/>
      <c r="E164" s="5207"/>
      <c r="G164" s="661"/>
      <c r="I164" s="5200"/>
    </row>
    <row r="165" spans="1:9">
      <c r="A165" s="5581"/>
      <c r="B165" s="5207"/>
      <c r="C165" s="5200"/>
      <c r="D165" s="5200"/>
      <c r="E165" s="5207"/>
      <c r="G165" s="661"/>
      <c r="I165" s="5200"/>
    </row>
    <row r="166" spans="1:9">
      <c r="A166" s="5581"/>
      <c r="B166" s="5207"/>
      <c r="C166" s="5200"/>
      <c r="D166" s="5200"/>
      <c r="E166" s="5207"/>
      <c r="G166" s="661"/>
      <c r="I166" s="5200"/>
    </row>
    <row r="167" spans="1:9">
      <c r="A167" s="5581"/>
      <c r="B167" s="5207"/>
      <c r="C167" s="5200"/>
      <c r="D167" s="5200"/>
      <c r="E167" s="5207"/>
      <c r="G167" s="661"/>
      <c r="I167" s="5200"/>
    </row>
    <row r="168" spans="1:9">
      <c r="A168" s="5581"/>
      <c r="B168" s="5207"/>
      <c r="C168" s="5200"/>
      <c r="D168" s="5200"/>
      <c r="E168" s="5207"/>
      <c r="G168" s="661"/>
      <c r="I168" s="5200"/>
    </row>
    <row r="169" spans="1:9">
      <c r="A169" s="5581"/>
      <c r="B169" s="5207"/>
      <c r="C169" s="5200"/>
      <c r="D169" s="5200"/>
      <c r="E169" s="5207"/>
      <c r="G169" s="661"/>
      <c r="I169" s="5200"/>
    </row>
    <row r="170" spans="1:9">
      <c r="A170" s="5581"/>
      <c r="B170" s="5207"/>
      <c r="C170" s="5200"/>
      <c r="D170" s="5200"/>
      <c r="E170" s="5207"/>
      <c r="G170" s="661"/>
      <c r="I170" s="5200"/>
    </row>
    <row r="171" spans="1:9">
      <c r="A171" s="5581"/>
      <c r="B171" s="5207"/>
      <c r="C171" s="5200"/>
      <c r="D171" s="5200"/>
      <c r="E171" s="5207"/>
      <c r="G171" s="661"/>
      <c r="I171" s="5200"/>
    </row>
    <row r="172" spans="1:9">
      <c r="A172" s="5581"/>
      <c r="B172" s="5207"/>
      <c r="C172" s="5200"/>
      <c r="D172" s="5200"/>
      <c r="E172" s="5207"/>
      <c r="G172" s="661"/>
      <c r="I172" s="5200"/>
    </row>
    <row r="173" spans="1:9">
      <c r="A173" s="5581"/>
      <c r="B173" s="5207"/>
      <c r="C173" s="5200"/>
      <c r="D173" s="5200"/>
      <c r="E173" s="5207"/>
      <c r="G173" s="661"/>
      <c r="I173" s="5200"/>
    </row>
    <row r="174" spans="1:9">
      <c r="A174" s="5581"/>
      <c r="B174" s="5207"/>
      <c r="C174" s="5200"/>
      <c r="D174" s="5200"/>
      <c r="E174" s="5207"/>
      <c r="G174" s="661"/>
      <c r="I174" s="5200"/>
    </row>
    <row r="175" spans="1:9">
      <c r="A175" s="5581"/>
      <c r="B175" s="5207"/>
      <c r="C175" s="5200"/>
      <c r="D175" s="5200"/>
      <c r="E175" s="5207"/>
      <c r="G175" s="661"/>
      <c r="I175" s="5200"/>
    </row>
    <row r="176" spans="1:9">
      <c r="A176" s="5581"/>
      <c r="B176" s="5207"/>
      <c r="C176" s="5200"/>
      <c r="D176" s="5200"/>
      <c r="E176" s="5207"/>
      <c r="G176" s="661"/>
      <c r="I176" s="5200"/>
    </row>
    <row r="177" spans="1:9">
      <c r="A177" s="5581"/>
      <c r="B177" s="5207"/>
      <c r="C177" s="5200"/>
      <c r="D177" s="5200"/>
      <c r="E177" s="5207"/>
      <c r="G177" s="661"/>
      <c r="I177" s="5200"/>
    </row>
    <row r="178" spans="1:9">
      <c r="A178" s="5581"/>
      <c r="B178" s="5207"/>
      <c r="C178" s="5200"/>
      <c r="D178" s="5200"/>
      <c r="E178" s="5207"/>
      <c r="G178" s="661"/>
      <c r="I178" s="5200"/>
    </row>
    <row r="179" spans="1:9">
      <c r="A179" s="5581"/>
      <c r="B179" s="5207"/>
      <c r="C179" s="5200"/>
      <c r="D179" s="5200"/>
      <c r="E179" s="5207"/>
      <c r="G179" s="661"/>
      <c r="I179" s="5200"/>
    </row>
    <row r="180" spans="1:9">
      <c r="A180" s="5581"/>
      <c r="B180" s="5207"/>
      <c r="C180" s="5200"/>
      <c r="D180" s="5200"/>
      <c r="E180" s="5207"/>
      <c r="G180" s="661"/>
      <c r="I180" s="5200"/>
    </row>
    <row r="181" spans="1:9">
      <c r="A181" s="5581"/>
      <c r="B181" s="5207"/>
      <c r="C181" s="5200"/>
      <c r="D181" s="5200"/>
      <c r="E181" s="5207"/>
      <c r="G181" s="661"/>
      <c r="I181" s="5200"/>
    </row>
    <row r="182" spans="1:9">
      <c r="A182" s="5581"/>
      <c r="B182" s="5207"/>
      <c r="C182" s="5200"/>
      <c r="D182" s="5200"/>
      <c r="E182" s="5207"/>
      <c r="G182" s="661"/>
      <c r="I182" s="5200"/>
    </row>
    <row r="183" spans="1:9">
      <c r="A183" s="5581"/>
      <c r="B183" s="5207"/>
      <c r="C183" s="5200"/>
      <c r="D183" s="5200"/>
      <c r="E183" s="5207"/>
      <c r="G183" s="661"/>
      <c r="I183" s="5200"/>
    </row>
    <row r="184" spans="1:9">
      <c r="A184" s="5581"/>
      <c r="B184" s="5207"/>
      <c r="C184" s="5200"/>
      <c r="D184" s="5200"/>
      <c r="E184" s="5207"/>
      <c r="G184" s="661"/>
      <c r="I184" s="5200"/>
    </row>
    <row r="185" spans="1:9">
      <c r="A185" s="5581"/>
      <c r="B185" s="5207"/>
      <c r="C185" s="5200"/>
      <c r="D185" s="5200"/>
      <c r="E185" s="5207"/>
      <c r="G185" s="661"/>
      <c r="I185" s="5200"/>
    </row>
    <row r="186" spans="1:9">
      <c r="A186" s="5581"/>
      <c r="B186" s="5207"/>
      <c r="C186" s="5200"/>
      <c r="D186" s="5200"/>
      <c r="E186" s="5207"/>
      <c r="G186" s="661"/>
      <c r="I186" s="5200"/>
    </row>
    <row r="187" spans="1:9">
      <c r="A187" s="5581"/>
      <c r="B187" s="5207"/>
      <c r="C187" s="5200"/>
      <c r="D187" s="5200"/>
      <c r="E187" s="5207"/>
      <c r="G187" s="661"/>
      <c r="I187" s="5200"/>
    </row>
    <row r="188" spans="1:9">
      <c r="A188" s="5581"/>
      <c r="B188" s="5207"/>
      <c r="C188" s="5200"/>
      <c r="D188" s="5200"/>
      <c r="E188" s="5207"/>
      <c r="G188" s="661"/>
      <c r="I188" s="5200"/>
    </row>
    <row r="189" spans="1:9">
      <c r="A189" s="5581"/>
      <c r="B189" s="5207"/>
      <c r="C189" s="5200"/>
      <c r="D189" s="5200"/>
      <c r="E189" s="5207"/>
      <c r="G189" s="661"/>
      <c r="I189" s="5200"/>
    </row>
    <row r="190" spans="1:9">
      <c r="A190" s="5581"/>
      <c r="B190" s="5207"/>
      <c r="C190" s="5200"/>
      <c r="D190" s="5200"/>
      <c r="E190" s="5207"/>
      <c r="G190" s="661"/>
      <c r="I190" s="5200"/>
    </row>
    <row r="191" spans="1:9">
      <c r="A191" s="5581"/>
      <c r="B191" s="5207"/>
      <c r="C191" s="5200"/>
      <c r="D191" s="5200"/>
      <c r="E191" s="5207"/>
      <c r="G191" s="661"/>
      <c r="I191" s="5200"/>
    </row>
    <row r="192" spans="1:9">
      <c r="A192" s="5581"/>
      <c r="B192" s="5207"/>
      <c r="C192" s="5200"/>
      <c r="D192" s="5200"/>
      <c r="E192" s="5207"/>
      <c r="G192" s="661"/>
      <c r="I192" s="5200"/>
    </row>
    <row r="193" spans="1:9">
      <c r="A193" s="5581"/>
      <c r="B193" s="5207"/>
      <c r="C193" s="5200"/>
      <c r="D193" s="5200"/>
      <c r="E193" s="5207"/>
      <c r="G193" s="661"/>
      <c r="I193" s="5200"/>
    </row>
    <row r="194" spans="1:9">
      <c r="A194" s="5581"/>
      <c r="B194" s="5207"/>
      <c r="C194" s="5200"/>
      <c r="D194" s="5200"/>
      <c r="E194" s="5207"/>
      <c r="G194" s="661"/>
      <c r="I194" s="5200"/>
    </row>
    <row r="195" spans="1:9">
      <c r="A195" s="5581"/>
      <c r="B195" s="5207"/>
      <c r="C195" s="5200"/>
      <c r="D195" s="5200"/>
      <c r="E195" s="5207"/>
      <c r="G195" s="661"/>
      <c r="I195" s="5200"/>
    </row>
    <row r="196" spans="1:9">
      <c r="A196" s="5581"/>
      <c r="B196" s="5207"/>
      <c r="C196" s="5200"/>
      <c r="D196" s="5200"/>
      <c r="E196" s="5207"/>
      <c r="G196" s="661"/>
      <c r="I196" s="5200"/>
    </row>
    <row r="197" spans="1:9">
      <c r="A197" s="5581"/>
      <c r="B197" s="5207"/>
      <c r="C197" s="5200"/>
      <c r="D197" s="5200"/>
      <c r="E197" s="5207"/>
      <c r="G197" s="661"/>
      <c r="I197" s="5200"/>
    </row>
    <row r="198" spans="1:9">
      <c r="A198" s="5581"/>
      <c r="B198" s="5207"/>
      <c r="C198" s="5200"/>
      <c r="D198" s="5200"/>
      <c r="E198" s="5207"/>
      <c r="G198" s="661"/>
      <c r="I198" s="5200"/>
    </row>
    <row r="199" spans="1:9">
      <c r="A199" s="5581"/>
      <c r="B199" s="5207"/>
      <c r="C199" s="5200"/>
      <c r="D199" s="5200"/>
      <c r="E199" s="5207"/>
      <c r="G199" s="661"/>
      <c r="I199" s="5200"/>
    </row>
    <row r="200" spans="1:9">
      <c r="A200" s="5581"/>
      <c r="B200" s="5207"/>
      <c r="C200" s="5200"/>
      <c r="D200" s="5200"/>
      <c r="E200" s="5207"/>
      <c r="G200" s="661"/>
      <c r="I200" s="5200"/>
    </row>
    <row r="201" spans="1:9">
      <c r="A201" s="5581"/>
      <c r="B201" s="5207"/>
      <c r="C201" s="5200"/>
      <c r="D201" s="5200"/>
      <c r="E201" s="5207"/>
      <c r="G201" s="661"/>
      <c r="I201" s="5200"/>
    </row>
    <row r="202" spans="1:9">
      <c r="A202" s="5581"/>
      <c r="B202" s="5207"/>
      <c r="C202" s="5200"/>
      <c r="D202" s="5200"/>
      <c r="E202" s="5207"/>
      <c r="G202" s="661"/>
      <c r="I202" s="5200"/>
    </row>
    <row r="203" spans="1:9">
      <c r="A203" s="5581"/>
      <c r="B203" s="5207"/>
      <c r="C203" s="5200"/>
      <c r="D203" s="5200"/>
      <c r="E203" s="5207"/>
      <c r="G203" s="661"/>
      <c r="I203" s="5200"/>
    </row>
    <row r="204" spans="1:9">
      <c r="A204" s="5581"/>
      <c r="B204" s="5207"/>
      <c r="C204" s="5200"/>
      <c r="D204" s="5200"/>
      <c r="E204" s="5207"/>
      <c r="G204" s="661"/>
      <c r="I204" s="5200"/>
    </row>
    <row r="205" spans="1:9">
      <c r="A205" s="5581"/>
      <c r="B205" s="5207"/>
      <c r="C205" s="5200"/>
      <c r="D205" s="5200"/>
      <c r="E205" s="5207"/>
      <c r="G205" s="661"/>
      <c r="I205" s="5200"/>
    </row>
    <row r="206" spans="1:9">
      <c r="A206" s="5581"/>
      <c r="B206" s="5207"/>
      <c r="C206" s="5200"/>
      <c r="D206" s="5200"/>
      <c r="E206" s="5207"/>
      <c r="G206" s="661"/>
      <c r="I206" s="5200"/>
    </row>
    <row r="207" spans="1:9">
      <c r="A207" s="5581"/>
      <c r="B207" s="5207"/>
      <c r="C207" s="5200"/>
      <c r="D207" s="5200"/>
      <c r="E207" s="5207"/>
      <c r="G207" s="661"/>
      <c r="I207" s="5200"/>
    </row>
    <row r="208" spans="1:9">
      <c r="A208" s="5581"/>
      <c r="B208" s="5207"/>
      <c r="C208" s="5200"/>
      <c r="D208" s="5200"/>
      <c r="E208" s="5207"/>
      <c r="G208" s="661"/>
      <c r="I208" s="5200"/>
    </row>
    <row r="209" spans="1:9">
      <c r="A209" s="5581"/>
      <c r="B209" s="5207"/>
      <c r="C209" s="5200"/>
      <c r="D209" s="5200"/>
      <c r="E209" s="5207"/>
      <c r="G209" s="661"/>
      <c r="I209" s="5200"/>
    </row>
    <row r="210" spans="1:9">
      <c r="A210" s="5581"/>
      <c r="B210" s="5207"/>
      <c r="C210" s="5200"/>
      <c r="D210" s="5200"/>
      <c r="E210" s="5207"/>
      <c r="G210" s="661"/>
      <c r="I210" s="5200"/>
    </row>
    <row r="211" spans="1:9">
      <c r="A211" s="5581"/>
      <c r="B211" s="5207"/>
      <c r="C211" s="5200"/>
      <c r="D211" s="5200"/>
      <c r="E211" s="5207"/>
      <c r="G211" s="661"/>
      <c r="I211" s="5200"/>
    </row>
    <row r="212" spans="1:9">
      <c r="A212" s="5581"/>
      <c r="B212" s="5207"/>
      <c r="C212" s="5200"/>
      <c r="D212" s="5200"/>
      <c r="E212" s="5207"/>
      <c r="G212" s="661"/>
      <c r="I212" s="5200"/>
    </row>
    <row r="213" spans="1:9">
      <c r="A213" s="5581"/>
      <c r="B213" s="5207"/>
      <c r="C213" s="5200"/>
      <c r="D213" s="5200"/>
      <c r="E213" s="5207"/>
      <c r="G213" s="661"/>
      <c r="I213" s="5200"/>
    </row>
    <row r="214" spans="1:9">
      <c r="A214" s="5581"/>
      <c r="B214" s="5207"/>
      <c r="C214" s="5200"/>
      <c r="D214" s="5200"/>
      <c r="E214" s="5207"/>
      <c r="G214" s="661"/>
      <c r="I214" s="5200"/>
    </row>
    <row r="215" spans="1:9">
      <c r="A215" s="5581"/>
      <c r="B215" s="5207"/>
      <c r="C215" s="5200"/>
      <c r="D215" s="5200"/>
      <c r="E215" s="5207"/>
      <c r="G215" s="661"/>
      <c r="I215" s="5200"/>
    </row>
    <row r="216" spans="1:9">
      <c r="A216" s="5581"/>
      <c r="B216" s="5207"/>
      <c r="C216" s="5200"/>
      <c r="D216" s="5200"/>
      <c r="E216" s="5207"/>
      <c r="G216" s="661"/>
      <c r="I216" s="5200"/>
    </row>
    <row r="217" spans="1:9">
      <c r="A217" s="5581"/>
      <c r="B217" s="5207"/>
      <c r="C217" s="5200"/>
      <c r="D217" s="5200"/>
      <c r="E217" s="5207"/>
      <c r="G217" s="661"/>
      <c r="I217" s="5200"/>
    </row>
    <row r="218" spans="1:9">
      <c r="A218" s="5581"/>
      <c r="B218" s="5207"/>
      <c r="C218" s="5200"/>
      <c r="D218" s="5200"/>
      <c r="E218" s="5207"/>
      <c r="G218" s="661"/>
      <c r="I218" s="5200"/>
    </row>
    <row r="219" spans="1:9">
      <c r="A219" s="5581"/>
      <c r="B219" s="5207"/>
      <c r="C219" s="5200"/>
      <c r="D219" s="5200"/>
      <c r="E219" s="5207"/>
      <c r="G219" s="661"/>
      <c r="I219" s="5200"/>
    </row>
    <row r="220" spans="1:9">
      <c r="A220" s="5581"/>
      <c r="B220" s="5207"/>
      <c r="C220" s="5200"/>
      <c r="D220" s="5200"/>
      <c r="E220" s="5207"/>
      <c r="G220" s="661"/>
      <c r="I220" s="5200"/>
    </row>
    <row r="221" spans="1:9">
      <c r="A221" s="5581"/>
      <c r="B221" s="5207"/>
      <c r="C221" s="5200"/>
      <c r="D221" s="5200"/>
      <c r="E221" s="5207"/>
      <c r="G221" s="661"/>
      <c r="I221" s="5200"/>
    </row>
    <row r="222" spans="1:9">
      <c r="A222" s="5581"/>
      <c r="B222" s="5207"/>
      <c r="C222" s="5200"/>
      <c r="D222" s="5200"/>
      <c r="E222" s="5207"/>
      <c r="G222" s="661"/>
      <c r="I222" s="5200"/>
    </row>
    <row r="223" spans="1:9">
      <c r="A223" s="5581"/>
      <c r="B223" s="5207"/>
      <c r="C223" s="5200"/>
      <c r="D223" s="5200"/>
      <c r="E223" s="5207"/>
      <c r="G223" s="661"/>
      <c r="I223" s="5200"/>
    </row>
    <row r="224" spans="1:9">
      <c r="A224" s="5581"/>
      <c r="B224" s="5207"/>
      <c r="C224" s="5200"/>
      <c r="D224" s="5200"/>
      <c r="E224" s="5207"/>
      <c r="G224" s="661"/>
      <c r="I224" s="5200"/>
    </row>
    <row r="225" spans="1:9">
      <c r="A225" s="5581"/>
      <c r="B225" s="5207"/>
      <c r="C225" s="5200"/>
      <c r="D225" s="5200"/>
      <c r="E225" s="5207"/>
      <c r="G225" s="661"/>
      <c r="I225" s="5200"/>
    </row>
    <row r="226" spans="1:9">
      <c r="A226" s="5581"/>
      <c r="B226" s="5207"/>
      <c r="C226" s="5200"/>
      <c r="D226" s="5200"/>
      <c r="E226" s="5207"/>
      <c r="G226" s="661"/>
      <c r="I226" s="5200"/>
    </row>
    <row r="227" spans="1:9">
      <c r="A227" s="5581"/>
      <c r="B227" s="5207"/>
      <c r="C227" s="5200"/>
      <c r="D227" s="5200"/>
      <c r="E227" s="5207"/>
      <c r="G227" s="661"/>
      <c r="I227" s="5200"/>
    </row>
    <row r="228" spans="1:9">
      <c r="A228" s="5581"/>
      <c r="B228" s="5207"/>
      <c r="C228" s="5200"/>
      <c r="D228" s="5200"/>
      <c r="E228" s="5207"/>
      <c r="G228" s="661"/>
      <c r="I228" s="5200"/>
    </row>
    <row r="229" spans="1:9">
      <c r="A229" s="5585"/>
      <c r="B229" s="5586"/>
      <c r="C229" s="5587"/>
      <c r="D229" s="5587"/>
      <c r="E229" s="5207"/>
      <c r="G229" s="661"/>
      <c r="I229" s="5200"/>
    </row>
    <row r="230" spans="1:9">
      <c r="A230" s="5581"/>
      <c r="B230" s="5207"/>
      <c r="C230" s="5200"/>
      <c r="D230" s="5200"/>
      <c r="E230" s="5207"/>
      <c r="G230" s="661"/>
      <c r="I230" s="5200"/>
    </row>
    <row r="231" spans="1:9">
      <c r="A231" s="5581"/>
      <c r="B231" s="5207"/>
      <c r="C231" s="5200"/>
      <c r="D231" s="5200"/>
      <c r="E231" s="5207"/>
      <c r="G231" s="661"/>
      <c r="I231" s="5200"/>
    </row>
    <row r="232" spans="1:9">
      <c r="A232" s="5581"/>
      <c r="B232" s="5207"/>
      <c r="C232" s="5200"/>
      <c r="D232" s="5200"/>
      <c r="E232" s="5207"/>
      <c r="G232" s="661"/>
      <c r="I232" s="5200"/>
    </row>
    <row r="233" spans="1:9">
      <c r="A233" s="5581"/>
      <c r="B233" s="5207"/>
      <c r="C233" s="5200"/>
      <c r="D233" s="5200"/>
      <c r="E233" s="5207"/>
      <c r="G233" s="661"/>
      <c r="I233" s="5200"/>
    </row>
    <row r="234" spans="1:9">
      <c r="A234" s="5581"/>
      <c r="B234" s="5207"/>
      <c r="C234" s="5200"/>
      <c r="D234" s="5200"/>
      <c r="E234" s="5207"/>
      <c r="G234" s="661"/>
      <c r="I234" s="5200"/>
    </row>
    <row r="235" spans="1:9">
      <c r="A235" s="5581"/>
      <c r="B235" s="5207"/>
      <c r="C235" s="5200"/>
      <c r="D235" s="5200"/>
      <c r="E235" s="5207"/>
      <c r="G235" s="661"/>
      <c r="I235" s="5200"/>
    </row>
    <row r="236" spans="1:9">
      <c r="A236" s="5581"/>
      <c r="B236" s="5207"/>
      <c r="C236" s="5200"/>
      <c r="D236" s="5200"/>
      <c r="E236" s="5207"/>
      <c r="G236" s="661"/>
      <c r="I236" s="5200"/>
    </row>
    <row r="237" spans="1:9">
      <c r="A237" s="5581"/>
      <c r="B237" s="5207"/>
      <c r="C237" s="5200"/>
      <c r="D237" s="5200"/>
      <c r="E237" s="5207"/>
      <c r="G237" s="661"/>
      <c r="I237" s="5200"/>
    </row>
    <row r="238" spans="1:9">
      <c r="A238" s="5581"/>
      <c r="B238" s="5207"/>
      <c r="C238" s="5200"/>
      <c r="D238" s="5200"/>
      <c r="E238" s="5207"/>
      <c r="G238" s="661"/>
      <c r="I238" s="5200"/>
    </row>
    <row r="239" spans="1:9">
      <c r="A239" s="5581"/>
      <c r="B239" s="5207"/>
      <c r="C239" s="5200"/>
      <c r="D239" s="5200"/>
      <c r="E239" s="5207"/>
      <c r="G239" s="661"/>
      <c r="I239" s="5200"/>
    </row>
    <row r="240" spans="1:9">
      <c r="A240" s="5581"/>
      <c r="B240" s="5207"/>
      <c r="C240" s="5200"/>
      <c r="D240" s="5200"/>
      <c r="E240" s="5207"/>
      <c r="G240" s="661"/>
      <c r="I240" s="5200"/>
    </row>
    <row r="241" spans="1:9">
      <c r="A241" s="5581"/>
      <c r="B241" s="5207"/>
      <c r="C241" s="5200"/>
      <c r="D241" s="5200"/>
      <c r="E241" s="5207"/>
      <c r="G241" s="661"/>
      <c r="I241" s="5200"/>
    </row>
    <row r="242" spans="1:9">
      <c r="A242" s="5581"/>
      <c r="B242" s="5207"/>
      <c r="C242" s="5200"/>
      <c r="D242" s="5200"/>
      <c r="E242" s="5207"/>
      <c r="G242" s="661"/>
      <c r="I242" s="5200"/>
    </row>
    <row r="243" spans="1:9">
      <c r="A243" s="5581"/>
      <c r="B243" s="5207"/>
      <c r="C243" s="5200"/>
      <c r="D243" s="5200"/>
      <c r="E243" s="5207"/>
      <c r="G243" s="661"/>
      <c r="I243" s="5200"/>
    </row>
    <row r="244" spans="1:9">
      <c r="A244" s="5581"/>
      <c r="B244" s="5207"/>
      <c r="C244" s="5200"/>
      <c r="D244" s="5200"/>
      <c r="E244" s="5207"/>
      <c r="G244" s="661"/>
      <c r="I244" s="5200"/>
    </row>
    <row r="245" spans="1:9">
      <c r="A245" s="5581"/>
      <c r="B245" s="5207"/>
      <c r="C245" s="5200"/>
      <c r="D245" s="5200"/>
      <c r="E245" s="5207"/>
      <c r="G245" s="661"/>
      <c r="I245" s="5200"/>
    </row>
    <row r="246" spans="1:9">
      <c r="A246" s="5581"/>
      <c r="B246" s="5207"/>
      <c r="C246" s="5200"/>
      <c r="D246" s="5200"/>
      <c r="E246" s="5207"/>
      <c r="G246" s="661"/>
      <c r="I246" s="5200"/>
    </row>
    <row r="247" spans="1:9">
      <c r="A247" s="5581"/>
      <c r="B247" s="5207"/>
      <c r="C247" s="5200"/>
      <c r="D247" s="5200"/>
      <c r="E247" s="5207"/>
      <c r="G247" s="661"/>
      <c r="I247" s="5200"/>
    </row>
    <row r="248" spans="1:9">
      <c r="A248" s="5581"/>
      <c r="B248" s="5207"/>
      <c r="C248" s="5200"/>
      <c r="D248" s="5200"/>
      <c r="E248" s="5207"/>
      <c r="G248" s="661"/>
      <c r="I248" s="5200"/>
    </row>
    <row r="249" spans="1:9">
      <c r="A249" s="5581"/>
      <c r="B249" s="5207"/>
      <c r="C249" s="5200"/>
      <c r="D249" s="5200"/>
      <c r="E249" s="5207"/>
      <c r="G249" s="661"/>
      <c r="I249" s="5200"/>
    </row>
    <row r="250" spans="1:9">
      <c r="A250" s="5581"/>
      <c r="B250" s="5207"/>
      <c r="C250" s="5200"/>
      <c r="D250" s="5200"/>
      <c r="E250" s="5207"/>
      <c r="G250" s="661"/>
      <c r="I250" s="5200"/>
    </row>
    <row r="251" spans="1:9">
      <c r="A251" s="5581"/>
      <c r="B251" s="5207"/>
      <c r="C251" s="5200"/>
      <c r="D251" s="5200"/>
      <c r="E251" s="5207"/>
      <c r="G251" s="661"/>
      <c r="I251" s="5200"/>
    </row>
    <row r="252" spans="1:9">
      <c r="A252" s="5581"/>
      <c r="B252" s="5207"/>
      <c r="C252" s="5200"/>
      <c r="D252" s="5200"/>
      <c r="E252" s="5207"/>
      <c r="G252" s="661"/>
      <c r="I252" s="5200"/>
    </row>
    <row r="253" spans="1:9">
      <c r="A253" s="5581"/>
      <c r="B253" s="5207"/>
      <c r="C253" s="5200"/>
      <c r="D253" s="5200"/>
      <c r="E253" s="5207"/>
      <c r="G253" s="661"/>
      <c r="I253" s="5200"/>
    </row>
    <row r="254" spans="1:9">
      <c r="A254" s="5581"/>
      <c r="B254" s="5207"/>
      <c r="C254" s="5200"/>
      <c r="D254" s="5200"/>
      <c r="E254" s="5207"/>
      <c r="G254" s="661"/>
      <c r="I254" s="5200"/>
    </row>
    <row r="255" spans="1:9">
      <c r="A255" s="5581"/>
      <c r="B255" s="5207"/>
      <c r="C255" s="5200"/>
      <c r="D255" s="5200"/>
      <c r="E255" s="5207"/>
      <c r="G255" s="661"/>
      <c r="I255" s="5200"/>
    </row>
    <row r="256" spans="1:9">
      <c r="A256" s="5581"/>
      <c r="B256" s="5207"/>
      <c r="C256" s="5200"/>
      <c r="D256" s="5200"/>
      <c r="E256" s="5207"/>
      <c r="G256" s="661"/>
      <c r="I256" s="5200"/>
    </row>
    <row r="257" spans="1:9">
      <c r="A257" s="5581"/>
      <c r="B257" s="5207"/>
      <c r="C257" s="5200"/>
      <c r="D257" s="5200"/>
      <c r="E257" s="5207"/>
      <c r="G257" s="661"/>
      <c r="I257" s="5200"/>
    </row>
    <row r="258" spans="1:9">
      <c r="A258" s="5581"/>
      <c r="B258" s="5207"/>
      <c r="C258" s="5200"/>
      <c r="D258" s="5200"/>
      <c r="E258" s="5207"/>
      <c r="G258" s="661"/>
      <c r="I258" s="5200"/>
    </row>
    <row r="259" spans="1:9">
      <c r="A259" s="5581"/>
      <c r="B259" s="5207"/>
      <c r="C259" s="5200"/>
      <c r="D259" s="5200"/>
      <c r="E259" s="5207"/>
      <c r="G259" s="661"/>
      <c r="I259" s="5200"/>
    </row>
    <row r="260" spans="1:9">
      <c r="A260" s="5581"/>
      <c r="B260" s="5207"/>
      <c r="C260" s="5200"/>
      <c r="D260" s="5200"/>
      <c r="E260" s="5207"/>
      <c r="G260" s="661"/>
      <c r="I260" s="5200"/>
    </row>
    <row r="261" spans="1:9">
      <c r="A261" s="5581"/>
      <c r="B261" s="5207"/>
      <c r="C261" s="5200"/>
      <c r="D261" s="5200"/>
      <c r="E261" s="5207"/>
      <c r="G261" s="661"/>
      <c r="I261" s="5200"/>
    </row>
    <row r="262" spans="1:9">
      <c r="A262" s="5581"/>
      <c r="B262" s="5207"/>
      <c r="C262" s="5200"/>
      <c r="D262" s="5200"/>
      <c r="E262" s="5207"/>
      <c r="G262" s="661"/>
      <c r="I262" s="5200"/>
    </row>
    <row r="263" spans="1:9">
      <c r="A263" s="5581"/>
      <c r="B263" s="5207"/>
      <c r="C263" s="5200"/>
      <c r="D263" s="5200"/>
      <c r="E263" s="5207"/>
      <c r="G263" s="661"/>
      <c r="I263" s="5200"/>
    </row>
    <row r="264" spans="1:9">
      <c r="A264" s="5581"/>
      <c r="B264" s="5207"/>
      <c r="C264" s="5584"/>
      <c r="D264" s="5584"/>
      <c r="E264" s="5207"/>
      <c r="G264" s="661"/>
      <c r="I264" s="5200"/>
    </row>
    <row r="265" spans="1:9">
      <c r="A265" s="5581"/>
      <c r="B265" s="5207"/>
      <c r="C265" s="5200"/>
      <c r="D265" s="5200"/>
      <c r="E265" s="5207"/>
      <c r="G265" s="661"/>
      <c r="I265" s="5200"/>
    </row>
    <row r="266" spans="1:9">
      <c r="A266" s="5581"/>
      <c r="B266" s="5207"/>
      <c r="C266" s="5200"/>
      <c r="D266" s="5200"/>
      <c r="E266" s="5207"/>
      <c r="G266" s="661"/>
      <c r="I266" s="5200"/>
    </row>
    <row r="267" spans="1:9">
      <c r="A267" s="5581"/>
      <c r="B267" s="5207"/>
      <c r="C267" s="5200"/>
      <c r="D267" s="5200"/>
      <c r="E267" s="5207"/>
      <c r="G267" s="661"/>
      <c r="I267" s="5200"/>
    </row>
    <row r="268" spans="1:9">
      <c r="A268" s="5581"/>
      <c r="B268" s="5207"/>
      <c r="C268" s="5200"/>
      <c r="D268" s="5200"/>
      <c r="E268" s="5207"/>
      <c r="G268" s="661"/>
      <c r="I268" s="5200"/>
    </row>
    <row r="269" spans="1:9">
      <c r="A269" s="5581"/>
      <c r="B269" s="5207"/>
      <c r="C269" s="5200"/>
      <c r="D269" s="5200"/>
      <c r="E269" s="5207"/>
      <c r="G269" s="661"/>
      <c r="I269" s="5200"/>
    </row>
    <row r="270" spans="1:9">
      <c r="A270" s="5581"/>
      <c r="B270" s="5207"/>
      <c r="C270" s="5200"/>
      <c r="D270" s="5200"/>
      <c r="E270" s="5207"/>
      <c r="G270" s="661"/>
      <c r="I270" s="5200"/>
    </row>
    <row r="271" spans="1:9">
      <c r="A271" s="5581"/>
      <c r="B271" s="5207"/>
      <c r="C271" s="5200"/>
      <c r="D271" s="5200"/>
      <c r="E271" s="5218"/>
      <c r="G271" s="661"/>
      <c r="I271" s="5200"/>
    </row>
    <row r="272" spans="1:9">
      <c r="A272" s="5581"/>
      <c r="B272" s="5207"/>
      <c r="C272" s="5200"/>
      <c r="D272" s="5200"/>
      <c r="E272" s="5207"/>
      <c r="G272" s="661"/>
      <c r="I272" s="5200"/>
    </row>
    <row r="273" spans="1:9">
      <c r="A273" s="5581"/>
      <c r="B273" s="5207"/>
      <c r="C273" s="5200"/>
      <c r="D273" s="5200"/>
      <c r="E273" s="5207"/>
      <c r="G273" s="661"/>
      <c r="I273" s="5200"/>
    </row>
    <row r="274" spans="1:9">
      <c r="A274" s="5581"/>
      <c r="B274" s="5207"/>
      <c r="C274" s="5200"/>
      <c r="D274" s="5200"/>
      <c r="E274" s="5207"/>
      <c r="G274" s="661"/>
      <c r="I274" s="5200"/>
    </row>
    <row r="275" spans="1:9">
      <c r="A275" s="5581"/>
      <c r="B275" s="5207"/>
      <c r="C275" s="5200"/>
      <c r="D275" s="5200"/>
      <c r="E275" s="5207"/>
      <c r="G275" s="661"/>
      <c r="I275" s="5200"/>
    </row>
    <row r="276" spans="1:9">
      <c r="A276" s="5581"/>
      <c r="B276" s="5207"/>
      <c r="C276" s="5200"/>
      <c r="D276" s="5200"/>
      <c r="E276" s="5207"/>
      <c r="G276" s="661"/>
      <c r="I276" s="5200"/>
    </row>
    <row r="277" spans="1:9">
      <c r="A277" s="5581"/>
      <c r="B277" s="5207"/>
      <c r="C277" s="5200"/>
      <c r="D277" s="5200"/>
      <c r="E277" s="5207"/>
      <c r="G277" s="661"/>
      <c r="I277" s="5200"/>
    </row>
    <row r="278" spans="1:9">
      <c r="A278" s="5581"/>
      <c r="B278" s="5207"/>
      <c r="C278" s="5200"/>
      <c r="D278" s="5200"/>
      <c r="E278" s="5207"/>
      <c r="G278" s="661"/>
      <c r="I278" s="5200"/>
    </row>
    <row r="279" spans="1:9">
      <c r="A279" s="5581"/>
      <c r="B279" s="5207"/>
      <c r="C279" s="5200"/>
      <c r="D279" s="5200"/>
      <c r="E279" s="5207"/>
      <c r="G279" s="661"/>
      <c r="I279" s="5200"/>
    </row>
    <row r="280" spans="1:9">
      <c r="A280" s="5581"/>
      <c r="B280" s="5207"/>
      <c r="C280" s="5200"/>
      <c r="D280" s="5200"/>
      <c r="E280" s="5207"/>
      <c r="G280" s="661"/>
      <c r="I280" s="5200"/>
    </row>
    <row r="281" spans="1:9">
      <c r="A281" s="5581"/>
      <c r="B281" s="5207"/>
      <c r="C281" s="5200"/>
      <c r="D281" s="5200"/>
      <c r="E281" s="5207"/>
      <c r="G281" s="661"/>
      <c r="I281" s="5200"/>
    </row>
    <row r="282" spans="1:9">
      <c r="A282" s="5581"/>
      <c r="B282" s="5207"/>
      <c r="C282" s="5200"/>
      <c r="D282" s="5200"/>
      <c r="E282" s="5207"/>
      <c r="G282" s="661"/>
      <c r="I282" s="5200"/>
    </row>
    <row r="283" spans="1:9">
      <c r="A283" s="5581"/>
      <c r="B283" s="5207"/>
      <c r="C283" s="5200"/>
      <c r="D283" s="5200"/>
      <c r="E283" s="5207"/>
      <c r="G283" s="661"/>
      <c r="I283" s="5200"/>
    </row>
    <row r="284" spans="1:9">
      <c r="A284" s="5581"/>
      <c r="B284" s="5207"/>
      <c r="C284" s="5200"/>
      <c r="D284" s="5200"/>
      <c r="E284" s="5207"/>
      <c r="G284" s="661"/>
      <c r="I284" s="5200"/>
    </row>
    <row r="285" spans="1:9">
      <c r="A285" s="5581"/>
      <c r="B285" s="5207"/>
      <c r="C285" s="5200"/>
      <c r="D285" s="5200"/>
      <c r="E285" s="5207"/>
      <c r="G285" s="661"/>
      <c r="I285" s="5200"/>
    </row>
    <row r="286" spans="1:9">
      <c r="A286" s="5581"/>
      <c r="B286" s="5207"/>
      <c r="C286" s="5200"/>
      <c r="D286" s="5200"/>
      <c r="E286" s="5207"/>
      <c r="G286" s="661"/>
      <c r="I286" s="5200"/>
    </row>
    <row r="287" spans="1:9">
      <c r="A287" s="5581"/>
      <c r="B287" s="5207"/>
      <c r="C287" s="5200"/>
      <c r="D287" s="5200"/>
      <c r="E287" s="5207"/>
      <c r="G287" s="661"/>
      <c r="I287" s="5200"/>
    </row>
    <row r="288" spans="1:9">
      <c r="A288" s="5581"/>
      <c r="B288" s="5207"/>
      <c r="C288" s="5200"/>
      <c r="D288" s="5200"/>
      <c r="E288" s="5207"/>
      <c r="G288" s="661"/>
      <c r="I288" s="5200"/>
    </row>
    <row r="289" spans="1:9">
      <c r="A289" s="5581"/>
      <c r="B289" s="5207"/>
      <c r="C289" s="5200"/>
      <c r="D289" s="5200"/>
      <c r="E289" s="5207"/>
      <c r="G289" s="661"/>
      <c r="I289" s="5200"/>
    </row>
    <row r="290" spans="1:9">
      <c r="A290" s="5581"/>
      <c r="B290" s="5207"/>
      <c r="C290" s="5200"/>
      <c r="D290" s="5200"/>
      <c r="E290" s="5207"/>
      <c r="G290" s="661"/>
      <c r="I290" s="5200"/>
    </row>
    <row r="291" spans="1:9">
      <c r="A291" s="5581"/>
      <c r="B291" s="5207"/>
      <c r="C291" s="5200"/>
      <c r="D291" s="5200"/>
      <c r="E291" s="5207"/>
      <c r="G291" s="661"/>
      <c r="I291" s="5200"/>
    </row>
    <row r="292" spans="1:9">
      <c r="A292" s="5581"/>
      <c r="B292" s="5207"/>
      <c r="C292" s="5200"/>
      <c r="D292" s="5200"/>
      <c r="E292" s="5207"/>
      <c r="G292" s="661"/>
      <c r="I292" s="5200"/>
    </row>
    <row r="293" spans="1:9">
      <c r="A293" s="5581"/>
      <c r="B293" s="5207"/>
      <c r="C293" s="5200"/>
      <c r="D293" s="5200"/>
      <c r="E293" s="5207"/>
      <c r="G293" s="661"/>
      <c r="I293" s="5200"/>
    </row>
    <row r="294" spans="1:9">
      <c r="A294" s="5581"/>
      <c r="B294" s="5207"/>
      <c r="C294" s="5200"/>
      <c r="D294" s="5200"/>
      <c r="E294" s="5207"/>
      <c r="G294" s="661"/>
      <c r="I294" s="5200"/>
    </row>
    <row r="295" spans="1:9">
      <c r="A295" s="5581"/>
      <c r="B295" s="5207"/>
      <c r="C295" s="5200"/>
      <c r="D295" s="5200"/>
      <c r="E295" s="5207"/>
      <c r="G295" s="661"/>
      <c r="I295" s="5200"/>
    </row>
    <row r="296" spans="1:9">
      <c r="A296" s="5581"/>
      <c r="B296" s="5207"/>
      <c r="C296" s="5200"/>
      <c r="D296" s="5200"/>
      <c r="E296" s="5207"/>
      <c r="G296" s="661"/>
      <c r="I296" s="5200"/>
    </row>
    <row r="297" spans="1:9">
      <c r="A297" s="5581"/>
      <c r="B297" s="5207"/>
      <c r="C297" s="5200"/>
      <c r="D297" s="5200"/>
      <c r="E297" s="5207"/>
      <c r="G297" s="661"/>
      <c r="I297" s="5200"/>
    </row>
    <row r="298" spans="1:9">
      <c r="A298" s="5581"/>
      <c r="B298" s="5207"/>
      <c r="C298" s="5200"/>
      <c r="D298" s="5200"/>
      <c r="E298" s="5207"/>
      <c r="G298" s="661"/>
      <c r="I298" s="5200"/>
    </row>
    <row r="299" spans="1:9">
      <c r="A299" s="5581"/>
      <c r="B299" s="5207"/>
      <c r="C299" s="5200"/>
      <c r="D299" s="5200"/>
      <c r="E299" s="5207"/>
      <c r="G299" s="661"/>
      <c r="I299" s="5200"/>
    </row>
    <row r="300" spans="1:9">
      <c r="A300" s="5581"/>
      <c r="B300" s="5207"/>
      <c r="C300" s="5200"/>
      <c r="D300" s="5200"/>
      <c r="E300" s="5207"/>
      <c r="G300" s="661"/>
      <c r="I300" s="5200"/>
    </row>
    <row r="301" spans="1:9">
      <c r="A301" s="5581"/>
      <c r="B301" s="5207"/>
      <c r="C301" s="5200"/>
      <c r="D301" s="5200"/>
      <c r="E301" s="5207"/>
      <c r="G301" s="661"/>
      <c r="I301" s="5200"/>
    </row>
    <row r="302" spans="1:9">
      <c r="A302" s="5581"/>
      <c r="B302" s="5207"/>
      <c r="C302" s="5200"/>
      <c r="D302" s="5200"/>
      <c r="E302" s="5207"/>
      <c r="G302" s="661"/>
      <c r="I302" s="5200"/>
    </row>
    <row r="303" spans="1:9">
      <c r="A303" s="5581"/>
      <c r="B303" s="5207"/>
      <c r="C303" s="5200"/>
      <c r="D303" s="5200"/>
      <c r="E303" s="5207"/>
      <c r="G303" s="661"/>
      <c r="I303" s="5200"/>
    </row>
    <row r="304" spans="1:9">
      <c r="A304" s="5581"/>
      <c r="B304" s="5207"/>
      <c r="C304" s="5200"/>
      <c r="D304" s="5200"/>
      <c r="E304" s="5207"/>
      <c r="G304" s="661"/>
      <c r="I304" s="5200"/>
    </row>
    <row r="305" spans="1:9">
      <c r="A305" s="5581"/>
      <c r="B305" s="5207"/>
      <c r="C305" s="5200"/>
      <c r="D305" s="5200"/>
      <c r="E305" s="5207"/>
      <c r="G305" s="661"/>
      <c r="I305" s="5200"/>
    </row>
    <row r="306" spans="1:9">
      <c r="A306" s="5581"/>
      <c r="B306" s="5207"/>
      <c r="C306" s="5200"/>
      <c r="D306" s="5200"/>
      <c r="E306" s="5207"/>
      <c r="G306" s="661"/>
      <c r="I306" s="5200"/>
    </row>
    <row r="307" spans="1:9">
      <c r="A307" s="5581"/>
      <c r="B307" s="5207"/>
      <c r="C307" s="5200"/>
      <c r="D307" s="5200"/>
      <c r="E307" s="5207"/>
      <c r="G307" s="661"/>
      <c r="I307" s="5200"/>
    </row>
    <row r="308" spans="1:9">
      <c r="A308" s="5581"/>
      <c r="B308" s="5207"/>
      <c r="C308" s="5200"/>
      <c r="D308" s="5200"/>
      <c r="E308" s="5207"/>
      <c r="G308" s="661"/>
      <c r="I308" s="5200"/>
    </row>
    <row r="309" spans="1:9">
      <c r="A309" s="5581"/>
      <c r="B309" s="5207"/>
      <c r="C309" s="5200"/>
      <c r="D309" s="5200"/>
      <c r="E309" s="5207"/>
      <c r="G309" s="661"/>
      <c r="I309" s="5200"/>
    </row>
    <row r="310" spans="1:9">
      <c r="A310" s="5581"/>
      <c r="B310" s="5207"/>
      <c r="C310" s="5200"/>
      <c r="D310" s="5200"/>
      <c r="E310" s="5207"/>
      <c r="G310" s="661"/>
      <c r="I310" s="5200"/>
    </row>
    <row r="311" spans="1:9">
      <c r="A311" s="5581"/>
      <c r="B311" s="5207"/>
      <c r="C311" s="5200"/>
      <c r="D311" s="5200"/>
      <c r="E311" s="5207"/>
      <c r="G311" s="661"/>
      <c r="I311" s="5200"/>
    </row>
    <row r="312" spans="1:9">
      <c r="A312" s="5581"/>
      <c r="B312" s="5207"/>
      <c r="C312" s="5200"/>
      <c r="D312" s="5200"/>
      <c r="E312" s="5207"/>
      <c r="G312" s="661"/>
      <c r="I312" s="5200"/>
    </row>
    <row r="313" spans="1:9">
      <c r="A313" s="5581"/>
      <c r="B313" s="5207"/>
      <c r="C313" s="5200"/>
      <c r="D313" s="5200"/>
      <c r="E313" s="5207"/>
      <c r="G313" s="661"/>
      <c r="I313" s="5200"/>
    </row>
    <row r="314" spans="1:9">
      <c r="A314" s="5581"/>
      <c r="B314" s="5207"/>
      <c r="C314" s="5200"/>
      <c r="D314" s="5200"/>
      <c r="E314" s="5207"/>
      <c r="G314" s="661"/>
      <c r="I314" s="5200"/>
    </row>
    <row r="315" spans="1:9">
      <c r="A315" s="5581"/>
      <c r="B315" s="5207"/>
      <c r="C315" s="5200"/>
      <c r="D315" s="5200"/>
      <c r="E315" s="5207"/>
      <c r="G315" s="661"/>
      <c r="I315" s="5200"/>
    </row>
    <row r="316" spans="1:9">
      <c r="A316" s="5581"/>
      <c r="B316" s="5207"/>
      <c r="C316" s="5200"/>
      <c r="D316" s="5200"/>
      <c r="E316" s="5207"/>
      <c r="G316" s="661"/>
      <c r="I316" s="5200"/>
    </row>
    <row r="317" spans="1:9">
      <c r="A317" s="5581"/>
      <c r="B317" s="5207"/>
      <c r="C317" s="5200"/>
      <c r="D317" s="5200"/>
      <c r="E317" s="5207"/>
      <c r="G317" s="661"/>
      <c r="I317" s="5200"/>
    </row>
    <row r="318" spans="1:9">
      <c r="A318" s="5581"/>
      <c r="B318" s="5207"/>
      <c r="C318" s="5200"/>
      <c r="D318" s="5200"/>
      <c r="E318" s="5207"/>
      <c r="G318" s="661"/>
      <c r="I318" s="5200"/>
    </row>
    <row r="319" spans="1:9">
      <c r="A319" s="5581"/>
      <c r="B319" s="5207"/>
      <c r="C319" s="5200"/>
      <c r="D319" s="5200"/>
      <c r="E319" s="5207"/>
      <c r="G319" s="661"/>
      <c r="I319" s="5200"/>
    </row>
    <row r="320" spans="1:9">
      <c r="A320" s="5581"/>
      <c r="B320" s="5207"/>
      <c r="C320" s="5200"/>
      <c r="D320" s="5200"/>
      <c r="E320" s="5207"/>
      <c r="G320" s="661"/>
      <c r="I320" s="5200"/>
    </row>
    <row r="321" spans="1:9">
      <c r="A321" s="5581"/>
      <c r="B321" s="5207"/>
      <c r="C321" s="5200"/>
      <c r="D321" s="5200"/>
      <c r="E321" s="5207"/>
      <c r="G321" s="661"/>
      <c r="I321" s="5200"/>
    </row>
    <row r="322" spans="1:9">
      <c r="A322" s="5581"/>
      <c r="B322" s="5207"/>
      <c r="C322" s="5200"/>
      <c r="D322" s="5200"/>
      <c r="E322" s="5207"/>
      <c r="G322" s="661"/>
      <c r="I322" s="5200"/>
    </row>
    <row r="323" spans="1:9">
      <c r="A323" s="661"/>
      <c r="B323" s="5207"/>
      <c r="C323" s="5207"/>
      <c r="D323" s="5207"/>
      <c r="E323" s="5207"/>
      <c r="G323" s="661"/>
      <c r="I323" s="5200"/>
    </row>
    <row r="324" spans="1:9">
      <c r="A324" s="661"/>
      <c r="B324" s="5207"/>
      <c r="C324" s="5207"/>
      <c r="D324" s="5207"/>
      <c r="E324" s="5207"/>
      <c r="G324" s="661"/>
      <c r="I324" s="5200"/>
    </row>
    <row r="325" spans="1:9">
      <c r="A325" s="661"/>
      <c r="B325" s="5207"/>
      <c r="C325" s="5200"/>
      <c r="D325" s="5200"/>
      <c r="E325" s="5207"/>
      <c r="G325" s="661"/>
      <c r="I325" s="5200"/>
    </row>
    <row r="326" spans="1:9">
      <c r="A326" s="661"/>
      <c r="B326" s="661"/>
      <c r="C326" s="661"/>
      <c r="D326" s="661"/>
      <c r="E326" s="5207"/>
      <c r="G326" s="661"/>
      <c r="I326" s="5200"/>
    </row>
    <row r="327" spans="1:9">
      <c r="A327" s="661"/>
      <c r="B327" s="661"/>
      <c r="C327" s="661"/>
      <c r="D327" s="661"/>
      <c r="E327" s="5207"/>
      <c r="G327" s="661"/>
      <c r="I327" s="5200"/>
    </row>
    <row r="328" spans="1:9">
      <c r="A328" s="661"/>
      <c r="B328" s="661"/>
      <c r="C328" s="661"/>
      <c r="D328" s="661"/>
      <c r="E328" s="5207"/>
      <c r="G328" s="661"/>
      <c r="I328" s="5200"/>
    </row>
    <row r="329" spans="1:9">
      <c r="A329" s="661"/>
      <c r="B329" s="661"/>
      <c r="C329" s="661"/>
      <c r="D329" s="661"/>
      <c r="E329" s="5207"/>
      <c r="G329" s="661"/>
      <c r="I329" s="5200"/>
    </row>
    <row r="330" spans="1:9">
      <c r="B330" s="5207"/>
      <c r="E330" s="5207"/>
      <c r="G330" s="661"/>
      <c r="I330" s="5200"/>
    </row>
    <row r="331" spans="1:9">
      <c r="A331" s="5588"/>
      <c r="B331" s="5589"/>
      <c r="C331" s="5588"/>
      <c r="E331" s="5207"/>
      <c r="G331" s="661"/>
      <c r="I331" s="5200"/>
    </row>
    <row r="332" spans="1:9">
      <c r="E332" s="5200"/>
      <c r="G332" s="661"/>
      <c r="I332" s="5200"/>
    </row>
    <row r="333" spans="1:9">
      <c r="E333" s="5200"/>
      <c r="G333" s="661"/>
      <c r="I333" s="5200"/>
    </row>
    <row r="334" spans="1:9">
      <c r="E334" s="5200"/>
      <c r="G334" s="661"/>
      <c r="I334" s="5200"/>
    </row>
    <row r="335" spans="1:9">
      <c r="E335" s="5200"/>
      <c r="G335" s="661"/>
      <c r="I335" s="5200"/>
    </row>
    <row r="336" spans="1:9">
      <c r="E336" s="5200"/>
      <c r="G336" s="661"/>
      <c r="I336" s="5200"/>
    </row>
    <row r="337" spans="5:9">
      <c r="E337" s="5200"/>
      <c r="I337" s="5200"/>
    </row>
    <row r="338" spans="5:9">
      <c r="E338" s="5590"/>
      <c r="G338" s="5588"/>
      <c r="I338" s="5590"/>
    </row>
  </sheetData>
  <sheetProtection algorithmName="SHA-512" hashValue="bqQjxOs5stkE2estwle5X9vEY7VdMiW4nbkpXd8f8Ey1HOmX+m1z9MMTLgOj263lUDR7ZQxRxiFR/8mi1fc6Lg==" saltValue="nDfZmwKYjhwQbhyZuMZliw==" spinCount="100000" sheet="1" objects="1" scenarios="1"/>
  <mergeCells count="14">
    <mergeCell ref="A48:I48"/>
    <mergeCell ref="A49:I49"/>
    <mergeCell ref="A50:I50"/>
    <mergeCell ref="A51:I51"/>
    <mergeCell ref="A8:I8"/>
    <mergeCell ref="A27:I27"/>
    <mergeCell ref="A26:I26"/>
    <mergeCell ref="A28:I28"/>
    <mergeCell ref="A29:I29"/>
    <mergeCell ref="A1:C1"/>
    <mergeCell ref="A3:B3"/>
    <mergeCell ref="A5:I5"/>
    <mergeCell ref="A6:I6"/>
    <mergeCell ref="A7:I7"/>
  </mergeCells>
  <dataValidations count="1">
    <dataValidation type="whole" operator="greaterThanOrEqual" showInputMessage="1" showErrorMessage="1" errorTitle="Invalid Data Entry" error="Please enter a positive number or press the delete key or enter zero." sqref="I40 I34:I36 I19 I13:I15 I62 I56:I58">
      <formula1>0</formula1>
    </dataValidation>
  </dataValidations>
  <hyperlinks>
    <hyperlink ref="K1" location="Contents!A1" display="Return to Contents page"/>
  </hyperlinks>
  <printOptions horizontalCentered="1"/>
  <pageMargins left="0.5" right="0.5" top="0.5" bottom="0.5" header="0.3" footer="0.3"/>
  <pageSetup scale="86" orientation="portrait" blackAndWhite="1" r:id="rId1"/>
  <headerFooter scaleWithDoc="0">
    <oddFooter>&amp;L&amp;"Open Sans Light,Regular"&amp;8&amp;D   &amp;T&amp;C&amp;"Open Sans Light,Regular"&amp;8Page &amp;P&amp;R&amp;"Open Sans Light,Regular"&amp;8Form 242</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6" tint="-0.249977111117893"/>
  </sheetPr>
  <dimension ref="A1:Z353"/>
  <sheetViews>
    <sheetView showGridLines="0" topLeftCell="A8" zoomScaleNormal="100" zoomScaleSheetLayoutView="100" workbookViewId="0">
      <selection activeCell="B22" sqref="B22"/>
    </sheetView>
  </sheetViews>
  <sheetFormatPr defaultColWidth="11.44140625" defaultRowHeight="14.85" customHeight="1"/>
  <cols>
    <col min="1" max="1" width="8.88671875" style="5570" customWidth="1"/>
    <col min="2" max="2" width="12" style="5570" customWidth="1"/>
    <col min="3" max="3" width="14.33203125" style="5570" customWidth="1"/>
    <col min="4" max="4" width="26.6640625" style="5570" customWidth="1"/>
    <col min="5" max="5" width="12.33203125" style="5570" customWidth="1"/>
    <col min="6" max="6" width="2.44140625" style="5570" customWidth="1"/>
    <col min="7" max="7" width="8.88671875" style="5570" customWidth="1"/>
    <col min="8" max="8" width="2" style="5594" customWidth="1"/>
    <col min="9" max="9" width="14.33203125" style="5570" customWidth="1"/>
    <col min="10" max="10" width="3" style="5570" customWidth="1"/>
    <col min="11" max="11" width="20.88671875" style="5570" customWidth="1"/>
    <col min="12" max="26" width="11.44140625" style="5570"/>
    <col min="27" max="16384" width="11.44140625" style="5593"/>
  </cols>
  <sheetData>
    <row r="1" spans="1:26" ht="14.85" customHeight="1">
      <c r="A1" s="5972" t="s">
        <v>1511</v>
      </c>
      <c r="B1" s="5972"/>
      <c r="C1" s="5972"/>
      <c r="G1" s="5591"/>
      <c r="H1" s="5591"/>
      <c r="I1" s="5592" t="str">
        <f>"USD #"&amp;OPEN!$B$4</f>
        <v>USD #237</v>
      </c>
      <c r="K1" s="4891" t="s">
        <v>754</v>
      </c>
    </row>
    <row r="2" spans="1:26" ht="14.85" customHeight="1">
      <c r="A2" s="4980" t="s">
        <v>4983</v>
      </c>
      <c r="B2" s="4980"/>
      <c r="C2" s="5553"/>
      <c r="I2" s="4981">
        <f>OpenData!$N$3</f>
        <v>44348</v>
      </c>
      <c r="J2" s="4981"/>
    </row>
    <row r="3" spans="1:26" s="5597" customFormat="1" ht="14.85" hidden="1" customHeight="1">
      <c r="A3" s="5967"/>
      <c r="B3" s="5967"/>
      <c r="C3" s="5005"/>
      <c r="D3" s="5595"/>
      <c r="E3" s="5595"/>
      <c r="F3" s="5595"/>
      <c r="G3" s="5595"/>
      <c r="H3" s="5594"/>
      <c r="I3" s="5596"/>
      <c r="J3" s="5570"/>
      <c r="K3" s="5570"/>
      <c r="L3" s="5570"/>
      <c r="M3" s="5570"/>
      <c r="N3" s="5570"/>
      <c r="O3" s="5570"/>
      <c r="P3" s="5570"/>
      <c r="Q3" s="5570"/>
      <c r="R3" s="5570"/>
      <c r="S3" s="5570"/>
      <c r="T3" s="5570"/>
      <c r="U3" s="5570"/>
      <c r="V3" s="5570"/>
      <c r="W3" s="5570"/>
      <c r="X3" s="5570"/>
      <c r="Y3" s="5570"/>
      <c r="Z3" s="5570"/>
    </row>
    <row r="4" spans="1:26" s="5597" customFormat="1" ht="14.85" hidden="1" customHeight="1">
      <c r="A4" s="5298"/>
      <c r="B4" s="5298"/>
      <c r="C4" s="5005"/>
      <c r="D4" s="5595"/>
      <c r="E4" s="5595"/>
      <c r="F4" s="5595"/>
      <c r="G4" s="5595"/>
      <c r="H4" s="5594"/>
      <c r="I4" s="5596"/>
      <c r="J4" s="5570"/>
      <c r="K4" s="5570"/>
      <c r="L4" s="5570"/>
      <c r="M4" s="5570"/>
      <c r="N4" s="5570"/>
      <c r="O4" s="5570"/>
      <c r="P4" s="5570"/>
      <c r="Q4" s="5570"/>
      <c r="R4" s="5570"/>
      <c r="S4" s="5570"/>
      <c r="T4" s="5570"/>
      <c r="U4" s="5570"/>
      <c r="V4" s="5570"/>
      <c r="W4" s="5570"/>
      <c r="X4" s="5570"/>
      <c r="Y4" s="5570"/>
      <c r="Z4" s="5570"/>
    </row>
    <row r="5" spans="1:26" s="5597" customFormat="1" ht="14.85" customHeight="1">
      <c r="A5" s="5984" t="s">
        <v>1586</v>
      </c>
      <c r="B5" s="5984"/>
      <c r="C5" s="5984"/>
      <c r="D5" s="5984"/>
      <c r="E5" s="5984"/>
      <c r="F5" s="5984"/>
      <c r="G5" s="5984"/>
      <c r="H5" s="5984"/>
      <c r="I5" s="5984"/>
      <c r="J5" s="5570"/>
      <c r="K5" s="5570"/>
      <c r="L5" s="5570"/>
      <c r="M5" s="5570"/>
      <c r="N5" s="5570"/>
      <c r="O5" s="5570"/>
      <c r="P5" s="5570"/>
      <c r="Q5" s="5570"/>
      <c r="R5" s="5570"/>
      <c r="S5" s="5570"/>
      <c r="T5" s="5570"/>
      <c r="U5" s="5570"/>
      <c r="V5" s="5570"/>
      <c r="W5" s="5570"/>
      <c r="X5" s="5570"/>
      <c r="Y5" s="5570"/>
      <c r="Z5" s="5570"/>
    </row>
    <row r="6" spans="1:26" s="5597" customFormat="1" ht="14.85" customHeight="1">
      <c r="A6" s="5978" t="s">
        <v>1587</v>
      </c>
      <c r="B6" s="5978"/>
      <c r="C6" s="5978"/>
      <c r="D6" s="5978"/>
      <c r="E6" s="5978"/>
      <c r="F6" s="5978"/>
      <c r="G6" s="5978"/>
      <c r="H6" s="5978"/>
      <c r="I6" s="5978"/>
      <c r="J6" s="5570"/>
      <c r="K6" s="5570"/>
      <c r="L6" s="5570"/>
      <c r="M6" s="5570"/>
      <c r="N6" s="5570"/>
      <c r="O6" s="5570"/>
      <c r="P6" s="5570"/>
      <c r="Q6" s="5570"/>
      <c r="R6" s="5570"/>
      <c r="S6" s="5570"/>
      <c r="T6" s="5570"/>
      <c r="U6" s="5570"/>
      <c r="V6" s="5570"/>
      <c r="W6" s="5570"/>
      <c r="X6" s="5570"/>
      <c r="Y6" s="5570"/>
      <c r="Z6" s="5570"/>
    </row>
    <row r="7" spans="1:26" s="5597" customFormat="1" ht="14.85" customHeight="1">
      <c r="A7" s="5978" t="str">
        <f>OpenData!$N$2&amp;" ESTIMATED BOND AND INTEREST STATE AID"</f>
        <v>2021-2022 ESTIMATED BOND AND INTEREST STATE AID</v>
      </c>
      <c r="B7" s="5978"/>
      <c r="C7" s="5978"/>
      <c r="D7" s="5978"/>
      <c r="E7" s="5978"/>
      <c r="F7" s="5978"/>
      <c r="G7" s="5978"/>
      <c r="H7" s="5978"/>
      <c r="I7" s="5978"/>
      <c r="J7" s="5570"/>
      <c r="K7" s="5570"/>
      <c r="L7" s="5598"/>
      <c r="M7" s="5570"/>
      <c r="N7" s="5570"/>
      <c r="O7" s="5570"/>
      <c r="P7" s="5570"/>
      <c r="Q7" s="5570"/>
      <c r="R7" s="5570"/>
      <c r="S7" s="5570"/>
      <c r="T7" s="5570"/>
      <c r="U7" s="5570"/>
      <c r="V7" s="5570"/>
      <c r="W7" s="5570"/>
      <c r="X7" s="5570"/>
      <c r="Y7" s="5570"/>
      <c r="Z7" s="5570"/>
    </row>
    <row r="8" spans="1:26" s="5597" customFormat="1" ht="14.85" customHeight="1">
      <c r="A8" s="5983" t="s">
        <v>1579</v>
      </c>
      <c r="B8" s="5983"/>
      <c r="C8" s="5983"/>
      <c r="D8" s="5983"/>
      <c r="E8" s="5983"/>
      <c r="F8" s="5983"/>
      <c r="G8" s="5983"/>
      <c r="H8" s="5983"/>
      <c r="I8" s="5983"/>
      <c r="J8" s="5570"/>
      <c r="K8" s="5570"/>
      <c r="L8" s="5570"/>
      <c r="M8" s="5570"/>
      <c r="N8" s="5570"/>
      <c r="O8" s="5570"/>
      <c r="P8" s="5570"/>
      <c r="Q8" s="5570"/>
      <c r="R8" s="5570"/>
      <c r="S8" s="5570"/>
      <c r="T8" s="5570"/>
      <c r="U8" s="5570"/>
      <c r="V8" s="5570"/>
      <c r="W8" s="5570"/>
      <c r="X8" s="5570"/>
      <c r="Y8" s="5570"/>
      <c r="Z8" s="5570"/>
    </row>
    <row r="9" spans="1:26" s="5597" customFormat="1" ht="14.85" hidden="1" customHeight="1">
      <c r="A9" s="5595"/>
      <c r="B9" s="5595"/>
      <c r="C9" s="5595"/>
      <c r="D9" s="5595"/>
      <c r="E9" s="5595"/>
      <c r="F9" s="5595"/>
      <c r="G9" s="5595"/>
      <c r="H9" s="5594"/>
      <c r="I9" s="5596"/>
      <c r="J9" s="5570"/>
      <c r="K9" s="5570"/>
      <c r="L9" s="5570"/>
      <c r="M9" s="5570"/>
      <c r="N9" s="5570"/>
      <c r="O9" s="5570"/>
      <c r="P9" s="5570"/>
      <c r="Q9" s="5570"/>
      <c r="R9" s="5570"/>
      <c r="S9" s="5570"/>
      <c r="T9" s="5570"/>
      <c r="U9" s="5570"/>
      <c r="V9" s="5570"/>
      <c r="W9" s="5570"/>
      <c r="X9" s="5570"/>
      <c r="Y9" s="5570"/>
      <c r="Z9" s="5570"/>
    </row>
    <row r="10" spans="1:26" s="5597" customFormat="1" ht="14.85" customHeight="1">
      <c r="A10" s="5570" t="s">
        <v>1580</v>
      </c>
      <c r="B10" s="5595"/>
      <c r="C10" s="5595"/>
      <c r="D10" s="5595"/>
      <c r="E10" s="5595"/>
      <c r="F10" s="5595"/>
      <c r="G10" s="5595"/>
      <c r="H10" s="5594"/>
      <c r="I10" s="5596"/>
      <c r="J10" s="5570"/>
      <c r="K10" s="5570"/>
      <c r="L10" s="5570"/>
      <c r="M10" s="5570"/>
      <c r="N10" s="5570"/>
      <c r="O10" s="5570"/>
      <c r="P10" s="5570"/>
      <c r="Q10" s="5570"/>
      <c r="R10" s="5570"/>
      <c r="S10" s="5570"/>
      <c r="T10" s="5570"/>
      <c r="U10" s="5570"/>
      <c r="V10" s="5570"/>
      <c r="W10" s="5570"/>
      <c r="X10" s="5570"/>
      <c r="Y10" s="5570"/>
      <c r="Z10" s="5570"/>
    </row>
    <row r="11" spans="1:26" s="5597" customFormat="1" ht="14.85" customHeight="1">
      <c r="A11" s="5570" t="s">
        <v>1581</v>
      </c>
      <c r="B11" s="5595"/>
      <c r="C11" s="5595"/>
      <c r="D11" s="5595"/>
      <c r="E11" s="5595"/>
      <c r="F11" s="5595"/>
      <c r="G11" s="5595"/>
      <c r="H11" s="5594"/>
      <c r="I11" s="5596"/>
      <c r="J11" s="5570"/>
      <c r="K11" s="5570"/>
      <c r="L11" s="5570"/>
      <c r="M11" s="5570"/>
      <c r="N11" s="5570"/>
      <c r="O11" s="5570"/>
      <c r="P11" s="5570"/>
      <c r="Q11" s="5570"/>
      <c r="R11" s="5570"/>
      <c r="S11" s="5570"/>
      <c r="T11" s="5570"/>
      <c r="U11" s="5570"/>
      <c r="V11" s="5570"/>
      <c r="W11" s="5570"/>
      <c r="X11" s="5570"/>
      <c r="Y11" s="5570"/>
      <c r="Z11" s="5570"/>
    </row>
    <row r="12" spans="1:26" s="5597" customFormat="1" ht="12.75" customHeight="1">
      <c r="A12" s="5595"/>
      <c r="B12" s="5595"/>
      <c r="C12" s="5595"/>
      <c r="D12" s="5595"/>
      <c r="E12" s="5595"/>
      <c r="F12" s="5595"/>
      <c r="G12" s="5595"/>
      <c r="H12" s="5594"/>
      <c r="I12" s="5596"/>
      <c r="J12" s="5570"/>
      <c r="K12" s="5570"/>
      <c r="L12" s="5570"/>
      <c r="M12" s="5570"/>
      <c r="N12" s="5570"/>
      <c r="O12" s="5570"/>
      <c r="P12" s="5570"/>
      <c r="Q12" s="5570"/>
      <c r="R12" s="5570"/>
      <c r="S12" s="5570"/>
      <c r="T12" s="5570"/>
      <c r="U12" s="5570"/>
      <c r="V12" s="5570"/>
      <c r="W12" s="5570"/>
      <c r="X12" s="5570"/>
      <c r="Y12" s="5570"/>
      <c r="Z12" s="5570"/>
    </row>
    <row r="13" spans="1:26" s="5597" customFormat="1" ht="14.85" customHeight="1">
      <c r="A13" s="5570" t="str">
        <f>'F242'!A34</f>
        <v>1.  Estimated 2021-2022 bond and interest fund payments</v>
      </c>
      <c r="B13" s="5570"/>
      <c r="C13" s="5570"/>
      <c r="D13" s="5570"/>
      <c r="E13" s="5570"/>
      <c r="F13" s="5570"/>
      <c r="G13" s="5570"/>
      <c r="H13" s="5594" t="s">
        <v>907</v>
      </c>
      <c r="I13" s="5599">
        <v>0</v>
      </c>
      <c r="J13" s="5570"/>
      <c r="K13" s="5570"/>
      <c r="L13" s="5570"/>
      <c r="M13" s="5570"/>
      <c r="N13" s="5570"/>
      <c r="O13" s="5570"/>
      <c r="P13" s="5570"/>
      <c r="Q13" s="5570"/>
      <c r="R13" s="5570"/>
      <c r="S13" s="5570"/>
      <c r="T13" s="5570"/>
      <c r="U13" s="5570"/>
      <c r="V13" s="5570"/>
      <c r="W13" s="5570"/>
      <c r="X13" s="5570"/>
      <c r="Y13" s="5570"/>
      <c r="Z13" s="5570"/>
    </row>
    <row r="14" spans="1:26" s="5597" customFormat="1" ht="12.75" customHeight="1">
      <c r="A14" s="5570"/>
      <c r="B14" s="5570"/>
      <c r="C14" s="5570"/>
      <c r="D14" s="5570"/>
      <c r="E14" s="5570"/>
      <c r="F14" s="5570"/>
      <c r="G14" s="5570"/>
      <c r="H14" s="5594"/>
      <c r="I14" s="5600"/>
      <c r="J14" s="5570"/>
      <c r="K14" s="5570"/>
      <c r="L14" s="5570"/>
      <c r="M14" s="5570"/>
      <c r="N14" s="5570"/>
      <c r="O14" s="5570"/>
      <c r="P14" s="5570"/>
      <c r="Q14" s="5570"/>
      <c r="R14" s="5570"/>
      <c r="S14" s="5570"/>
      <c r="T14" s="5570"/>
      <c r="U14" s="5570"/>
      <c r="V14" s="5570"/>
      <c r="W14" s="5570"/>
      <c r="X14" s="5570"/>
      <c r="Y14" s="5570"/>
      <c r="Z14" s="5570"/>
    </row>
    <row r="15" spans="1:26" s="5597" customFormat="1" ht="14.85" customHeight="1">
      <c r="A15" s="5570" t="s">
        <v>1582</v>
      </c>
      <c r="B15" s="5570"/>
      <c r="C15" s="5570"/>
      <c r="D15" s="5570"/>
      <c r="E15" s="5570"/>
      <c r="F15" s="5570"/>
      <c r="G15" s="5570"/>
      <c r="H15" s="5594" t="s">
        <v>907</v>
      </c>
      <c r="I15" s="5599">
        <v>0</v>
      </c>
      <c r="J15" s="5570"/>
      <c r="K15" s="5570" t="str">
        <f>IF(I1=113,"USD 113 uses same rate as Form 244-A below","")</f>
        <v/>
      </c>
      <c r="L15" s="5570"/>
      <c r="M15" s="5570"/>
      <c r="N15" s="5570"/>
      <c r="O15" s="5570"/>
      <c r="P15" s="5570"/>
      <c r="Q15" s="5570"/>
      <c r="R15" s="5570"/>
      <c r="S15" s="5570"/>
      <c r="T15" s="5570"/>
      <c r="U15" s="5570"/>
      <c r="V15" s="5570"/>
      <c r="W15" s="5570"/>
      <c r="X15" s="5570"/>
      <c r="Y15" s="5570"/>
      <c r="Z15" s="5570"/>
    </row>
    <row r="16" spans="1:26" s="5597" customFormat="1" ht="12.75" customHeight="1">
      <c r="A16" s="5570"/>
      <c r="B16" s="5570"/>
      <c r="C16" s="5570"/>
      <c r="D16" s="5570"/>
      <c r="E16" s="5570"/>
      <c r="F16" s="5570"/>
      <c r="G16" s="5570"/>
      <c r="H16" s="5594"/>
      <c r="I16" s="5570"/>
      <c r="J16" s="5570"/>
      <c r="K16" s="5570"/>
      <c r="L16" s="5570"/>
      <c r="M16" s="5570"/>
      <c r="N16" s="5570"/>
      <c r="O16" s="5570"/>
      <c r="P16" s="5570"/>
      <c r="Q16" s="5570"/>
      <c r="R16" s="5570"/>
      <c r="S16" s="5570"/>
      <c r="T16" s="5570"/>
      <c r="U16" s="5570"/>
      <c r="V16" s="5570"/>
      <c r="W16" s="5570"/>
      <c r="X16" s="5570"/>
      <c r="Y16" s="5570"/>
      <c r="Z16" s="5570"/>
    </row>
    <row r="17" spans="1:26" s="5597" customFormat="1" ht="14.85" customHeight="1">
      <c r="A17" s="5570" t="s">
        <v>1588</v>
      </c>
      <c r="B17" s="5570"/>
      <c r="C17" s="5570"/>
      <c r="D17" s="5570"/>
      <c r="E17" s="5601">
        <f>IF(OPEN!$B$4&lt;&gt;113,VLOOKUP(OPEN!$B$4,DATA!A4:BE289,26,FALSE),E38)</f>
        <v>0</v>
      </c>
      <c r="F17" s="5570"/>
      <c r="G17" s="5570"/>
      <c r="H17" s="5594" t="s">
        <v>907</v>
      </c>
      <c r="I17" s="5602">
        <f>(I13-I15)*E17</f>
        <v>0</v>
      </c>
      <c r="J17" s="5570"/>
      <c r="K17" s="5603" t="str">
        <f>IF(OPEN!$B$4=113,"Old USD 488 bonds aren't entitled to state aid due to assessed valuation per pupil","")</f>
        <v/>
      </c>
      <c r="L17" s="5598"/>
      <c r="M17" s="5570"/>
      <c r="N17" s="5570"/>
      <c r="O17" s="5570"/>
      <c r="P17" s="5570"/>
      <c r="Q17" s="5570"/>
      <c r="R17" s="5570"/>
      <c r="S17" s="5570"/>
      <c r="T17" s="5570"/>
      <c r="U17" s="5570"/>
      <c r="V17" s="5570"/>
      <c r="W17" s="5570"/>
      <c r="X17" s="5570"/>
      <c r="Y17" s="5570"/>
      <c r="Z17" s="5570"/>
    </row>
    <row r="18" spans="1:26" s="5597" customFormat="1" ht="12.75" customHeight="1">
      <c r="A18" s="5570"/>
      <c r="B18" s="5570"/>
      <c r="C18" s="5570"/>
      <c r="D18" s="5570"/>
      <c r="E18" s="5570"/>
      <c r="F18" s="5570"/>
      <c r="G18" s="5570"/>
      <c r="H18" s="5594"/>
      <c r="I18" s="5570"/>
      <c r="J18" s="5570"/>
      <c r="K18" s="5603"/>
      <c r="L18" s="5570"/>
      <c r="M18" s="5570"/>
      <c r="N18" s="5570"/>
      <c r="O18" s="5570"/>
      <c r="P18" s="5570"/>
      <c r="Q18" s="5570"/>
      <c r="R18" s="5570"/>
      <c r="S18" s="5570"/>
      <c r="T18" s="5570"/>
      <c r="U18" s="5570"/>
      <c r="V18" s="5570"/>
      <c r="W18" s="5570"/>
      <c r="X18" s="5570"/>
      <c r="Y18" s="5570"/>
      <c r="Z18" s="5570"/>
    </row>
    <row r="19" spans="1:26" s="5597" customFormat="1" ht="14.85" customHeight="1">
      <c r="A19" s="5570" t="s">
        <v>1584</v>
      </c>
      <c r="B19" s="5570"/>
      <c r="C19" s="5570"/>
      <c r="D19" s="5570"/>
      <c r="E19" s="5570"/>
      <c r="F19" s="5570"/>
      <c r="G19" s="5570"/>
      <c r="H19" s="5591" t="s">
        <v>1585</v>
      </c>
      <c r="I19" s="5604">
        <v>0</v>
      </c>
      <c r="J19" s="5570"/>
      <c r="K19" s="5570" t="str">
        <f>IF(OPEN!$B$4=113,"After these bonds are paid off, this functionality will change.","")</f>
        <v/>
      </c>
      <c r="L19" s="5570"/>
      <c r="M19" s="5570"/>
      <c r="N19" s="5570"/>
      <c r="O19" s="5570"/>
      <c r="P19" s="5570"/>
      <c r="Q19" s="5570"/>
      <c r="R19" s="5570"/>
      <c r="S19" s="5570"/>
      <c r="T19" s="5570"/>
      <c r="U19" s="5570"/>
      <c r="V19" s="5570"/>
      <c r="W19" s="5570"/>
      <c r="X19" s="5570"/>
      <c r="Y19" s="5570"/>
      <c r="Z19" s="5570"/>
    </row>
    <row r="20" spans="1:26" s="5597" customFormat="1" ht="12.75" customHeight="1">
      <c r="A20" s="5570"/>
      <c r="B20" s="5570"/>
      <c r="C20" s="5570"/>
      <c r="D20" s="5570"/>
      <c r="E20" s="5570"/>
      <c r="F20" s="5570"/>
      <c r="G20" s="5570"/>
      <c r="H20" s="5591"/>
      <c r="I20" s="5605"/>
      <c r="J20" s="5570"/>
      <c r="K20" s="5570"/>
      <c r="L20" s="5570"/>
      <c r="M20" s="5570"/>
      <c r="N20" s="5570"/>
      <c r="O20" s="5570"/>
      <c r="P20" s="5570"/>
      <c r="Q20" s="5570"/>
      <c r="R20" s="5570"/>
      <c r="S20" s="5570"/>
      <c r="T20" s="5570"/>
      <c r="U20" s="5570"/>
      <c r="V20" s="5570"/>
      <c r="W20" s="5570"/>
      <c r="X20" s="5570"/>
      <c r="Y20" s="5570"/>
      <c r="Z20" s="5570"/>
    </row>
    <row r="21" spans="1:26" s="5597" customFormat="1" ht="14.85" customHeight="1">
      <c r="A21" s="5563" t="s">
        <v>4874</v>
      </c>
      <c r="B21" s="5570"/>
      <c r="C21" s="5570"/>
      <c r="D21" s="5570"/>
      <c r="E21" s="5570"/>
      <c r="F21" s="5570"/>
      <c r="G21" s="5570"/>
      <c r="H21" s="5594" t="s">
        <v>907</v>
      </c>
      <c r="I21" s="5602">
        <f>IF((I17-I19)&lt;0,0,I17-I19)</f>
        <v>0</v>
      </c>
      <c r="J21" s="5570"/>
      <c r="K21" s="5570"/>
      <c r="L21" s="5570"/>
      <c r="M21" s="5570"/>
      <c r="N21" s="5570"/>
      <c r="O21" s="5570"/>
      <c r="P21" s="5570"/>
      <c r="Q21" s="5570"/>
      <c r="R21" s="5570"/>
      <c r="S21" s="5570"/>
      <c r="T21" s="5570"/>
      <c r="U21" s="5570"/>
      <c r="V21" s="5570"/>
      <c r="W21" s="5570"/>
      <c r="X21" s="5570"/>
      <c r="Y21" s="5570"/>
      <c r="Z21" s="5570"/>
    </row>
    <row r="22" spans="1:26" s="5597" customFormat="1" ht="14.85" customHeight="1">
      <c r="A22" s="5570" t="str">
        <f>'F242'!A43</f>
        <v xml:space="preserve">     (July 1, 2021 through June 30, 2022) (Line 3 - Line 4)</v>
      </c>
      <c r="B22" s="5570"/>
      <c r="C22" s="5570"/>
      <c r="D22" s="5570"/>
      <c r="E22" s="5570"/>
      <c r="F22" s="5570"/>
      <c r="G22" s="5570"/>
      <c r="H22" s="5594"/>
      <c r="I22" s="5570"/>
      <c r="J22" s="5570"/>
      <c r="K22" s="5570"/>
      <c r="L22" s="5570"/>
      <c r="M22" s="5570"/>
      <c r="N22" s="5570"/>
      <c r="O22" s="5570"/>
      <c r="P22" s="5570"/>
      <c r="Q22" s="5570"/>
      <c r="R22" s="5570"/>
      <c r="S22" s="5570"/>
      <c r="T22" s="5570"/>
      <c r="U22" s="5570"/>
      <c r="V22" s="5570"/>
      <c r="W22" s="5570"/>
      <c r="X22" s="5570"/>
      <c r="Y22" s="5570"/>
      <c r="Z22" s="5570"/>
    </row>
    <row r="23" spans="1:26" s="5597" customFormat="1" ht="12.75" customHeight="1">
      <c r="A23" s="5595"/>
      <c r="B23" s="5595"/>
      <c r="C23" s="5595"/>
      <c r="D23" s="5595"/>
      <c r="E23" s="5595"/>
      <c r="F23" s="5595"/>
      <c r="G23" s="5595"/>
      <c r="H23" s="5594"/>
      <c r="I23" s="5596"/>
      <c r="J23" s="5570"/>
      <c r="K23" s="5570"/>
      <c r="L23" s="5570"/>
      <c r="M23" s="5570"/>
      <c r="N23" s="5570"/>
      <c r="O23" s="5570"/>
      <c r="P23" s="5570"/>
      <c r="Q23" s="5570"/>
      <c r="R23" s="5570"/>
      <c r="S23" s="5570"/>
      <c r="T23" s="5570"/>
      <c r="U23" s="5570"/>
      <c r="V23" s="5570"/>
      <c r="W23" s="5570"/>
      <c r="X23" s="5570"/>
      <c r="Y23" s="5570"/>
      <c r="Z23" s="5570"/>
    </row>
    <row r="24" spans="1:26" s="5597" customFormat="1" ht="14.85" customHeight="1">
      <c r="A24" s="5606" t="str">
        <f>A1</f>
        <v>Kansas Department of Education</v>
      </c>
      <c r="B24" s="5607"/>
      <c r="C24" s="5607"/>
      <c r="D24" s="5607"/>
      <c r="E24" s="5607"/>
      <c r="F24" s="5607"/>
      <c r="G24" s="5607"/>
      <c r="H24" s="5608"/>
      <c r="I24" s="5609" t="str">
        <f>I1</f>
        <v>USD #237</v>
      </c>
      <c r="J24" s="5570"/>
      <c r="K24" s="5570"/>
      <c r="L24" s="5570"/>
      <c r="M24" s="5570"/>
      <c r="N24" s="5570"/>
      <c r="O24" s="5570"/>
      <c r="P24" s="5570"/>
      <c r="Q24" s="5570"/>
      <c r="R24" s="5570"/>
      <c r="S24" s="5570"/>
      <c r="T24" s="5570"/>
      <c r="U24" s="5570"/>
      <c r="V24" s="5570"/>
      <c r="W24" s="5570"/>
      <c r="X24" s="5570"/>
      <c r="Y24" s="5570"/>
      <c r="Z24" s="5570"/>
    </row>
    <row r="25" spans="1:26" s="5597" customFormat="1" ht="14.85" customHeight="1">
      <c r="A25" s="5610" t="str">
        <f>A2</f>
        <v>Form 0-135-242A</v>
      </c>
      <c r="B25" s="5595"/>
      <c r="C25" s="5595"/>
      <c r="D25" s="5595"/>
      <c r="E25" s="5595"/>
      <c r="F25" s="5595"/>
      <c r="G25" s="5591"/>
      <c r="H25" s="5591"/>
      <c r="I25" s="4981">
        <f>I2</f>
        <v>44348</v>
      </c>
      <c r="J25" s="5570"/>
      <c r="K25" s="5570"/>
      <c r="L25" s="5570"/>
      <c r="M25" s="5570"/>
      <c r="N25" s="5570"/>
      <c r="O25" s="5570"/>
      <c r="P25" s="5570"/>
      <c r="Q25" s="5570"/>
      <c r="R25" s="5570"/>
      <c r="S25" s="5570"/>
      <c r="T25" s="5570"/>
      <c r="U25" s="5570"/>
      <c r="V25" s="5570"/>
      <c r="W25" s="5570"/>
      <c r="X25" s="5570"/>
      <c r="Y25" s="5570"/>
      <c r="Z25" s="5570"/>
    </row>
    <row r="26" spans="1:26" ht="14.85" customHeight="1">
      <c r="A26" s="5982" t="s">
        <v>1589</v>
      </c>
      <c r="B26" s="5982"/>
      <c r="C26" s="5982"/>
      <c r="D26" s="5982"/>
      <c r="E26" s="5982"/>
      <c r="F26" s="5982"/>
      <c r="G26" s="5982"/>
      <c r="H26" s="5982"/>
      <c r="I26" s="5982"/>
    </row>
    <row r="27" spans="1:26" ht="14.85" customHeight="1">
      <c r="A27" s="5978" t="s">
        <v>1587</v>
      </c>
      <c r="B27" s="5978"/>
      <c r="C27" s="5978"/>
      <c r="D27" s="5978"/>
      <c r="E27" s="5978"/>
      <c r="F27" s="5978"/>
      <c r="G27" s="5978"/>
      <c r="H27" s="5978"/>
      <c r="I27" s="5978"/>
    </row>
    <row r="28" spans="1:26" ht="14.85" customHeight="1">
      <c r="A28" s="5978" t="str">
        <f>OpenData!$N$2&amp;" ESTIMATED BOND AND INTEREST STATE AID"</f>
        <v>2021-2022 ESTIMATED BOND AND INTEREST STATE AID</v>
      </c>
      <c r="B28" s="5978"/>
      <c r="C28" s="5978"/>
      <c r="D28" s="5978"/>
      <c r="E28" s="5978"/>
      <c r="F28" s="5978"/>
      <c r="G28" s="5978"/>
      <c r="H28" s="5978"/>
      <c r="I28" s="5978"/>
    </row>
    <row r="29" spans="1:26" ht="14.85" customHeight="1">
      <c r="A29" s="5983" t="s">
        <v>5124</v>
      </c>
      <c r="B29" s="5983"/>
      <c r="C29" s="5983"/>
      <c r="D29" s="5983"/>
      <c r="E29" s="5983"/>
      <c r="F29" s="5983"/>
      <c r="G29" s="5983"/>
      <c r="H29" s="5983"/>
      <c r="I29" s="5983"/>
    </row>
    <row r="30" spans="1:26" ht="12.75" hidden="1" customHeight="1"/>
    <row r="31" spans="1:26" ht="14.85" customHeight="1">
      <c r="A31" s="5570" t="s">
        <v>1580</v>
      </c>
    </row>
    <row r="32" spans="1:26" ht="14.85" customHeight="1">
      <c r="A32" s="5570" t="s">
        <v>1581</v>
      </c>
    </row>
    <row r="33" spans="1:13" ht="12.75" customHeight="1"/>
    <row r="34" spans="1:13" ht="14.85" customHeight="1">
      <c r="A34" s="5570" t="str">
        <f>'F242'!A34</f>
        <v>1.  Estimated 2021-2022 bond and interest fund payments</v>
      </c>
      <c r="H34" s="5594" t="s">
        <v>907</v>
      </c>
      <c r="I34" s="5599">
        <v>0</v>
      </c>
    </row>
    <row r="35" spans="1:13" ht="12.75" customHeight="1">
      <c r="I35" s="5600"/>
    </row>
    <row r="36" spans="1:13" ht="14.85" customHeight="1">
      <c r="A36" s="5570" t="s">
        <v>1582</v>
      </c>
      <c r="H36" s="5594" t="s">
        <v>907</v>
      </c>
      <c r="I36" s="5599">
        <v>0</v>
      </c>
      <c r="K36" s="5598"/>
    </row>
    <row r="37" spans="1:13" ht="12.75" customHeight="1"/>
    <row r="38" spans="1:13" ht="14.85" customHeight="1">
      <c r="A38" s="5570" t="s">
        <v>1588</v>
      </c>
      <c r="E38" s="5601">
        <f>VLOOKUP(OPEN!$B$4,DATA!A4:BE289,27,FALSE)</f>
        <v>0</v>
      </c>
      <c r="H38" s="5594" t="s">
        <v>907</v>
      </c>
      <c r="I38" s="5602">
        <f>(I34-I36)*E38</f>
        <v>0</v>
      </c>
      <c r="K38" s="5611"/>
    </row>
    <row r="39" spans="1:13" ht="12.75" customHeight="1">
      <c r="K39" s="5611"/>
    </row>
    <row r="40" spans="1:13" ht="14.85" customHeight="1">
      <c r="A40" s="5570" t="s">
        <v>1584</v>
      </c>
      <c r="H40" s="5591" t="s">
        <v>1585</v>
      </c>
      <c r="I40" s="5604">
        <v>0</v>
      </c>
      <c r="K40" s="5611"/>
    </row>
    <row r="41" spans="1:13" ht="12.75" customHeight="1">
      <c r="H41" s="5591"/>
      <c r="I41" s="5605"/>
    </row>
    <row r="42" spans="1:13" ht="14.85" customHeight="1">
      <c r="A42" s="5563" t="s">
        <v>4874</v>
      </c>
      <c r="H42" s="5594" t="s">
        <v>907</v>
      </c>
      <c r="I42" s="5602">
        <f>IF((I38-I40)&lt;0,0,I38-I40)</f>
        <v>0</v>
      </c>
    </row>
    <row r="43" spans="1:13" ht="14.85" customHeight="1">
      <c r="A43" s="5570" t="str">
        <f>'F242'!A43</f>
        <v xml:space="preserve">     (July 1, 2021 through June 30, 2022) (Line 3 - Line 4)</v>
      </c>
    </row>
    <row r="44" spans="1:13" ht="12.75" customHeight="1"/>
    <row r="45" spans="1:13" ht="14.85" customHeight="1">
      <c r="A45" s="5606" t="str">
        <f>A1</f>
        <v>Kansas Department of Education</v>
      </c>
      <c r="B45" s="5612"/>
      <c r="C45" s="5612"/>
      <c r="D45" s="5612"/>
      <c r="E45" s="5612"/>
      <c r="F45" s="5612"/>
      <c r="G45" s="5612"/>
      <c r="H45" s="5608"/>
      <c r="I45" s="5613" t="str">
        <f>I1</f>
        <v>USD #237</v>
      </c>
    </row>
    <row r="46" spans="1:13" ht="14.85" customHeight="1">
      <c r="A46" s="5610" t="str">
        <f>A2</f>
        <v>Form 0-135-242A</v>
      </c>
      <c r="B46" s="5595"/>
      <c r="C46" s="5595"/>
      <c r="D46" s="5595"/>
      <c r="E46" s="5595"/>
      <c r="F46" s="5595"/>
      <c r="G46" s="5591"/>
      <c r="H46" s="5591"/>
      <c r="I46" s="4981">
        <f>I2</f>
        <v>44348</v>
      </c>
    </row>
    <row r="47" spans="1:13" ht="14.85" customHeight="1">
      <c r="A47" s="5982" t="s">
        <v>1683</v>
      </c>
      <c r="B47" s="5982"/>
      <c r="C47" s="5982"/>
      <c r="D47" s="5982"/>
      <c r="E47" s="5982"/>
      <c r="F47" s="5982"/>
      <c r="G47" s="5982"/>
      <c r="H47" s="5982"/>
      <c r="I47" s="5982"/>
      <c r="J47" s="5614"/>
      <c r="K47" s="5614"/>
      <c r="L47" s="5614"/>
      <c r="M47" s="5614"/>
    </row>
    <row r="48" spans="1:13" ht="14.85" customHeight="1">
      <c r="A48" s="5978" t="s">
        <v>1587</v>
      </c>
      <c r="B48" s="5978"/>
      <c r="C48" s="5978"/>
      <c r="D48" s="5978"/>
      <c r="E48" s="5978"/>
      <c r="F48" s="5978"/>
      <c r="G48" s="5978"/>
      <c r="H48" s="5978"/>
      <c r="I48" s="5978"/>
      <c r="J48" s="5614"/>
      <c r="K48" s="5614"/>
      <c r="L48" s="5614"/>
      <c r="M48" s="5614"/>
    </row>
    <row r="49" spans="1:13" ht="14.85" customHeight="1">
      <c r="A49" s="5978" t="str">
        <f>OpenData!$N$2&amp;" ESTIMATED BOND AND INTEREST STATE AID"</f>
        <v>2021-2022 ESTIMATED BOND AND INTEREST STATE AID</v>
      </c>
      <c r="B49" s="5978"/>
      <c r="C49" s="5978"/>
      <c r="D49" s="5978"/>
      <c r="E49" s="5978"/>
      <c r="F49" s="5978"/>
      <c r="G49" s="5978"/>
      <c r="H49" s="5978"/>
      <c r="I49" s="5978"/>
      <c r="J49" s="5614"/>
      <c r="K49" s="5614"/>
      <c r="L49" s="5614"/>
      <c r="M49" s="5614"/>
    </row>
    <row r="50" spans="1:13" ht="14.85" customHeight="1">
      <c r="A50" s="5983" t="s">
        <v>3051</v>
      </c>
      <c r="B50" s="5983"/>
      <c r="C50" s="5983"/>
      <c r="D50" s="5983"/>
      <c r="E50" s="5983"/>
      <c r="F50" s="5983"/>
      <c r="G50" s="5983"/>
      <c r="H50" s="5983"/>
      <c r="I50" s="5983"/>
      <c r="J50" s="5614"/>
      <c r="K50" s="5614"/>
      <c r="L50" s="5614"/>
      <c r="M50" s="5614"/>
    </row>
    <row r="51" spans="1:13" ht="12.75" hidden="1" customHeight="1">
      <c r="J51" s="5615"/>
      <c r="K51" s="5614"/>
      <c r="L51" s="5614"/>
      <c r="M51" s="5614"/>
    </row>
    <row r="52" spans="1:13" ht="14.85" customHeight="1">
      <c r="A52" s="5570" t="s">
        <v>1580</v>
      </c>
      <c r="J52" s="5614"/>
      <c r="K52" s="5614"/>
      <c r="L52" s="5614"/>
      <c r="M52" s="5614"/>
    </row>
    <row r="53" spans="1:13" ht="14.85" customHeight="1">
      <c r="A53" s="5570" t="s">
        <v>1581</v>
      </c>
      <c r="J53" s="5614"/>
      <c r="K53" s="5614"/>
      <c r="L53" s="5614"/>
      <c r="M53" s="5614"/>
    </row>
    <row r="54" spans="1:13" ht="12.75" customHeight="1">
      <c r="J54" s="5614"/>
      <c r="K54" s="5616"/>
      <c r="L54" s="5614"/>
      <c r="M54" s="5614"/>
    </row>
    <row r="55" spans="1:13" ht="14.85" customHeight="1">
      <c r="A55" s="5570" t="str">
        <f>'F242'!A56</f>
        <v>1.  Estimated 2021-2022 bond and interest fund payments</v>
      </c>
      <c r="H55" s="5594" t="s">
        <v>907</v>
      </c>
      <c r="I55" s="5599">
        <v>0</v>
      </c>
      <c r="J55" s="5614"/>
      <c r="K55" s="5614"/>
      <c r="L55" s="5569"/>
      <c r="M55" s="5614"/>
    </row>
    <row r="56" spans="1:13" ht="12.75" customHeight="1">
      <c r="I56" s="5600"/>
      <c r="J56" s="5614"/>
      <c r="K56" s="5614"/>
      <c r="L56" s="5614"/>
      <c r="M56" s="5614"/>
    </row>
    <row r="57" spans="1:13" ht="14.85" customHeight="1">
      <c r="A57" s="5570" t="s">
        <v>1582</v>
      </c>
      <c r="H57" s="5594" t="s">
        <v>907</v>
      </c>
      <c r="I57" s="5599">
        <v>0</v>
      </c>
    </row>
    <row r="58" spans="1:13" ht="12.75" customHeight="1">
      <c r="G58" s="5617" t="s">
        <v>3053</v>
      </c>
    </row>
    <row r="59" spans="1:13" ht="14.85" customHeight="1">
      <c r="A59" s="5570" t="s">
        <v>1588</v>
      </c>
      <c r="E59" s="5601">
        <f>VLOOKUP(OPEN!$B$4,DATA!A4:BE289,27,FALSE)</f>
        <v>0</v>
      </c>
      <c r="F59" s="5618" t="s">
        <v>1380</v>
      </c>
      <c r="G59" s="5577">
        <f>VLOOKUP(OPEN!$B$4,DATA!A4:BE289,53,FALSE)*100</f>
        <v>100</v>
      </c>
      <c r="H59" s="5619" t="s">
        <v>3052</v>
      </c>
      <c r="I59" s="5602">
        <f>ROUND((I55-I57)*E59,0)*G59/100</f>
        <v>0</v>
      </c>
      <c r="L59" s="5598"/>
    </row>
    <row r="60" spans="1:13" ht="12.75" customHeight="1"/>
    <row r="61" spans="1:13" ht="14.85" customHeight="1">
      <c r="A61" s="5570" t="s">
        <v>1584</v>
      </c>
      <c r="H61" s="5591" t="s">
        <v>1585</v>
      </c>
      <c r="I61" s="5604">
        <v>0</v>
      </c>
    </row>
    <row r="62" spans="1:13" ht="12.75" customHeight="1">
      <c r="H62" s="5591"/>
      <c r="I62" s="5605"/>
    </row>
    <row r="63" spans="1:13" ht="14.85" customHeight="1">
      <c r="A63" s="5563" t="s">
        <v>4874</v>
      </c>
      <c r="H63" s="5594" t="s">
        <v>907</v>
      </c>
      <c r="I63" s="5602">
        <f>IF((I59-I61)&lt;0,0,I59-I61)</f>
        <v>0</v>
      </c>
    </row>
    <row r="64" spans="1:13" ht="14.85" customHeight="1">
      <c r="A64" s="5570" t="str">
        <f>"     (July 1, "&amp;OpenData!$Q$5&amp;" through June 30, "&amp;OpenData!$S$5&amp;") (Line 3 - Line 4)"</f>
        <v xml:space="preserve">     (July 1, 2021 through June 30, 2022) (Line 3 - Line 4)</v>
      </c>
    </row>
    <row r="65" spans="1:9" ht="14.85" customHeight="1">
      <c r="A65" s="5580"/>
    </row>
    <row r="66" spans="1:9" ht="14.85" customHeight="1">
      <c r="A66" s="5580"/>
    </row>
    <row r="67" spans="1:9" ht="14.85" customHeight="1">
      <c r="C67" s="661"/>
      <c r="E67" s="5200"/>
      <c r="G67" s="661"/>
      <c r="I67" s="5200"/>
    </row>
    <row r="68" spans="1:9" ht="14.85" customHeight="1">
      <c r="C68" s="661"/>
      <c r="E68" s="5200"/>
      <c r="G68" s="661"/>
      <c r="I68" s="5200"/>
    </row>
    <row r="69" spans="1:9" ht="14.85" customHeight="1">
      <c r="C69" s="661"/>
      <c r="E69" s="5200"/>
      <c r="G69" s="661"/>
      <c r="I69" s="5200"/>
    </row>
    <row r="70" spans="1:9" ht="14.85" customHeight="1">
      <c r="C70" s="661"/>
      <c r="E70" s="5200"/>
      <c r="G70" s="661"/>
      <c r="I70" s="5200"/>
    </row>
    <row r="71" spans="1:9" ht="14.85" customHeight="1">
      <c r="C71" s="661"/>
      <c r="E71" s="5200"/>
      <c r="G71" s="661"/>
      <c r="I71" s="5200"/>
    </row>
    <row r="72" spans="1:9" ht="14.85" customHeight="1">
      <c r="C72" s="661"/>
      <c r="E72" s="5200"/>
      <c r="G72" s="661"/>
      <c r="I72" s="5200"/>
    </row>
    <row r="73" spans="1:9" ht="14.85" customHeight="1">
      <c r="C73" s="661"/>
      <c r="E73" s="5200"/>
      <c r="G73" s="661"/>
      <c r="I73" s="5200"/>
    </row>
    <row r="74" spans="1:9" ht="14.85" customHeight="1">
      <c r="C74" s="661"/>
      <c r="E74" s="5200"/>
      <c r="G74" s="661"/>
      <c r="I74" s="5200"/>
    </row>
    <row r="75" spans="1:9" ht="14.85" customHeight="1">
      <c r="C75" s="661"/>
      <c r="E75" s="5200"/>
      <c r="G75" s="661"/>
      <c r="I75" s="5200"/>
    </row>
    <row r="76" spans="1:9" ht="14.85" customHeight="1">
      <c r="C76" s="661"/>
      <c r="E76" s="5200"/>
      <c r="G76" s="661"/>
      <c r="I76" s="5200"/>
    </row>
    <row r="77" spans="1:9" ht="14.85" customHeight="1">
      <c r="C77" s="661"/>
      <c r="E77" s="5200"/>
      <c r="G77" s="661"/>
      <c r="I77" s="5200"/>
    </row>
    <row r="78" spans="1:9" ht="14.85" customHeight="1">
      <c r="C78" s="661"/>
      <c r="E78" s="5200"/>
      <c r="G78" s="661"/>
      <c r="I78" s="5200"/>
    </row>
    <row r="79" spans="1:9" ht="14.85" customHeight="1">
      <c r="C79" s="661"/>
      <c r="E79" s="5200"/>
      <c r="G79" s="661"/>
      <c r="I79" s="5200"/>
    </row>
    <row r="80" spans="1:9" ht="14.85" customHeight="1">
      <c r="C80" s="661"/>
      <c r="E80" s="5200"/>
      <c r="G80" s="661"/>
      <c r="I80" s="5200"/>
    </row>
    <row r="81" spans="3:9" ht="14.85" customHeight="1">
      <c r="C81" s="661"/>
      <c r="E81" s="5200"/>
      <c r="G81" s="661"/>
      <c r="I81" s="5200"/>
    </row>
    <row r="82" spans="3:9" ht="14.85" customHeight="1">
      <c r="C82" s="661"/>
      <c r="E82" s="5200"/>
      <c r="G82" s="661"/>
      <c r="I82" s="5200"/>
    </row>
    <row r="83" spans="3:9" ht="14.85" customHeight="1">
      <c r="C83" s="661"/>
      <c r="E83" s="5200"/>
      <c r="G83" s="661"/>
      <c r="I83" s="5200"/>
    </row>
    <row r="84" spans="3:9" ht="14.85" customHeight="1">
      <c r="C84" s="661"/>
      <c r="E84" s="5200"/>
      <c r="G84" s="661"/>
      <c r="I84" s="5200"/>
    </row>
    <row r="85" spans="3:9" ht="14.85" customHeight="1">
      <c r="C85" s="661"/>
      <c r="E85" s="5200"/>
      <c r="G85" s="661"/>
      <c r="I85" s="5200"/>
    </row>
    <row r="86" spans="3:9" ht="14.85" customHeight="1">
      <c r="C86" s="661"/>
      <c r="E86" s="5200"/>
      <c r="G86" s="661"/>
      <c r="I86" s="5200"/>
    </row>
    <row r="87" spans="3:9" ht="14.85" customHeight="1">
      <c r="C87" s="661"/>
      <c r="E87" s="5200"/>
      <c r="G87" s="661"/>
      <c r="I87" s="5200"/>
    </row>
    <row r="88" spans="3:9" ht="14.85" customHeight="1">
      <c r="C88" s="661"/>
      <c r="E88" s="5200"/>
      <c r="G88" s="661"/>
      <c r="I88" s="5200"/>
    </row>
    <row r="89" spans="3:9" ht="14.85" customHeight="1">
      <c r="C89" s="661"/>
      <c r="E89" s="5200"/>
      <c r="G89" s="661"/>
      <c r="I89" s="5200"/>
    </row>
    <row r="90" spans="3:9" ht="14.85" customHeight="1">
      <c r="C90" s="661"/>
      <c r="E90" s="5200"/>
      <c r="G90" s="661"/>
      <c r="I90" s="5200"/>
    </row>
    <row r="91" spans="3:9" ht="14.85" customHeight="1">
      <c r="C91" s="661"/>
      <c r="E91" s="5200"/>
      <c r="G91" s="661"/>
      <c r="I91" s="5200"/>
    </row>
    <row r="92" spans="3:9" ht="14.85" customHeight="1">
      <c r="C92" s="661"/>
      <c r="E92" s="5200"/>
      <c r="G92" s="661"/>
      <c r="I92" s="5200"/>
    </row>
    <row r="93" spans="3:9" ht="14.85" customHeight="1">
      <c r="C93" s="661"/>
      <c r="E93" s="5200"/>
      <c r="G93" s="661"/>
      <c r="I93" s="5200"/>
    </row>
    <row r="94" spans="3:9" ht="14.85" customHeight="1">
      <c r="C94" s="661"/>
      <c r="E94" s="5200"/>
      <c r="G94" s="661"/>
      <c r="I94" s="5200"/>
    </row>
    <row r="95" spans="3:9" ht="14.85" customHeight="1">
      <c r="C95" s="661"/>
      <c r="E95" s="5200"/>
      <c r="G95" s="661"/>
      <c r="I95" s="5200"/>
    </row>
    <row r="96" spans="3:9" ht="14.85" customHeight="1">
      <c r="C96" s="661"/>
      <c r="E96" s="5200"/>
      <c r="G96" s="661"/>
      <c r="I96" s="5200"/>
    </row>
    <row r="97" spans="3:9" ht="14.85" customHeight="1">
      <c r="C97" s="661"/>
      <c r="E97" s="5200"/>
      <c r="G97" s="661"/>
      <c r="I97" s="5200"/>
    </row>
    <row r="98" spans="3:9" ht="14.85" customHeight="1">
      <c r="C98" s="661"/>
      <c r="E98" s="5200"/>
      <c r="G98" s="661"/>
      <c r="I98" s="5200"/>
    </row>
    <row r="99" spans="3:9" ht="14.85" customHeight="1">
      <c r="C99" s="661"/>
      <c r="E99" s="5200"/>
      <c r="G99" s="661"/>
      <c r="I99" s="5200"/>
    </row>
    <row r="100" spans="3:9" ht="14.85" customHeight="1">
      <c r="C100" s="661"/>
      <c r="E100" s="5200"/>
      <c r="G100" s="661"/>
      <c r="I100" s="5200"/>
    </row>
    <row r="101" spans="3:9" ht="14.85" customHeight="1">
      <c r="C101" s="661"/>
      <c r="E101" s="5200"/>
      <c r="G101" s="661"/>
      <c r="I101" s="5200"/>
    </row>
    <row r="102" spans="3:9" ht="14.85" customHeight="1">
      <c r="C102" s="661"/>
      <c r="E102" s="5200"/>
      <c r="G102" s="661"/>
      <c r="I102" s="5200"/>
    </row>
    <row r="103" spans="3:9" ht="14.85" customHeight="1">
      <c r="C103" s="661"/>
      <c r="E103" s="5200"/>
      <c r="G103" s="661"/>
      <c r="I103" s="5200"/>
    </row>
    <row r="104" spans="3:9" ht="14.85" customHeight="1">
      <c r="C104" s="661"/>
      <c r="E104" s="5200"/>
      <c r="G104" s="661"/>
      <c r="I104" s="5200"/>
    </row>
    <row r="105" spans="3:9" ht="14.85" customHeight="1">
      <c r="C105" s="661"/>
      <c r="E105" s="5200"/>
      <c r="G105" s="661"/>
      <c r="I105" s="5200"/>
    </row>
    <row r="106" spans="3:9" ht="14.85" customHeight="1">
      <c r="C106" s="661"/>
      <c r="E106" s="5200"/>
      <c r="G106" s="661"/>
      <c r="I106" s="5200"/>
    </row>
    <row r="107" spans="3:9" ht="14.85" customHeight="1">
      <c r="C107" s="661"/>
      <c r="E107" s="5200"/>
      <c r="G107" s="661"/>
      <c r="I107" s="5200"/>
    </row>
    <row r="108" spans="3:9" ht="14.85" customHeight="1">
      <c r="C108" s="661"/>
      <c r="E108" s="5200"/>
      <c r="G108" s="661"/>
      <c r="I108" s="5200"/>
    </row>
    <row r="109" spans="3:9" ht="14.85" customHeight="1">
      <c r="C109" s="661"/>
      <c r="E109" s="5200"/>
      <c r="G109" s="661"/>
      <c r="I109" s="5200"/>
    </row>
    <row r="110" spans="3:9" ht="14.85" customHeight="1">
      <c r="C110" s="661"/>
      <c r="E110" s="5200"/>
      <c r="G110" s="661"/>
      <c r="I110" s="5200"/>
    </row>
    <row r="111" spans="3:9" ht="14.85" customHeight="1">
      <c r="C111" s="661"/>
      <c r="E111" s="5200"/>
      <c r="G111" s="661"/>
      <c r="I111" s="5200"/>
    </row>
    <row r="112" spans="3:9" ht="14.85" customHeight="1">
      <c r="C112" s="661"/>
      <c r="E112" s="5200"/>
      <c r="G112" s="661"/>
      <c r="I112" s="5200"/>
    </row>
    <row r="113" spans="3:9" ht="14.85" customHeight="1">
      <c r="C113" s="661"/>
      <c r="E113" s="5200"/>
      <c r="G113" s="661"/>
      <c r="I113" s="5200"/>
    </row>
    <row r="114" spans="3:9" ht="14.85" customHeight="1">
      <c r="C114" s="661"/>
      <c r="E114" s="5200"/>
      <c r="G114" s="661"/>
      <c r="I114" s="5200"/>
    </row>
    <row r="115" spans="3:9" ht="14.85" customHeight="1">
      <c r="C115" s="661"/>
      <c r="E115" s="5200"/>
      <c r="G115" s="661"/>
      <c r="I115" s="5200"/>
    </row>
    <row r="116" spans="3:9" ht="14.85" customHeight="1">
      <c r="C116" s="661"/>
      <c r="E116" s="5200"/>
      <c r="G116" s="661"/>
      <c r="I116" s="5200"/>
    </row>
    <row r="117" spans="3:9" ht="14.85" customHeight="1">
      <c r="C117" s="661"/>
      <c r="E117" s="5200"/>
      <c r="G117" s="661"/>
      <c r="I117" s="5200"/>
    </row>
    <row r="118" spans="3:9" ht="14.85" customHeight="1">
      <c r="C118" s="661"/>
      <c r="E118" s="5200"/>
      <c r="G118" s="661"/>
      <c r="I118" s="5200"/>
    </row>
    <row r="119" spans="3:9" ht="14.85" customHeight="1">
      <c r="C119" s="661"/>
      <c r="E119" s="5200"/>
      <c r="G119" s="661"/>
      <c r="I119" s="5200"/>
    </row>
    <row r="120" spans="3:9" ht="14.85" customHeight="1">
      <c r="C120" s="661"/>
      <c r="E120" s="5200"/>
      <c r="G120" s="661"/>
      <c r="I120" s="5200"/>
    </row>
    <row r="121" spans="3:9" ht="14.85" customHeight="1">
      <c r="C121" s="661"/>
      <c r="E121" s="5200"/>
      <c r="G121" s="661"/>
      <c r="I121" s="5200"/>
    </row>
    <row r="122" spans="3:9" ht="14.85" customHeight="1">
      <c r="C122" s="661"/>
      <c r="E122" s="5200"/>
      <c r="G122" s="661"/>
      <c r="I122" s="5200"/>
    </row>
    <row r="123" spans="3:9" ht="14.85" customHeight="1">
      <c r="C123" s="661"/>
      <c r="E123" s="5200"/>
      <c r="G123" s="661"/>
      <c r="I123" s="5200"/>
    </row>
    <row r="124" spans="3:9" ht="14.85" customHeight="1">
      <c r="C124" s="661"/>
      <c r="E124" s="5200"/>
      <c r="G124" s="661"/>
      <c r="I124" s="5200"/>
    </row>
    <row r="125" spans="3:9" ht="14.85" customHeight="1">
      <c r="C125" s="661"/>
      <c r="E125" s="5200"/>
      <c r="G125" s="661"/>
      <c r="I125" s="5200"/>
    </row>
    <row r="126" spans="3:9" ht="14.85" customHeight="1">
      <c r="C126" s="661"/>
      <c r="E126" s="5200"/>
      <c r="G126" s="661"/>
      <c r="I126" s="5200"/>
    </row>
    <row r="127" spans="3:9" ht="14.85" customHeight="1">
      <c r="C127" s="661"/>
      <c r="E127" s="5200"/>
      <c r="G127" s="661"/>
      <c r="I127" s="5200"/>
    </row>
    <row r="128" spans="3:9" ht="14.85" customHeight="1">
      <c r="C128" s="661"/>
      <c r="E128" s="5200"/>
      <c r="G128" s="661"/>
      <c r="I128" s="5200"/>
    </row>
    <row r="129" spans="3:9" ht="14.85" customHeight="1">
      <c r="C129" s="661"/>
      <c r="E129" s="5200"/>
      <c r="G129" s="661"/>
      <c r="I129" s="5200"/>
    </row>
    <row r="130" spans="3:9" ht="14.85" customHeight="1">
      <c r="C130" s="661"/>
      <c r="E130" s="5200"/>
      <c r="G130" s="661"/>
      <c r="I130" s="5200"/>
    </row>
    <row r="131" spans="3:9" ht="14.85" customHeight="1">
      <c r="C131" s="661"/>
      <c r="E131" s="5200"/>
      <c r="G131" s="661"/>
      <c r="I131" s="5200"/>
    </row>
    <row r="132" spans="3:9" ht="14.85" customHeight="1">
      <c r="C132" s="661"/>
      <c r="E132" s="5200"/>
      <c r="G132" s="661"/>
      <c r="I132" s="5200"/>
    </row>
    <row r="133" spans="3:9" ht="14.85" customHeight="1">
      <c r="C133" s="661"/>
      <c r="E133" s="5200"/>
      <c r="G133" s="661"/>
      <c r="I133" s="5200"/>
    </row>
    <row r="134" spans="3:9" ht="14.85" customHeight="1">
      <c r="C134" s="661"/>
      <c r="E134" s="5200"/>
      <c r="G134" s="661"/>
      <c r="I134" s="5200"/>
    </row>
    <row r="135" spans="3:9" ht="14.85" customHeight="1">
      <c r="C135" s="661"/>
      <c r="E135" s="5200"/>
      <c r="G135" s="661"/>
      <c r="I135" s="5200"/>
    </row>
    <row r="136" spans="3:9" ht="14.85" customHeight="1">
      <c r="C136" s="661"/>
      <c r="E136" s="5200"/>
      <c r="G136" s="661"/>
      <c r="I136" s="5200"/>
    </row>
    <row r="137" spans="3:9" ht="14.85" customHeight="1">
      <c r="C137" s="661"/>
      <c r="E137" s="5200"/>
      <c r="G137" s="661"/>
      <c r="I137" s="5200"/>
    </row>
    <row r="138" spans="3:9" ht="14.85" customHeight="1">
      <c r="C138" s="661"/>
      <c r="E138" s="5200"/>
      <c r="G138" s="661"/>
      <c r="I138" s="5200"/>
    </row>
    <row r="139" spans="3:9" ht="14.85" customHeight="1">
      <c r="C139" s="661"/>
      <c r="E139" s="5200"/>
      <c r="G139" s="661"/>
      <c r="I139" s="5200"/>
    </row>
    <row r="140" spans="3:9" ht="14.85" customHeight="1">
      <c r="C140" s="661"/>
      <c r="E140" s="5200"/>
      <c r="G140" s="661"/>
      <c r="I140" s="5200"/>
    </row>
    <row r="141" spans="3:9" ht="14.85" customHeight="1">
      <c r="C141" s="661"/>
      <c r="E141" s="5200"/>
      <c r="G141" s="661"/>
      <c r="I141" s="5200"/>
    </row>
    <row r="142" spans="3:9" ht="14.85" customHeight="1">
      <c r="C142" s="661"/>
      <c r="E142" s="5200"/>
      <c r="G142" s="661"/>
      <c r="I142" s="5200"/>
    </row>
    <row r="143" spans="3:9" ht="14.85" customHeight="1">
      <c r="C143" s="661"/>
      <c r="E143" s="5200"/>
      <c r="G143" s="661"/>
      <c r="I143" s="5200"/>
    </row>
    <row r="144" spans="3:9" ht="14.85" customHeight="1">
      <c r="C144" s="661"/>
      <c r="E144" s="5200"/>
      <c r="G144" s="661"/>
      <c r="I144" s="5200"/>
    </row>
    <row r="145" spans="3:9" ht="14.85" customHeight="1">
      <c r="C145" s="661"/>
      <c r="E145" s="5200"/>
      <c r="G145" s="661"/>
      <c r="I145" s="5200"/>
    </row>
    <row r="146" spans="3:9" ht="14.85" customHeight="1">
      <c r="C146" s="661"/>
      <c r="E146" s="5200"/>
      <c r="G146" s="661"/>
      <c r="I146" s="5200"/>
    </row>
    <row r="147" spans="3:9" ht="14.85" customHeight="1">
      <c r="C147" s="661"/>
      <c r="E147" s="5200"/>
      <c r="G147" s="661"/>
      <c r="I147" s="5200"/>
    </row>
    <row r="148" spans="3:9" ht="14.85" customHeight="1">
      <c r="C148" s="661"/>
      <c r="E148" s="5200"/>
      <c r="G148" s="661"/>
      <c r="I148" s="5200"/>
    </row>
    <row r="149" spans="3:9" ht="14.85" customHeight="1">
      <c r="C149" s="661"/>
      <c r="E149" s="5200"/>
      <c r="G149" s="661"/>
      <c r="I149" s="5200"/>
    </row>
    <row r="150" spans="3:9" ht="14.85" customHeight="1">
      <c r="C150" s="661"/>
      <c r="E150" s="5200"/>
      <c r="G150" s="661"/>
      <c r="I150" s="5200"/>
    </row>
    <row r="151" spans="3:9" ht="14.85" customHeight="1">
      <c r="C151" s="661"/>
      <c r="E151" s="5200"/>
      <c r="G151" s="661"/>
      <c r="I151" s="5200"/>
    </row>
    <row r="152" spans="3:9" ht="14.85" customHeight="1">
      <c r="C152" s="661"/>
      <c r="E152" s="5200"/>
      <c r="G152" s="661"/>
      <c r="I152" s="5200"/>
    </row>
    <row r="153" spans="3:9" ht="14.85" customHeight="1">
      <c r="C153" s="661"/>
      <c r="E153" s="5200"/>
      <c r="G153" s="661"/>
      <c r="I153" s="5200"/>
    </row>
    <row r="154" spans="3:9" ht="14.85" customHeight="1">
      <c r="C154" s="661"/>
      <c r="E154" s="5200"/>
      <c r="G154" s="661"/>
      <c r="I154" s="5200"/>
    </row>
    <row r="155" spans="3:9" ht="14.85" customHeight="1">
      <c r="C155" s="661"/>
      <c r="E155" s="5200"/>
      <c r="G155" s="661"/>
      <c r="I155" s="5200"/>
    </row>
    <row r="156" spans="3:9" ht="14.85" customHeight="1">
      <c r="C156" s="661"/>
      <c r="E156" s="5200"/>
      <c r="G156" s="661"/>
      <c r="I156" s="5200"/>
    </row>
    <row r="157" spans="3:9" ht="14.85" customHeight="1">
      <c r="C157" s="661"/>
      <c r="E157" s="5200"/>
      <c r="G157" s="661"/>
      <c r="I157" s="5200"/>
    </row>
    <row r="158" spans="3:9" ht="14.85" customHeight="1">
      <c r="C158" s="661"/>
      <c r="E158" s="5200"/>
      <c r="G158" s="661"/>
      <c r="I158" s="5200"/>
    </row>
    <row r="159" spans="3:9" ht="14.85" customHeight="1">
      <c r="C159" s="661"/>
      <c r="E159" s="5200"/>
      <c r="G159" s="661"/>
      <c r="I159" s="5200"/>
    </row>
    <row r="160" spans="3:9" ht="14.85" customHeight="1">
      <c r="C160" s="661"/>
      <c r="E160" s="5200"/>
      <c r="G160" s="661"/>
      <c r="I160" s="5200"/>
    </row>
    <row r="161" spans="3:9" ht="14.85" customHeight="1">
      <c r="C161" s="661"/>
      <c r="E161" s="5200"/>
      <c r="G161" s="661"/>
      <c r="I161" s="5200"/>
    </row>
    <row r="162" spans="3:9" ht="14.85" customHeight="1">
      <c r="C162" s="661"/>
      <c r="E162" s="5200"/>
      <c r="G162" s="661"/>
      <c r="I162" s="5200"/>
    </row>
    <row r="163" spans="3:9" ht="14.85" customHeight="1">
      <c r="C163" s="661"/>
      <c r="E163" s="5200"/>
      <c r="G163" s="661"/>
      <c r="I163" s="5200"/>
    </row>
    <row r="164" spans="3:9" ht="14.85" customHeight="1">
      <c r="C164" s="661"/>
      <c r="E164" s="5200"/>
      <c r="G164" s="661"/>
      <c r="I164" s="5200"/>
    </row>
    <row r="165" spans="3:9" ht="14.85" customHeight="1">
      <c r="C165" s="661"/>
      <c r="E165" s="5200"/>
      <c r="G165" s="661"/>
      <c r="I165" s="5200"/>
    </row>
    <row r="166" spans="3:9" ht="14.85" customHeight="1">
      <c r="C166" s="661"/>
      <c r="E166" s="5200"/>
      <c r="G166" s="661"/>
      <c r="I166" s="5200"/>
    </row>
    <row r="167" spans="3:9" ht="14.85" customHeight="1">
      <c r="C167" s="661"/>
      <c r="E167" s="5200"/>
      <c r="G167" s="661"/>
      <c r="I167" s="5200"/>
    </row>
    <row r="168" spans="3:9" ht="14.85" customHeight="1">
      <c r="C168" s="661"/>
      <c r="E168" s="5200"/>
      <c r="G168" s="661"/>
      <c r="I168" s="5200"/>
    </row>
    <row r="169" spans="3:9" ht="14.85" customHeight="1">
      <c r="C169" s="661"/>
      <c r="E169" s="5200"/>
      <c r="G169" s="661"/>
      <c r="I169" s="5200"/>
    </row>
    <row r="170" spans="3:9" ht="14.85" customHeight="1">
      <c r="C170" s="661"/>
      <c r="E170" s="5200"/>
      <c r="G170" s="661"/>
      <c r="I170" s="5200"/>
    </row>
    <row r="171" spans="3:9" ht="14.85" customHeight="1">
      <c r="C171" s="661"/>
      <c r="E171" s="5200"/>
      <c r="G171" s="661"/>
      <c r="I171" s="5200"/>
    </row>
    <row r="172" spans="3:9" ht="14.85" customHeight="1">
      <c r="C172" s="661"/>
      <c r="E172" s="5200"/>
      <c r="G172" s="661"/>
      <c r="I172" s="5200"/>
    </row>
    <row r="173" spans="3:9" ht="14.85" customHeight="1">
      <c r="C173" s="661"/>
      <c r="E173" s="5200"/>
      <c r="G173" s="661"/>
      <c r="I173" s="5200"/>
    </row>
    <row r="174" spans="3:9" ht="14.85" customHeight="1">
      <c r="C174" s="661"/>
      <c r="E174" s="5200"/>
      <c r="G174" s="661"/>
      <c r="I174" s="5200"/>
    </row>
    <row r="175" spans="3:9" ht="14.85" customHeight="1">
      <c r="C175" s="661"/>
      <c r="E175" s="5200"/>
      <c r="G175" s="661"/>
      <c r="I175" s="5200"/>
    </row>
    <row r="176" spans="3:9" ht="14.85" customHeight="1">
      <c r="C176" s="661"/>
      <c r="E176" s="5200"/>
      <c r="G176" s="661"/>
      <c r="I176" s="5200"/>
    </row>
    <row r="177" spans="3:9" ht="14.85" customHeight="1">
      <c r="C177" s="661"/>
      <c r="E177" s="5200"/>
      <c r="G177" s="661"/>
      <c r="I177" s="5200"/>
    </row>
    <row r="178" spans="3:9" ht="14.85" customHeight="1">
      <c r="C178" s="661"/>
      <c r="E178" s="5200"/>
      <c r="G178" s="661"/>
      <c r="I178" s="5200"/>
    </row>
    <row r="179" spans="3:9" ht="14.85" customHeight="1">
      <c r="C179" s="661"/>
      <c r="E179" s="5200"/>
      <c r="G179" s="661"/>
      <c r="I179" s="5200"/>
    </row>
    <row r="180" spans="3:9" ht="14.85" customHeight="1">
      <c r="C180" s="661"/>
      <c r="E180" s="5200"/>
      <c r="G180" s="661"/>
      <c r="I180" s="5200"/>
    </row>
    <row r="181" spans="3:9" ht="14.85" customHeight="1">
      <c r="C181" s="661"/>
      <c r="E181" s="5200"/>
      <c r="G181" s="661"/>
      <c r="I181" s="5200"/>
    </row>
    <row r="182" spans="3:9" ht="14.85" customHeight="1">
      <c r="C182" s="661"/>
      <c r="E182" s="5200"/>
      <c r="G182" s="661"/>
      <c r="I182" s="5200"/>
    </row>
    <row r="183" spans="3:9" ht="14.85" customHeight="1">
      <c r="C183" s="661"/>
      <c r="E183" s="5200"/>
      <c r="G183" s="661"/>
      <c r="I183" s="5200"/>
    </row>
    <row r="184" spans="3:9" ht="14.85" customHeight="1">
      <c r="C184" s="661"/>
      <c r="E184" s="5200"/>
      <c r="G184" s="661"/>
      <c r="I184" s="5200"/>
    </row>
    <row r="185" spans="3:9" ht="14.85" customHeight="1">
      <c r="C185" s="661"/>
      <c r="E185" s="5200"/>
      <c r="G185" s="661"/>
      <c r="I185" s="5200"/>
    </row>
    <row r="186" spans="3:9" ht="14.85" customHeight="1">
      <c r="C186" s="661"/>
      <c r="E186" s="5200"/>
      <c r="G186" s="661"/>
      <c r="I186" s="5200"/>
    </row>
    <row r="187" spans="3:9" ht="14.85" customHeight="1">
      <c r="C187" s="661"/>
      <c r="E187" s="5200"/>
      <c r="G187" s="661"/>
      <c r="I187" s="5200"/>
    </row>
    <row r="188" spans="3:9" ht="14.85" customHeight="1">
      <c r="C188" s="661"/>
      <c r="E188" s="5200"/>
      <c r="G188" s="661"/>
      <c r="I188" s="5200"/>
    </row>
    <row r="189" spans="3:9" ht="14.85" customHeight="1">
      <c r="C189" s="661"/>
      <c r="E189" s="5200"/>
      <c r="G189" s="661"/>
      <c r="I189" s="5200"/>
    </row>
    <row r="190" spans="3:9" ht="14.85" customHeight="1">
      <c r="C190" s="661"/>
      <c r="E190" s="5200"/>
      <c r="G190" s="661"/>
      <c r="I190" s="5200"/>
    </row>
    <row r="191" spans="3:9" ht="14.85" customHeight="1">
      <c r="C191" s="661"/>
      <c r="E191" s="5200"/>
      <c r="G191" s="661"/>
      <c r="I191" s="5200"/>
    </row>
    <row r="192" spans="3:9" ht="14.85" customHeight="1">
      <c r="C192" s="661"/>
      <c r="E192" s="5200"/>
      <c r="G192" s="661"/>
      <c r="I192" s="5200"/>
    </row>
    <row r="193" spans="3:9" ht="14.85" customHeight="1">
      <c r="C193" s="661"/>
      <c r="E193" s="5200"/>
      <c r="G193" s="661"/>
      <c r="I193" s="5200"/>
    </row>
    <row r="194" spans="3:9" ht="14.85" customHeight="1">
      <c r="C194" s="661"/>
      <c r="E194" s="5200"/>
      <c r="G194" s="661"/>
      <c r="I194" s="5200"/>
    </row>
    <row r="195" spans="3:9" ht="14.85" customHeight="1">
      <c r="C195" s="661"/>
      <c r="E195" s="5200"/>
      <c r="G195" s="661"/>
      <c r="I195" s="5200"/>
    </row>
    <row r="196" spans="3:9" ht="14.85" customHeight="1">
      <c r="C196" s="661"/>
      <c r="E196" s="5200"/>
      <c r="G196" s="661"/>
      <c r="I196" s="5200"/>
    </row>
    <row r="197" spans="3:9" ht="14.85" customHeight="1">
      <c r="C197" s="661"/>
      <c r="E197" s="5200"/>
      <c r="G197" s="661"/>
      <c r="I197" s="5200"/>
    </row>
    <row r="198" spans="3:9" ht="14.85" customHeight="1">
      <c r="C198" s="661"/>
      <c r="E198" s="5200"/>
      <c r="G198" s="661"/>
      <c r="I198" s="5200"/>
    </row>
    <row r="199" spans="3:9" ht="14.85" customHeight="1">
      <c r="C199" s="661"/>
      <c r="E199" s="5200"/>
      <c r="G199" s="661"/>
      <c r="I199" s="5200"/>
    </row>
    <row r="200" spans="3:9" ht="14.85" customHeight="1">
      <c r="C200" s="661"/>
      <c r="E200" s="5200"/>
      <c r="G200" s="661"/>
      <c r="I200" s="5200"/>
    </row>
    <row r="201" spans="3:9" ht="14.85" customHeight="1">
      <c r="C201" s="661"/>
      <c r="E201" s="5200"/>
      <c r="G201" s="661"/>
      <c r="I201" s="5200"/>
    </row>
    <row r="202" spans="3:9" ht="14.85" customHeight="1">
      <c r="C202" s="661"/>
      <c r="E202" s="5200"/>
      <c r="G202" s="661"/>
      <c r="I202" s="5200"/>
    </row>
    <row r="203" spans="3:9" ht="14.85" customHeight="1">
      <c r="C203" s="661"/>
      <c r="E203" s="5200"/>
      <c r="G203" s="661"/>
      <c r="I203" s="5200"/>
    </row>
    <row r="204" spans="3:9" ht="14.85" customHeight="1">
      <c r="C204" s="661"/>
      <c r="E204" s="5200"/>
      <c r="G204" s="661"/>
      <c r="I204" s="5200"/>
    </row>
    <row r="205" spans="3:9" ht="14.85" customHeight="1">
      <c r="C205" s="661"/>
      <c r="E205" s="5200"/>
      <c r="G205" s="661"/>
      <c r="I205" s="5200"/>
    </row>
    <row r="206" spans="3:9" ht="14.85" customHeight="1">
      <c r="C206" s="661"/>
      <c r="E206" s="5200"/>
      <c r="G206" s="661"/>
      <c r="I206" s="5200"/>
    </row>
    <row r="207" spans="3:9" ht="14.85" customHeight="1">
      <c r="C207" s="661"/>
      <c r="E207" s="5200"/>
      <c r="G207" s="661"/>
      <c r="I207" s="5200"/>
    </row>
    <row r="208" spans="3:9" ht="14.85" customHeight="1">
      <c r="C208" s="661"/>
      <c r="E208" s="5200"/>
      <c r="G208" s="661"/>
      <c r="I208" s="5200"/>
    </row>
    <row r="209" spans="3:9" ht="14.85" customHeight="1">
      <c r="C209" s="661"/>
      <c r="E209" s="5200"/>
      <c r="G209" s="661"/>
      <c r="I209" s="5200"/>
    </row>
    <row r="210" spans="3:9" ht="14.85" customHeight="1">
      <c r="C210" s="661"/>
      <c r="E210" s="5200"/>
      <c r="G210" s="661"/>
      <c r="I210" s="5200"/>
    </row>
    <row r="211" spans="3:9" ht="14.85" customHeight="1">
      <c r="C211" s="661"/>
      <c r="E211" s="5200"/>
      <c r="G211" s="661"/>
      <c r="I211" s="5200"/>
    </row>
    <row r="212" spans="3:9" ht="14.85" customHeight="1">
      <c r="C212" s="661"/>
      <c r="E212" s="5200"/>
      <c r="G212" s="661"/>
      <c r="I212" s="5200"/>
    </row>
    <row r="213" spans="3:9" ht="14.85" customHeight="1">
      <c r="C213" s="661"/>
      <c r="E213" s="5200"/>
      <c r="G213" s="661"/>
      <c r="I213" s="5200"/>
    </row>
    <row r="214" spans="3:9" ht="14.85" customHeight="1">
      <c r="C214" s="661"/>
      <c r="E214" s="5200"/>
      <c r="G214" s="661"/>
      <c r="I214" s="5200"/>
    </row>
    <row r="215" spans="3:9" ht="14.85" customHeight="1">
      <c r="C215" s="661"/>
      <c r="E215" s="5200"/>
      <c r="G215" s="661"/>
      <c r="I215" s="5200"/>
    </row>
    <row r="216" spans="3:9" ht="14.85" customHeight="1">
      <c r="C216" s="661"/>
      <c r="E216" s="5200"/>
      <c r="G216" s="661"/>
      <c r="I216" s="5200"/>
    </row>
    <row r="217" spans="3:9" ht="14.85" customHeight="1">
      <c r="C217" s="661"/>
      <c r="E217" s="5200"/>
      <c r="G217" s="661"/>
      <c r="I217" s="5200"/>
    </row>
    <row r="218" spans="3:9" ht="14.85" customHeight="1">
      <c r="C218" s="661"/>
      <c r="E218" s="5200"/>
      <c r="G218" s="661"/>
      <c r="I218" s="5200"/>
    </row>
    <row r="219" spans="3:9" ht="14.85" customHeight="1">
      <c r="C219" s="661"/>
      <c r="E219" s="5200"/>
      <c r="G219" s="661"/>
      <c r="I219" s="5200"/>
    </row>
    <row r="220" spans="3:9" ht="14.85" customHeight="1">
      <c r="C220" s="661"/>
      <c r="E220" s="5200"/>
      <c r="G220" s="661"/>
      <c r="I220" s="5200"/>
    </row>
    <row r="221" spans="3:9" ht="14.85" customHeight="1">
      <c r="C221" s="661"/>
      <c r="E221" s="5200"/>
      <c r="G221" s="661"/>
      <c r="I221" s="5200"/>
    </row>
    <row r="222" spans="3:9" ht="14.85" customHeight="1">
      <c r="C222" s="661"/>
      <c r="E222" s="5200"/>
      <c r="G222" s="661"/>
      <c r="I222" s="5200"/>
    </row>
    <row r="223" spans="3:9" ht="14.85" customHeight="1">
      <c r="C223" s="661"/>
      <c r="E223" s="5200"/>
      <c r="G223" s="661"/>
      <c r="I223" s="5200"/>
    </row>
    <row r="224" spans="3:9" ht="14.85" customHeight="1">
      <c r="C224" s="661"/>
      <c r="E224" s="5200"/>
      <c r="G224" s="661"/>
      <c r="I224" s="5200"/>
    </row>
    <row r="225" spans="3:9" ht="14.85" customHeight="1">
      <c r="C225" s="661"/>
      <c r="E225" s="5200"/>
      <c r="G225" s="661"/>
      <c r="I225" s="5200"/>
    </row>
    <row r="226" spans="3:9" ht="14.85" customHeight="1">
      <c r="C226" s="661"/>
      <c r="E226" s="5200"/>
      <c r="G226" s="661"/>
      <c r="I226" s="5200"/>
    </row>
    <row r="227" spans="3:9" ht="14.85" customHeight="1">
      <c r="C227" s="661"/>
      <c r="E227" s="5200"/>
      <c r="G227" s="661"/>
      <c r="I227" s="5200"/>
    </row>
    <row r="228" spans="3:9" ht="14.85" customHeight="1">
      <c r="C228" s="661"/>
      <c r="E228" s="5200"/>
      <c r="G228" s="661"/>
      <c r="I228" s="5200"/>
    </row>
    <row r="229" spans="3:9" ht="14.85" customHeight="1">
      <c r="C229" s="661"/>
      <c r="E229" s="5200"/>
      <c r="G229" s="661"/>
      <c r="I229" s="5200"/>
    </row>
    <row r="230" spans="3:9" ht="14.85" customHeight="1">
      <c r="C230" s="661"/>
      <c r="E230" s="5200"/>
      <c r="G230" s="661"/>
      <c r="I230" s="5200"/>
    </row>
    <row r="231" spans="3:9" ht="14.85" customHeight="1">
      <c r="C231" s="661"/>
      <c r="E231" s="5200"/>
      <c r="G231" s="661"/>
      <c r="I231" s="5200"/>
    </row>
    <row r="232" spans="3:9" ht="14.85" customHeight="1">
      <c r="C232" s="661"/>
      <c r="E232" s="5200"/>
      <c r="G232" s="661"/>
      <c r="I232" s="5200"/>
    </row>
    <row r="233" spans="3:9" ht="14.85" customHeight="1">
      <c r="C233" s="661"/>
      <c r="E233" s="5200"/>
      <c r="G233" s="661"/>
      <c r="I233" s="5200"/>
    </row>
    <row r="234" spans="3:9" ht="14.85" customHeight="1">
      <c r="C234" s="661"/>
      <c r="E234" s="5200"/>
      <c r="G234" s="661"/>
      <c r="I234" s="5200"/>
    </row>
    <row r="235" spans="3:9" ht="14.85" customHeight="1">
      <c r="C235" s="661"/>
      <c r="E235" s="5200"/>
      <c r="G235" s="661"/>
      <c r="I235" s="5200"/>
    </row>
    <row r="236" spans="3:9" ht="14.85" customHeight="1">
      <c r="C236" s="661"/>
      <c r="E236" s="5200"/>
      <c r="G236" s="661"/>
      <c r="I236" s="5200"/>
    </row>
    <row r="237" spans="3:9" ht="14.85" customHeight="1">
      <c r="C237" s="661"/>
      <c r="E237" s="5200"/>
      <c r="G237" s="661"/>
      <c r="I237" s="5200"/>
    </row>
    <row r="238" spans="3:9" ht="14.85" customHeight="1">
      <c r="C238" s="661"/>
      <c r="E238" s="5200"/>
      <c r="G238" s="661"/>
      <c r="I238" s="5200"/>
    </row>
    <row r="239" spans="3:9" ht="14.85" customHeight="1">
      <c r="C239" s="661"/>
      <c r="E239" s="5200"/>
      <c r="G239" s="661"/>
      <c r="I239" s="5200"/>
    </row>
    <row r="240" spans="3:9" ht="14.85" customHeight="1">
      <c r="C240" s="661"/>
      <c r="E240" s="5200"/>
      <c r="G240" s="661"/>
      <c r="I240" s="5200"/>
    </row>
    <row r="241" spans="3:9" ht="14.85" customHeight="1">
      <c r="C241" s="661"/>
      <c r="E241" s="5200"/>
      <c r="G241" s="661"/>
      <c r="I241" s="5200"/>
    </row>
    <row r="242" spans="3:9" ht="14.85" customHeight="1">
      <c r="C242" s="661"/>
      <c r="E242" s="5200"/>
      <c r="G242" s="661"/>
      <c r="I242" s="5200"/>
    </row>
    <row r="243" spans="3:9" ht="14.85" customHeight="1">
      <c r="C243" s="661"/>
      <c r="E243" s="5200"/>
      <c r="G243" s="661"/>
      <c r="I243" s="5200"/>
    </row>
    <row r="244" spans="3:9" ht="14.85" customHeight="1">
      <c r="C244" s="661"/>
      <c r="E244" s="5200"/>
      <c r="G244" s="661"/>
      <c r="I244" s="5200"/>
    </row>
    <row r="245" spans="3:9" ht="14.85" customHeight="1">
      <c r="C245" s="661"/>
      <c r="E245" s="5200"/>
      <c r="G245" s="661"/>
      <c r="I245" s="5200"/>
    </row>
    <row r="246" spans="3:9" ht="14.85" customHeight="1">
      <c r="C246" s="661"/>
      <c r="E246" s="5200"/>
      <c r="G246" s="661"/>
      <c r="I246" s="5200"/>
    </row>
    <row r="247" spans="3:9" ht="14.85" customHeight="1">
      <c r="C247" s="661"/>
      <c r="E247" s="5200"/>
      <c r="G247" s="661"/>
      <c r="I247" s="5200"/>
    </row>
    <row r="248" spans="3:9" ht="14.85" customHeight="1">
      <c r="C248" s="661"/>
      <c r="E248" s="5200"/>
      <c r="G248" s="661"/>
      <c r="I248" s="5200"/>
    </row>
    <row r="249" spans="3:9" ht="14.85" customHeight="1">
      <c r="C249" s="661"/>
      <c r="E249" s="5200"/>
      <c r="G249" s="661"/>
      <c r="I249" s="5200"/>
    </row>
    <row r="250" spans="3:9" ht="14.85" customHeight="1">
      <c r="C250" s="661"/>
      <c r="E250" s="5200"/>
      <c r="G250" s="661"/>
      <c r="I250" s="5200"/>
    </row>
    <row r="251" spans="3:9" ht="14.85" customHeight="1">
      <c r="C251" s="661"/>
      <c r="E251" s="5200"/>
      <c r="G251" s="661"/>
      <c r="I251" s="5200"/>
    </row>
    <row r="252" spans="3:9" ht="14.85" customHeight="1">
      <c r="C252" s="661"/>
      <c r="E252" s="5200"/>
      <c r="G252" s="661"/>
      <c r="I252" s="5200"/>
    </row>
    <row r="253" spans="3:9" ht="14.85" customHeight="1">
      <c r="C253" s="661"/>
      <c r="E253" s="5200"/>
      <c r="G253" s="661"/>
      <c r="I253" s="5200"/>
    </row>
    <row r="254" spans="3:9" ht="14.85" customHeight="1">
      <c r="C254" s="661"/>
      <c r="E254" s="5200"/>
      <c r="G254" s="661"/>
      <c r="I254" s="5200"/>
    </row>
    <row r="255" spans="3:9" ht="14.85" customHeight="1">
      <c r="C255" s="661"/>
      <c r="E255" s="5200"/>
      <c r="G255" s="661"/>
      <c r="I255" s="5200"/>
    </row>
    <row r="256" spans="3:9" ht="14.85" customHeight="1">
      <c r="C256" s="661"/>
      <c r="E256" s="5200"/>
      <c r="G256" s="661"/>
      <c r="I256" s="5200"/>
    </row>
    <row r="257" spans="3:9" ht="14.85" customHeight="1">
      <c r="C257" s="661"/>
      <c r="E257" s="5200"/>
      <c r="G257" s="661"/>
      <c r="I257" s="5200"/>
    </row>
    <row r="258" spans="3:9" ht="14.85" customHeight="1">
      <c r="C258" s="661"/>
      <c r="E258" s="5200"/>
      <c r="G258" s="661"/>
      <c r="I258" s="5200"/>
    </row>
    <row r="259" spans="3:9" ht="14.85" customHeight="1">
      <c r="C259" s="661"/>
      <c r="E259" s="5200"/>
      <c r="G259" s="661"/>
      <c r="I259" s="5200"/>
    </row>
    <row r="260" spans="3:9" ht="14.85" customHeight="1">
      <c r="C260" s="661"/>
      <c r="E260" s="5200"/>
      <c r="G260" s="661"/>
      <c r="I260" s="5200"/>
    </row>
    <row r="261" spans="3:9" ht="14.85" customHeight="1">
      <c r="C261" s="661"/>
      <c r="E261" s="5200"/>
      <c r="G261" s="661"/>
      <c r="I261" s="5200"/>
    </row>
    <row r="262" spans="3:9" ht="14.85" customHeight="1">
      <c r="C262" s="661"/>
      <c r="E262" s="5200"/>
      <c r="G262" s="661"/>
      <c r="I262" s="5200"/>
    </row>
    <row r="263" spans="3:9" ht="14.85" customHeight="1">
      <c r="C263" s="661"/>
      <c r="E263" s="5200"/>
      <c r="G263" s="661"/>
      <c r="I263" s="5200"/>
    </row>
    <row r="264" spans="3:9" ht="14.85" customHeight="1">
      <c r="C264" s="661"/>
      <c r="E264" s="5200"/>
      <c r="G264" s="661"/>
      <c r="I264" s="5200"/>
    </row>
    <row r="265" spans="3:9" ht="14.85" customHeight="1">
      <c r="C265" s="661"/>
      <c r="E265" s="5200"/>
      <c r="G265" s="661"/>
      <c r="I265" s="5200"/>
    </row>
    <row r="266" spans="3:9" ht="14.85" customHeight="1">
      <c r="C266" s="661"/>
      <c r="E266" s="5200"/>
      <c r="G266" s="661"/>
      <c r="I266" s="5200"/>
    </row>
    <row r="267" spans="3:9" ht="14.85" customHeight="1">
      <c r="C267" s="661"/>
      <c r="E267" s="5200"/>
      <c r="G267" s="661"/>
      <c r="I267" s="5200"/>
    </row>
    <row r="268" spans="3:9" ht="14.85" customHeight="1">
      <c r="C268" s="661"/>
      <c r="E268" s="5200"/>
      <c r="G268" s="661"/>
      <c r="I268" s="5200"/>
    </row>
    <row r="269" spans="3:9" ht="14.85" customHeight="1">
      <c r="C269" s="661"/>
      <c r="E269" s="5200"/>
      <c r="G269" s="661"/>
      <c r="I269" s="5200"/>
    </row>
    <row r="270" spans="3:9" ht="14.85" customHeight="1">
      <c r="C270" s="661"/>
      <c r="E270" s="5200"/>
      <c r="G270" s="661"/>
      <c r="I270" s="5200"/>
    </row>
    <row r="271" spans="3:9" ht="14.85" customHeight="1">
      <c r="C271" s="661"/>
      <c r="E271" s="5200"/>
      <c r="G271" s="661"/>
      <c r="I271" s="5200"/>
    </row>
    <row r="272" spans="3:9" ht="14.85" customHeight="1">
      <c r="C272" s="661"/>
      <c r="E272" s="5200"/>
      <c r="G272" s="661"/>
      <c r="I272" s="5200"/>
    </row>
    <row r="273" spans="3:9" ht="14.85" customHeight="1">
      <c r="C273" s="661"/>
      <c r="E273" s="5200"/>
      <c r="G273" s="661"/>
      <c r="I273" s="5200"/>
    </row>
    <row r="274" spans="3:9" ht="14.85" customHeight="1">
      <c r="C274" s="661"/>
      <c r="E274" s="5200"/>
      <c r="G274" s="661"/>
      <c r="I274" s="5200"/>
    </row>
    <row r="275" spans="3:9" ht="14.85" customHeight="1">
      <c r="C275" s="661"/>
      <c r="E275" s="5200"/>
      <c r="G275" s="661"/>
      <c r="I275" s="5200"/>
    </row>
    <row r="276" spans="3:9" ht="14.85" customHeight="1">
      <c r="C276" s="661"/>
      <c r="E276" s="5200"/>
      <c r="G276" s="661"/>
      <c r="I276" s="5200"/>
    </row>
    <row r="277" spans="3:9" ht="14.85" customHeight="1">
      <c r="C277" s="661"/>
      <c r="E277" s="5200"/>
      <c r="G277" s="661"/>
      <c r="I277" s="5200"/>
    </row>
    <row r="278" spans="3:9" ht="14.85" customHeight="1">
      <c r="C278" s="661"/>
      <c r="E278" s="5200"/>
      <c r="G278" s="661"/>
      <c r="I278" s="5200"/>
    </row>
    <row r="279" spans="3:9" ht="14.85" customHeight="1">
      <c r="C279" s="661"/>
      <c r="E279" s="5200"/>
      <c r="G279" s="661"/>
      <c r="I279" s="5200"/>
    </row>
    <row r="280" spans="3:9" ht="14.85" customHeight="1">
      <c r="C280" s="661"/>
      <c r="E280" s="5200"/>
      <c r="G280" s="661"/>
      <c r="I280" s="5200"/>
    </row>
    <row r="281" spans="3:9" ht="14.85" customHeight="1">
      <c r="C281" s="661"/>
      <c r="E281" s="5200"/>
      <c r="G281" s="661"/>
      <c r="I281" s="5200"/>
    </row>
    <row r="282" spans="3:9" ht="14.85" customHeight="1">
      <c r="C282" s="661"/>
      <c r="E282" s="5200"/>
      <c r="G282" s="661"/>
      <c r="I282" s="5200"/>
    </row>
    <row r="283" spans="3:9" ht="14.85" customHeight="1">
      <c r="C283" s="661"/>
      <c r="E283" s="5200"/>
      <c r="G283" s="661"/>
      <c r="I283" s="5200"/>
    </row>
    <row r="284" spans="3:9" ht="14.85" customHeight="1">
      <c r="C284" s="661"/>
      <c r="E284" s="5200"/>
      <c r="G284" s="661"/>
      <c r="I284" s="5200"/>
    </row>
    <row r="285" spans="3:9" ht="14.85" customHeight="1">
      <c r="C285" s="661"/>
      <c r="E285" s="5200"/>
      <c r="G285" s="661"/>
      <c r="I285" s="5200"/>
    </row>
    <row r="286" spans="3:9" ht="14.85" customHeight="1">
      <c r="C286" s="661"/>
      <c r="E286" s="5200"/>
      <c r="G286" s="661"/>
      <c r="I286" s="5200"/>
    </row>
    <row r="287" spans="3:9" ht="14.85" customHeight="1">
      <c r="C287" s="661"/>
      <c r="E287" s="5200"/>
      <c r="G287" s="661"/>
      <c r="I287" s="5200"/>
    </row>
    <row r="288" spans="3:9" ht="14.85" customHeight="1">
      <c r="C288" s="661"/>
      <c r="E288" s="5200"/>
      <c r="G288" s="661"/>
      <c r="I288" s="5200"/>
    </row>
    <row r="289" spans="3:9" ht="14.85" customHeight="1">
      <c r="C289" s="661"/>
      <c r="E289" s="5200"/>
      <c r="G289" s="661"/>
      <c r="I289" s="5200"/>
    </row>
    <row r="290" spans="3:9" ht="14.85" customHeight="1">
      <c r="C290" s="661"/>
      <c r="E290" s="5200"/>
      <c r="G290" s="661"/>
      <c r="I290" s="5200"/>
    </row>
    <row r="291" spans="3:9" ht="14.85" customHeight="1">
      <c r="C291" s="661"/>
      <c r="E291" s="5200"/>
      <c r="G291" s="661"/>
      <c r="I291" s="5200"/>
    </row>
    <row r="292" spans="3:9" ht="14.85" customHeight="1">
      <c r="C292" s="661"/>
      <c r="E292" s="5200"/>
      <c r="G292" s="661"/>
      <c r="I292" s="5200"/>
    </row>
    <row r="293" spans="3:9" ht="14.85" customHeight="1">
      <c r="C293" s="661"/>
      <c r="E293" s="5200"/>
      <c r="G293" s="661"/>
      <c r="I293" s="5200"/>
    </row>
    <row r="294" spans="3:9" ht="14.85" customHeight="1">
      <c r="C294" s="661"/>
      <c r="E294" s="5200"/>
      <c r="G294" s="661"/>
      <c r="I294" s="5200"/>
    </row>
    <row r="295" spans="3:9" ht="14.85" customHeight="1">
      <c r="C295" s="661"/>
      <c r="E295" s="5200"/>
      <c r="G295" s="661"/>
      <c r="I295" s="5200"/>
    </row>
    <row r="296" spans="3:9" ht="14.85" customHeight="1">
      <c r="C296" s="661"/>
      <c r="E296" s="5200"/>
      <c r="G296" s="661"/>
      <c r="I296" s="5200"/>
    </row>
    <row r="297" spans="3:9" ht="14.85" customHeight="1">
      <c r="C297" s="661"/>
      <c r="E297" s="5200"/>
      <c r="G297" s="661"/>
      <c r="I297" s="5200"/>
    </row>
    <row r="298" spans="3:9" ht="14.85" customHeight="1">
      <c r="C298" s="661"/>
      <c r="E298" s="5200"/>
      <c r="G298" s="661"/>
      <c r="I298" s="5200"/>
    </row>
    <row r="299" spans="3:9" ht="14.85" customHeight="1">
      <c r="C299" s="661"/>
      <c r="E299" s="5200"/>
      <c r="G299" s="661"/>
      <c r="I299" s="5200"/>
    </row>
    <row r="300" spans="3:9" ht="14.85" customHeight="1">
      <c r="C300" s="661"/>
      <c r="E300" s="5200"/>
      <c r="G300" s="661"/>
      <c r="I300" s="5200"/>
    </row>
    <row r="301" spans="3:9" ht="14.85" customHeight="1">
      <c r="C301" s="661"/>
      <c r="E301" s="5200"/>
      <c r="G301" s="661"/>
      <c r="I301" s="5200"/>
    </row>
    <row r="302" spans="3:9" ht="14.85" customHeight="1">
      <c r="C302" s="661"/>
      <c r="E302" s="5200"/>
      <c r="G302" s="661"/>
      <c r="I302" s="5200"/>
    </row>
    <row r="303" spans="3:9" ht="14.85" customHeight="1">
      <c r="C303" s="661"/>
      <c r="E303" s="5200"/>
      <c r="G303" s="661"/>
      <c r="I303" s="5200"/>
    </row>
    <row r="304" spans="3:9" ht="14.85" customHeight="1">
      <c r="C304" s="661"/>
      <c r="E304" s="5200"/>
      <c r="G304" s="661"/>
      <c r="I304" s="5200"/>
    </row>
    <row r="305" spans="3:9" ht="14.85" customHeight="1">
      <c r="C305" s="661"/>
      <c r="E305" s="5200"/>
      <c r="G305" s="661"/>
      <c r="I305" s="5200"/>
    </row>
    <row r="306" spans="3:9" ht="14.85" customHeight="1">
      <c r="C306" s="661"/>
      <c r="E306" s="5200"/>
      <c r="G306" s="661"/>
      <c r="I306" s="5200"/>
    </row>
    <row r="307" spans="3:9" ht="14.85" customHeight="1">
      <c r="C307" s="661"/>
      <c r="E307" s="5200"/>
      <c r="G307" s="661"/>
      <c r="I307" s="5200"/>
    </row>
    <row r="308" spans="3:9" ht="14.85" customHeight="1">
      <c r="C308" s="661"/>
      <c r="E308" s="5200"/>
      <c r="G308" s="661"/>
      <c r="I308" s="5200"/>
    </row>
    <row r="309" spans="3:9" ht="14.85" customHeight="1">
      <c r="C309" s="661"/>
      <c r="E309" s="5200"/>
      <c r="G309" s="661"/>
      <c r="I309" s="5200"/>
    </row>
    <row r="310" spans="3:9" ht="14.85" customHeight="1">
      <c r="C310" s="661"/>
      <c r="E310" s="5200"/>
      <c r="G310" s="661"/>
      <c r="I310" s="5200"/>
    </row>
    <row r="311" spans="3:9" ht="14.85" customHeight="1">
      <c r="C311" s="661"/>
      <c r="E311" s="5200"/>
      <c r="G311" s="661"/>
      <c r="I311" s="5200"/>
    </row>
    <row r="312" spans="3:9" ht="14.85" customHeight="1">
      <c r="C312" s="661"/>
      <c r="E312" s="5200"/>
      <c r="G312" s="661"/>
      <c r="I312" s="5200"/>
    </row>
    <row r="313" spans="3:9" ht="14.85" customHeight="1">
      <c r="C313" s="661"/>
      <c r="E313" s="5200"/>
      <c r="G313" s="661"/>
      <c r="I313" s="5200"/>
    </row>
    <row r="314" spans="3:9" ht="14.85" customHeight="1">
      <c r="C314" s="661"/>
      <c r="E314" s="5200"/>
      <c r="G314" s="661"/>
      <c r="I314" s="5200"/>
    </row>
    <row r="315" spans="3:9" ht="14.85" customHeight="1">
      <c r="C315" s="661"/>
      <c r="E315" s="5200"/>
      <c r="G315" s="661"/>
      <c r="I315" s="5200"/>
    </row>
    <row r="316" spans="3:9" ht="14.85" customHeight="1">
      <c r="C316" s="661"/>
      <c r="E316" s="5200"/>
      <c r="G316" s="661"/>
      <c r="I316" s="5200"/>
    </row>
    <row r="317" spans="3:9" ht="14.85" customHeight="1">
      <c r="C317" s="661"/>
      <c r="E317" s="5200"/>
      <c r="G317" s="661"/>
      <c r="I317" s="5200"/>
    </row>
    <row r="318" spans="3:9" ht="14.85" customHeight="1">
      <c r="C318" s="661"/>
      <c r="E318" s="5200"/>
      <c r="G318" s="661"/>
      <c r="I318" s="5200"/>
    </row>
    <row r="319" spans="3:9" ht="14.85" customHeight="1">
      <c r="C319" s="661"/>
      <c r="E319" s="5200"/>
      <c r="G319" s="661"/>
      <c r="I319" s="5200"/>
    </row>
    <row r="320" spans="3:9" ht="14.85" customHeight="1">
      <c r="C320" s="661"/>
      <c r="E320" s="5200"/>
      <c r="G320" s="661"/>
      <c r="I320" s="5200"/>
    </row>
    <row r="321" spans="3:9" ht="14.85" customHeight="1">
      <c r="C321" s="661"/>
      <c r="E321" s="5200"/>
      <c r="G321" s="661"/>
      <c r="I321" s="5200"/>
    </row>
    <row r="322" spans="3:9" ht="14.85" customHeight="1">
      <c r="C322" s="661"/>
      <c r="E322" s="5200"/>
      <c r="G322" s="661"/>
      <c r="I322" s="5200"/>
    </row>
    <row r="323" spans="3:9" ht="14.85" customHeight="1">
      <c r="C323" s="661"/>
      <c r="E323" s="5200"/>
      <c r="G323" s="661"/>
      <c r="I323" s="5200"/>
    </row>
    <row r="324" spans="3:9" ht="14.85" customHeight="1">
      <c r="C324" s="661"/>
      <c r="E324" s="5200"/>
      <c r="G324" s="661"/>
      <c r="I324" s="5200"/>
    </row>
    <row r="325" spans="3:9" ht="14.85" customHeight="1">
      <c r="C325" s="661"/>
      <c r="E325" s="5200"/>
      <c r="G325" s="661"/>
      <c r="I325" s="5200"/>
    </row>
    <row r="326" spans="3:9" ht="14.85" customHeight="1">
      <c r="C326" s="661"/>
      <c r="E326" s="5200"/>
      <c r="G326" s="661"/>
      <c r="I326" s="5200"/>
    </row>
    <row r="327" spans="3:9" ht="14.85" customHeight="1">
      <c r="C327" s="661"/>
      <c r="E327" s="5200"/>
      <c r="G327" s="661"/>
      <c r="I327" s="5200"/>
    </row>
    <row r="328" spans="3:9" ht="14.85" customHeight="1">
      <c r="C328" s="661"/>
      <c r="E328" s="5200"/>
      <c r="G328" s="661"/>
      <c r="I328" s="5200"/>
    </row>
    <row r="329" spans="3:9" ht="14.85" customHeight="1">
      <c r="C329" s="661"/>
      <c r="E329" s="5200"/>
      <c r="G329" s="661"/>
      <c r="I329" s="5200"/>
    </row>
    <row r="330" spans="3:9" ht="14.85" customHeight="1">
      <c r="C330" s="661"/>
      <c r="E330" s="5200"/>
      <c r="G330" s="661"/>
      <c r="I330" s="5200"/>
    </row>
    <row r="331" spans="3:9" ht="14.85" customHeight="1">
      <c r="C331" s="661"/>
      <c r="E331" s="5200"/>
      <c r="G331" s="661"/>
      <c r="I331" s="5200"/>
    </row>
    <row r="332" spans="3:9" ht="14.85" customHeight="1">
      <c r="C332" s="661"/>
      <c r="E332" s="5200"/>
      <c r="G332" s="661"/>
      <c r="I332" s="5200"/>
    </row>
    <row r="333" spans="3:9" ht="14.85" customHeight="1">
      <c r="C333" s="661"/>
      <c r="E333" s="5200"/>
      <c r="G333" s="661"/>
      <c r="I333" s="5200"/>
    </row>
    <row r="334" spans="3:9" ht="14.85" customHeight="1">
      <c r="C334" s="661"/>
      <c r="E334" s="5200"/>
      <c r="G334" s="661"/>
      <c r="I334" s="5200"/>
    </row>
    <row r="335" spans="3:9" ht="14.85" customHeight="1">
      <c r="C335" s="661"/>
      <c r="E335" s="5200"/>
      <c r="G335" s="661"/>
      <c r="I335" s="5200"/>
    </row>
    <row r="336" spans="3:9" ht="14.85" customHeight="1">
      <c r="C336" s="661"/>
      <c r="E336" s="5200"/>
      <c r="G336" s="661"/>
      <c r="I336" s="5200"/>
    </row>
    <row r="337" spans="3:9" ht="14.85" customHeight="1">
      <c r="C337" s="661"/>
      <c r="E337" s="5200"/>
      <c r="G337" s="661"/>
      <c r="I337" s="5200"/>
    </row>
    <row r="338" spans="3:9" ht="14.85" customHeight="1">
      <c r="C338" s="661"/>
      <c r="E338" s="5200"/>
      <c r="G338" s="661"/>
      <c r="I338" s="5200"/>
    </row>
    <row r="339" spans="3:9" ht="14.85" customHeight="1">
      <c r="C339" s="661"/>
      <c r="E339" s="5200"/>
      <c r="G339" s="661"/>
      <c r="I339" s="5200"/>
    </row>
    <row r="340" spans="3:9" ht="14.85" customHeight="1">
      <c r="C340" s="661"/>
      <c r="E340" s="5200"/>
      <c r="G340" s="661"/>
      <c r="I340" s="5200"/>
    </row>
    <row r="341" spans="3:9" ht="14.85" customHeight="1">
      <c r="C341" s="661"/>
      <c r="E341" s="5200"/>
      <c r="G341" s="661"/>
      <c r="I341" s="5200"/>
    </row>
    <row r="342" spans="3:9" ht="14.85" customHeight="1">
      <c r="C342" s="661"/>
      <c r="E342" s="5200"/>
      <c r="G342" s="661"/>
      <c r="I342" s="5200"/>
    </row>
    <row r="343" spans="3:9" ht="14.85" customHeight="1">
      <c r="C343" s="661"/>
      <c r="E343" s="5200"/>
      <c r="G343" s="661"/>
      <c r="I343" s="5200"/>
    </row>
    <row r="344" spans="3:9" ht="14.85" customHeight="1">
      <c r="C344" s="661"/>
      <c r="E344" s="5200"/>
      <c r="G344" s="661"/>
      <c r="I344" s="5200"/>
    </row>
    <row r="345" spans="3:9" ht="14.85" customHeight="1">
      <c r="C345" s="661"/>
      <c r="E345" s="5200"/>
      <c r="G345" s="661"/>
      <c r="I345" s="5200"/>
    </row>
    <row r="346" spans="3:9" ht="14.85" customHeight="1">
      <c r="C346" s="661"/>
      <c r="E346" s="5200"/>
      <c r="G346" s="661"/>
      <c r="I346" s="5200"/>
    </row>
    <row r="347" spans="3:9" ht="14.85" customHeight="1">
      <c r="C347" s="661"/>
      <c r="E347" s="5200"/>
      <c r="G347" s="661"/>
      <c r="I347" s="5200"/>
    </row>
    <row r="348" spans="3:9" ht="14.85" customHeight="1">
      <c r="C348" s="661"/>
      <c r="E348" s="5200"/>
      <c r="G348" s="661"/>
      <c r="I348" s="5200"/>
    </row>
    <row r="349" spans="3:9" ht="14.85" customHeight="1">
      <c r="C349" s="661"/>
      <c r="E349" s="5200"/>
      <c r="G349" s="661"/>
      <c r="I349" s="5200"/>
    </row>
    <row r="350" spans="3:9" ht="14.85" customHeight="1">
      <c r="C350" s="661"/>
      <c r="E350" s="5200"/>
      <c r="G350" s="661"/>
      <c r="I350" s="5200"/>
    </row>
    <row r="351" spans="3:9" ht="14.85" customHeight="1">
      <c r="C351" s="661"/>
      <c r="E351" s="5200"/>
      <c r="G351" s="661"/>
      <c r="I351" s="5200"/>
    </row>
    <row r="352" spans="3:9" ht="14.85" customHeight="1">
      <c r="C352" s="661"/>
      <c r="E352" s="5200"/>
      <c r="G352" s="661"/>
      <c r="I352" s="5200"/>
    </row>
    <row r="353" spans="1:9" ht="14.85" customHeight="1">
      <c r="A353" s="5620"/>
      <c r="B353" s="5621"/>
      <c r="C353" s="5620"/>
      <c r="E353" s="5622"/>
      <c r="G353" s="5620"/>
      <c r="I353" s="5622"/>
    </row>
  </sheetData>
  <sheetProtection algorithmName="SHA-512" hashValue="pBoq7sDfGJ7c6gshtGlWT5jYaaU75701CwC0bQ2qhhLqHgw5Tzu2YRxDezNT+Q7Q3vOzbr1BhMLzBpxbze39/A==" saltValue="i67rEmE2VVlXvKprK8wVRQ==" spinCount="100000" sheet="1" objects="1" scenarios="1"/>
  <mergeCells count="14">
    <mergeCell ref="A8:I8"/>
    <mergeCell ref="A1:C1"/>
    <mergeCell ref="A3:B3"/>
    <mergeCell ref="A5:I5"/>
    <mergeCell ref="A6:I6"/>
    <mergeCell ref="A7:I7"/>
    <mergeCell ref="A26:I26"/>
    <mergeCell ref="A50:I50"/>
    <mergeCell ref="A27:I27"/>
    <mergeCell ref="A28:I28"/>
    <mergeCell ref="A47:I47"/>
    <mergeCell ref="A48:I48"/>
    <mergeCell ref="A49:I49"/>
    <mergeCell ref="A29:I29"/>
  </mergeCells>
  <dataValidations count="1">
    <dataValidation type="whole" operator="greaterThanOrEqual" showInputMessage="1" showErrorMessage="1" errorTitle="Invalid Data Entry" error="Please enter a positive number or press the delete key or enter zero." sqref="I34:I36 I40:I41 I13:I15 I19:I20 I55:I57 I61:I62">
      <formula1>0</formula1>
    </dataValidation>
  </dataValidations>
  <hyperlinks>
    <hyperlink ref="K1" location="Contents!A1" display="Return to Contents page"/>
  </hyperlinks>
  <printOptions horizontalCentered="1"/>
  <pageMargins left="0.75" right="0.75" top="0.5" bottom="0.5" header="0.3" footer="0.3"/>
  <pageSetup scale="82" orientation="portrait" blackAndWhite="1" r:id="rId1"/>
  <headerFooter scaleWithDoc="0">
    <oddFooter>&amp;L&amp;"Open Sans Light,Regular"&amp;8&amp;D   &amp;T&amp;C&amp;"Open Sans Light,Regular"&amp;8Page &amp;P&amp;R&amp;"Open Sans Light,Regular"&amp;8Form 242-A</oddFooter>
  </headerFooter>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4" tint="0.39997558519241921"/>
  </sheetPr>
  <dimension ref="A1:Z100"/>
  <sheetViews>
    <sheetView showGridLines="0" zoomScaleNormal="100" zoomScaleSheetLayoutView="100" workbookViewId="0"/>
  </sheetViews>
  <sheetFormatPr defaultColWidth="10.6640625" defaultRowHeight="13.8"/>
  <cols>
    <col min="1" max="1" width="39.33203125" style="5627" customWidth="1"/>
    <col min="2" max="2" width="15.6640625" style="5627" customWidth="1"/>
    <col min="3" max="3" width="8.44140625" style="5627" customWidth="1"/>
    <col min="4" max="6" width="13.6640625" style="5627" customWidth="1"/>
    <col min="7" max="7" width="25.44140625" style="5627" customWidth="1"/>
    <col min="8" max="8" width="21" style="5627" customWidth="1"/>
    <col min="9" max="9" width="10.33203125" style="5627" customWidth="1"/>
    <col min="10" max="10" width="10.6640625" style="5627" customWidth="1"/>
    <col min="11" max="11" width="12.6640625" style="5627" customWidth="1"/>
    <col min="12" max="26" width="10.6640625" style="5627"/>
    <col min="27" max="16384" width="10.6640625" style="5631"/>
  </cols>
  <sheetData>
    <row r="1" spans="1:26" s="5627" customFormat="1">
      <c r="A1" s="5623" t="s">
        <v>1511</v>
      </c>
      <c r="B1" s="5623"/>
      <c r="C1" s="5623"/>
      <c r="D1" s="5624"/>
      <c r="E1" s="5625"/>
      <c r="F1" s="3577" t="str">
        <f>"USD #"&amp;OPEN!$B$4</f>
        <v>USD #237</v>
      </c>
      <c r="G1" s="5626" t="s">
        <v>754</v>
      </c>
      <c r="I1" s="5624"/>
      <c r="J1" s="3578"/>
      <c r="K1" s="5624"/>
      <c r="L1" s="5624"/>
      <c r="M1" s="5624"/>
      <c r="N1" s="5624"/>
      <c r="O1" s="5624"/>
      <c r="P1" s="5624"/>
      <c r="Q1" s="5624"/>
      <c r="R1" s="5624"/>
      <c r="S1" s="5624"/>
      <c r="T1" s="5624"/>
    </row>
    <row r="2" spans="1:26" s="5627" customFormat="1">
      <c r="A2" s="5628" t="s">
        <v>837</v>
      </c>
      <c r="B2" s="5628"/>
      <c r="C2" s="5624"/>
      <c r="D2" s="5624"/>
      <c r="E2" s="5624"/>
      <c r="F2" s="5629" t="str">
        <f>OpenData!$N$2</f>
        <v>2021-2022</v>
      </c>
      <c r="G2" s="5626"/>
      <c r="H2" s="5624"/>
      <c r="I2" s="5624"/>
      <c r="J2" s="5624"/>
      <c r="K2" s="5624"/>
      <c r="L2" s="5624"/>
      <c r="M2" s="5624"/>
      <c r="N2" s="5624"/>
      <c r="O2" s="5624"/>
      <c r="P2" s="5624"/>
      <c r="Q2" s="5624"/>
      <c r="R2" s="5624"/>
      <c r="S2" s="5624"/>
      <c r="T2" s="5624"/>
    </row>
    <row r="3" spans="1:26" s="5627" customFormat="1">
      <c r="A3" s="5998" t="s">
        <v>838</v>
      </c>
      <c r="B3" s="5998"/>
      <c r="C3" s="5998"/>
      <c r="D3" s="5998"/>
      <c r="E3" s="5998"/>
      <c r="F3" s="5998"/>
      <c r="G3" s="5624"/>
      <c r="H3" s="5624"/>
      <c r="I3" s="5624"/>
      <c r="J3" s="5624"/>
      <c r="K3" s="5624"/>
      <c r="L3" s="5624"/>
      <c r="M3" s="5624"/>
      <c r="N3" s="5624"/>
      <c r="O3" s="5624"/>
      <c r="P3" s="5624"/>
      <c r="Q3" s="5624"/>
      <c r="R3" s="5624"/>
      <c r="S3" s="5624"/>
      <c r="T3" s="5624"/>
    </row>
    <row r="4" spans="1:26">
      <c r="A4" s="5999" t="str">
        <f>"TO THE CLERK of "&amp;OPEN!B5&amp;" County, State of Kansas"</f>
        <v>TO THE CLERK of Smith County, State of Kansas</v>
      </c>
      <c r="B4" s="5999"/>
      <c r="C4" s="5999"/>
      <c r="D4" s="5999"/>
      <c r="E4" s="5999"/>
      <c r="F4" s="5999"/>
      <c r="G4" s="5630"/>
      <c r="H4" s="5624"/>
      <c r="I4" s="5624"/>
      <c r="J4" s="5624"/>
      <c r="K4" s="5628"/>
      <c r="L4" s="5628"/>
      <c r="M4" s="5624"/>
      <c r="N4" s="5624"/>
      <c r="O4" s="5624"/>
      <c r="P4" s="5624"/>
      <c r="Q4" s="5624"/>
      <c r="R4" s="5624"/>
      <c r="S4" s="5624"/>
      <c r="T4" s="5624"/>
    </row>
    <row r="5" spans="1:26" s="5627" customFormat="1">
      <c r="A5" s="5999" t="s">
        <v>839</v>
      </c>
      <c r="B5" s="5999"/>
      <c r="C5" s="5999"/>
      <c r="D5" s="5999"/>
      <c r="E5" s="5999"/>
      <c r="F5" s="5999"/>
      <c r="G5" s="5624"/>
      <c r="H5" s="5624"/>
      <c r="I5" s="5624"/>
      <c r="J5" s="5624"/>
      <c r="K5" s="5628"/>
      <c r="L5" s="5628"/>
      <c r="M5" s="5624"/>
      <c r="N5" s="5624"/>
      <c r="O5" s="5624"/>
      <c r="P5" s="5624"/>
      <c r="Q5" s="5624"/>
      <c r="R5" s="5624"/>
      <c r="S5" s="5624"/>
      <c r="T5" s="5624"/>
    </row>
    <row r="6" spans="1:26">
      <c r="A6" s="6000" t="str">
        <f>"Unified School District "&amp;OPEN!$B$4</f>
        <v>Unified School District 237</v>
      </c>
      <c r="B6" s="6000"/>
      <c r="C6" s="6000"/>
      <c r="D6" s="6000"/>
      <c r="E6" s="6000"/>
      <c r="F6" s="6000"/>
      <c r="G6" s="5624"/>
      <c r="H6" s="5624"/>
      <c r="I6" s="5624"/>
      <c r="J6" s="5624"/>
      <c r="K6" s="5624"/>
      <c r="L6" s="5624"/>
      <c r="M6" s="5624"/>
      <c r="N6" s="5624"/>
      <c r="O6" s="5624"/>
      <c r="P6" s="5624"/>
      <c r="Q6" s="5624"/>
      <c r="R6" s="5624"/>
      <c r="S6" s="5624"/>
      <c r="T6" s="5624"/>
    </row>
    <row r="7" spans="1:26" s="5627" customFormat="1" ht="47.1" customHeight="1">
      <c r="A7" s="6001" t="str">
        <f>"certify that:  (1) the hearing mentioned in the attached proof of publication was held;  (2) after the Budget Hearing this budget was duly approved and adopted as the maximum expenditure for the various funds for the year " &amp;OpenData!$N$2&amp; "; and (3) the Amount(s) of "&amp;OpenData!$Q$5&amp; " Tax to be Levied are within statutory limitations."</f>
        <v>certify that:  (1) the hearing mentioned in the attached proof of publication was held;  (2) after the Budget Hearing this budget was duly approved and adopted as the maximum expenditure for the various funds for the year 2021-2022; and (3) the Amount(s) of 2021 Tax to be Levied are within statutory limitations.</v>
      </c>
      <c r="B7" s="6001"/>
      <c r="C7" s="6001"/>
      <c r="D7" s="6001"/>
      <c r="E7" s="6001"/>
      <c r="F7" s="6001"/>
      <c r="G7" s="5624"/>
      <c r="H7" s="5624"/>
      <c r="I7" s="5624"/>
      <c r="J7" s="5624"/>
      <c r="K7" s="5624"/>
      <c r="L7" s="5624"/>
      <c r="M7" s="5624"/>
      <c r="N7" s="5624"/>
      <c r="O7" s="5624"/>
      <c r="P7" s="5624"/>
      <c r="Q7" s="5624"/>
      <c r="R7" s="5624"/>
      <c r="S7" s="5624"/>
      <c r="T7" s="5624"/>
    </row>
    <row r="8" spans="1:26" s="5627" customFormat="1">
      <c r="B8" s="5632"/>
      <c r="C8" s="5632"/>
      <c r="D8" s="5986" t="str">
        <f>OpenData!$N$2&amp; " Adopted Budget"</f>
        <v>2021-2022 Adopted Budget</v>
      </c>
      <c r="E8" s="5987"/>
      <c r="F8" s="5633"/>
      <c r="G8" s="5624"/>
      <c r="H8" s="5624"/>
      <c r="I8" s="5624"/>
      <c r="J8" s="5634"/>
      <c r="K8" s="5634"/>
      <c r="L8" s="5634"/>
      <c r="M8" s="5634"/>
      <c r="N8" s="5634"/>
      <c r="O8" s="5634"/>
      <c r="P8" s="5624"/>
      <c r="Q8" s="5624"/>
      <c r="R8" s="5624"/>
      <c r="S8" s="5624"/>
      <c r="T8" s="5624"/>
    </row>
    <row r="9" spans="1:26" s="5627" customFormat="1">
      <c r="A9" s="5632"/>
      <c r="B9" s="5635"/>
      <c r="C9" s="5995" t="s">
        <v>4647</v>
      </c>
      <c r="D9" s="5636">
        <v>1</v>
      </c>
      <c r="E9" s="5636">
        <v>2</v>
      </c>
      <c r="F9" s="5637">
        <v>3</v>
      </c>
      <c r="G9" s="5624"/>
      <c r="H9" s="5638"/>
      <c r="I9" s="5624"/>
      <c r="J9" s="5639"/>
      <c r="K9" s="5634"/>
      <c r="L9" s="5640"/>
      <c r="M9" s="5639"/>
      <c r="N9" s="5639"/>
      <c r="O9" s="5634"/>
      <c r="P9" s="5624"/>
      <c r="Q9" s="5624"/>
      <c r="R9" s="5624"/>
      <c r="S9" s="5624"/>
      <c r="T9" s="5624"/>
    </row>
    <row r="10" spans="1:26" s="5627" customFormat="1" ht="16.5" customHeight="1">
      <c r="A10" s="5628" t="s">
        <v>4648</v>
      </c>
      <c r="B10" s="5641"/>
      <c r="C10" s="5996"/>
      <c r="D10" s="5642"/>
      <c r="E10" s="5988" t="str">
        <f>OpenData!$Q$5 &amp; " Tax to be Levied"</f>
        <v>2021 Tax to be Levied</v>
      </c>
      <c r="F10" s="5643" t="s">
        <v>4871</v>
      </c>
      <c r="G10" s="5624"/>
      <c r="H10" s="5624"/>
      <c r="I10" s="5624"/>
      <c r="J10" s="5634"/>
      <c r="K10" s="5644"/>
      <c r="L10" s="5644"/>
      <c r="M10" s="5644"/>
      <c r="N10" s="5634"/>
      <c r="O10" s="5634"/>
      <c r="P10" s="5624"/>
      <c r="Q10" s="5624"/>
      <c r="R10" s="5624"/>
      <c r="S10" s="5624"/>
      <c r="T10" s="5624"/>
    </row>
    <row r="11" spans="1:26" s="5627" customFormat="1">
      <c r="A11" s="5645"/>
      <c r="B11" s="5646" t="s">
        <v>859</v>
      </c>
      <c r="C11" s="5997"/>
      <c r="D11" s="5647" t="s">
        <v>856</v>
      </c>
      <c r="E11" s="5989"/>
      <c r="F11" s="5648" t="s">
        <v>4872</v>
      </c>
      <c r="G11" s="5634"/>
      <c r="H11" s="5624"/>
      <c r="I11" s="5624"/>
      <c r="J11" s="5644"/>
      <c r="K11" s="5644"/>
      <c r="L11" s="5644"/>
      <c r="M11" s="5644"/>
      <c r="N11" s="5644"/>
      <c r="O11" s="5644"/>
      <c r="P11" s="5624"/>
      <c r="Q11" s="5624"/>
      <c r="R11" s="5624"/>
      <c r="S11" s="5624"/>
      <c r="T11" s="5624"/>
    </row>
    <row r="12" spans="1:26" s="5658" customFormat="1" ht="15.6">
      <c r="A12" s="5649" t="s">
        <v>5291</v>
      </c>
      <c r="B12" s="5650" t="s">
        <v>4440</v>
      </c>
      <c r="C12" s="5651">
        <v>6</v>
      </c>
      <c r="D12" s="5652">
        <f>IF(ISERROR('C06'!$E$31),0,'C06'!$E$31)</f>
        <v>3938451</v>
      </c>
      <c r="E12" s="5652">
        <f>OPEN!A16*(20/1000)</f>
        <v>958270</v>
      </c>
      <c r="F12" s="5653" t="s">
        <v>5292</v>
      </c>
      <c r="G12" s="5632"/>
      <c r="H12" s="5632"/>
      <c r="I12" s="5632"/>
      <c r="J12" s="5654"/>
      <c r="K12" s="5655"/>
      <c r="L12" s="5656"/>
      <c r="M12" s="5656"/>
      <c r="N12" s="5656"/>
      <c r="O12" s="5656"/>
      <c r="P12" s="5632"/>
      <c r="Q12" s="5632"/>
      <c r="R12" s="5632"/>
      <c r="S12" s="5632"/>
      <c r="T12" s="5632"/>
      <c r="U12" s="5657"/>
      <c r="V12" s="5657"/>
      <c r="W12" s="5657"/>
      <c r="X12" s="5657"/>
      <c r="Y12" s="5657"/>
      <c r="Z12" s="5657"/>
    </row>
    <row r="13" spans="1:26" s="5658" customFormat="1">
      <c r="A13" s="5649" t="s">
        <v>1014</v>
      </c>
      <c r="B13" s="5650" t="s">
        <v>860</v>
      </c>
      <c r="C13" s="5651">
        <v>7</v>
      </c>
      <c r="D13" s="5659">
        <f>'C07'!$E$23</f>
        <v>413217</v>
      </c>
      <c r="E13" s="5660"/>
      <c r="F13" s="5661"/>
      <c r="G13" s="5632"/>
      <c r="H13" s="5632"/>
      <c r="I13" s="5632"/>
      <c r="J13" s="5632"/>
      <c r="K13" s="5632"/>
      <c r="L13" s="5632"/>
      <c r="M13" s="5632"/>
      <c r="N13" s="5632"/>
      <c r="O13" s="5632"/>
      <c r="P13" s="5632"/>
      <c r="Q13" s="5632"/>
      <c r="R13" s="5632"/>
      <c r="S13" s="5632"/>
      <c r="T13" s="5632"/>
      <c r="U13" s="5657"/>
      <c r="V13" s="5657"/>
      <c r="W13" s="5657"/>
      <c r="X13" s="5657"/>
      <c r="Y13" s="5657"/>
      <c r="Z13" s="5657"/>
    </row>
    <row r="14" spans="1:26" s="5658" customFormat="1" ht="15.6">
      <c r="A14" s="5649" t="s">
        <v>5293</v>
      </c>
      <c r="B14" s="5650" t="s">
        <v>4441</v>
      </c>
      <c r="C14" s="5651">
        <v>8</v>
      </c>
      <c r="D14" s="5662">
        <f>IF(ISERROR('C08'!E32),0,'C08'!E32)</f>
        <v>1299650</v>
      </c>
      <c r="E14" s="5663">
        <f>IF(OR(ISERROR('C08'!E37),'C08'!E37="ERROR"),0,'C08'!E37)</f>
        <v>1021650</v>
      </c>
      <c r="F14" s="5664"/>
      <c r="G14" s="5632"/>
      <c r="H14" s="5632"/>
      <c r="I14" s="5632"/>
      <c r="J14" s="5656"/>
      <c r="K14" s="5656"/>
      <c r="L14" s="5656"/>
      <c r="M14" s="5656"/>
      <c r="N14" s="5656"/>
      <c r="O14" s="5656"/>
      <c r="P14" s="5632"/>
      <c r="Q14" s="5632"/>
      <c r="R14" s="5632"/>
      <c r="S14" s="5632"/>
      <c r="T14" s="5665"/>
      <c r="U14" s="5657"/>
      <c r="V14" s="5657"/>
      <c r="W14" s="5657"/>
      <c r="X14" s="5657"/>
      <c r="Y14" s="5657"/>
      <c r="Z14" s="5657"/>
    </row>
    <row r="15" spans="1:26" s="5658" customFormat="1">
      <c r="A15" s="5649" t="s">
        <v>815</v>
      </c>
      <c r="B15" s="5650" t="s">
        <v>3054</v>
      </c>
      <c r="C15" s="5651">
        <v>10</v>
      </c>
      <c r="D15" s="5659">
        <f>IF(ISERROR('C010'!E51),0,'C010'!E51)</f>
        <v>0</v>
      </c>
      <c r="E15" s="5663">
        <f>IF(ISERROR('C010'!F18),0,'C010'!F18)</f>
        <v>0</v>
      </c>
      <c r="F15" s="5666"/>
      <c r="G15" s="5632"/>
      <c r="H15" s="5632"/>
      <c r="I15" s="5632"/>
      <c r="J15" s="5656"/>
      <c r="K15" s="5656"/>
      <c r="L15" s="5656"/>
      <c r="M15" s="5656"/>
      <c r="N15" s="5656"/>
      <c r="O15" s="5656"/>
      <c r="P15" s="5632"/>
      <c r="Q15" s="5632"/>
      <c r="R15" s="5632"/>
      <c r="S15" s="5632"/>
      <c r="T15" s="5665"/>
      <c r="U15" s="5657"/>
      <c r="V15" s="5657"/>
      <c r="W15" s="5657"/>
      <c r="X15" s="5657"/>
      <c r="Y15" s="5657"/>
      <c r="Z15" s="5657"/>
    </row>
    <row r="16" spans="1:26" s="5658" customFormat="1">
      <c r="A16" s="5649" t="s">
        <v>4549</v>
      </c>
      <c r="B16" s="5650" t="s">
        <v>3072</v>
      </c>
      <c r="C16" s="5651">
        <v>11</v>
      </c>
      <c r="D16" s="5659">
        <f>'C011'!E29</f>
        <v>0</v>
      </c>
      <c r="E16" s="5660"/>
      <c r="F16" s="5661"/>
      <c r="G16" s="5632"/>
      <c r="H16" s="5632"/>
      <c r="I16" s="5632"/>
      <c r="J16" s="5632"/>
      <c r="K16" s="5632"/>
      <c r="L16" s="5632"/>
      <c r="M16" s="5632"/>
      <c r="N16" s="5632"/>
      <c r="O16" s="5632"/>
      <c r="P16" s="5632"/>
      <c r="Q16" s="5632"/>
      <c r="R16" s="5632"/>
      <c r="S16" s="5632"/>
      <c r="T16" s="5632"/>
      <c r="U16" s="5657"/>
      <c r="V16" s="5657"/>
      <c r="W16" s="5657"/>
      <c r="X16" s="5657"/>
      <c r="Y16" s="5657"/>
      <c r="Z16" s="5657"/>
    </row>
    <row r="17" spans="1:26" s="5658" customFormat="1">
      <c r="A17" s="5649" t="s">
        <v>1595</v>
      </c>
      <c r="B17" s="5650" t="s">
        <v>3055</v>
      </c>
      <c r="C17" s="5651">
        <v>12</v>
      </c>
      <c r="D17" s="5662">
        <f>IF(ISERROR('C012'!E25),0,'C012'!E25)</f>
        <v>0</v>
      </c>
      <c r="E17" s="5667"/>
      <c r="F17" s="5668"/>
      <c r="G17" s="5632"/>
      <c r="H17" s="5632"/>
      <c r="I17" s="5632"/>
      <c r="J17" s="5656"/>
      <c r="K17" s="5656"/>
      <c r="L17" s="5656"/>
      <c r="M17" s="5656"/>
      <c r="N17" s="5656"/>
      <c r="O17" s="5656"/>
      <c r="P17" s="5632"/>
      <c r="Q17" s="5632"/>
      <c r="R17" s="5632"/>
      <c r="S17" s="5632"/>
      <c r="T17" s="5632"/>
      <c r="U17" s="5657"/>
      <c r="V17" s="5657"/>
      <c r="W17" s="5657"/>
      <c r="X17" s="5657"/>
      <c r="Y17" s="5657"/>
      <c r="Z17" s="5657"/>
    </row>
    <row r="18" spans="1:26" s="5658" customFormat="1">
      <c r="A18" s="5649" t="s">
        <v>1596</v>
      </c>
      <c r="B18" s="5650" t="s">
        <v>3073</v>
      </c>
      <c r="C18" s="5651">
        <v>13</v>
      </c>
      <c r="D18" s="5662">
        <f>'C013'!E29</f>
        <v>515106</v>
      </c>
      <c r="E18" s="5667"/>
      <c r="F18" s="5668"/>
      <c r="G18" s="5632"/>
      <c r="H18" s="5632"/>
      <c r="I18" s="5632"/>
      <c r="J18" s="5632"/>
      <c r="K18" s="5632"/>
      <c r="L18" s="5632"/>
      <c r="M18" s="5632"/>
      <c r="N18" s="5632"/>
      <c r="O18" s="5632"/>
      <c r="P18" s="5632"/>
      <c r="Q18" s="5632"/>
      <c r="R18" s="5632"/>
      <c r="S18" s="5632"/>
      <c r="T18" s="5632"/>
      <c r="U18" s="5657"/>
      <c r="V18" s="5657"/>
      <c r="W18" s="5657"/>
      <c r="X18" s="5657"/>
      <c r="Y18" s="5657"/>
      <c r="Z18" s="5657"/>
    </row>
    <row r="19" spans="1:26" s="5658" customFormat="1">
      <c r="A19" s="5649" t="s">
        <v>1505</v>
      </c>
      <c r="B19" s="5650" t="s">
        <v>3056</v>
      </c>
      <c r="C19" s="5651">
        <v>14</v>
      </c>
      <c r="D19" s="5662">
        <f>IF(ISERROR('C014'!E24),0,'C014'!E24)</f>
        <v>1000</v>
      </c>
      <c r="E19" s="5667"/>
      <c r="F19" s="5668"/>
      <c r="G19" s="5632"/>
      <c r="H19" s="5632"/>
      <c r="I19" s="5632"/>
      <c r="J19" s="5656"/>
      <c r="K19" s="5656"/>
      <c r="L19" s="5656"/>
      <c r="M19" s="5656"/>
      <c r="N19" s="5656"/>
      <c r="O19" s="5656"/>
      <c r="P19" s="5632"/>
      <c r="Q19" s="5632"/>
      <c r="R19" s="5632"/>
      <c r="S19" s="5632"/>
      <c r="T19" s="5632"/>
      <c r="U19" s="5657"/>
      <c r="V19" s="5657"/>
      <c r="W19" s="5657"/>
      <c r="X19" s="5657"/>
      <c r="Y19" s="5657"/>
      <c r="Z19" s="5657"/>
    </row>
    <row r="20" spans="1:26" s="5658" customFormat="1">
      <c r="A20" s="5649" t="s">
        <v>1509</v>
      </c>
      <c r="B20" s="5650" t="s">
        <v>4432</v>
      </c>
      <c r="C20" s="5651">
        <v>15</v>
      </c>
      <c r="D20" s="5662">
        <f>IF(ISERROR('C015'!E25),0,'C015'!E25)</f>
        <v>0</v>
      </c>
      <c r="E20" s="5667"/>
      <c r="F20" s="5668"/>
      <c r="G20" s="5632"/>
      <c r="H20" s="5632"/>
      <c r="I20" s="5632"/>
      <c r="J20" s="5656"/>
      <c r="K20" s="5656"/>
      <c r="L20" s="5656"/>
      <c r="M20" s="5656"/>
      <c r="N20" s="5656"/>
      <c r="O20" s="5656"/>
      <c r="P20" s="5632"/>
      <c r="Q20" s="5632"/>
      <c r="R20" s="5632"/>
      <c r="S20" s="5632"/>
      <c r="T20" s="5632"/>
      <c r="U20" s="5657"/>
      <c r="V20" s="5657"/>
      <c r="W20" s="5657"/>
      <c r="X20" s="5657"/>
      <c r="Y20" s="5657"/>
      <c r="Z20" s="5657"/>
    </row>
    <row r="21" spans="1:26" s="5658" customFormat="1">
      <c r="A21" s="5649" t="s">
        <v>816</v>
      </c>
      <c r="B21" s="5650" t="s">
        <v>4433</v>
      </c>
      <c r="C21" s="5651">
        <v>16</v>
      </c>
      <c r="D21" s="5662">
        <f>IF(ISERROR('C016'!E44),0,'C016'!E44)</f>
        <v>578752</v>
      </c>
      <c r="E21" s="5663">
        <f>IF(ISERROR('C016'!F18),0,'C016'!F18)</f>
        <v>407898</v>
      </c>
      <c r="F21" s="5664"/>
      <c r="G21" s="5632"/>
      <c r="H21" s="5632"/>
      <c r="I21" s="5632"/>
      <c r="J21" s="5656"/>
      <c r="K21" s="5656"/>
      <c r="L21" s="5656"/>
      <c r="M21" s="5656"/>
      <c r="N21" s="5656"/>
      <c r="O21" s="5656"/>
      <c r="P21" s="5632"/>
      <c r="Q21" s="5632"/>
      <c r="R21" s="5632"/>
      <c r="S21" s="5632"/>
      <c r="T21" s="5632"/>
      <c r="U21" s="5657"/>
      <c r="V21" s="5657"/>
      <c r="W21" s="5657"/>
      <c r="X21" s="5657"/>
      <c r="Y21" s="5657"/>
      <c r="Z21" s="5657"/>
    </row>
    <row r="22" spans="1:26" s="5658" customFormat="1">
      <c r="A22" s="5649" t="s">
        <v>1597</v>
      </c>
      <c r="B22" s="5650" t="s">
        <v>3057</v>
      </c>
      <c r="C22" s="5651">
        <v>18</v>
      </c>
      <c r="D22" s="5659">
        <f>IF(ISERROR('C018'!E25),0,'C018'!E25)</f>
        <v>11280</v>
      </c>
      <c r="E22" s="5669"/>
      <c r="F22" s="5660"/>
      <c r="G22" s="5632"/>
      <c r="H22" s="5632"/>
      <c r="I22" s="5632"/>
      <c r="J22" s="5656"/>
      <c r="K22" s="5656"/>
      <c r="L22" s="5656"/>
      <c r="M22" s="5656"/>
      <c r="N22" s="5656"/>
      <c r="O22" s="5656"/>
      <c r="P22" s="5632"/>
      <c r="Q22" s="5632"/>
      <c r="R22" s="5632"/>
      <c r="S22" s="5632"/>
      <c r="T22" s="5632"/>
      <c r="U22" s="5657"/>
      <c r="V22" s="5657"/>
      <c r="W22" s="5657"/>
      <c r="X22" s="5657"/>
      <c r="Y22" s="5657"/>
      <c r="Z22" s="5657"/>
    </row>
    <row r="23" spans="1:26" s="5658" customFormat="1">
      <c r="A23" s="5670" t="s">
        <v>305</v>
      </c>
      <c r="B23" s="5671" t="s">
        <v>4612</v>
      </c>
      <c r="C23" s="5672">
        <v>19</v>
      </c>
      <c r="D23" s="5673">
        <f>IF(ISERROR('C019'!$E$33),0,('C019'!$E$33))</f>
        <v>0</v>
      </c>
      <c r="E23" s="5674"/>
      <c r="F23" s="5667"/>
      <c r="G23" s="5632"/>
      <c r="H23" s="5632"/>
      <c r="I23" s="5632"/>
      <c r="J23" s="5632"/>
      <c r="K23" s="5632"/>
      <c r="L23" s="5632"/>
      <c r="M23" s="5632"/>
      <c r="N23" s="5632"/>
      <c r="O23" s="5632"/>
      <c r="P23" s="5632"/>
      <c r="Q23" s="5632"/>
      <c r="R23" s="5632"/>
      <c r="S23" s="5632"/>
      <c r="T23" s="5632"/>
      <c r="U23" s="5657"/>
      <c r="V23" s="5657"/>
      <c r="W23" s="5657"/>
      <c r="X23" s="5657"/>
      <c r="Y23" s="5657"/>
      <c r="Z23" s="5657"/>
    </row>
    <row r="24" spans="1:26" s="5658" customFormat="1">
      <c r="A24" s="5649" t="s">
        <v>1598</v>
      </c>
      <c r="B24" s="5650" t="s">
        <v>3058</v>
      </c>
      <c r="C24" s="5651">
        <v>22</v>
      </c>
      <c r="D24" s="5659">
        <f>IF(ISERROR('C022'!E24),0,'C022'!E24)</f>
        <v>0</v>
      </c>
      <c r="E24" s="5674"/>
      <c r="F24" s="5667"/>
      <c r="G24" s="5632"/>
      <c r="H24" s="5632"/>
      <c r="I24" s="5632"/>
      <c r="J24" s="5656"/>
      <c r="K24" s="5656"/>
      <c r="L24" s="5656"/>
      <c r="M24" s="5656"/>
      <c r="N24" s="5656"/>
      <c r="O24" s="5656"/>
      <c r="P24" s="5632"/>
      <c r="Q24" s="5632"/>
      <c r="R24" s="5632"/>
      <c r="S24" s="5632"/>
      <c r="T24" s="5632"/>
      <c r="U24" s="5657"/>
      <c r="V24" s="5657"/>
      <c r="W24" s="5657"/>
      <c r="X24" s="5657"/>
      <c r="Y24" s="5657"/>
      <c r="Z24" s="5657"/>
    </row>
    <row r="25" spans="1:26" s="5658" customFormat="1">
      <c r="A25" s="5649" t="s">
        <v>1599</v>
      </c>
      <c r="B25" s="5650" t="s">
        <v>3059</v>
      </c>
      <c r="C25" s="5651">
        <v>24</v>
      </c>
      <c r="D25" s="5659">
        <f>IF(ISERROR('C024'!E32),0,'C024'!E32)</f>
        <v>422995</v>
      </c>
      <c r="E25" s="5674"/>
      <c r="F25" s="5667"/>
      <c r="G25" s="5632"/>
      <c r="H25" s="5632"/>
      <c r="I25" s="5632"/>
      <c r="J25" s="5656"/>
      <c r="K25" s="5656"/>
      <c r="L25" s="5656"/>
      <c r="M25" s="5656"/>
      <c r="N25" s="5656"/>
      <c r="O25" s="5656"/>
      <c r="P25" s="5632"/>
      <c r="Q25" s="5632"/>
      <c r="R25" s="5632"/>
      <c r="S25" s="5632"/>
      <c r="T25" s="5632"/>
      <c r="U25" s="5657"/>
      <c r="V25" s="5657"/>
      <c r="W25" s="5657"/>
      <c r="X25" s="5657"/>
      <c r="Y25" s="5657"/>
      <c r="Z25" s="5657"/>
    </row>
    <row r="26" spans="1:26" s="5658" customFormat="1">
      <c r="A26" s="5649" t="s">
        <v>1507</v>
      </c>
      <c r="B26" s="5650" t="s">
        <v>3060</v>
      </c>
      <c r="C26" s="5651">
        <v>26</v>
      </c>
      <c r="D26" s="5659">
        <f>IF(ISERROR('C026'!E82),0,'C026'!E82)</f>
        <v>7542</v>
      </c>
      <c r="E26" s="5674"/>
      <c r="F26" s="5667"/>
      <c r="G26" s="5632"/>
      <c r="H26" s="5632"/>
      <c r="I26" s="5632"/>
      <c r="J26" s="5675"/>
      <c r="K26" s="5656"/>
      <c r="L26" s="5656"/>
      <c r="M26" s="5656"/>
      <c r="N26" s="5656"/>
      <c r="O26" s="5656"/>
      <c r="P26" s="5632"/>
      <c r="Q26" s="5632"/>
      <c r="R26" s="5632"/>
      <c r="S26" s="5632"/>
      <c r="T26" s="5632"/>
      <c r="U26" s="5657"/>
      <c r="V26" s="5657"/>
      <c r="W26" s="5657"/>
      <c r="X26" s="5657"/>
      <c r="Y26" s="5657"/>
      <c r="Z26" s="5657"/>
    </row>
    <row r="27" spans="1:26" s="5658" customFormat="1">
      <c r="A27" s="5649" t="s">
        <v>1506</v>
      </c>
      <c r="B27" s="5650" t="s">
        <v>3061</v>
      </c>
      <c r="C27" s="5651">
        <v>28</v>
      </c>
      <c r="D27" s="5659">
        <f>IF(ISERROR('C028'!E26),0,'C028'!E26)</f>
        <v>55238</v>
      </c>
      <c r="E27" s="5674"/>
      <c r="F27" s="5667"/>
      <c r="G27" s="5632"/>
      <c r="H27" s="5632"/>
      <c r="I27" s="5632"/>
      <c r="J27" s="5656"/>
      <c r="K27" s="5656"/>
      <c r="L27" s="5656"/>
      <c r="M27" s="5656"/>
      <c r="N27" s="5656"/>
      <c r="O27" s="5656"/>
      <c r="P27" s="5632"/>
      <c r="Q27" s="5632"/>
      <c r="R27" s="5632"/>
      <c r="S27" s="5632"/>
      <c r="T27" s="5632"/>
      <c r="U27" s="5657"/>
      <c r="V27" s="5657"/>
      <c r="W27" s="5657"/>
      <c r="X27" s="5657"/>
      <c r="Y27" s="5657"/>
      <c r="Z27" s="5657"/>
    </row>
    <row r="28" spans="1:26" s="5658" customFormat="1">
      <c r="A28" s="5649" t="s">
        <v>1508</v>
      </c>
      <c r="B28" s="5650" t="s">
        <v>3062</v>
      </c>
      <c r="C28" s="5651">
        <v>29</v>
      </c>
      <c r="D28" s="5659">
        <f>IF(ISERROR('C029'!$E$28),0,'C029'!$E$28)</f>
        <v>0</v>
      </c>
      <c r="E28" s="5674"/>
      <c r="F28" s="5667"/>
      <c r="G28" s="5632"/>
      <c r="H28" s="5632"/>
      <c r="I28" s="5632"/>
      <c r="J28" s="5656"/>
      <c r="K28" s="5656"/>
      <c r="L28" s="5656"/>
      <c r="M28" s="5656"/>
      <c r="N28" s="5656"/>
      <c r="O28" s="5656"/>
      <c r="P28" s="5632"/>
      <c r="Q28" s="5632"/>
      <c r="R28" s="5632"/>
      <c r="S28" s="5632"/>
      <c r="T28" s="5632"/>
      <c r="U28" s="5657"/>
      <c r="V28" s="5657"/>
      <c r="W28" s="5657"/>
      <c r="X28" s="5657"/>
      <c r="Y28" s="5657"/>
      <c r="Z28" s="5657"/>
    </row>
    <row r="29" spans="1:26" s="5658" customFormat="1">
      <c r="A29" s="5649" t="s">
        <v>1600</v>
      </c>
      <c r="B29" s="5650" t="s">
        <v>3063</v>
      </c>
      <c r="C29" s="5651">
        <v>30</v>
      </c>
      <c r="D29" s="5659">
        <f>IF(ISERROR('C030'!E31),0,'C030'!E31)</f>
        <v>1021591</v>
      </c>
      <c r="E29" s="5674"/>
      <c r="F29" s="5667"/>
      <c r="G29" s="5632"/>
      <c r="H29" s="5632"/>
      <c r="I29" s="5632"/>
      <c r="J29" s="5656"/>
      <c r="K29" s="5656"/>
      <c r="L29" s="5656"/>
      <c r="M29" s="5656"/>
      <c r="N29" s="5656"/>
      <c r="O29" s="5656"/>
      <c r="P29" s="5632"/>
      <c r="Q29" s="5632"/>
      <c r="R29" s="5632"/>
      <c r="S29" s="5632"/>
      <c r="T29" s="5632"/>
      <c r="U29" s="5657"/>
      <c r="V29" s="5657"/>
      <c r="W29" s="5657"/>
      <c r="X29" s="5657"/>
      <c r="Y29" s="5657"/>
      <c r="Z29" s="5657"/>
    </row>
    <row r="30" spans="1:26" s="5658" customFormat="1" ht="15.6">
      <c r="A30" s="5649" t="s">
        <v>5294</v>
      </c>
      <c r="B30" s="5650" t="s">
        <v>3074</v>
      </c>
      <c r="C30" s="5651">
        <v>33</v>
      </c>
      <c r="D30" s="5659">
        <f>IF(ISERROR('C033'!$E$31),0,('C033'!$E$31))</f>
        <v>0</v>
      </c>
      <c r="E30" s="5663">
        <f>IF(ISERROR('C033'!$E$35),0,('C033'!$E$35))</f>
        <v>0</v>
      </c>
      <c r="F30" s="5676"/>
      <c r="G30" s="5632"/>
      <c r="H30" s="5632"/>
      <c r="I30" s="5632"/>
      <c r="J30" s="5632"/>
      <c r="K30" s="5632"/>
      <c r="L30" s="5632"/>
      <c r="M30" s="5632"/>
      <c r="N30" s="5632"/>
      <c r="O30" s="5632"/>
      <c r="P30" s="5632"/>
      <c r="Q30" s="5632"/>
      <c r="R30" s="5632"/>
      <c r="S30" s="5632"/>
      <c r="T30" s="5632"/>
      <c r="U30" s="5657"/>
      <c r="V30" s="5657"/>
      <c r="W30" s="5657"/>
      <c r="X30" s="5657"/>
      <c r="Y30" s="5657"/>
      <c r="Z30" s="5657"/>
    </row>
    <row r="31" spans="1:26" s="5658" customFormat="1">
      <c r="A31" s="5649" t="s">
        <v>3019</v>
      </c>
      <c r="B31" s="5650" t="s">
        <v>3064</v>
      </c>
      <c r="C31" s="5651">
        <v>34</v>
      </c>
      <c r="D31" s="5659">
        <f>IF(ISERROR('C034'!E36),0,'C034'!E36)</f>
        <v>208510</v>
      </c>
      <c r="E31" s="5669"/>
      <c r="F31" s="5660"/>
      <c r="G31" s="5632"/>
      <c r="H31" s="5632"/>
      <c r="I31" s="5632"/>
      <c r="J31" s="5656"/>
      <c r="K31" s="5656"/>
      <c r="L31" s="5656"/>
      <c r="M31" s="5656"/>
      <c r="N31" s="5656"/>
      <c r="O31" s="5656"/>
      <c r="P31" s="5632"/>
      <c r="Q31" s="5632"/>
      <c r="R31" s="5632"/>
      <c r="S31" s="5632"/>
      <c r="T31" s="5632"/>
      <c r="U31" s="5657"/>
      <c r="V31" s="5657"/>
      <c r="W31" s="5657"/>
      <c r="X31" s="5657"/>
      <c r="Y31" s="5657"/>
      <c r="Z31" s="5657"/>
    </row>
    <row r="32" spans="1:26" s="5658" customFormat="1">
      <c r="A32" s="5649" t="s">
        <v>4652</v>
      </c>
      <c r="B32" s="5650" t="s">
        <v>3069</v>
      </c>
      <c r="C32" s="5651">
        <v>35</v>
      </c>
      <c r="D32" s="5677">
        <f>'C035'!E30</f>
        <v>107657</v>
      </c>
      <c r="E32" s="5674"/>
      <c r="F32" s="5667"/>
      <c r="G32" s="5632"/>
      <c r="H32" s="5632"/>
      <c r="I32" s="5632"/>
      <c r="J32" s="5632"/>
      <c r="K32" s="5632"/>
      <c r="L32" s="5632"/>
      <c r="M32" s="5632"/>
      <c r="N32" s="5632"/>
      <c r="O32" s="5632"/>
      <c r="P32" s="5632"/>
      <c r="Q32" s="5632"/>
      <c r="R32" s="5632"/>
      <c r="S32" s="5632"/>
      <c r="T32" s="5632"/>
      <c r="U32" s="5657"/>
      <c r="V32" s="5657"/>
      <c r="W32" s="5657"/>
      <c r="X32" s="5657"/>
      <c r="Y32" s="5657"/>
      <c r="Z32" s="5657"/>
    </row>
    <row r="33" spans="1:26" s="5658" customFormat="1">
      <c r="A33" s="5649" t="s">
        <v>4649</v>
      </c>
      <c r="B33" s="5650" t="s">
        <v>3065</v>
      </c>
      <c r="C33" s="5651">
        <v>42</v>
      </c>
      <c r="D33" s="5677">
        <f>IF(ISERROR('C042'!E48),0,'C042'!E48)</f>
        <v>0</v>
      </c>
      <c r="E33" s="5663">
        <f>IF(ISERROR('C042'!F54),0,'C042'!F54)</f>
        <v>0</v>
      </c>
      <c r="F33" s="5676"/>
      <c r="G33" s="5632"/>
      <c r="H33" s="5632"/>
      <c r="I33" s="5632"/>
      <c r="J33" s="5656"/>
      <c r="K33" s="5656"/>
      <c r="L33" s="5656"/>
      <c r="M33" s="5656"/>
      <c r="N33" s="5656"/>
      <c r="O33" s="5656"/>
      <c r="P33" s="5632"/>
      <c r="Q33" s="5632"/>
      <c r="R33" s="5632"/>
      <c r="S33" s="5632"/>
      <c r="T33" s="5632"/>
      <c r="U33" s="5657"/>
      <c r="V33" s="5657"/>
      <c r="W33" s="5657"/>
      <c r="X33" s="5657"/>
      <c r="Y33" s="5657"/>
      <c r="Z33" s="5657"/>
    </row>
    <row r="34" spans="1:26" s="5658" customFormat="1">
      <c r="A34" s="5649" t="s">
        <v>817</v>
      </c>
      <c r="B34" s="5650" t="s">
        <v>3066</v>
      </c>
      <c r="C34" s="5651">
        <v>44</v>
      </c>
      <c r="D34" s="5652">
        <f>IF(ISERROR('C044'!E36),0,'C044'!E36)</f>
        <v>0</v>
      </c>
      <c r="E34" s="5652">
        <f>IF(ISERROR('C044'!F42),0,'C044'!F42)</f>
        <v>0</v>
      </c>
      <c r="F34" s="5678"/>
      <c r="G34" s="5632"/>
      <c r="H34" s="5632"/>
      <c r="I34" s="5632"/>
      <c r="J34" s="5656"/>
      <c r="K34" s="5656"/>
      <c r="L34" s="5656"/>
      <c r="M34" s="5656"/>
      <c r="N34" s="5656"/>
      <c r="O34" s="5656"/>
      <c r="P34" s="5632"/>
      <c r="Q34" s="5632"/>
      <c r="R34" s="5632"/>
      <c r="S34" s="5632"/>
      <c r="T34" s="5632"/>
      <c r="U34" s="5657"/>
      <c r="V34" s="5657"/>
      <c r="W34" s="5657"/>
      <c r="X34" s="5657"/>
      <c r="Y34" s="5657"/>
      <c r="Z34" s="5657"/>
    </row>
    <row r="35" spans="1:26" s="5658" customFormat="1">
      <c r="A35" s="5649" t="s">
        <v>4650</v>
      </c>
      <c r="B35" s="5650" t="s">
        <v>3067</v>
      </c>
      <c r="C35" s="5651">
        <v>45</v>
      </c>
      <c r="D35" s="5662">
        <f>IF(ISERROR('C045'!$E$31),0,('C045'!$E$31))</f>
        <v>0</v>
      </c>
      <c r="E35" s="5679">
        <f>IF(ISERROR('C045'!$E$35),0,('C045'!$E$35))</f>
        <v>0</v>
      </c>
      <c r="F35" s="5678"/>
      <c r="G35" s="5632"/>
      <c r="H35" s="5632"/>
      <c r="I35" s="5632"/>
      <c r="J35" s="5656"/>
      <c r="K35" s="5656"/>
      <c r="L35" s="5656"/>
      <c r="M35" s="5656"/>
      <c r="N35" s="5656"/>
      <c r="O35" s="5656"/>
      <c r="P35" s="5632"/>
      <c r="Q35" s="5632"/>
      <c r="R35" s="5632"/>
      <c r="S35" s="5632"/>
      <c r="T35" s="5632"/>
      <c r="U35" s="5657"/>
      <c r="V35" s="5657"/>
      <c r="W35" s="5657"/>
      <c r="X35" s="5657"/>
      <c r="Y35" s="5657"/>
      <c r="Z35" s="5657"/>
    </row>
    <row r="36" spans="1:26" s="5658" customFormat="1">
      <c r="A36" s="5649" t="s">
        <v>4651</v>
      </c>
      <c r="B36" s="5650" t="s">
        <v>3068</v>
      </c>
      <c r="C36" s="5680">
        <v>47</v>
      </c>
      <c r="D36" s="5669"/>
      <c r="E36" s="5669"/>
      <c r="F36" s="5660"/>
      <c r="G36" s="5632"/>
      <c r="H36" s="5632"/>
      <c r="I36" s="5632"/>
      <c r="J36" s="5632"/>
      <c r="K36" s="5632"/>
      <c r="L36" s="5632"/>
      <c r="M36" s="5632"/>
      <c r="N36" s="5632"/>
      <c r="O36" s="5632"/>
      <c r="P36" s="5632"/>
      <c r="Q36" s="5632"/>
      <c r="R36" s="5632"/>
      <c r="S36" s="5632"/>
      <c r="T36" s="5632"/>
      <c r="U36" s="5657"/>
      <c r="V36" s="5657"/>
      <c r="W36" s="5657"/>
      <c r="X36" s="5657"/>
      <c r="Y36" s="5657"/>
      <c r="Z36" s="5657"/>
    </row>
    <row r="37" spans="1:26" s="5658" customFormat="1">
      <c r="A37" s="5649" t="s">
        <v>4653</v>
      </c>
      <c r="B37" s="5650" t="s">
        <v>1685</v>
      </c>
      <c r="C37" s="5680">
        <v>51</v>
      </c>
      <c r="D37" s="5681">
        <f>'C051'!E38</f>
        <v>523777</v>
      </c>
      <c r="E37" s="5667"/>
      <c r="F37" s="5667"/>
      <c r="G37" s="5632"/>
      <c r="H37" s="5632"/>
      <c r="I37" s="5632"/>
      <c r="J37" s="5682"/>
      <c r="K37" s="5632"/>
      <c r="L37" s="5632"/>
      <c r="M37" s="5632"/>
      <c r="N37" s="5632"/>
      <c r="O37" s="5632"/>
      <c r="P37" s="5632"/>
      <c r="Q37" s="5632"/>
      <c r="R37" s="5632"/>
      <c r="S37" s="5632"/>
      <c r="T37" s="5632"/>
      <c r="U37" s="5657"/>
      <c r="V37" s="5657"/>
      <c r="W37" s="5657"/>
      <c r="X37" s="5657"/>
      <c r="Y37" s="5657"/>
      <c r="Z37" s="5657"/>
    </row>
    <row r="38" spans="1:26" s="5658" customFormat="1">
      <c r="A38" s="5649" t="s">
        <v>1605</v>
      </c>
      <c r="B38" s="5650" t="s">
        <v>3070</v>
      </c>
      <c r="C38" s="5651">
        <v>53</v>
      </c>
      <c r="D38" s="5660"/>
      <c r="E38" s="5667"/>
      <c r="F38" s="5667"/>
      <c r="G38" s="5632"/>
      <c r="H38" s="5632"/>
      <c r="I38" s="5632"/>
      <c r="J38" s="5632"/>
      <c r="K38" s="5632"/>
      <c r="L38" s="5632"/>
      <c r="M38" s="5632"/>
      <c r="N38" s="5632"/>
      <c r="O38" s="5632"/>
      <c r="P38" s="5632"/>
      <c r="Q38" s="5632"/>
      <c r="R38" s="5632"/>
      <c r="S38" s="5632"/>
      <c r="T38" s="5632"/>
      <c r="U38" s="5657"/>
      <c r="V38" s="5657"/>
      <c r="W38" s="5657"/>
      <c r="X38" s="5657"/>
      <c r="Y38" s="5657"/>
      <c r="Z38" s="5657"/>
    </row>
    <row r="39" spans="1:26" s="5658" customFormat="1">
      <c r="A39" s="5649" t="s">
        <v>4654</v>
      </c>
      <c r="B39" s="5650" t="s">
        <v>3071</v>
      </c>
      <c r="C39" s="5651">
        <v>55</v>
      </c>
      <c r="D39" s="5667"/>
      <c r="E39" s="5667"/>
      <c r="F39" s="5667"/>
      <c r="G39" s="5632"/>
      <c r="H39" s="5632"/>
      <c r="I39" s="5632"/>
      <c r="J39" s="5632"/>
      <c r="K39" s="5632"/>
      <c r="L39" s="5632"/>
      <c r="M39" s="5632"/>
      <c r="N39" s="5632"/>
      <c r="O39" s="5632"/>
      <c r="P39" s="5632"/>
      <c r="Q39" s="5632"/>
      <c r="R39" s="5632"/>
      <c r="S39" s="5632"/>
      <c r="T39" s="5632"/>
      <c r="U39" s="5657"/>
      <c r="V39" s="5657"/>
      <c r="W39" s="5657"/>
      <c r="X39" s="5657"/>
      <c r="Y39" s="5657"/>
      <c r="Z39" s="5657"/>
    </row>
    <row r="40" spans="1:26" s="5658" customFormat="1">
      <c r="A40" s="5683" t="s">
        <v>4655</v>
      </c>
      <c r="B40" s="5684" t="s">
        <v>3075</v>
      </c>
      <c r="C40" s="5685">
        <v>56</v>
      </c>
      <c r="D40" s="5667"/>
      <c r="E40" s="5667"/>
      <c r="F40" s="5667"/>
      <c r="G40" s="5632"/>
      <c r="H40" s="5632"/>
      <c r="I40" s="5632"/>
      <c r="J40" s="5632"/>
      <c r="K40" s="5632"/>
      <c r="L40" s="5632"/>
      <c r="M40" s="5632"/>
      <c r="N40" s="5632"/>
      <c r="O40" s="5632"/>
      <c r="P40" s="5632"/>
      <c r="Q40" s="5632"/>
      <c r="R40" s="5632"/>
      <c r="S40" s="5632"/>
      <c r="T40" s="5632"/>
      <c r="U40" s="5657"/>
      <c r="V40" s="5657"/>
      <c r="W40" s="5657"/>
      <c r="X40" s="5657"/>
      <c r="Y40" s="5657"/>
      <c r="Z40" s="5657"/>
    </row>
    <row r="41" spans="1:26" s="5658" customFormat="1">
      <c r="A41" s="5990" t="s">
        <v>861</v>
      </c>
      <c r="B41" s="5991"/>
      <c r="C41" s="5991"/>
      <c r="D41" s="5992"/>
      <c r="E41" s="5992"/>
      <c r="F41" s="5993"/>
      <c r="G41" s="5632"/>
      <c r="H41" s="5632"/>
      <c r="I41" s="5632"/>
      <c r="J41" s="5632"/>
      <c r="K41" s="5632"/>
      <c r="L41" s="5632"/>
      <c r="M41" s="5632"/>
      <c r="N41" s="5632"/>
      <c r="O41" s="5632"/>
      <c r="P41" s="5632"/>
      <c r="Q41" s="5632"/>
      <c r="R41" s="5632"/>
      <c r="S41" s="5632"/>
      <c r="T41" s="5632"/>
      <c r="U41" s="5657"/>
      <c r="V41" s="5657"/>
      <c r="W41" s="5657"/>
      <c r="X41" s="5657"/>
      <c r="Y41" s="5657"/>
      <c r="Z41" s="5657"/>
    </row>
    <row r="42" spans="1:26" s="5658" customFormat="1">
      <c r="A42" s="5686" t="str">
        <f>OpenData!$O$44</f>
        <v>Bond and Interest #1</v>
      </c>
      <c r="B42" s="5687" t="s">
        <v>862</v>
      </c>
      <c r="C42" s="5688">
        <v>62</v>
      </c>
      <c r="D42" s="5677">
        <f>IF(ISERROR('C062'!E49),0,'C062'!E49)</f>
        <v>0</v>
      </c>
      <c r="E42" s="5652">
        <f>IF(ISERROR('C062'!F58),0,'C062'!F58)</f>
        <v>0</v>
      </c>
      <c r="F42" s="5678"/>
      <c r="G42" s="5632"/>
      <c r="H42" s="5632"/>
      <c r="I42" s="5632"/>
      <c r="J42" s="5632"/>
      <c r="K42" s="5632"/>
      <c r="L42" s="5632"/>
      <c r="M42" s="5632"/>
      <c r="N42" s="5632"/>
      <c r="O42" s="5632"/>
      <c r="P42" s="5632"/>
      <c r="Q42" s="5632"/>
      <c r="R42" s="5632"/>
      <c r="S42" s="5632"/>
      <c r="T42" s="5632"/>
      <c r="U42" s="5657"/>
      <c r="V42" s="5657"/>
      <c r="W42" s="5657"/>
      <c r="X42" s="5657"/>
      <c r="Y42" s="5657"/>
      <c r="Z42" s="5657"/>
    </row>
    <row r="43" spans="1:26" s="5658" customFormat="1">
      <c r="A43" s="5689" t="str">
        <f>OpenData!$O$46</f>
        <v>Bond and Interest #2</v>
      </c>
      <c r="B43" s="5690" t="s">
        <v>862</v>
      </c>
      <c r="C43" s="5691">
        <v>63</v>
      </c>
      <c r="D43" s="5662">
        <f>IF(ISERROR('C063'!E49),0,'C063'!E49)</f>
        <v>0</v>
      </c>
      <c r="E43" s="5662">
        <f>IF(ISERROR('C063'!F58),0,'C063'!F58)</f>
        <v>0</v>
      </c>
      <c r="F43" s="5678"/>
      <c r="G43" s="5632"/>
      <c r="H43" s="5632"/>
      <c r="I43" s="5632"/>
      <c r="J43" s="5632"/>
      <c r="K43" s="5632"/>
      <c r="L43" s="5632"/>
      <c r="M43" s="5632"/>
      <c r="N43" s="5632"/>
      <c r="O43" s="5632"/>
      <c r="P43" s="5632"/>
      <c r="Q43" s="5632"/>
      <c r="R43" s="5632"/>
      <c r="S43" s="5632"/>
      <c r="T43" s="5632"/>
      <c r="U43" s="5657"/>
      <c r="V43" s="5657"/>
      <c r="W43" s="5657"/>
      <c r="X43" s="5657"/>
      <c r="Y43" s="5657"/>
      <c r="Z43" s="5657"/>
    </row>
    <row r="44" spans="1:26" s="5658" customFormat="1" ht="15.6">
      <c r="A44" s="5689" t="s">
        <v>5295</v>
      </c>
      <c r="B44" s="5690" t="s">
        <v>863</v>
      </c>
      <c r="C44" s="5691">
        <v>66</v>
      </c>
      <c r="D44" s="5662">
        <f>IF(ISERROR('C066'!E36),0,'C066'!E36)</f>
        <v>0</v>
      </c>
      <c r="E44" s="5662">
        <f>IF(ISERROR('C066'!F43),0,'C066'!F43)</f>
        <v>0</v>
      </c>
      <c r="F44" s="5678"/>
      <c r="G44" s="5632"/>
      <c r="H44" s="5632"/>
      <c r="I44" s="5632"/>
      <c r="J44" s="5632"/>
      <c r="K44" s="5632"/>
      <c r="L44" s="5632"/>
      <c r="M44" s="5632"/>
      <c r="N44" s="5632"/>
      <c r="O44" s="5632"/>
      <c r="P44" s="5632"/>
      <c r="Q44" s="5632"/>
      <c r="R44" s="5632"/>
      <c r="S44" s="5632"/>
      <c r="T44" s="5632"/>
      <c r="U44" s="5657"/>
      <c r="V44" s="5657"/>
      <c r="W44" s="5657"/>
      <c r="X44" s="5657"/>
      <c r="Y44" s="5657"/>
      <c r="Z44" s="5657"/>
    </row>
    <row r="45" spans="1:26" s="5658" customFormat="1">
      <c r="A45" s="5689" t="s">
        <v>819</v>
      </c>
      <c r="B45" s="5690" t="s">
        <v>864</v>
      </c>
      <c r="C45" s="5691">
        <v>67</v>
      </c>
      <c r="D45" s="5662">
        <f>'C067'!E35</f>
        <v>0</v>
      </c>
      <c r="E45" s="5662">
        <f>IF(ISERROR('C067'!F41),0,'C067'!F41)</f>
        <v>0</v>
      </c>
      <c r="F45" s="5678"/>
      <c r="G45" s="5632"/>
      <c r="H45" s="5632"/>
      <c r="I45" s="5632"/>
      <c r="J45" s="5632"/>
      <c r="K45" s="5632"/>
      <c r="L45" s="5632"/>
      <c r="M45" s="5632"/>
      <c r="N45" s="5632"/>
      <c r="O45" s="5632"/>
      <c r="P45" s="5632"/>
      <c r="Q45" s="5632"/>
      <c r="R45" s="5632"/>
      <c r="S45" s="5632"/>
      <c r="T45" s="5632"/>
      <c r="U45" s="5657"/>
      <c r="V45" s="5657"/>
      <c r="W45" s="5657"/>
      <c r="X45" s="5657"/>
      <c r="Y45" s="5657"/>
      <c r="Z45" s="5657"/>
    </row>
    <row r="46" spans="1:26" s="5658" customFormat="1">
      <c r="A46" s="5689" t="s">
        <v>820</v>
      </c>
      <c r="B46" s="5690" t="s">
        <v>3076</v>
      </c>
      <c r="C46" s="5691">
        <v>68</v>
      </c>
      <c r="D46" s="5652">
        <f>IF(ISERROR('C068'!E37),0,'C068'!E37)</f>
        <v>0</v>
      </c>
      <c r="E46" s="5662">
        <f>IF(ISERROR('C068'!F44),0,'C068'!F44)</f>
        <v>0</v>
      </c>
      <c r="F46" s="5678"/>
      <c r="G46" s="5632"/>
      <c r="H46" s="5632"/>
      <c r="I46" s="5632"/>
      <c r="J46" s="5632"/>
      <c r="K46" s="5632"/>
      <c r="L46" s="5632"/>
      <c r="M46" s="5632"/>
      <c r="N46" s="5632"/>
      <c r="O46" s="5632"/>
      <c r="P46" s="5632"/>
      <c r="Q46" s="5632"/>
      <c r="R46" s="5632"/>
      <c r="S46" s="5632"/>
      <c r="T46" s="5632"/>
      <c r="U46" s="5657"/>
      <c r="V46" s="5657"/>
      <c r="W46" s="5657"/>
      <c r="X46" s="5657"/>
      <c r="Y46" s="5657"/>
      <c r="Z46" s="5657"/>
    </row>
    <row r="47" spans="1:26" s="5658" customFormat="1">
      <c r="A47" s="5994" t="str">
        <f>"1.  The amount computed on Form 150 is the limit of the " &amp;OpenData!$N$2&amp; " General Fund Expenditures."</f>
        <v>1.  The amount computed on Form 150 is the limit of the 2021-2022 General Fund Expenditures.</v>
      </c>
      <c r="B47" s="5994"/>
      <c r="C47" s="5994"/>
      <c r="D47" s="5994"/>
      <c r="E47" s="5994"/>
      <c r="F47" s="5994"/>
      <c r="G47" s="5632"/>
      <c r="H47" s="5632"/>
      <c r="I47" s="5632"/>
      <c r="J47" s="5632"/>
      <c r="K47" s="5632"/>
      <c r="L47" s="5632"/>
      <c r="M47" s="5632"/>
      <c r="N47" s="5632"/>
      <c r="O47" s="5632"/>
      <c r="P47" s="5632"/>
      <c r="Q47" s="5632"/>
      <c r="R47" s="5632"/>
      <c r="S47" s="5632"/>
      <c r="T47" s="5632"/>
      <c r="U47" s="5657"/>
      <c r="V47" s="5657"/>
      <c r="W47" s="5657"/>
      <c r="X47" s="5657"/>
      <c r="Y47" s="5657"/>
      <c r="Z47" s="5657"/>
    </row>
    <row r="48" spans="1:26" s="5658" customFormat="1">
      <c r="A48" s="5985" t="s">
        <v>4821</v>
      </c>
      <c r="B48" s="5985"/>
      <c r="C48" s="5985"/>
      <c r="D48" s="5985"/>
      <c r="E48" s="5985"/>
      <c r="F48" s="5985"/>
      <c r="G48" s="5632"/>
      <c r="H48" s="5632"/>
      <c r="I48" s="5632"/>
      <c r="J48" s="5632"/>
      <c r="K48" s="5632"/>
      <c r="L48" s="5632"/>
      <c r="M48" s="5632"/>
      <c r="N48" s="5632"/>
      <c r="O48" s="5632"/>
      <c r="P48" s="5632"/>
      <c r="Q48" s="5632"/>
      <c r="R48" s="5632"/>
      <c r="S48" s="5632"/>
      <c r="T48" s="5632"/>
      <c r="U48" s="5657"/>
      <c r="V48" s="5657"/>
      <c r="W48" s="5657"/>
      <c r="X48" s="5657"/>
      <c r="Y48" s="5657"/>
      <c r="Z48" s="5657"/>
    </row>
    <row r="49" spans="1:26" s="5658" customFormat="1">
      <c r="A49" s="5692" t="s">
        <v>4827</v>
      </c>
      <c r="B49" s="5693">
        <f>IF(OPEN!$A$102=0," ",OPEN!$A$102)</f>
        <v>41982</v>
      </c>
      <c r="C49" s="5694" t="s">
        <v>866</v>
      </c>
      <c r="D49" s="5695">
        <f>OPEN!$J$103/100</f>
        <v>0.33</v>
      </c>
      <c r="E49" s="5694" t="s">
        <v>1379</v>
      </c>
      <c r="F49" s="5696">
        <f>IF(OPEN!$A$104=0,"",OPEN!$A$104)</f>
        <v>9999</v>
      </c>
      <c r="G49" s="5697"/>
      <c r="H49" s="5632"/>
      <c r="I49" s="5632"/>
      <c r="J49" s="5632"/>
      <c r="K49" s="5632"/>
      <c r="L49" s="5632"/>
      <c r="M49" s="5632"/>
      <c r="N49" s="5632"/>
      <c r="O49" s="5632"/>
      <c r="P49" s="5632"/>
      <c r="Q49" s="5632"/>
      <c r="R49" s="5632"/>
      <c r="S49" s="5632"/>
      <c r="T49" s="5632"/>
      <c r="U49" s="5657"/>
      <c r="V49" s="5657"/>
      <c r="W49" s="5657"/>
      <c r="X49" s="5657"/>
      <c r="Y49" s="5657"/>
      <c r="Z49" s="5657"/>
    </row>
    <row r="50" spans="1:26" s="5658" customFormat="1">
      <c r="A50" s="5698" t="s">
        <v>4822</v>
      </c>
      <c r="B50" s="5693" t="str">
        <f>IF(OPEN!$A$106=0," ",OPEN!$A$106)</f>
        <v xml:space="preserve"> </v>
      </c>
      <c r="C50" s="5694" t="s">
        <v>866</v>
      </c>
      <c r="D50" s="5695">
        <f>OPEN!$J$107/100</f>
        <v>0</v>
      </c>
      <c r="E50" s="5694" t="s">
        <v>1379</v>
      </c>
      <c r="F50" s="5696" t="str">
        <f>IF(OPEN!$A$108=0,"",OPEN!$A$108)</f>
        <v/>
      </c>
      <c r="G50" s="5697"/>
      <c r="H50" s="5632"/>
      <c r="I50" s="5632"/>
      <c r="J50" s="5632"/>
      <c r="K50" s="5632"/>
      <c r="L50" s="5632"/>
      <c r="M50" s="5632"/>
      <c r="N50" s="5632"/>
      <c r="O50" s="5632"/>
      <c r="P50" s="5632"/>
      <c r="Q50" s="5632"/>
      <c r="R50" s="5632"/>
      <c r="S50" s="5632"/>
      <c r="T50" s="5632"/>
      <c r="U50" s="5657"/>
      <c r="V50" s="5657"/>
      <c r="W50" s="5657"/>
      <c r="X50" s="5657"/>
      <c r="Y50" s="5657"/>
      <c r="Z50" s="5657"/>
    </row>
    <row r="51" spans="1:26" s="5658" customFormat="1">
      <c r="A51" s="5692" t="s">
        <v>5003</v>
      </c>
      <c r="B51" s="5699"/>
      <c r="C51" s="5694"/>
      <c r="D51" s="5693" t="str">
        <f>IF(OPEN!$A$100=0," ",OPEN!$A$100)</f>
        <v xml:space="preserve"> </v>
      </c>
      <c r="E51" s="5694"/>
      <c r="F51" s="5700"/>
      <c r="G51" s="5697"/>
      <c r="H51" s="5632"/>
      <c r="I51" s="5632"/>
      <c r="J51" s="5632"/>
      <c r="K51" s="5632"/>
      <c r="L51" s="5632"/>
      <c r="M51" s="5632"/>
      <c r="N51" s="5632"/>
      <c r="O51" s="5632"/>
      <c r="P51" s="5632"/>
      <c r="Q51" s="5632"/>
      <c r="R51" s="5632"/>
      <c r="S51" s="5632"/>
      <c r="T51" s="5632"/>
      <c r="U51" s="5657"/>
      <c r="V51" s="5657"/>
      <c r="W51" s="5657"/>
      <c r="X51" s="5657"/>
      <c r="Y51" s="5657"/>
      <c r="Z51" s="5657"/>
    </row>
    <row r="52" spans="1:26" s="5658" customFormat="1">
      <c r="A52" s="5985" t="s">
        <v>5002</v>
      </c>
      <c r="B52" s="5985"/>
      <c r="C52" s="5985"/>
      <c r="D52" s="5985"/>
      <c r="E52" s="5985"/>
      <c r="F52" s="5985"/>
      <c r="G52" s="5632"/>
      <c r="H52" s="5632"/>
      <c r="I52" s="5632"/>
      <c r="J52" s="5632"/>
      <c r="K52" s="5632"/>
      <c r="L52" s="5632"/>
      <c r="M52" s="5632"/>
      <c r="N52" s="5632"/>
      <c r="O52" s="5632"/>
      <c r="P52" s="5632"/>
      <c r="Q52" s="5632"/>
      <c r="R52" s="5632"/>
      <c r="S52" s="5632"/>
      <c r="T52" s="5632"/>
      <c r="U52" s="5657"/>
      <c r="V52" s="5657"/>
      <c r="W52" s="5657"/>
      <c r="X52" s="5657"/>
      <c r="Y52" s="5657"/>
      <c r="Z52" s="5657"/>
    </row>
    <row r="53" spans="1:26" s="5627" customFormat="1">
      <c r="A53" s="5628" t="s">
        <v>4646</v>
      </c>
      <c r="B53" s="5628"/>
      <c r="C53" s="5701"/>
      <c r="D53" s="5624"/>
      <c r="E53" s="5625"/>
      <c r="F53" s="3577" t="str">
        <f>"USD #"&amp;OPEN!$B$4</f>
        <v>USD #237</v>
      </c>
      <c r="G53" s="5626"/>
      <c r="I53" s="5624"/>
      <c r="J53" s="3578"/>
      <c r="K53" s="5624"/>
      <c r="L53" s="5624"/>
      <c r="M53" s="5624"/>
      <c r="N53" s="5624"/>
      <c r="O53" s="5624"/>
      <c r="P53" s="5624"/>
      <c r="Q53" s="5624"/>
      <c r="R53" s="5624"/>
      <c r="S53" s="5624"/>
      <c r="T53" s="5624"/>
    </row>
    <row r="54" spans="1:26" s="5627" customFormat="1">
      <c r="A54" s="5628" t="s">
        <v>837</v>
      </c>
      <c r="B54" s="5628"/>
      <c r="C54" s="5624"/>
      <c r="D54" s="5624"/>
      <c r="E54" s="5624"/>
      <c r="F54" s="5629" t="str">
        <f>OpenData!$N$2</f>
        <v>2021-2022</v>
      </c>
      <c r="G54" s="5626"/>
      <c r="H54" s="5624"/>
      <c r="I54" s="5624"/>
      <c r="J54" s="5624"/>
      <c r="K54" s="5624"/>
      <c r="L54" s="5624"/>
      <c r="M54" s="5624"/>
      <c r="N54" s="5624"/>
      <c r="O54" s="5624"/>
      <c r="P54" s="5624"/>
      <c r="Q54" s="5624"/>
      <c r="R54" s="5624"/>
      <c r="S54" s="5624"/>
      <c r="T54" s="5624"/>
    </row>
    <row r="55" spans="1:26">
      <c r="A55" s="5624"/>
      <c r="B55" s="5624"/>
      <c r="C55" s="5624"/>
      <c r="D55" s="5986" t="str">
        <f>$D$8</f>
        <v>2021-2022 Adopted Budget</v>
      </c>
      <c r="E55" s="5987"/>
      <c r="F55" s="5701"/>
      <c r="G55" s="5624"/>
      <c r="H55" s="5624"/>
      <c r="I55" s="5624"/>
      <c r="J55" s="5624"/>
      <c r="K55" s="5624"/>
      <c r="L55" s="5624"/>
      <c r="M55" s="5624"/>
      <c r="N55" s="5624"/>
      <c r="O55" s="5624"/>
      <c r="P55" s="5624"/>
      <c r="Q55" s="5624"/>
      <c r="R55" s="5624"/>
      <c r="S55" s="5624"/>
      <c r="T55" s="5624"/>
    </row>
    <row r="56" spans="1:26">
      <c r="A56" s="5624"/>
      <c r="B56" s="5624"/>
      <c r="C56" s="5995" t="str">
        <f>$C$9</f>
        <v>Code 01 Line</v>
      </c>
      <c r="D56" s="5636">
        <f>$D$9</f>
        <v>1</v>
      </c>
      <c r="E56" s="5636">
        <f>$E$9</f>
        <v>2</v>
      </c>
      <c r="F56" s="5637">
        <f>$F$9</f>
        <v>3</v>
      </c>
      <c r="G56" s="5624"/>
      <c r="H56" s="5624"/>
      <c r="I56" s="5624"/>
      <c r="J56" s="5624"/>
      <c r="K56" s="5624"/>
      <c r="L56" s="5624"/>
      <c r="M56" s="5624"/>
      <c r="N56" s="5624"/>
      <c r="O56" s="5624"/>
      <c r="P56" s="5624"/>
      <c r="Q56" s="5624"/>
      <c r="R56" s="5624"/>
      <c r="S56" s="5624"/>
      <c r="T56" s="5624"/>
    </row>
    <row r="57" spans="1:26" ht="15.6" customHeight="1">
      <c r="A57" s="5628" t="str">
        <f>$A$10</f>
        <v>TABLE OF CONTENTS</v>
      </c>
      <c r="B57" s="5702"/>
      <c r="C57" s="5996"/>
      <c r="D57" s="5703"/>
      <c r="E57" s="6022" t="str">
        <f>$E$10</f>
        <v>2021 Tax to be Levied</v>
      </c>
      <c r="F57" s="5643" t="s">
        <v>4871</v>
      </c>
      <c r="G57" s="5624"/>
      <c r="H57" s="5624"/>
      <c r="I57" s="5624"/>
      <c r="J57" s="5624"/>
      <c r="K57" s="5624"/>
      <c r="L57" s="5624"/>
      <c r="M57" s="5624"/>
      <c r="N57" s="5624"/>
      <c r="O57" s="5624"/>
      <c r="P57" s="5624"/>
      <c r="Q57" s="5624"/>
      <c r="R57" s="5624"/>
      <c r="S57" s="5624"/>
      <c r="T57" s="5624"/>
    </row>
    <row r="58" spans="1:26">
      <c r="A58" s="5628"/>
      <c r="B58" s="5704" t="str">
        <f>$B$11</f>
        <v>K.S.A.</v>
      </c>
      <c r="C58" s="5997"/>
      <c r="D58" s="5705" t="str">
        <f>$D$11</f>
        <v>Expenditures</v>
      </c>
      <c r="E58" s="6023"/>
      <c r="F58" s="5706" t="s">
        <v>4872</v>
      </c>
      <c r="G58" s="5624"/>
      <c r="H58" s="5624"/>
      <c r="I58" s="5624"/>
      <c r="J58" s="5624"/>
      <c r="K58" s="5624"/>
      <c r="L58" s="5624"/>
      <c r="M58" s="5624"/>
      <c r="N58" s="5624"/>
      <c r="O58" s="5624"/>
      <c r="P58" s="5624"/>
      <c r="Q58" s="5624"/>
      <c r="R58" s="5624"/>
      <c r="S58" s="5624"/>
      <c r="T58" s="5624"/>
    </row>
    <row r="59" spans="1:26">
      <c r="A59" s="6026" t="s">
        <v>867</v>
      </c>
      <c r="B59" s="6027"/>
      <c r="C59" s="6027"/>
      <c r="D59" s="6027"/>
      <c r="E59" s="6027"/>
      <c r="F59" s="6028"/>
      <c r="G59" s="5624"/>
      <c r="H59" s="5624"/>
      <c r="I59" s="5624"/>
      <c r="J59" s="5624"/>
      <c r="K59" s="5624"/>
      <c r="L59" s="5624"/>
      <c r="M59" s="5624"/>
      <c r="N59" s="5624"/>
      <c r="O59" s="5624"/>
      <c r="P59" s="5624"/>
      <c r="Q59" s="5624"/>
      <c r="R59" s="5624"/>
      <c r="S59" s="5624"/>
      <c r="T59" s="5624"/>
    </row>
    <row r="60" spans="1:26">
      <c r="A60" s="5707" t="s">
        <v>1600</v>
      </c>
      <c r="B60" s="5708" t="s">
        <v>3077</v>
      </c>
      <c r="C60" s="5709">
        <v>78</v>
      </c>
      <c r="D60" s="5663">
        <f>IF(ISERROR('C078'!E24),0,'C078'!E24)</f>
        <v>0</v>
      </c>
      <c r="E60" s="5674"/>
      <c r="F60" s="5668"/>
      <c r="G60" s="5624"/>
      <c r="H60" s="5624"/>
      <c r="I60" s="5624"/>
      <c r="J60" s="5624"/>
      <c r="K60" s="5624"/>
      <c r="L60" s="5624"/>
      <c r="M60" s="5624"/>
      <c r="N60" s="5624"/>
      <c r="O60" s="5624"/>
      <c r="P60" s="5624"/>
      <c r="Q60" s="5624"/>
      <c r="R60" s="5624"/>
      <c r="S60" s="5624"/>
      <c r="T60" s="5624"/>
    </row>
    <row r="61" spans="1:26">
      <c r="A61" s="5710" t="s">
        <v>4656</v>
      </c>
      <c r="B61" s="5711"/>
      <c r="C61" s="5712">
        <v>100</v>
      </c>
      <c r="D61" s="5713">
        <f>SUM(D60:D60,D12:D46)</f>
        <v>9104766</v>
      </c>
      <c r="E61" s="5713">
        <f>SUM(E12:E46)</f>
        <v>2387818</v>
      </c>
      <c r="F61" s="5676"/>
      <c r="G61" s="5624"/>
      <c r="H61" s="5624"/>
      <c r="I61" s="5624"/>
      <c r="J61" s="5624"/>
      <c r="K61" s="5624"/>
      <c r="L61" s="5624"/>
      <c r="M61" s="5624"/>
      <c r="N61" s="5624"/>
      <c r="O61" s="5624"/>
      <c r="P61" s="5624"/>
      <c r="Q61" s="5624"/>
      <c r="R61" s="5624"/>
      <c r="S61" s="5624"/>
      <c r="T61" s="5624"/>
    </row>
    <row r="62" spans="1:26">
      <c r="A62" s="6026" t="s">
        <v>868</v>
      </c>
      <c r="B62" s="6027"/>
      <c r="C62" s="6027"/>
      <c r="D62" s="6027"/>
      <c r="E62" s="6027"/>
      <c r="F62" s="6028"/>
      <c r="G62" s="5624"/>
      <c r="H62" s="5624"/>
      <c r="I62" s="5624"/>
      <c r="J62" s="5624"/>
      <c r="K62" s="5624"/>
      <c r="L62" s="5624"/>
      <c r="M62" s="5624"/>
      <c r="N62" s="5624"/>
      <c r="O62" s="5624"/>
      <c r="P62" s="5624"/>
      <c r="Q62" s="5624"/>
      <c r="R62" s="5624"/>
      <c r="S62" s="5624"/>
      <c r="T62" s="5624"/>
    </row>
    <row r="63" spans="1:26">
      <c r="A63" s="5714" t="s">
        <v>821</v>
      </c>
      <c r="B63" s="5646" t="s">
        <v>869</v>
      </c>
      <c r="C63" s="5715">
        <v>80</v>
      </c>
      <c r="D63" s="5663">
        <f>IF(ISERROR('C080'!E35),0,'C080'!E35)</f>
        <v>0</v>
      </c>
      <c r="E63" s="5663">
        <f>IF(ISERROR('C080'!F41),0,'C080'!F41)</f>
        <v>0</v>
      </c>
      <c r="F63" s="5676"/>
      <c r="G63" s="5624"/>
      <c r="H63" s="5624"/>
      <c r="I63" s="5624"/>
      <c r="J63" s="5624"/>
      <c r="K63" s="5624"/>
      <c r="L63" s="5624"/>
      <c r="M63" s="5624"/>
      <c r="N63" s="5624"/>
      <c r="O63" s="5624"/>
      <c r="P63" s="5624"/>
      <c r="Q63" s="5624"/>
      <c r="R63" s="5624"/>
      <c r="S63" s="5624"/>
      <c r="T63" s="5624"/>
    </row>
    <row r="64" spans="1:26">
      <c r="A64" s="5716" t="s">
        <v>822</v>
      </c>
      <c r="B64" s="5717" t="s">
        <v>3078</v>
      </c>
      <c r="C64" s="5691">
        <v>82</v>
      </c>
      <c r="D64" s="5662">
        <f>IF(ISERROR('C082'!E35),0,'C082'!E35)</f>
        <v>0</v>
      </c>
      <c r="E64" s="5662">
        <f>IF(ISERROR('C082'!F41),0,'C082'!F41)</f>
        <v>0</v>
      </c>
      <c r="F64" s="5678"/>
      <c r="G64" s="5624"/>
      <c r="H64" s="5624"/>
      <c r="I64" s="5624"/>
      <c r="J64" s="5624"/>
      <c r="K64" s="5624"/>
      <c r="L64" s="5624"/>
      <c r="M64" s="5624"/>
      <c r="N64" s="5624"/>
      <c r="O64" s="5624"/>
      <c r="P64" s="5624"/>
      <c r="Q64" s="5624"/>
      <c r="R64" s="5624"/>
      <c r="S64" s="5624"/>
      <c r="T64" s="5624"/>
    </row>
    <row r="65" spans="1:20">
      <c r="A65" s="5716" t="s">
        <v>4466</v>
      </c>
      <c r="B65" s="5717" t="s">
        <v>870</v>
      </c>
      <c r="C65" s="5691">
        <v>83</v>
      </c>
      <c r="D65" s="5662">
        <f>IF(ISERROR('C083'!E35),0,'C083'!E35)</f>
        <v>0</v>
      </c>
      <c r="E65" s="5662">
        <f>IF(ISERROR('C083'!F41),0,'C083'!F41)</f>
        <v>0</v>
      </c>
      <c r="F65" s="5678"/>
      <c r="G65" s="5624"/>
      <c r="H65" s="5624"/>
      <c r="I65" s="5624"/>
      <c r="J65" s="5624"/>
      <c r="K65" s="5624"/>
      <c r="L65" s="5624"/>
      <c r="M65" s="5624"/>
      <c r="N65" s="5624"/>
      <c r="O65" s="5624"/>
      <c r="P65" s="5624"/>
      <c r="Q65" s="5624"/>
      <c r="R65" s="5624"/>
      <c r="S65" s="5624"/>
      <c r="T65" s="5624"/>
    </row>
    <row r="66" spans="1:20">
      <c r="A66" s="5716" t="str">
        <f>OpenData!$O$53</f>
        <v>Recreation Commission</v>
      </c>
      <c r="B66" s="5718" t="s">
        <v>4</v>
      </c>
      <c r="C66" s="5691">
        <v>84</v>
      </c>
      <c r="D66" s="5662">
        <f>IF(ISERROR('C084'!E35),0,'C084'!E35)</f>
        <v>0</v>
      </c>
      <c r="E66" s="5662">
        <f>IF(ISERROR('C084'!F41),0,'C084'!F41)</f>
        <v>0</v>
      </c>
      <c r="F66" s="5678"/>
      <c r="G66" s="5624"/>
      <c r="H66" s="5624"/>
      <c r="I66" s="5624"/>
      <c r="J66" s="5624"/>
      <c r="K66" s="5624"/>
      <c r="L66" s="5624"/>
      <c r="M66" s="5624"/>
      <c r="N66" s="5624"/>
      <c r="O66" s="5624"/>
      <c r="P66" s="5624"/>
      <c r="Q66" s="5624"/>
      <c r="R66" s="5624"/>
      <c r="S66" s="5624"/>
      <c r="T66" s="5624"/>
    </row>
    <row r="67" spans="1:20">
      <c r="A67" s="5716" t="str">
        <f>OpenData!$Q$55</f>
        <v>Rec Comm Emp Bnfts &amp; Spec Liab</v>
      </c>
      <c r="B67" s="5719" t="s">
        <v>871</v>
      </c>
      <c r="C67" s="5691">
        <v>86</v>
      </c>
      <c r="D67" s="5662">
        <f>IF(ISERROR('C086'!E35),0,'C086'!E35)</f>
        <v>0</v>
      </c>
      <c r="E67" s="5662">
        <f>IF(ISERROR('C086'!F41),0,'C086'!F41)</f>
        <v>0</v>
      </c>
      <c r="F67" s="5678"/>
      <c r="G67" s="5624"/>
      <c r="H67" s="5624"/>
      <c r="I67" s="5624"/>
      <c r="J67" s="5624"/>
      <c r="K67" s="5624"/>
      <c r="L67" s="5624"/>
      <c r="M67" s="5624"/>
      <c r="N67" s="5624"/>
      <c r="O67" s="5624"/>
      <c r="P67" s="5624"/>
      <c r="Q67" s="5624"/>
      <c r="R67" s="5624"/>
      <c r="S67" s="5624"/>
      <c r="T67" s="5624"/>
    </row>
    <row r="68" spans="1:20">
      <c r="A68" s="5720" t="s">
        <v>4657</v>
      </c>
      <c r="B68" s="5721"/>
      <c r="C68" s="5722">
        <v>105</v>
      </c>
      <c r="D68" s="5723">
        <f>SUM(D63:D67)</f>
        <v>0</v>
      </c>
      <c r="E68" s="5723">
        <f>SUM(E63:E67)</f>
        <v>0</v>
      </c>
      <c r="F68" s="5678"/>
      <c r="G68" s="5624"/>
      <c r="H68" s="5624"/>
      <c r="I68" s="5624"/>
      <c r="J68" s="5624"/>
      <c r="K68" s="5624"/>
      <c r="L68" s="5624"/>
      <c r="M68" s="5624"/>
      <c r="N68" s="5624"/>
      <c r="O68" s="5624"/>
      <c r="P68" s="5624"/>
      <c r="Q68" s="5624"/>
      <c r="R68" s="5624"/>
      <c r="S68" s="5624"/>
      <c r="T68" s="5624"/>
    </row>
    <row r="69" spans="1:20">
      <c r="A69" s="5724"/>
      <c r="B69" s="5724"/>
      <c r="C69" s="5724"/>
      <c r="D69" s="5724"/>
      <c r="E69" s="5724"/>
      <c r="F69" s="5724"/>
      <c r="G69" s="5624"/>
      <c r="H69" s="5624"/>
      <c r="I69" s="5624"/>
      <c r="J69" s="5624"/>
      <c r="K69" s="5624"/>
      <c r="L69" s="5624"/>
      <c r="M69" s="5624"/>
      <c r="N69" s="5624"/>
      <c r="O69" s="5624"/>
      <c r="P69" s="5624"/>
      <c r="Q69" s="5624"/>
      <c r="R69" s="5624"/>
      <c r="S69" s="5624"/>
      <c r="T69" s="5624"/>
    </row>
    <row r="70" spans="1:20">
      <c r="A70" s="5724"/>
      <c r="B70" s="5724"/>
      <c r="C70" s="5724"/>
      <c r="D70" s="5724"/>
      <c r="E70" s="5724"/>
      <c r="F70" s="5724"/>
      <c r="G70" s="5624"/>
      <c r="H70" s="5624"/>
      <c r="I70" s="5624"/>
      <c r="J70" s="5624"/>
      <c r="K70" s="5624"/>
      <c r="L70" s="5624"/>
      <c r="M70" s="5624"/>
      <c r="N70" s="5624"/>
      <c r="O70" s="5624"/>
      <c r="P70" s="5624"/>
      <c r="Q70" s="5624"/>
      <c r="R70" s="5624"/>
      <c r="S70" s="5624"/>
      <c r="T70" s="5624"/>
    </row>
    <row r="71" spans="1:20">
      <c r="A71" s="5624"/>
      <c r="B71" s="5624"/>
      <c r="C71" s="5624"/>
      <c r="D71" s="5624"/>
      <c r="E71" s="5624"/>
      <c r="F71" s="5624"/>
      <c r="G71" s="5624"/>
      <c r="H71" s="5624"/>
      <c r="I71" s="5624"/>
      <c r="J71" s="5624"/>
      <c r="K71" s="5624"/>
      <c r="L71" s="5624"/>
      <c r="M71" s="5624"/>
      <c r="N71" s="5624"/>
      <c r="O71" s="5624"/>
      <c r="P71" s="5624"/>
      <c r="Q71" s="5624"/>
      <c r="R71" s="5624"/>
      <c r="S71" s="5624"/>
      <c r="T71" s="5624"/>
    </row>
    <row r="72" spans="1:20">
      <c r="A72" s="6024" t="s">
        <v>874</v>
      </c>
      <c r="B72" s="6025"/>
      <c r="C72" s="5624"/>
      <c r="D72" s="6019" t="s">
        <v>875</v>
      </c>
      <c r="E72" s="6019"/>
      <c r="F72" s="6019"/>
      <c r="G72" s="5624"/>
      <c r="H72" s="5624"/>
      <c r="I72" s="5624"/>
      <c r="J72" s="5624"/>
      <c r="K72" s="5624"/>
      <c r="L72" s="5624"/>
      <c r="M72" s="5624"/>
      <c r="N72" s="5624"/>
      <c r="O72" s="5624"/>
      <c r="P72" s="5624"/>
      <c r="Q72" s="5624"/>
      <c r="R72" s="5624"/>
      <c r="S72" s="5624"/>
      <c r="T72" s="5624"/>
    </row>
    <row r="73" spans="1:20">
      <c r="A73" s="6015" t="s">
        <v>4659</v>
      </c>
      <c r="B73" s="6016"/>
      <c r="C73" s="5624"/>
      <c r="D73" s="6020"/>
      <c r="E73" s="6020"/>
      <c r="F73" s="6020"/>
      <c r="G73" s="5624"/>
      <c r="H73" s="5624"/>
      <c r="I73" s="5624"/>
      <c r="J73" s="5624"/>
      <c r="K73" s="5624"/>
      <c r="L73" s="5624"/>
      <c r="M73" s="5624"/>
      <c r="N73" s="5624"/>
      <c r="O73" s="5624"/>
      <c r="P73" s="5624"/>
      <c r="Q73" s="5624"/>
      <c r="R73" s="5624"/>
      <c r="S73" s="5624"/>
      <c r="T73" s="5624"/>
    </row>
    <row r="74" spans="1:20">
      <c r="A74" s="6015" t="s">
        <v>4660</v>
      </c>
      <c r="B74" s="6016"/>
      <c r="C74" s="5624"/>
      <c r="D74" s="6021"/>
      <c r="E74" s="6021"/>
      <c r="F74" s="6021"/>
      <c r="G74" s="5624"/>
      <c r="H74" s="5624"/>
      <c r="I74" s="5624"/>
      <c r="J74" s="5624"/>
      <c r="K74" s="5624"/>
      <c r="L74" s="5624"/>
      <c r="M74" s="5624"/>
      <c r="N74" s="5624"/>
      <c r="O74" s="5624"/>
      <c r="P74" s="5624"/>
      <c r="Q74" s="5624"/>
      <c r="R74" s="5624"/>
      <c r="S74" s="5624"/>
      <c r="T74" s="5624"/>
    </row>
    <row r="75" spans="1:20">
      <c r="A75" s="6017" t="s">
        <v>4661</v>
      </c>
      <c r="B75" s="6018"/>
      <c r="C75" s="5624"/>
      <c r="D75" s="6021"/>
      <c r="E75" s="6021"/>
      <c r="F75" s="6021"/>
      <c r="G75" s="5624"/>
      <c r="H75" s="5624"/>
      <c r="I75" s="5624"/>
      <c r="J75" s="5624"/>
      <c r="K75" s="5624"/>
      <c r="L75" s="5624"/>
      <c r="M75" s="5624"/>
      <c r="N75" s="5624"/>
      <c r="O75" s="5624"/>
      <c r="P75" s="5624"/>
      <c r="Q75" s="5624"/>
      <c r="R75" s="5624"/>
      <c r="S75" s="5624"/>
      <c r="T75" s="5624"/>
    </row>
    <row r="76" spans="1:20">
      <c r="A76" s="5725"/>
      <c r="B76" s="5726"/>
      <c r="C76" s="5624"/>
      <c r="D76" s="6005"/>
      <c r="E76" s="6005"/>
      <c r="F76" s="6005"/>
      <c r="G76" s="5624"/>
      <c r="H76" s="5624"/>
      <c r="I76" s="5624"/>
      <c r="J76" s="5624"/>
      <c r="K76" s="5624"/>
      <c r="L76" s="5624"/>
      <c r="M76" s="5624"/>
      <c r="N76" s="5624"/>
      <c r="O76" s="5624"/>
      <c r="P76" s="5624"/>
      <c r="Q76" s="5624"/>
      <c r="R76" s="5624"/>
      <c r="S76" s="5624"/>
      <c r="T76" s="5624"/>
    </row>
    <row r="77" spans="1:20">
      <c r="A77" s="6012" t="str">
        <f>"Attest:  ___________________________________________________, " &amp; OpenData!$Q$5</f>
        <v>Attest:  ___________________________________________________, 2021</v>
      </c>
      <c r="B77" s="6012"/>
      <c r="C77" s="5624"/>
      <c r="D77" s="6006"/>
      <c r="E77" s="6006"/>
      <c r="F77" s="6006"/>
      <c r="G77" s="5624"/>
      <c r="H77" s="5624"/>
      <c r="I77" s="5624"/>
      <c r="J77" s="5624"/>
      <c r="K77" s="5624"/>
      <c r="L77" s="5624"/>
      <c r="M77" s="5624"/>
      <c r="N77" s="5624"/>
      <c r="O77" s="5624"/>
      <c r="P77" s="5624"/>
      <c r="Q77" s="5624"/>
      <c r="R77" s="5624"/>
      <c r="S77" s="5624"/>
      <c r="T77" s="5624"/>
    </row>
    <row r="78" spans="1:20">
      <c r="A78" s="6012"/>
      <c r="B78" s="6012"/>
      <c r="C78" s="5624"/>
      <c r="D78" s="5999" t="s">
        <v>4662</v>
      </c>
      <c r="E78" s="5999"/>
      <c r="F78" s="5999"/>
      <c r="G78" s="5624"/>
      <c r="H78" s="5624"/>
      <c r="I78" s="5624"/>
      <c r="J78" s="5624"/>
      <c r="K78" s="5624"/>
      <c r="L78" s="5624"/>
      <c r="M78" s="5624"/>
      <c r="N78" s="5624"/>
      <c r="O78" s="5624"/>
      <c r="P78" s="5624"/>
      <c r="Q78" s="5624"/>
      <c r="R78" s="5624"/>
      <c r="S78" s="5624"/>
      <c r="T78" s="5624"/>
    </row>
    <row r="79" spans="1:20">
      <c r="A79" s="6007"/>
      <c r="B79" s="6007"/>
      <c r="C79" s="5624"/>
      <c r="D79" s="6007"/>
      <c r="E79" s="6007"/>
      <c r="F79" s="6007"/>
      <c r="G79" s="5624"/>
      <c r="H79" s="5624"/>
      <c r="I79" s="5624"/>
      <c r="J79" s="5624"/>
      <c r="K79" s="5624"/>
      <c r="L79" s="5624"/>
      <c r="M79" s="5624"/>
      <c r="N79" s="5624"/>
      <c r="O79" s="5624"/>
      <c r="P79" s="5624"/>
      <c r="Q79" s="5624"/>
      <c r="R79" s="5624"/>
      <c r="S79" s="5624"/>
      <c r="T79" s="5624"/>
    </row>
    <row r="80" spans="1:20">
      <c r="A80" s="6006"/>
      <c r="B80" s="6006"/>
      <c r="C80" s="5624"/>
      <c r="D80" s="6006"/>
      <c r="E80" s="6006"/>
      <c r="F80" s="6006"/>
      <c r="G80" s="5624"/>
      <c r="H80" s="5624"/>
      <c r="I80" s="5624"/>
      <c r="J80" s="5624"/>
      <c r="K80" s="5624"/>
      <c r="L80" s="5624"/>
      <c r="M80" s="5624"/>
      <c r="N80" s="5624"/>
      <c r="O80" s="5624"/>
      <c r="P80" s="5624"/>
      <c r="Q80" s="5624"/>
      <c r="R80" s="5624"/>
      <c r="S80" s="5624"/>
      <c r="T80" s="5624"/>
    </row>
    <row r="81" spans="1:20">
      <c r="A81" s="6000" t="s">
        <v>876</v>
      </c>
      <c r="B81" s="6000"/>
      <c r="C81" s="5624"/>
      <c r="D81" s="5999" t="s">
        <v>877</v>
      </c>
      <c r="E81" s="5999"/>
      <c r="F81" s="5999"/>
      <c r="G81" s="5624"/>
      <c r="H81" s="5624"/>
      <c r="I81" s="5624"/>
      <c r="J81" s="5624"/>
      <c r="K81" s="5624"/>
      <c r="L81" s="5624"/>
      <c r="M81" s="5624"/>
      <c r="N81" s="5624"/>
      <c r="O81" s="5624"/>
      <c r="P81" s="5624"/>
      <c r="Q81" s="5624"/>
      <c r="R81" s="5624"/>
      <c r="S81" s="5624"/>
      <c r="T81" s="5624"/>
    </row>
    <row r="82" spans="1:20">
      <c r="A82" s="5624"/>
      <c r="B82" s="5624"/>
      <c r="C82" s="5624"/>
      <c r="D82" s="5624"/>
      <c r="E82" s="5624"/>
      <c r="F82" s="5624"/>
      <c r="G82" s="5624"/>
      <c r="H82" s="5624"/>
      <c r="I82" s="5624"/>
      <c r="J82" s="5624"/>
      <c r="K82" s="5624"/>
      <c r="L82" s="5624"/>
      <c r="M82" s="5624"/>
      <c r="N82" s="5624"/>
      <c r="O82" s="5624"/>
      <c r="P82" s="5624"/>
      <c r="Q82" s="5624"/>
      <c r="R82" s="5624"/>
      <c r="S82" s="5624"/>
      <c r="T82" s="5624"/>
    </row>
    <row r="83" spans="1:20">
      <c r="A83" s="6013" t="s">
        <v>878</v>
      </c>
      <c r="B83" s="6013"/>
      <c r="C83" s="6013"/>
      <c r="D83" s="6013"/>
      <c r="E83" s="6013"/>
      <c r="F83" s="6013"/>
      <c r="G83" s="5624"/>
      <c r="H83" s="5624"/>
      <c r="I83" s="5624"/>
      <c r="J83" s="5624"/>
      <c r="K83" s="5624"/>
      <c r="L83" s="5624"/>
      <c r="M83" s="5624"/>
      <c r="N83" s="5624"/>
      <c r="O83" s="5624"/>
      <c r="P83" s="5624"/>
      <c r="Q83" s="5624"/>
      <c r="R83" s="5624"/>
      <c r="S83" s="5624"/>
      <c r="T83" s="5624"/>
    </row>
    <row r="84" spans="1:20">
      <c r="A84" s="6010" t="s">
        <v>4875</v>
      </c>
      <c r="B84" s="6010"/>
      <c r="C84" s="6010"/>
      <c r="D84" s="6010"/>
      <c r="E84" s="6010"/>
      <c r="F84" s="6010"/>
      <c r="G84" s="5624"/>
      <c r="H84" s="5624"/>
      <c r="I84" s="5624"/>
      <c r="J84" s="5624"/>
      <c r="K84" s="5624"/>
      <c r="L84" s="5624"/>
      <c r="M84" s="5624"/>
      <c r="N84" s="5624"/>
      <c r="O84" s="5624"/>
      <c r="P84" s="5624"/>
      <c r="Q84" s="5624"/>
      <c r="R84" s="5624"/>
      <c r="S84" s="5624"/>
      <c r="T84" s="5624"/>
    </row>
    <row r="85" spans="1:20">
      <c r="A85" s="5727"/>
      <c r="B85" s="6003" t="s">
        <v>4658</v>
      </c>
      <c r="C85" s="6014"/>
      <c r="D85" s="6004"/>
      <c r="E85" s="6003" t="s">
        <v>880</v>
      </c>
      <c r="F85" s="6004"/>
      <c r="G85" s="5624"/>
      <c r="H85" s="5624"/>
      <c r="I85" s="5624"/>
      <c r="J85" s="5624"/>
      <c r="K85" s="5624"/>
      <c r="L85" s="5624"/>
      <c r="M85" s="5624"/>
      <c r="N85" s="5624"/>
      <c r="O85" s="5624"/>
      <c r="P85" s="5624"/>
      <c r="Q85" s="5624"/>
      <c r="R85" s="5624"/>
      <c r="S85" s="5624"/>
      <c r="T85" s="5624"/>
    </row>
    <row r="86" spans="1:20" ht="15.6">
      <c r="A86" s="5728" t="s">
        <v>879</v>
      </c>
      <c r="B86" s="5729" t="s">
        <v>5296</v>
      </c>
      <c r="C86" s="5730" t="s">
        <v>5297</v>
      </c>
      <c r="D86" s="5731"/>
      <c r="E86" s="5732" t="s">
        <v>881</v>
      </c>
      <c r="F86" s="5732" t="s">
        <v>882</v>
      </c>
      <c r="G86" s="5624"/>
      <c r="H86" s="5624"/>
      <c r="I86" s="5624"/>
      <c r="J86" s="5624"/>
      <c r="K86" s="5624"/>
      <c r="L86" s="5624"/>
      <c r="M86" s="5624"/>
      <c r="N86" s="5624"/>
      <c r="O86" s="5624"/>
      <c r="P86" s="5624"/>
      <c r="Q86" s="5624"/>
      <c r="R86" s="5624"/>
      <c r="S86" s="5624"/>
      <c r="T86" s="5624"/>
    </row>
    <row r="87" spans="1:20">
      <c r="A87" s="5733"/>
      <c r="B87" s="5734"/>
      <c r="C87" s="5735" t="s">
        <v>883</v>
      </c>
      <c r="D87" s="5736"/>
      <c r="E87" s="5737"/>
      <c r="F87" s="5737"/>
      <c r="G87" s="5624"/>
      <c r="H87" s="5624"/>
      <c r="I87" s="5624"/>
      <c r="J87" s="5624"/>
      <c r="K87" s="5624"/>
      <c r="L87" s="5624"/>
      <c r="M87" s="5624"/>
      <c r="N87" s="5624"/>
      <c r="O87" s="5624"/>
      <c r="P87" s="5624"/>
      <c r="Q87" s="5624"/>
      <c r="R87" s="5624"/>
      <c r="S87" s="5624"/>
      <c r="T87" s="5624"/>
    </row>
    <row r="88" spans="1:20">
      <c r="A88" s="5733"/>
      <c r="B88" s="5734"/>
      <c r="C88" s="5735" t="s">
        <v>883</v>
      </c>
      <c r="D88" s="5736"/>
      <c r="E88" s="5737"/>
      <c r="F88" s="5737"/>
      <c r="G88" s="5624"/>
      <c r="H88" s="5624"/>
      <c r="I88" s="5624"/>
      <c r="J88" s="5624"/>
      <c r="K88" s="5624"/>
      <c r="L88" s="5624"/>
      <c r="M88" s="5624"/>
      <c r="N88" s="5624"/>
      <c r="O88" s="5624"/>
      <c r="P88" s="5624"/>
      <c r="Q88" s="5624"/>
      <c r="R88" s="5624"/>
      <c r="S88" s="5624"/>
      <c r="T88" s="5624"/>
    </row>
    <row r="89" spans="1:20">
      <c r="A89" s="5733"/>
      <c r="B89" s="5734"/>
      <c r="C89" s="5735" t="s">
        <v>883</v>
      </c>
      <c r="D89" s="5736"/>
      <c r="E89" s="5737"/>
      <c r="F89" s="5737"/>
      <c r="G89" s="5624"/>
      <c r="H89" s="5624"/>
      <c r="I89" s="5624"/>
      <c r="J89" s="5624"/>
      <c r="K89" s="5624"/>
      <c r="L89" s="5624"/>
      <c r="M89" s="5624"/>
      <c r="N89" s="5624"/>
      <c r="O89" s="5624"/>
      <c r="P89" s="5624"/>
      <c r="Q89" s="5624"/>
      <c r="R89" s="5624"/>
      <c r="S89" s="5624"/>
      <c r="T89" s="5624"/>
    </row>
    <row r="90" spans="1:20">
      <c r="A90" s="5733"/>
      <c r="B90" s="5734"/>
      <c r="C90" s="5735" t="s">
        <v>883</v>
      </c>
      <c r="D90" s="5736"/>
      <c r="E90" s="5737"/>
      <c r="F90" s="5737"/>
      <c r="G90" s="5624"/>
      <c r="H90" s="5624"/>
      <c r="I90" s="5624"/>
      <c r="J90" s="5624"/>
      <c r="K90" s="5624"/>
      <c r="L90" s="5624"/>
      <c r="M90" s="5624"/>
      <c r="N90" s="5624"/>
      <c r="O90" s="5624"/>
      <c r="P90" s="5624"/>
      <c r="Q90" s="5624"/>
      <c r="R90" s="5624"/>
      <c r="S90" s="5624"/>
      <c r="T90" s="5624"/>
    </row>
    <row r="91" spans="1:20">
      <c r="A91" s="5733"/>
      <c r="B91" s="5734"/>
      <c r="C91" s="5735" t="s">
        <v>883</v>
      </c>
      <c r="D91" s="5736"/>
      <c r="E91" s="5737"/>
      <c r="F91" s="5737"/>
      <c r="G91" s="5624"/>
      <c r="H91" s="5624"/>
      <c r="I91" s="5624"/>
      <c r="J91" s="5624"/>
      <c r="K91" s="5624"/>
      <c r="L91" s="5624"/>
      <c r="M91" s="5624"/>
      <c r="N91" s="5624"/>
      <c r="O91" s="5624"/>
      <c r="P91" s="5624"/>
      <c r="Q91" s="5624"/>
      <c r="R91" s="5624"/>
      <c r="S91" s="5624"/>
      <c r="T91" s="5624"/>
    </row>
    <row r="92" spans="1:20">
      <c r="A92" s="5738" t="s">
        <v>884</v>
      </c>
      <c r="B92" s="5739">
        <f>SUM(B87:B91)</f>
        <v>0</v>
      </c>
      <c r="C92" s="5740"/>
      <c r="D92" s="5741">
        <f>SUM(D87:D91)</f>
        <v>0</v>
      </c>
      <c r="E92" s="5741">
        <f>SUM(E87:E91)</f>
        <v>0</v>
      </c>
      <c r="F92" s="5741">
        <f>SUM(F87:F91)</f>
        <v>0</v>
      </c>
      <c r="G92" s="5624"/>
      <c r="H92" s="5624"/>
      <c r="I92" s="5624"/>
      <c r="J92" s="5624"/>
      <c r="K92" s="5624"/>
      <c r="L92" s="5624"/>
      <c r="M92" s="5624"/>
      <c r="N92" s="5624"/>
      <c r="O92" s="5624"/>
      <c r="P92" s="5624"/>
      <c r="Q92" s="5624"/>
      <c r="R92" s="5624"/>
      <c r="S92" s="5624"/>
      <c r="T92" s="5624"/>
    </row>
    <row r="93" spans="1:20">
      <c r="A93" s="6009" t="s">
        <v>4825</v>
      </c>
      <c r="B93" s="6009"/>
      <c r="C93" s="6009"/>
      <c r="D93" s="6009"/>
      <c r="E93" s="6009"/>
      <c r="F93" s="6009"/>
      <c r="G93" s="5624"/>
      <c r="H93" s="5624"/>
      <c r="I93" s="5624"/>
      <c r="J93" s="5624"/>
      <c r="K93" s="5624"/>
      <c r="L93" s="5624"/>
      <c r="M93" s="5624"/>
      <c r="N93" s="5624"/>
      <c r="O93" s="5624"/>
      <c r="P93" s="5624"/>
      <c r="Q93" s="5624"/>
      <c r="R93" s="5624"/>
      <c r="S93" s="5624"/>
      <c r="T93" s="5624"/>
    </row>
    <row r="94" spans="1:20">
      <c r="A94" s="6008" t="s">
        <v>4824</v>
      </c>
      <c r="B94" s="6008"/>
      <c r="C94" s="6008"/>
      <c r="D94" s="6008"/>
      <c r="E94" s="6008"/>
      <c r="F94" s="6008"/>
      <c r="G94" s="5624"/>
      <c r="H94" s="5624"/>
      <c r="I94" s="5624"/>
      <c r="J94" s="5624"/>
      <c r="K94" s="5624"/>
      <c r="L94" s="5624"/>
      <c r="M94" s="5624"/>
      <c r="N94" s="5624"/>
      <c r="O94" s="5624"/>
      <c r="P94" s="5624"/>
      <c r="Q94" s="5624"/>
      <c r="R94" s="5624"/>
      <c r="S94" s="5624"/>
      <c r="T94" s="5624"/>
    </row>
    <row r="95" spans="1:20">
      <c r="A95" s="5701"/>
      <c r="B95" s="5742"/>
      <c r="C95" s="5742"/>
      <c r="D95" s="5742"/>
      <c r="E95" s="5742"/>
      <c r="F95" s="5742"/>
      <c r="G95" s="5624"/>
      <c r="H95" s="5624"/>
      <c r="I95" s="5624"/>
      <c r="J95" s="5624"/>
      <c r="K95" s="5624"/>
      <c r="L95" s="5624"/>
      <c r="M95" s="5624"/>
      <c r="N95" s="5624"/>
      <c r="O95" s="5624"/>
      <c r="P95" s="5624"/>
      <c r="Q95" s="5624"/>
      <c r="R95" s="5624"/>
      <c r="S95" s="5624"/>
      <c r="T95" s="5624"/>
    </row>
    <row r="96" spans="1:20">
      <c r="A96" s="6011" t="s">
        <v>885</v>
      </c>
      <c r="B96" s="6011"/>
      <c r="C96" s="6011"/>
      <c r="D96" s="6011"/>
      <c r="E96" s="6011"/>
      <c r="F96" s="6011"/>
      <c r="G96" s="5624"/>
      <c r="H96" s="5743"/>
      <c r="I96" s="5624"/>
      <c r="J96" s="5624"/>
      <c r="K96" s="5624"/>
      <c r="L96" s="5624"/>
      <c r="M96" s="5624"/>
      <c r="N96" s="5624"/>
      <c r="O96" s="5624"/>
      <c r="P96" s="5624"/>
      <c r="Q96" s="5624"/>
      <c r="R96" s="5624"/>
      <c r="S96" s="5624"/>
      <c r="T96" s="5624"/>
    </row>
    <row r="97" spans="1:20" ht="39.6">
      <c r="A97" s="5629" t="str">
        <f>OpenData!$O$5 &amp; " Delinquent Tax Percentage"</f>
        <v>2019 Delinquent Tax Percentage</v>
      </c>
      <c r="B97" s="5744">
        <f>'F110'!$E$96</f>
        <v>0.69</v>
      </c>
      <c r="C97" s="5745" t="s">
        <v>886</v>
      </c>
      <c r="D97" s="5746" t="str">
        <f>"Rate Used in this Budget for " &amp;OpenData!N2</f>
        <v>Rate Used in this Budget for 2021-2022</v>
      </c>
      <c r="E97" s="5747">
        <f>OPEN!$A$125</f>
        <v>3</v>
      </c>
      <c r="F97" s="5748" t="s">
        <v>886</v>
      </c>
      <c r="G97" s="5638"/>
      <c r="H97" s="5624"/>
      <c r="I97" s="5624"/>
      <c r="J97" s="5624"/>
      <c r="K97" s="5624"/>
      <c r="L97" s="5624"/>
      <c r="M97" s="5624"/>
      <c r="N97" s="5624"/>
      <c r="O97" s="5624"/>
      <c r="P97" s="5624"/>
      <c r="Q97" s="5624"/>
      <c r="R97" s="5624"/>
      <c r="S97" s="5624"/>
      <c r="T97" s="5624"/>
    </row>
    <row r="98" spans="1:20">
      <c r="B98" s="5701"/>
      <c r="D98" s="6002" t="str">
        <f>IF($E$97&gt;$B$97+5,"Verify rate is correct."," ")</f>
        <v xml:space="preserve"> </v>
      </c>
      <c r="E98" s="6002"/>
      <c r="F98" s="5749"/>
      <c r="H98" s="5624"/>
      <c r="I98" s="5624"/>
      <c r="J98" s="5624"/>
      <c r="K98" s="5624"/>
      <c r="L98" s="5624"/>
      <c r="M98" s="5624"/>
      <c r="N98" s="5624"/>
      <c r="O98" s="5624"/>
      <c r="P98" s="5624"/>
      <c r="Q98" s="5624"/>
      <c r="R98" s="5624"/>
      <c r="S98" s="5624"/>
      <c r="T98" s="5624"/>
    </row>
    <row r="99" spans="1:20">
      <c r="F99" s="5749"/>
    </row>
    <row r="100" spans="1:20">
      <c r="A100" s="5750"/>
      <c r="B100" s="5750"/>
      <c r="C100" s="5750"/>
      <c r="D100" s="5750"/>
      <c r="E100" s="5750"/>
      <c r="F100" s="5750"/>
    </row>
  </sheetData>
  <sheetProtection algorithmName="SHA-512" hashValue="dYUHb9+zw9LZ+WNQOmBq7mJl4w1txd9zJPm+DQGlYcFCdMx99jpcJRHDl1mMUSxHHzKPe9QWrQu3F//gy3IFOg==" saltValue="xkiE18zmaPZ6b1ce1U4nrw==" spinCount="100000" sheet="1" objects="1" scenarios="1"/>
  <mergeCells count="40">
    <mergeCell ref="D55:E55"/>
    <mergeCell ref="E57:E58"/>
    <mergeCell ref="A72:B72"/>
    <mergeCell ref="A73:B73"/>
    <mergeCell ref="A59:F59"/>
    <mergeCell ref="A62:F62"/>
    <mergeCell ref="C56:C58"/>
    <mergeCell ref="A74:B74"/>
    <mergeCell ref="A75:B75"/>
    <mergeCell ref="D72:F72"/>
    <mergeCell ref="D73:F73"/>
    <mergeCell ref="D74:F74"/>
    <mergeCell ref="D75:F75"/>
    <mergeCell ref="D98:E98"/>
    <mergeCell ref="E85:F85"/>
    <mergeCell ref="D78:F78"/>
    <mergeCell ref="D76:F77"/>
    <mergeCell ref="D81:F81"/>
    <mergeCell ref="D79:F80"/>
    <mergeCell ref="A94:F94"/>
    <mergeCell ref="A93:F93"/>
    <mergeCell ref="A84:F84"/>
    <mergeCell ref="A96:F96"/>
    <mergeCell ref="A79:B80"/>
    <mergeCell ref="A81:B81"/>
    <mergeCell ref="A77:B78"/>
    <mergeCell ref="A83:F83"/>
    <mergeCell ref="B85:D85"/>
    <mergeCell ref="A3:F3"/>
    <mergeCell ref="A4:F4"/>
    <mergeCell ref="A5:F5"/>
    <mergeCell ref="A6:F6"/>
    <mergeCell ref="A7:F7"/>
    <mergeCell ref="A52:F52"/>
    <mergeCell ref="A48:F48"/>
    <mergeCell ref="D8:E8"/>
    <mergeCell ref="E10:E11"/>
    <mergeCell ref="A41:F41"/>
    <mergeCell ref="A47:F47"/>
    <mergeCell ref="C9:C11"/>
  </mergeCells>
  <phoneticPr fontId="13" type="noConversion"/>
  <conditionalFormatting sqref="D12:D13">
    <cfRule type="containsText" dxfId="31" priority="3" operator="containsText" text="Check Expend.">
      <formula>NOT(ISERROR(SEARCH("Check Expend.",D12)))</formula>
    </cfRule>
  </conditionalFormatting>
  <conditionalFormatting sqref="D32 D13:D14">
    <cfRule type="containsText" dxfId="30" priority="2" operator="containsText" text="Expend. &lt;&gt; LOB">
      <formula>NOT(ISERROR(SEARCH("Expend. &lt;&gt; LOB",D13)))</formula>
    </cfRule>
  </conditionalFormatting>
  <conditionalFormatting sqref="D37">
    <cfRule type="cellIs" dxfId="29" priority="1" operator="equal">
      <formula>"Exp. &lt;&gt; Resources"</formula>
    </cfRule>
  </conditionalFormatting>
  <hyperlinks>
    <hyperlink ref="G1" location="Contents!F1" display="Return to Contents page"/>
  </hyperlinks>
  <printOptions horizontalCentered="1"/>
  <pageMargins left="0.75" right="0.75" top="0.5" bottom="0.5" header="0.3" footer="0.3"/>
  <pageSetup scale="80" fitToHeight="0" orientation="portrait" blackAndWhite="1" r:id="rId1"/>
  <headerFooter scaleWithDoc="0">
    <oddFooter>&amp;L&amp;"Open Sans Light,Regular"&amp;9&amp;D   &amp;T&amp;C&amp;"Open Sans Light,Regular"&amp;9Page &amp;P&amp;R&amp;"Open Sans Light,Regular"&amp;9Code 01</oddFooter>
  </headerFooter>
  <rowBreaks count="1" manualBreakCount="1">
    <brk id="52" max="5"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tint="0.39997558519241921"/>
  </sheetPr>
  <dimension ref="A1:K53"/>
  <sheetViews>
    <sheetView showGridLines="0" workbookViewId="0">
      <selection activeCell="B22" sqref="B22"/>
    </sheetView>
  </sheetViews>
  <sheetFormatPr defaultColWidth="10.6640625" defaultRowHeight="13.8"/>
  <cols>
    <col min="1" max="1" width="18.33203125" style="5752" bestFit="1" customWidth="1"/>
    <col min="2" max="2" width="17.44140625" style="5780" customWidth="1"/>
    <col min="3" max="3" width="10.6640625" style="5781" bestFit="1" customWidth="1"/>
    <col min="4" max="4" width="10.6640625" style="5752" bestFit="1" customWidth="1"/>
    <col min="5" max="5" width="7.6640625" style="5752" bestFit="1" customWidth="1"/>
    <col min="6" max="6" width="5.33203125" style="5752" bestFit="1" customWidth="1"/>
    <col min="7" max="7" width="10.44140625" style="5752" bestFit="1" customWidth="1"/>
    <col min="8" max="8" width="22.109375" style="5752" bestFit="1" customWidth="1"/>
    <col min="9" max="9" width="20.88671875" style="5752" customWidth="1"/>
    <col min="10" max="10" width="3" style="5752" customWidth="1"/>
    <col min="11" max="11" width="16.44140625" style="5752" customWidth="1"/>
    <col min="12" max="16384" width="10.6640625" style="5752"/>
  </cols>
  <sheetData>
    <row r="1" spans="1:11">
      <c r="A1" s="5623" t="s">
        <v>1511</v>
      </c>
      <c r="B1" s="5628"/>
      <c r="C1" s="5628"/>
      <c r="D1" s="5628"/>
      <c r="E1" s="6033"/>
      <c r="F1" s="6033"/>
      <c r="G1" s="5751" t="str">
        <f>"USD #"&amp;OPEN!$B$4</f>
        <v>USD #237</v>
      </c>
      <c r="H1" s="5626" t="s">
        <v>754</v>
      </c>
      <c r="I1" s="3578"/>
      <c r="J1" s="5009"/>
    </row>
    <row r="2" spans="1:11">
      <c r="A2" s="5628" t="s">
        <v>837</v>
      </c>
      <c r="B2" s="5628"/>
      <c r="C2" s="5628"/>
      <c r="D2" s="5628"/>
      <c r="E2" s="5628"/>
      <c r="F2" s="5628"/>
      <c r="G2" s="5629" t="str">
        <f>OpenData!$N$2</f>
        <v>2021-2022</v>
      </c>
      <c r="H2" s="5626"/>
      <c r="I2" s="3578"/>
    </row>
    <row r="3" spans="1:11">
      <c r="A3" s="6029"/>
      <c r="B3" s="6029"/>
      <c r="C3" s="6029"/>
      <c r="D3" s="6029"/>
      <c r="E3" s="6029"/>
      <c r="F3" s="6029"/>
      <c r="G3" s="6029"/>
      <c r="H3" s="5753"/>
      <c r="I3" s="5753"/>
    </row>
    <row r="4" spans="1:11">
      <c r="A4" s="6032" t="s">
        <v>4663</v>
      </c>
      <c r="B4" s="6032"/>
      <c r="C4" s="6032"/>
      <c r="D4" s="6032"/>
      <c r="E4" s="6032"/>
      <c r="F4" s="6032"/>
      <c r="G4" s="6032"/>
      <c r="H4" s="5754"/>
      <c r="I4" s="5753"/>
    </row>
    <row r="5" spans="1:11">
      <c r="B5" s="5755"/>
      <c r="C5" s="5755"/>
      <c r="D5" s="5755"/>
      <c r="E5" s="5755"/>
      <c r="F5" s="5755"/>
      <c r="G5" s="5755"/>
      <c r="H5" s="5753"/>
      <c r="I5" s="5753"/>
    </row>
    <row r="6" spans="1:11">
      <c r="A6" s="5755" t="s">
        <v>4670</v>
      </c>
      <c r="B6" s="5755"/>
      <c r="C6" s="5755"/>
      <c r="D6" s="5755"/>
      <c r="E6" s="5755"/>
      <c r="F6" s="5755"/>
      <c r="G6" s="5755"/>
      <c r="H6" s="5753"/>
      <c r="I6" s="5753"/>
    </row>
    <row r="7" spans="1:11">
      <c r="A7" s="5756" t="s">
        <v>887</v>
      </c>
      <c r="B7" s="5757">
        <f>IF(OPEN!$A$110=0," ",OPEN!$A$110)</f>
        <v>43381</v>
      </c>
      <c r="C7" s="5758" t="s">
        <v>866</v>
      </c>
      <c r="D7" s="5759">
        <f>OPEN!$A$111</f>
        <v>8</v>
      </c>
      <c r="E7" s="5760" t="s">
        <v>888</v>
      </c>
      <c r="F7" s="5761">
        <f>OPEN!$A$112</f>
        <v>9999</v>
      </c>
      <c r="G7" s="5762" t="s">
        <v>1334</v>
      </c>
      <c r="H7" s="5753"/>
      <c r="I7" s="5753"/>
    </row>
    <row r="8" spans="1:11" ht="12" customHeight="1">
      <c r="A8" s="5763" t="s">
        <v>5298</v>
      </c>
      <c r="B8" s="5763"/>
      <c r="C8" s="5763"/>
      <c r="D8" s="5763"/>
      <c r="E8" s="5763"/>
      <c r="F8" s="5763"/>
      <c r="G8" s="5763"/>
      <c r="H8" s="5753"/>
      <c r="I8" s="5753"/>
    </row>
    <row r="9" spans="1:11" ht="16.5" customHeight="1">
      <c r="A9" s="6031" t="s">
        <v>4664</v>
      </c>
      <c r="B9" s="6031"/>
      <c r="C9" s="6031"/>
      <c r="D9" s="6031"/>
      <c r="E9" s="6031"/>
      <c r="F9" s="6031"/>
      <c r="G9" s="6031"/>
      <c r="H9" s="5753"/>
      <c r="I9" s="5753"/>
    </row>
    <row r="10" spans="1:11">
      <c r="A10" s="6031"/>
      <c r="B10" s="6031"/>
      <c r="C10" s="6031"/>
      <c r="D10" s="6031"/>
      <c r="E10" s="6031"/>
      <c r="F10" s="6031"/>
      <c r="G10" s="6031"/>
      <c r="H10" s="5753"/>
      <c r="I10" s="5753"/>
    </row>
    <row r="11" spans="1:11">
      <c r="A11" s="5756" t="s">
        <v>887</v>
      </c>
      <c r="B11" s="5757" t="str">
        <f>IF(OPEN!$A$115=0," ",OPEN!$A$115)</f>
        <v xml:space="preserve"> </v>
      </c>
      <c r="C11" s="5758" t="s">
        <v>866</v>
      </c>
      <c r="D11" s="5759">
        <f>OPEN!$A$116</f>
        <v>0</v>
      </c>
      <c r="E11" s="5764" t="s">
        <v>888</v>
      </c>
      <c r="F11" s="5761">
        <f>OPEN!$A$117</f>
        <v>0</v>
      </c>
      <c r="G11" s="5762" t="s">
        <v>1334</v>
      </c>
      <c r="H11" s="5753"/>
      <c r="I11" s="5753"/>
    </row>
    <row r="12" spans="1:11" ht="12" customHeight="1">
      <c r="A12" s="5765" t="s">
        <v>4665</v>
      </c>
      <c r="B12" s="5765"/>
      <c r="C12" s="5765"/>
      <c r="D12" s="5765"/>
      <c r="E12" s="5765"/>
      <c r="F12" s="5765"/>
      <c r="G12" s="5765"/>
      <c r="H12" s="5753"/>
      <c r="I12" s="5753"/>
    </row>
    <row r="13" spans="1:11" ht="16.5" customHeight="1">
      <c r="B13" s="5755"/>
      <c r="C13" s="5755"/>
      <c r="D13" s="5755"/>
      <c r="E13" s="5755"/>
      <c r="F13" s="5755"/>
      <c r="G13" s="5755"/>
      <c r="H13" s="5753"/>
      <c r="I13" s="5753"/>
    </row>
    <row r="14" spans="1:11" s="5766" customFormat="1">
      <c r="A14" s="5755" t="s">
        <v>4666</v>
      </c>
      <c r="B14" s="5755"/>
      <c r="C14" s="5755"/>
      <c r="D14" s="5755"/>
      <c r="E14" s="5755"/>
      <c r="F14" s="5755"/>
      <c r="G14" s="5755"/>
      <c r="I14" s="5762"/>
    </row>
    <row r="15" spans="1:11" s="5766" customFormat="1">
      <c r="A15" s="6030" t="s">
        <v>4667</v>
      </c>
      <c r="B15" s="6030"/>
      <c r="C15" s="5767"/>
      <c r="D15" s="5760" t="s">
        <v>866</v>
      </c>
      <c r="E15" s="5768"/>
      <c r="F15" s="5762" t="s">
        <v>890</v>
      </c>
      <c r="H15" s="5762"/>
      <c r="I15" s="5762"/>
      <c r="K15" s="5769"/>
    </row>
    <row r="16" spans="1:11" ht="16.5" customHeight="1">
      <c r="A16" s="5755"/>
      <c r="B16" s="5755"/>
      <c r="C16" s="5755"/>
      <c r="D16" s="5755"/>
      <c r="E16" s="5755"/>
      <c r="F16" s="5755"/>
      <c r="G16" s="5755"/>
      <c r="H16" s="5753"/>
      <c r="I16" s="5753"/>
      <c r="K16" s="5770"/>
    </row>
    <row r="17" spans="1:11">
      <c r="A17" s="5755" t="s">
        <v>4668</v>
      </c>
      <c r="B17" s="5755"/>
      <c r="C17" s="5755"/>
      <c r="D17" s="5755"/>
      <c r="E17" s="5755"/>
      <c r="F17" s="5755"/>
      <c r="G17" s="5755"/>
      <c r="H17" s="5753"/>
      <c r="I17" s="5753"/>
      <c r="K17" s="5771"/>
    </row>
    <row r="18" spans="1:11">
      <c r="A18" s="5756" t="s">
        <v>887</v>
      </c>
      <c r="B18" s="5767"/>
      <c r="C18" s="5772" t="s">
        <v>866</v>
      </c>
      <c r="D18" s="5768"/>
      <c r="E18" s="5753" t="s">
        <v>889</v>
      </c>
      <c r="F18" s="5753"/>
      <c r="G18" s="5753"/>
      <c r="H18" s="5753"/>
      <c r="I18" s="5753"/>
    </row>
    <row r="19" spans="1:11" ht="16.5" customHeight="1">
      <c r="B19" s="5755"/>
      <c r="C19" s="5755"/>
      <c r="D19" s="5755"/>
      <c r="E19" s="5755"/>
      <c r="F19" s="5755"/>
      <c r="G19" s="5755"/>
      <c r="H19" s="5753"/>
      <c r="I19" s="5753"/>
    </row>
    <row r="20" spans="1:11">
      <c r="A20" s="5755" t="s">
        <v>4669</v>
      </c>
      <c r="B20" s="5755"/>
      <c r="C20" s="5755"/>
      <c r="D20" s="5755"/>
      <c r="E20" s="5755"/>
      <c r="F20" s="5755"/>
      <c r="G20" s="5755"/>
      <c r="H20" s="5773"/>
      <c r="I20" s="5753"/>
    </row>
    <row r="21" spans="1:11">
      <c r="A21" s="5756" t="s">
        <v>887</v>
      </c>
      <c r="B21" s="5767"/>
      <c r="C21" s="5774" t="s">
        <v>866</v>
      </c>
      <c r="D21" s="5768"/>
      <c r="E21" s="5753" t="s">
        <v>890</v>
      </c>
      <c r="F21" s="5775"/>
      <c r="G21" s="5753"/>
      <c r="H21" s="5773"/>
      <c r="I21" s="5753"/>
    </row>
    <row r="22" spans="1:11">
      <c r="A22" s="5765"/>
      <c r="B22" s="5776"/>
      <c r="C22" s="5776"/>
      <c r="D22" s="5776"/>
      <c r="E22" s="5776"/>
      <c r="F22" s="5776"/>
      <c r="G22" s="5776"/>
      <c r="H22" s="5773"/>
      <c r="I22" s="5753"/>
    </row>
    <row r="23" spans="1:11" s="5766" customFormat="1" ht="12" customHeight="1">
      <c r="A23" s="5763" t="s">
        <v>5299</v>
      </c>
      <c r="B23" s="5763"/>
      <c r="C23" s="5763"/>
      <c r="D23" s="5763"/>
      <c r="E23" s="5763"/>
      <c r="F23" s="5763"/>
      <c r="G23" s="5763"/>
      <c r="H23" s="5762"/>
      <c r="I23" s="5762"/>
    </row>
    <row r="24" spans="1:11" s="5753" customFormat="1" ht="13.2"/>
    <row r="25" spans="1:11" s="5753" customFormat="1" ht="13.2"/>
    <row r="26" spans="1:11" s="5753" customFormat="1" ht="13.2"/>
    <row r="27" spans="1:11" s="5753" customFormat="1" ht="13.2"/>
    <row r="28" spans="1:11" s="5753" customFormat="1" ht="13.2"/>
    <row r="29" spans="1:11" s="5753" customFormat="1" ht="13.2"/>
    <row r="30" spans="1:11" s="5753" customFormat="1" ht="13.2"/>
    <row r="31" spans="1:11" s="5753" customFormat="1" ht="13.2"/>
    <row r="32" spans="1:11" s="5753" customFormat="1" ht="13.2"/>
    <row r="33" s="5753" customFormat="1" ht="13.2"/>
    <row r="34" s="5753" customFormat="1" ht="13.2"/>
    <row r="35" s="5753" customFormat="1" ht="13.2"/>
    <row r="36" s="5753" customFormat="1" ht="13.2"/>
    <row r="37" s="5753" customFormat="1" ht="13.2"/>
    <row r="38" s="5753" customFormat="1" ht="13.2"/>
    <row r="39" s="5753" customFormat="1" ht="13.2"/>
    <row r="40" s="5753" customFormat="1" ht="13.2"/>
    <row r="41" s="5753" customFormat="1" ht="13.2"/>
    <row r="42" s="5753" customFormat="1" ht="13.2"/>
    <row r="43" s="5753" customFormat="1" ht="13.2"/>
    <row r="44" s="5753" customFormat="1" ht="13.2"/>
    <row r="45" s="5753" customFormat="1" ht="13.2"/>
    <row r="46" s="5753" customFormat="1" ht="13.2"/>
    <row r="47" s="5753" customFormat="1" ht="13.2"/>
    <row r="48" s="5753" customFormat="1" ht="13.2"/>
    <row r="49" spans="1:9" s="5753" customFormat="1" ht="13.2"/>
    <row r="50" spans="1:9" s="5753" customFormat="1" ht="13.2"/>
    <row r="51" spans="1:9" s="5753" customFormat="1" ht="13.2"/>
    <row r="52" spans="1:9" s="5753" customFormat="1" ht="13.2"/>
    <row r="53" spans="1:9">
      <c r="A53" s="5777"/>
      <c r="B53" s="5778"/>
      <c r="C53" s="5779"/>
      <c r="D53" s="5777"/>
      <c r="E53" s="5777"/>
      <c r="F53" s="5777"/>
      <c r="G53" s="5777"/>
      <c r="H53" s="5755"/>
      <c r="I53" s="5753"/>
    </row>
  </sheetData>
  <sheetProtection algorithmName="SHA-512" hashValue="4Ct3ZdUu0xWxe10UYpbEd2zEa1iivrP8OG7Jv7Ic4QizxGqV8BlcaHmJivrBEIP8ml1ZdiH95utnNQw4bStF5A==" saltValue="qyb87iku/WrvQP1RPSYGPg==" spinCount="100000" sheet="1" objects="1" scenarios="1"/>
  <mergeCells count="5">
    <mergeCell ref="A3:G3"/>
    <mergeCell ref="A15:B15"/>
    <mergeCell ref="A9:G10"/>
    <mergeCell ref="A4:G4"/>
    <mergeCell ref="E1:F1"/>
  </mergeCells>
  <phoneticPr fontId="13" type="noConversion"/>
  <hyperlinks>
    <hyperlink ref="H1" location="Contents!F1" display="Return to Contents page"/>
  </hyperlinks>
  <printOptions horizontalCentered="1"/>
  <pageMargins left="0.75" right="0.75" top="0.5" bottom="0.5" header="0.3" footer="0.3"/>
  <pageSetup fitToHeight="0" orientation="portrait" blackAndWhite="1" r:id="rId1"/>
  <headerFooter scaleWithDoc="0">
    <oddFooter>&amp;L&amp;"Open Sans Light,Regular"&amp;8&amp;D    &amp;T&amp;C&amp;"Open Sans Light,Regular"&amp;8Page &amp;P&amp;R&amp;"Open Sans Light,Regular"&amp;8Code 02</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4" tint="0.39997558519241921"/>
    <pageSetUpPr fitToPage="1"/>
  </sheetPr>
  <dimension ref="A1:Z65"/>
  <sheetViews>
    <sheetView showGridLines="0" topLeftCell="A7" zoomScaleNormal="100" zoomScaleSheetLayoutView="100" workbookViewId="0">
      <selection activeCell="B22" sqref="B22"/>
    </sheetView>
  </sheetViews>
  <sheetFormatPr defaultColWidth="10.6640625" defaultRowHeight="13.2"/>
  <cols>
    <col min="1" max="1" width="30.44140625" style="5782" customWidth="1"/>
    <col min="2" max="2" width="5.109375" style="5782" customWidth="1"/>
    <col min="3" max="12" width="12.6640625" style="5782" customWidth="1"/>
    <col min="13" max="13" width="21.6640625" style="5782" customWidth="1"/>
    <col min="14" max="26" width="10.6640625" style="5782"/>
    <col min="27" max="16384" width="10.6640625" style="5785"/>
  </cols>
  <sheetData>
    <row r="1" spans="1:13">
      <c r="A1" s="5623" t="s">
        <v>1727</v>
      </c>
      <c r="B1" s="5623"/>
      <c r="K1" s="5783"/>
      <c r="L1" s="5751" t="str">
        <f>"USD #"&amp;OPEN!$B$4</f>
        <v>USD #237</v>
      </c>
      <c r="M1" s="5784" t="s">
        <v>754</v>
      </c>
    </row>
    <row r="2" spans="1:13">
      <c r="A2" s="5782" t="s">
        <v>891</v>
      </c>
      <c r="D2" s="5786"/>
      <c r="L2" s="5629" t="str">
        <f>OpenData!$N$2</f>
        <v>2021-2022</v>
      </c>
    </row>
    <row r="3" spans="1:13">
      <c r="D3" s="5786"/>
      <c r="L3" s="5783"/>
    </row>
    <row r="4" spans="1:13">
      <c r="A4" s="6043" t="s">
        <v>892</v>
      </c>
      <c r="B4" s="6043"/>
      <c r="C4" s="6043"/>
      <c r="D4" s="6043"/>
      <c r="E4" s="6043"/>
      <c r="F4" s="6043"/>
      <c r="G4" s="6043"/>
      <c r="H4" s="6043"/>
      <c r="I4" s="6043"/>
      <c r="J4" s="6043"/>
      <c r="K4" s="6043"/>
      <c r="L4" s="6043"/>
    </row>
    <row r="5" spans="1:13">
      <c r="A5" s="6044" t="s">
        <v>4671</v>
      </c>
      <c r="B5" s="6044"/>
      <c r="C5" s="6044"/>
      <c r="D5" s="6044"/>
      <c r="E5" s="6044"/>
      <c r="F5" s="6044"/>
      <c r="G5" s="6044"/>
      <c r="H5" s="6044"/>
      <c r="I5" s="6044"/>
      <c r="J5" s="6044"/>
      <c r="K5" s="6044"/>
      <c r="L5" s="6044"/>
    </row>
    <row r="6" spans="1:13">
      <c r="A6" s="5787"/>
      <c r="B6" s="5787"/>
      <c r="C6" s="5787"/>
      <c r="D6" s="5787"/>
      <c r="E6" s="5787"/>
      <c r="F6" s="5787"/>
    </row>
    <row r="7" spans="1:13">
      <c r="G7" s="6054" t="str">
        <f>"Fiscal Year " &amp; OpenData!$N$2</f>
        <v>Fiscal Year 2021-2022</v>
      </c>
      <c r="H7" s="6055"/>
      <c r="I7" s="6055"/>
      <c r="J7" s="6055"/>
      <c r="K7" s="6055"/>
      <c r="L7" s="6056"/>
    </row>
    <row r="8" spans="1:13" ht="15" customHeight="1">
      <c r="A8" s="6007" t="s">
        <v>854</v>
      </c>
      <c r="B8" s="5788"/>
      <c r="C8" s="5789">
        <v>1</v>
      </c>
      <c r="D8" s="5789">
        <v>2</v>
      </c>
      <c r="E8" s="5789">
        <v>3</v>
      </c>
      <c r="F8" s="5789">
        <v>4</v>
      </c>
      <c r="G8" s="5790">
        <v>5</v>
      </c>
      <c r="H8" s="5791">
        <v>6</v>
      </c>
      <c r="I8" s="5791">
        <v>7</v>
      </c>
      <c r="J8" s="5791">
        <v>8</v>
      </c>
      <c r="K8" s="5791">
        <v>9</v>
      </c>
      <c r="L8" s="5792">
        <v>10</v>
      </c>
    </row>
    <row r="9" spans="1:13" ht="30" customHeight="1">
      <c r="A9" s="6041"/>
      <c r="B9" s="6052" t="s">
        <v>4672</v>
      </c>
      <c r="C9" s="6049" t="str">
        <f>"Actual "&amp;OpenData!$P$5&amp;" Tax Levy"</f>
        <v>Actual 2020 Tax Levy</v>
      </c>
      <c r="D9" s="6049" t="str">
        <f>"Less "&amp;IF('F110'!$C$18="","0.000",'F110'!$C$18)&amp;" Allowance for Delinquency"</f>
        <v>Less 3 Allowance for Delinquency</v>
      </c>
      <c r="E9" s="6049" t="str">
        <f>"Less "&amp;OpenData!$P$5&amp; " Tax Received in "&amp;OpenData!$O$14</f>
        <v>Less 2020 Tax Received in 2020-21</v>
      </c>
      <c r="F9" s="6051" t="str">
        <f>"Less Tax Refunded in " &amp;OpenData!$O$14</f>
        <v>Less Tax Refunded in 2020-21</v>
      </c>
      <c r="G9" s="6045" t="str">
        <f>OpenData!$P$5&amp;" Tax in Process"</f>
        <v>2020 Tax in Process</v>
      </c>
      <c r="H9" s="5793" t="s">
        <v>4876</v>
      </c>
      <c r="I9" s="6047" t="s">
        <v>4673</v>
      </c>
      <c r="J9" s="6047" t="s">
        <v>4674</v>
      </c>
      <c r="K9" s="6047" t="str">
        <f>"Amount of "&amp;OpenData!$Q$5&amp;" Tax to be Levied"</f>
        <v>Amount of 2021 Tax to be Levied</v>
      </c>
      <c r="L9" s="5794" t="str">
        <f>"Estimate of "&amp;OpenData!$Q$5&amp;" Taxes"</f>
        <v>Estimate of 2021 Taxes</v>
      </c>
    </row>
    <row r="10" spans="1:13" ht="21">
      <c r="A10" s="6042"/>
      <c r="B10" s="6053"/>
      <c r="C10" s="6050"/>
      <c r="D10" s="6050"/>
      <c r="E10" s="6050"/>
      <c r="F10" s="6050"/>
      <c r="G10" s="6046"/>
      <c r="H10" s="5795" t="s">
        <v>4877</v>
      </c>
      <c r="I10" s="6048"/>
      <c r="J10" s="6048"/>
      <c r="K10" s="6048"/>
      <c r="L10" s="5796" t="str">
        <f>"(1/1/"&amp;OpenData!$S$5&amp;" - 6/30/"&amp;OpenData!$S$5&amp;")"</f>
        <v>(1/1/2022 - 6/30/2022)</v>
      </c>
    </row>
    <row r="11" spans="1:13" ht="17.25" hidden="1" customHeight="1">
      <c r="A11" s="5797" t="s">
        <v>813</v>
      </c>
      <c r="B11" s="5798">
        <v>1</v>
      </c>
      <c r="C11" s="2774" t="s">
        <v>4905</v>
      </c>
      <c r="D11" s="2774" t="s">
        <v>4905</v>
      </c>
      <c r="E11" s="2774" t="s">
        <v>4905</v>
      </c>
      <c r="F11" s="3721" t="s">
        <v>4905</v>
      </c>
      <c r="G11" s="3720" t="s">
        <v>4905</v>
      </c>
      <c r="H11" s="2774" t="s">
        <v>4905</v>
      </c>
      <c r="I11" s="2774" t="s">
        <v>4905</v>
      </c>
      <c r="J11" s="2774" t="s">
        <v>4905</v>
      </c>
      <c r="K11" s="2774" t="s">
        <v>4905</v>
      </c>
      <c r="L11" s="3721" t="s">
        <v>4905</v>
      </c>
    </row>
    <row r="12" spans="1:13" ht="17.25" customHeight="1">
      <c r="A12" s="5797" t="s">
        <v>814</v>
      </c>
      <c r="B12" s="5798">
        <v>3</v>
      </c>
      <c r="C12" s="5799">
        <f>'F110'!G16</f>
        <v>991595</v>
      </c>
      <c r="D12" s="5799">
        <f>IF(ISERROR('F110'!G18),0,'F110'!G18)</f>
        <v>29748</v>
      </c>
      <c r="E12" s="5799">
        <f>'F110'!G20+'F110'!G22+'F110'!G24+'F110'!G26+'F110'!G28</f>
        <v>951975</v>
      </c>
      <c r="F12" s="5800">
        <f>'F110'!$G$29</f>
        <v>0</v>
      </c>
      <c r="G12" s="5801">
        <f>IF(ISERROR('F110'!G33),0,'F110'!G33)</f>
        <v>9872</v>
      </c>
      <c r="H12" s="5799">
        <f>IF(ISERROR('F194'!H75+'F194'!$H$18+'F194'!$P$75+'F194'!$P$18),0,'F194'!H75+'F194'!$H$18+'F194'!$P$75+'F194'!$P$18)</f>
        <v>42802</v>
      </c>
      <c r="I12" s="5799">
        <f>IF(ISERROR('F194'!$L$18+'F194'!$L$75),0,'F194'!$L$18+'F194'!$L$75)</f>
        <v>898</v>
      </c>
      <c r="J12" s="5799">
        <f>IF(ISERROR('F194'!$R$18+'F194'!$R$75),0,'F194'!$R$18+'F194'!$R$75)</f>
        <v>2940</v>
      </c>
      <c r="K12" s="5802">
        <f>IF(OR((ISERROR('C08'!$E$37)),'C08'!$E$37="ERROR"),0,'C08'!$E$37)</f>
        <v>1021650</v>
      </c>
      <c r="L12" s="5803">
        <f>IF(ISERROR('F110'!$I$44*K12/100),0,'F110'!$I$44*K12/100)</f>
        <v>899052</v>
      </c>
    </row>
    <row r="13" spans="1:13" ht="17.25" customHeight="1">
      <c r="A13" s="5797" t="s">
        <v>815</v>
      </c>
      <c r="B13" s="5798">
        <v>5</v>
      </c>
      <c r="C13" s="5799">
        <f>'F110'!E64</f>
        <v>0</v>
      </c>
      <c r="D13" s="5799">
        <f>IF(ISERROR('F110'!E66),0,'F110'!E66)</f>
        <v>0</v>
      </c>
      <c r="E13" s="5799">
        <f>'F110'!E68+'F110'!E70+'F110'!E72+'F110'!E74+'F110'!E76</f>
        <v>0</v>
      </c>
      <c r="F13" s="5800">
        <f>'F110'!$E$77</f>
        <v>0</v>
      </c>
      <c r="G13" s="5801">
        <f>IF(ISERROR('F110'!E81),0,'F110'!E81)</f>
        <v>0</v>
      </c>
      <c r="H13" s="5799">
        <f>IF(ISERROR('F194'!H19+'F194'!H76+'F194'!$P$76+'F194'!$P$19),0,'F194'!H19+'F194'!H76+'F194'!$P$76+'F194'!$P$19)</f>
        <v>0</v>
      </c>
      <c r="I13" s="5799">
        <f>IF(ISERROR('F194'!$L$76+'F194'!$L$19),0,'F194'!$L$76+'F194'!$L$19)</f>
        <v>0</v>
      </c>
      <c r="J13" s="5799">
        <f>IF(ISERROR('F194'!$R$76+'F194'!$R$19),0,'F194'!$R$76+'F194'!$R$19)</f>
        <v>0</v>
      </c>
      <c r="K13" s="5799">
        <f>L30</f>
        <v>0</v>
      </c>
      <c r="L13" s="5803">
        <f>IF(ISERROR('F110'!$I$44*K13/100),0,'F110'!$I$44*K13/100)</f>
        <v>0</v>
      </c>
    </row>
    <row r="14" spans="1:13" ht="17.25" customHeight="1">
      <c r="A14" s="5797" t="s">
        <v>816</v>
      </c>
      <c r="B14" s="5798">
        <v>10</v>
      </c>
      <c r="C14" s="5799">
        <f>'F110'!I16</f>
        <v>403614</v>
      </c>
      <c r="D14" s="5799">
        <f>IF(ISERROR('F110'!I18),0,'F110'!I18)</f>
        <v>12108</v>
      </c>
      <c r="E14" s="5799">
        <f>'F110'!I20+'F110'!I22+'F110'!I24+'F110'!I26+'F110'!I28</f>
        <v>391173</v>
      </c>
      <c r="F14" s="5800">
        <f>'F110'!$I$29</f>
        <v>0</v>
      </c>
      <c r="G14" s="5801">
        <f>IF(ISERROR('F110'!I33),0,'F110'!I33)</f>
        <v>333</v>
      </c>
      <c r="H14" s="5799">
        <f>IF(ISERROR('F194'!H77+'F194'!H20+'F194'!$P$77+'F194'!$P$20),0,'F194'!H77+'F194'!H20+'F194'!$P$77+'F194'!$P$20)</f>
        <v>16966</v>
      </c>
      <c r="I14" s="5799">
        <f>IF(ISERROR('F194'!$L$20+'F194'!$L$77),0,'F194'!$L$20+'F194'!$L$77)</f>
        <v>355</v>
      </c>
      <c r="J14" s="5799">
        <f>IF(ISERROR('F194'!$R$20+'F194'!$R$77),0,'F194'!$R$20+'F194'!$R$77)</f>
        <v>1166</v>
      </c>
      <c r="K14" s="5799">
        <f>L33</f>
        <v>407898</v>
      </c>
      <c r="L14" s="5803">
        <f>IF(ISERROR('F110'!$I$44*K14/100),0,'F110'!$I$44*K14/100)</f>
        <v>358950</v>
      </c>
    </row>
    <row r="15" spans="1:13" ht="17.25" customHeight="1">
      <c r="A15" s="5797" t="s">
        <v>819</v>
      </c>
      <c r="B15" s="5798">
        <v>25</v>
      </c>
      <c r="C15" s="5799">
        <f>'F110'!$G$113</f>
        <v>0</v>
      </c>
      <c r="D15" s="5799">
        <f>IF(ISERROR('F110'!G115),0,'F110'!G115)</f>
        <v>0</v>
      </c>
      <c r="E15" s="5799">
        <f>'F110'!G117+'F110'!G119+'F110'!G121+'F110'!G123+'F110'!G125</f>
        <v>0</v>
      </c>
      <c r="F15" s="5800">
        <f>'F110'!$G$126</f>
        <v>0</v>
      </c>
      <c r="G15" s="5801">
        <f>IF(ISERROR('F110'!G130),0,'F110'!G130)</f>
        <v>0</v>
      </c>
      <c r="H15" s="5799">
        <f>IF(ISERROR('F194'!H21+'F194'!H78+'F194'!$P$21+'F194'!$P$78),0,'F194'!H21+'F194'!H78+'F194'!$P$21+'F194'!$P$78)</f>
        <v>0</v>
      </c>
      <c r="I15" s="5799">
        <f>IF(ISERROR('F194'!$L$78+'F194'!$L$21),0,'F194'!$L$78+'F194'!$L$21)</f>
        <v>0</v>
      </c>
      <c r="J15" s="5799">
        <f>IF(ISERROR('F194'!$R$78+'F194'!$R$21),0,'F194'!$R$78+'F194'!$R$21)</f>
        <v>0</v>
      </c>
      <c r="K15" s="5799">
        <f>IF(ISERROR('C067'!F41),0,'C067'!F41)</f>
        <v>0</v>
      </c>
      <c r="L15" s="5803">
        <f>IF(ISERROR('F110'!$I$44*K15/100),0,'F110'!$I$44*K15/100)</f>
        <v>0</v>
      </c>
    </row>
    <row r="16" spans="1:13" ht="17.25" customHeight="1">
      <c r="A16" s="5797" t="s">
        <v>790</v>
      </c>
      <c r="B16" s="5798">
        <v>30</v>
      </c>
      <c r="C16" s="5799">
        <f>'F110'!G64</f>
        <v>0</v>
      </c>
      <c r="D16" s="5799">
        <f>IF(ISERROR('F110'!G66),0,'F110'!G66)</f>
        <v>0</v>
      </c>
      <c r="E16" s="5799">
        <f>'F110'!G68+'F110'!G70+'F110'!G72+'F110'!G74+'F110'!G76</f>
        <v>0</v>
      </c>
      <c r="F16" s="5800">
        <f>'F110'!$G$77</f>
        <v>0</v>
      </c>
      <c r="G16" s="5801">
        <f>IF(ISERROR('F110'!G81),0,'F110'!G81)</f>
        <v>0</v>
      </c>
      <c r="H16" s="5799">
        <f>IF(ISERROR('F194'!H85+'F194'!H28+'F194'!$P$85+'F194'!$P$28),0,'F194'!H85+'F194'!H28+'F194'!$P$85+'F194'!$P$28)</f>
        <v>0</v>
      </c>
      <c r="I16" s="5799">
        <f>IF(ISERROR('F194'!$L$28+'F194'!$L$85),0,'F194'!$L$28+'F194'!$L$85)</f>
        <v>0</v>
      </c>
      <c r="J16" s="5799">
        <f>IF(ISERROR('F194'!$R$28+'F194'!$R$85),0,'F194'!$R$28+'F194'!$R$85)</f>
        <v>0</v>
      </c>
      <c r="K16" s="5799">
        <f>IF(ISERROR('C042'!F54),0,'C042'!F54)</f>
        <v>0</v>
      </c>
      <c r="L16" s="5803">
        <f>IF(ISERROR('F110'!$I$44*K16/100),0,'F110'!$I$44*K16/100)</f>
        <v>0</v>
      </c>
    </row>
    <row r="17" spans="1:12" ht="17.25" customHeight="1">
      <c r="A17" s="5797" t="str">
        <f>OpenData!O44</f>
        <v>Bond and Interest #1</v>
      </c>
      <c r="B17" s="5798">
        <v>40</v>
      </c>
      <c r="C17" s="5799">
        <f>'F110'!K16</f>
        <v>0</v>
      </c>
      <c r="D17" s="5799">
        <f>IF(ISERROR('F110'!K18),0,'F110'!K18)</f>
        <v>0</v>
      </c>
      <c r="E17" s="5799">
        <f>'F110'!K20+'F110'!K22+'F110'!K24+'F110'!K26+'F110'!K28</f>
        <v>0</v>
      </c>
      <c r="F17" s="5800">
        <f>'F110'!$K$29</f>
        <v>0</v>
      </c>
      <c r="G17" s="5801">
        <f>IF(ISERROR('F110'!K33),0,'F110'!K33)</f>
        <v>0</v>
      </c>
      <c r="H17" s="5799">
        <f>IF(ISERROR('F194'!H22+'F194'!H79+'F194'!$P$22+'F194'!$P$79),0,'F194'!H22+'F194'!H79+'F194'!$P$22+'F194'!$P$79)</f>
        <v>0</v>
      </c>
      <c r="I17" s="5799">
        <f>IF(ISERROR('F194'!$L$79+'F194'!$L$22),0,'F194'!$L$79+'F194'!$L$22)</f>
        <v>0</v>
      </c>
      <c r="J17" s="5799">
        <f>IF(ISERROR('F194'!$R$79+'F194'!$R$22),0,'F194'!$R$79+'F194'!$R$22)</f>
        <v>0</v>
      </c>
      <c r="K17" s="5799">
        <f>IF(ISERROR('C062'!$F$58),0,'C062'!$F$58)</f>
        <v>0</v>
      </c>
      <c r="L17" s="5803">
        <f>IF(ISERROR('F110'!$I$44*K17/100),0,'F110'!$I$44*K17/100)</f>
        <v>0</v>
      </c>
    </row>
    <row r="18" spans="1:12" ht="17.25" customHeight="1">
      <c r="A18" s="5797" t="str">
        <f>OpenData!O46</f>
        <v>Bond and Interest #2</v>
      </c>
      <c r="B18" s="5798">
        <v>45</v>
      </c>
      <c r="C18" s="5799">
        <f>'F110'!K64</f>
        <v>0</v>
      </c>
      <c r="D18" s="5799">
        <f>IF(ISERROR('F110'!K66),0,'F110'!K66)</f>
        <v>0</v>
      </c>
      <c r="E18" s="5799">
        <f>'F110'!K68+'F110'!K70+'F110'!K72+'F110'!K74+'F110'!K76</f>
        <v>0</v>
      </c>
      <c r="F18" s="5800">
        <f>'F110'!$K$77</f>
        <v>0</v>
      </c>
      <c r="G18" s="5801">
        <f>IF(ISERROR('F110'!K81),0,'F110'!K81)</f>
        <v>0</v>
      </c>
      <c r="H18" s="5799">
        <f>IF(ISERROR('F194'!H80+'F194'!H23+'F194'!$P$80+'F194'!$P$23),0,'F194'!H80+'F194'!H23+'F194'!$P$80+'F194'!$P$23)</f>
        <v>0</v>
      </c>
      <c r="I18" s="5799">
        <f>IF(ISERROR('F194'!$L$23+'F194'!$L$80),0,'F194'!$L$23+'F194'!$L$80)</f>
        <v>0</v>
      </c>
      <c r="J18" s="5799">
        <f>IF(ISERROR('F194'!$R$23+'F194'!$R$80),0,'F194'!$R$23+'F194'!$R$80)</f>
        <v>0</v>
      </c>
      <c r="K18" s="5799">
        <f>IF(ISERROR('C063'!F58),0,'C063'!F58)</f>
        <v>0</v>
      </c>
      <c r="L18" s="5803">
        <f>IF(ISERROR('F110'!$I$44*K18/100),0,'F110'!$I$44*K18/100)</f>
        <v>0</v>
      </c>
    </row>
    <row r="19" spans="1:12" ht="17.25" customHeight="1">
      <c r="A19" s="5797" t="s">
        <v>820</v>
      </c>
      <c r="B19" s="5798">
        <v>50</v>
      </c>
      <c r="C19" s="5799">
        <f>'F110'!I113</f>
        <v>0</v>
      </c>
      <c r="D19" s="5799">
        <f>IF(ISERROR('F110'!I115),0,'F110'!I115)</f>
        <v>0</v>
      </c>
      <c r="E19" s="5799">
        <f>'F110'!I117+'F110'!I119+'F110'!I121+'F110'!I123+'F110'!I125</f>
        <v>0</v>
      </c>
      <c r="F19" s="5800">
        <f>'F110'!$I$126</f>
        <v>0</v>
      </c>
      <c r="G19" s="5801">
        <f>IF(ISERROR('F110'!I130),0,'F110'!I130)</f>
        <v>0</v>
      </c>
      <c r="H19" s="5799">
        <f>IF(ISERROR('F194'!H24+'F194'!H81+'F194'!$P$24+'F194'!$P$81),0,'F194'!H24+'F194'!H81+'F194'!$P$24+'F194'!$P$81)</f>
        <v>0</v>
      </c>
      <c r="I19" s="5799">
        <f>IF(ISERROR('F194'!$L$81+'F194'!$L$24),0,'F194'!$L$81+'F194'!$L$24)</f>
        <v>0</v>
      </c>
      <c r="J19" s="5799">
        <f>IF(ISERROR('F194'!$R$81+'F194'!$R$24),0,'F194'!$R$81+'F194'!$R$24)</f>
        <v>0</v>
      </c>
      <c r="K19" s="5799">
        <f>IF(ISERROR('C068'!F44),0,'C068'!F44)</f>
        <v>0</v>
      </c>
      <c r="L19" s="5803">
        <f>IF(ISERROR('F110'!$I$44*K19/100),0,'F110'!$I$44*K19/100)</f>
        <v>0</v>
      </c>
    </row>
    <row r="20" spans="1:12" ht="17.25" customHeight="1">
      <c r="A20" s="5797" t="s">
        <v>897</v>
      </c>
      <c r="B20" s="5798">
        <v>55</v>
      </c>
      <c r="C20" s="5799">
        <f>'F110'!E113</f>
        <v>0</v>
      </c>
      <c r="D20" s="5799">
        <f>IF(ISERROR('F110'!E115),0,'F110'!E115)</f>
        <v>0</v>
      </c>
      <c r="E20" s="5799">
        <f>'F110'!E117+'F110'!E119+'F110'!E121+'F110'!E123+'F110'!E125</f>
        <v>0</v>
      </c>
      <c r="F20" s="5800">
        <f>'F110'!$E$126</f>
        <v>0</v>
      </c>
      <c r="G20" s="5801">
        <f>IF(ISERROR('F110'!E130),0,'F110'!E130)</f>
        <v>0</v>
      </c>
      <c r="H20" s="5799">
        <f>IF(ISERROR('F194'!H84+'F194'!H27+'F194'!$P$84+'F194'!$P$27),0,'F194'!H84+'F194'!H27+'F194'!$P$84+'F194'!$P$27)</f>
        <v>0</v>
      </c>
      <c r="I20" s="5799">
        <f>IF(ISERROR('F194'!$L$27+'F194'!$L$84),0,'F194'!$L$27+'F194'!$L$84)</f>
        <v>0</v>
      </c>
      <c r="J20" s="5799">
        <f>IF(ISERROR('F194'!$R$27+'F194'!$R$84),0,'F194'!$R$27+'F194'!$R$84)</f>
        <v>0</v>
      </c>
      <c r="K20" s="5799">
        <f>IF(ISERROR('C066'!F43),0,'C066'!F43)</f>
        <v>0</v>
      </c>
      <c r="L20" s="5803">
        <f>IF(ISERROR('F110'!$I$44*K20/100),0,'F110'!$I$44*K20/100)</f>
        <v>0</v>
      </c>
    </row>
    <row r="21" spans="1:12" ht="17.25" customHeight="1">
      <c r="A21" s="5797" t="s">
        <v>4463</v>
      </c>
      <c r="B21" s="5798">
        <v>57</v>
      </c>
      <c r="C21" s="5799">
        <f>'F110'!$I$155</f>
        <v>0</v>
      </c>
      <c r="D21" s="5799">
        <f>'F110'!$I$157</f>
        <v>0</v>
      </c>
      <c r="E21" s="5799">
        <f>'F110'!$I$159+'F110'!$I$161+'F110'!$I$163+'F110'!$I$165+'F110'!$I$167</f>
        <v>0</v>
      </c>
      <c r="F21" s="5800">
        <f>'F110'!$I$168</f>
        <v>0</v>
      </c>
      <c r="G21" s="5801">
        <f>'F110'!$I$172</f>
        <v>0</v>
      </c>
      <c r="H21" s="5799">
        <f>IF(ISERROR('F194'!$H$88+'F194'!$H$31+'F194'!$P$88+'F194'!$P$31),0,('F194'!$H$88+'F194'!$H$31+'F194'!$P$88+'F194'!$P$31))</f>
        <v>0</v>
      </c>
      <c r="I21" s="5799">
        <f>IF(ISERROR('F194'!$L$31+'F194'!$L$88),0,('F194'!$L$31+'F194'!$L$88))</f>
        <v>0</v>
      </c>
      <c r="J21" s="5799">
        <f>IF(ISERROR('F194'!$R$31+'F194'!$R$88),0,('F194'!$R$31+'F194'!$R$88))</f>
        <v>0</v>
      </c>
      <c r="K21" s="5799">
        <f>IF(ISERROR('C045'!$E$35),0,'C045'!$E$35)</f>
        <v>0</v>
      </c>
      <c r="L21" s="5803">
        <f>IF(ISERROR('F110'!$I$44*K21/100),0,'F110'!$I$44*K21/100)</f>
        <v>0</v>
      </c>
    </row>
    <row r="22" spans="1:12" ht="17.25" customHeight="1">
      <c r="A22" s="5797" t="str">
        <f>OpenData!O53</f>
        <v>Recreation Commission</v>
      </c>
      <c r="B22" s="5798">
        <v>60</v>
      </c>
      <c r="C22" s="5799">
        <f>'F110'!M16</f>
        <v>0</v>
      </c>
      <c r="D22" s="5799">
        <f>IF(ISERROR('F110'!M18),0,'F110'!M18)</f>
        <v>0</v>
      </c>
      <c r="E22" s="5799">
        <f>'F110'!M20+'F110'!M22+'F110'!M24+'F110'!M26+'F110'!M28</f>
        <v>0</v>
      </c>
      <c r="F22" s="5800">
        <f>'F110'!$M$29</f>
        <v>0</v>
      </c>
      <c r="G22" s="5801">
        <f>IF(ISERROR('F110'!M33),0,'F110'!M33)</f>
        <v>0</v>
      </c>
      <c r="H22" s="5799">
        <f>IF(ISERROR('F194'!H25+'F194'!H82+'F194'!$P$25+'F194'!$P$82),0,'F194'!H25+'F194'!H82+'F194'!$P$25+'F194'!$P$82)</f>
        <v>0</v>
      </c>
      <c r="I22" s="5799">
        <f>IF(ISERROR('F194'!$L$82+'F194'!$L$25),0,'F194'!$L$82+'F194'!$L$25)</f>
        <v>0</v>
      </c>
      <c r="J22" s="5799">
        <f>IF(ISERROR('F194'!$R$82+'F194'!$R$25),0,'F194'!$R$82+'F194'!$R$25)</f>
        <v>0</v>
      </c>
      <c r="K22" s="5799">
        <f>IF(ISERROR('C084'!F41),0,'C084'!F41)</f>
        <v>0</v>
      </c>
      <c r="L22" s="5803">
        <f>IF(ISERROR('F110'!$I$44*K22/100),0,'F110'!$I$44*K22/100)</f>
        <v>0</v>
      </c>
    </row>
    <row r="23" spans="1:12" ht="17.25" customHeight="1">
      <c r="A23" s="5804" t="str">
        <f>OpenData!Q55</f>
        <v>Rec Comm Emp Bnfts &amp; Spec Liab</v>
      </c>
      <c r="B23" s="5805">
        <v>65</v>
      </c>
      <c r="C23" s="5806">
        <f>'F110'!G155</f>
        <v>0</v>
      </c>
      <c r="D23" s="5806">
        <f>IF(ISERROR('F110'!G157),0,'F110'!G157)</f>
        <v>0</v>
      </c>
      <c r="E23" s="5806">
        <f>'F110'!G159+'F110'!G161+'F110'!G163+'F110'!G165+'F110'!G167</f>
        <v>0</v>
      </c>
      <c r="F23" s="5807">
        <f>'F110'!$G$168</f>
        <v>0</v>
      </c>
      <c r="G23" s="5808">
        <f>IF(ISERROR('F110'!G172),0,'F110'!G172)</f>
        <v>0</v>
      </c>
      <c r="H23" s="5806">
        <f>IF(ISERROR('F194'!H83+'F194'!H26+'F194'!$P$83+'F194'!$P$26),0,'F194'!H83+'F194'!H26+'F194'!$P$83+'F194'!$P$26)</f>
        <v>0</v>
      </c>
      <c r="I23" s="5806">
        <f>IF(ISERROR('F194'!$L$26+'F194'!$L$83),0,'F194'!$L$26+'F194'!$L$83)</f>
        <v>0</v>
      </c>
      <c r="J23" s="5806">
        <f>IF(ISERROR('F194'!$R$26+'F194'!$R$83),0,'F194'!$R$26+'F194'!$R$83)</f>
        <v>0</v>
      </c>
      <c r="K23" s="5806">
        <f>IF(ISERROR('C086'!F41),0,'C086'!F41)</f>
        <v>0</v>
      </c>
      <c r="L23" s="5809">
        <f>IF(ISERROR('F110'!$I$44*K23/100),0,'F110'!$I$44*K23/100)</f>
        <v>0</v>
      </c>
    </row>
    <row r="24" spans="1:12" ht="17.25" customHeight="1">
      <c r="A24" s="5827" t="s">
        <v>822</v>
      </c>
      <c r="B24" s="5828">
        <v>70</v>
      </c>
      <c r="C24" s="5829">
        <f>'F110'!M113</f>
        <v>0</v>
      </c>
      <c r="D24" s="5829">
        <f>IF(ISERROR('F110'!M115),0,'F110'!M115)</f>
        <v>0</v>
      </c>
      <c r="E24" s="5829">
        <f>'F110'!M117+'F110'!M119+'F110'!M121+'F110'!M123+'F110'!M125</f>
        <v>0</v>
      </c>
      <c r="F24" s="5800">
        <f>'F110'!$M$126</f>
        <v>0</v>
      </c>
      <c r="G24" s="5830">
        <f>IF(ISERROR('F110'!M130),0,'F110'!M130)</f>
        <v>0</v>
      </c>
      <c r="H24" s="5829">
        <f>IF(ISERROR('F194'!H32+'F194'!H89+'F194'!$P$32+'F194'!$P$89),0,'F194'!H32+'F194'!H89+'F194'!$P$32+'F194'!$P$89)</f>
        <v>0</v>
      </c>
      <c r="I24" s="5829">
        <f>IF(ISERROR('F194'!$L$89+'F194'!$L$32),0,'F194'!$L$89+'F194'!$L$32)</f>
        <v>0</v>
      </c>
      <c r="J24" s="5829">
        <f>IF(ISERROR('F194'!$R$89+'F194'!$R$32),0,'F194'!$R$89+'F194'!$R$32)</f>
        <v>0</v>
      </c>
      <c r="K24" s="5829">
        <f>IF(ISERROR('C082'!F41),0,'C082'!F41)</f>
        <v>0</v>
      </c>
      <c r="L24" s="5831">
        <f>IF(ISERROR('F110'!$I$44*K24/100),0,'F110'!$I$44*K24/100)</f>
        <v>0</v>
      </c>
    </row>
    <row r="25" spans="1:12" ht="17.25" customHeight="1">
      <c r="A25" s="5827" t="s">
        <v>1100</v>
      </c>
      <c r="B25" s="5828">
        <v>71</v>
      </c>
      <c r="C25" s="5829">
        <f>'F110'!$K$155</f>
        <v>0</v>
      </c>
      <c r="D25" s="5829">
        <f>IF(ISERROR('F110'!K157),0,'F110'!K157)</f>
        <v>0</v>
      </c>
      <c r="E25" s="5829">
        <f>'F110'!$K$159+'F110'!$K$161+'F110'!$K$163+'F110'!$K$165+'F110'!$K$167</f>
        <v>0</v>
      </c>
      <c r="F25" s="5800">
        <f>'F110'!$K$168</f>
        <v>0</v>
      </c>
      <c r="G25" s="5830">
        <f>IF(ISERROR('F110'!K172),0,'F110'!K172)</f>
        <v>0</v>
      </c>
      <c r="H25" s="5829">
        <f>IF(ISERROR('F194'!H90+'F194'!H33+'F194'!$P$90+'F194'!$P$33),0,'F194'!H90+'F194'!H33+'F194'!$P$90+'F194'!$P$33)</f>
        <v>0</v>
      </c>
      <c r="I25" s="5829">
        <f>IF(ISERROR('F194'!$L$33+'F194'!$L$90),0,'F194'!$L$33+'F194'!$L$90)</f>
        <v>0</v>
      </c>
      <c r="J25" s="5829">
        <f>IF(ISERROR('F194'!$R$33+'F194'!$R$90),0,'F194'!$R$33+'F194'!$R$90)</f>
        <v>0</v>
      </c>
      <c r="K25" s="5829">
        <f>IF(ISERROR('C083'!F41),0,'C083'!F41)</f>
        <v>0</v>
      </c>
      <c r="L25" s="5831">
        <f>IF(ISERROR('F110'!$I$44*K25/100),0,'F110'!$I$44*K25/100)</f>
        <v>0</v>
      </c>
    </row>
    <row r="26" spans="1:12" ht="17.25" customHeight="1">
      <c r="A26" s="5797" t="s">
        <v>821</v>
      </c>
      <c r="B26" s="5798">
        <v>75</v>
      </c>
      <c r="C26" s="5799">
        <f>'F110'!K113</f>
        <v>0</v>
      </c>
      <c r="D26" s="5799">
        <f>IF(ISERROR('F110'!K115),0,'F110'!K115)</f>
        <v>0</v>
      </c>
      <c r="E26" s="5799">
        <f>'F110'!K117+'F110'!K119+'F110'!K121+'F110'!K123+'F110'!K125</f>
        <v>0</v>
      </c>
      <c r="F26" s="5800">
        <f>'F110'!$K$126</f>
        <v>0</v>
      </c>
      <c r="G26" s="5801">
        <f>IF(ISERROR('F110'!K130),0,'F110'!K130)</f>
        <v>0</v>
      </c>
      <c r="H26" s="5799">
        <f>IF(ISERROR('F194'!H87+'F194'!H30+'F194'!$P$87+'F194'!$P$30),0,'F194'!H87+'F194'!H30+'F194'!$P$87+'F194'!$P$30)</f>
        <v>0</v>
      </c>
      <c r="I26" s="5799">
        <f>IF(ISERROR('F194'!$L$30+'F194'!$L$87),0,'F194'!$L$30+'F194'!$L$87)</f>
        <v>0</v>
      </c>
      <c r="J26" s="5799">
        <f>IF(ISERROR('F194'!$R$30+'F194'!$R$87),0,'F194'!$R$30+'F194'!$R$87)</f>
        <v>0</v>
      </c>
      <c r="K26" s="5799">
        <f>IF(ISERROR('C080'!F41),0,'C080'!F41)</f>
        <v>0</v>
      </c>
      <c r="L26" s="5803">
        <f>IF(ISERROR('F110'!$I$44*K26/100),0,'F110'!$I$44*K26/100)</f>
        <v>0</v>
      </c>
    </row>
    <row r="27" spans="1:12" ht="17.25" customHeight="1">
      <c r="A27" s="5797" t="s">
        <v>929</v>
      </c>
      <c r="B27" s="5798">
        <v>78</v>
      </c>
      <c r="C27" s="5799">
        <f>'F110'!$M$155</f>
        <v>0</v>
      </c>
      <c r="D27" s="5799">
        <f>IF(ISERROR('F110'!M157),0,'F110'!M157)</f>
        <v>0</v>
      </c>
      <c r="E27" s="5799">
        <f>'F110'!M159+'F110'!M161+'F110'!M163+'F110'!M165+'F110'!M167</f>
        <v>0</v>
      </c>
      <c r="F27" s="5800">
        <f>'F110'!M168</f>
        <v>0</v>
      </c>
      <c r="G27" s="5801">
        <f>IF(ISERROR('F110'!M172),0,'F110'!M172)</f>
        <v>0</v>
      </c>
      <c r="H27" s="5799">
        <f>IF(ISERROR('F194'!H92+'F194'!H35+'F194'!$P$92+'F194'!$P$35),0,'F194'!H92+'F194'!H35+'F194'!$P$92+'F194'!$P$35)</f>
        <v>0</v>
      </c>
      <c r="I27" s="5799">
        <f>IF(ISERROR('F194'!$L$35+'F194'!$L$92),0,'F194'!$L$35+'F194'!$L$92)</f>
        <v>0</v>
      </c>
      <c r="J27" s="5799">
        <f>IF(ISERROR('F194'!$R$35+'F194'!$R$92),0,'F194'!$R$35+'F194'!$R$92)</f>
        <v>0</v>
      </c>
      <c r="K27" s="5799">
        <f>IF(ISERROR('C033'!E35),0,'C033'!E35)</f>
        <v>0</v>
      </c>
      <c r="L27" s="5803">
        <f>IF(ISERROR('F110'!$I$44*K27/100),0,'F110'!$I$44*K27/100)</f>
        <v>0</v>
      </c>
    </row>
    <row r="28" spans="1:12">
      <c r="A28" s="5797" t="s">
        <v>884</v>
      </c>
      <c r="B28" s="5798">
        <v>80</v>
      </c>
      <c r="C28" s="5799">
        <f t="shared" ref="C28:L28" si="0">SUM(C11:C27)</f>
        <v>1395209</v>
      </c>
      <c r="D28" s="5799">
        <f t="shared" si="0"/>
        <v>41856</v>
      </c>
      <c r="E28" s="5799">
        <f t="shared" si="0"/>
        <v>1343148</v>
      </c>
      <c r="F28" s="5800">
        <f t="shared" si="0"/>
        <v>0</v>
      </c>
      <c r="G28" s="5801">
        <f t="shared" si="0"/>
        <v>10205</v>
      </c>
      <c r="H28" s="5799">
        <f t="shared" si="0"/>
        <v>59768</v>
      </c>
      <c r="I28" s="5799">
        <f t="shared" si="0"/>
        <v>1253</v>
      </c>
      <c r="J28" s="5799">
        <f t="shared" si="0"/>
        <v>4106</v>
      </c>
      <c r="K28" s="5799">
        <f t="shared" si="0"/>
        <v>1429548</v>
      </c>
      <c r="L28" s="5803">
        <f t="shared" si="0"/>
        <v>1258002</v>
      </c>
    </row>
    <row r="29" spans="1:12">
      <c r="B29" s="5810"/>
      <c r="C29" s="5811"/>
      <c r="D29" s="5811"/>
      <c r="E29" s="5811"/>
      <c r="F29" s="5811"/>
      <c r="G29" s="5811"/>
      <c r="H29" s="5811"/>
      <c r="I29" s="5811"/>
      <c r="J29" s="5811"/>
      <c r="K29" s="5811"/>
      <c r="L29" s="5811"/>
    </row>
    <row r="30" spans="1:12" ht="15.6">
      <c r="A30" s="5785"/>
      <c r="B30" s="5785"/>
      <c r="C30" s="6036" t="s">
        <v>4676</v>
      </c>
      <c r="D30" s="6036"/>
      <c r="E30" s="6036"/>
      <c r="F30" s="6035">
        <f>OPEN!$A$15</f>
        <v>50987266</v>
      </c>
      <c r="G30" s="6035"/>
      <c r="H30" s="5812" t="s">
        <v>1380</v>
      </c>
      <c r="I30" s="6038">
        <f>OPEN!$A$145</f>
        <v>0</v>
      </c>
      <c r="J30" s="6038"/>
      <c r="K30" s="5813" t="s">
        <v>907</v>
      </c>
      <c r="L30" s="5814">
        <f>$F$30*$I$30/1000</f>
        <v>0</v>
      </c>
    </row>
    <row r="31" spans="1:12" s="5782" customFormat="1">
      <c r="B31" s="5815"/>
      <c r="C31" s="6036"/>
      <c r="D31" s="6036"/>
      <c r="E31" s="6036"/>
      <c r="F31" s="6034" t="s">
        <v>906</v>
      </c>
      <c r="G31" s="6034"/>
      <c r="I31" s="6034" t="s">
        <v>4675</v>
      </c>
      <c r="J31" s="6034"/>
      <c r="L31" s="6039" t="s">
        <v>1267</v>
      </c>
    </row>
    <row r="32" spans="1:12" s="5782" customFormat="1">
      <c r="A32" s="5816"/>
      <c r="B32" s="5817"/>
      <c r="C32" s="5783"/>
      <c r="D32" s="5783"/>
      <c r="E32" s="5783"/>
      <c r="L32" s="6040"/>
    </row>
    <row r="33" spans="1:12" s="5782" customFormat="1" ht="15.6">
      <c r="C33" s="6036" t="s">
        <v>4678</v>
      </c>
      <c r="D33" s="6036"/>
      <c r="E33" s="6036"/>
      <c r="F33" s="6035">
        <f>OPEN!$A$17</f>
        <v>50987266</v>
      </c>
      <c r="G33" s="6035"/>
      <c r="H33" s="5812" t="s">
        <v>1380</v>
      </c>
      <c r="I33" s="6038">
        <f>IF(OPEN!$A$143&gt;OPEN!$A$111,"Error!! Check OPEN worksheet!",OPEN!$A$143)</f>
        <v>8</v>
      </c>
      <c r="J33" s="6038"/>
      <c r="K33" s="5813" t="s">
        <v>907</v>
      </c>
      <c r="L33" s="5814">
        <f>$F$33*$I$33/1000</f>
        <v>407898</v>
      </c>
    </row>
    <row r="34" spans="1:12" s="5782" customFormat="1">
      <c r="A34" s="5818"/>
      <c r="B34" s="5819"/>
      <c r="C34" s="6036"/>
      <c r="D34" s="6036"/>
      <c r="E34" s="6036"/>
      <c r="F34" s="6034" t="s">
        <v>906</v>
      </c>
      <c r="G34" s="6034"/>
      <c r="I34" s="6037" t="s">
        <v>4677</v>
      </c>
      <c r="J34" s="6037"/>
      <c r="L34" s="6039" t="s">
        <v>1267</v>
      </c>
    </row>
    <row r="35" spans="1:12" s="5782" customFormat="1">
      <c r="A35" s="5818"/>
      <c r="B35" s="5819"/>
      <c r="C35" s="5820"/>
      <c r="D35" s="5820"/>
      <c r="E35" s="5820"/>
      <c r="F35" s="5821"/>
      <c r="G35" s="5821"/>
      <c r="I35" s="5822"/>
      <c r="J35" s="5822"/>
      <c r="L35" s="6040"/>
    </row>
    <row r="36" spans="1:12" s="5782" customFormat="1">
      <c r="A36" s="5823"/>
      <c r="B36" s="5824"/>
      <c r="C36" s="6036" t="str">
        <f>"Tax Collection Ratio for "&amp;OpenData!$P$5</f>
        <v>Tax Collection Ratio for 2020</v>
      </c>
      <c r="D36" s="6036"/>
      <c r="E36" s="6036"/>
      <c r="F36" s="5825">
        <f>IF($C$28=0,0,($E$28/$C$28)*100)</f>
        <v>96.269000000000005</v>
      </c>
      <c r="G36" s="5815" t="s">
        <v>886</v>
      </c>
    </row>
    <row r="37" spans="1:12" s="5782" customFormat="1">
      <c r="B37" s="5824"/>
    </row>
    <row r="38" spans="1:12" s="5782" customFormat="1">
      <c r="B38" s="5824"/>
    </row>
    <row r="39" spans="1:12" s="5782" customFormat="1">
      <c r="B39" s="5824"/>
    </row>
    <row r="40" spans="1:12">
      <c r="B40" s="5824"/>
    </row>
    <row r="41" spans="1:12">
      <c r="B41" s="5824"/>
    </row>
    <row r="58" spans="5:6">
      <c r="E58" s="5824"/>
      <c r="F58" s="5824"/>
    </row>
    <row r="65" spans="1:1">
      <c r="A65" s="5826"/>
    </row>
  </sheetData>
  <sheetProtection algorithmName="SHA-512" hashValue="hWn7uDE8bOM7JbvLhVC3aViilnszKfMKyjZ9sM9qgrRgZWyKszAaxBeE6LBobmczz/HVmJ6yCWwAGFYbJqFnSQ==" saltValue="j3MfO9pbUsHJskERzAYwlw==" spinCount="100000" sheet="1" objects="1" scenarios="1"/>
  <mergeCells count="26">
    <mergeCell ref="L34:L35"/>
    <mergeCell ref="L31:L32"/>
    <mergeCell ref="A8:A10"/>
    <mergeCell ref="A4:L4"/>
    <mergeCell ref="A5:L5"/>
    <mergeCell ref="G9:G10"/>
    <mergeCell ref="I9:I10"/>
    <mergeCell ref="J9:J10"/>
    <mergeCell ref="K9:K10"/>
    <mergeCell ref="C9:C10"/>
    <mergeCell ref="D9:D10"/>
    <mergeCell ref="E9:E10"/>
    <mergeCell ref="F9:F10"/>
    <mergeCell ref="I30:J30"/>
    <mergeCell ref="B9:B10"/>
    <mergeCell ref="G7:L7"/>
    <mergeCell ref="I31:J31"/>
    <mergeCell ref="F30:G30"/>
    <mergeCell ref="F31:G31"/>
    <mergeCell ref="C30:E31"/>
    <mergeCell ref="C36:E36"/>
    <mergeCell ref="I34:J34"/>
    <mergeCell ref="I33:J33"/>
    <mergeCell ref="F34:G34"/>
    <mergeCell ref="F33:G33"/>
    <mergeCell ref="C33:E34"/>
  </mergeCells>
  <phoneticPr fontId="13" type="noConversion"/>
  <hyperlinks>
    <hyperlink ref="M1" location="Contents!F1" display="Return to Contents page"/>
  </hyperlinks>
  <printOptions horizontalCentered="1"/>
  <pageMargins left="0.75" right="0.75" top="0.5" bottom="0.5" header="0.3" footer="0.3"/>
  <pageSetup scale="75" fitToHeight="0" orientation="landscape" blackAndWhite="1" r:id="rId1"/>
  <headerFooter scaleWithDoc="0">
    <oddFooter>&amp;L&amp;"Open Sans Light,Regular"&amp;9&amp;D   &amp;T&amp;C&amp;"Open Sans Light,Regular"&amp;9Page &amp;P&amp;R&amp;"Open Sans Light,Regular"&amp;9Code 04</oddFoot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4" tint="0.39997558519241921"/>
    <pageSetUpPr fitToPage="1"/>
  </sheetPr>
  <dimension ref="A1:AA62"/>
  <sheetViews>
    <sheetView showGridLines="0" zoomScaleNormal="100" zoomScaleSheetLayoutView="100" workbookViewId="0">
      <pane ySplit="7" topLeftCell="A35" activePane="bottomLeft" state="frozen"/>
      <selection activeCell="B22" sqref="B22"/>
      <selection pane="bottomLeft" activeCell="B22" sqref="B22"/>
    </sheetView>
  </sheetViews>
  <sheetFormatPr defaultColWidth="10.6640625" defaultRowHeight="15"/>
  <cols>
    <col min="1" max="1" width="4.6640625" style="5838" customWidth="1"/>
    <col min="2" max="2" width="36.6640625" style="5837" customWidth="1"/>
    <col min="3" max="3" width="10.6640625" style="5837" customWidth="1"/>
    <col min="4" max="4" width="8.109375" style="5837" customWidth="1"/>
    <col min="5" max="6" width="11.6640625" style="5837" customWidth="1"/>
    <col min="7" max="8" width="10.6640625" style="5837" customWidth="1"/>
    <col min="9" max="12" width="11.6640625" style="5837" customWidth="1"/>
    <col min="13" max="13" width="2.109375" style="5835" customWidth="1"/>
    <col min="14" max="14" width="6.44140625" style="5835" customWidth="1"/>
    <col min="15" max="15" width="14.109375" style="5837" customWidth="1"/>
    <col min="16" max="16" width="28.109375" style="5837" customWidth="1"/>
    <col min="17" max="17" width="1.44140625" style="5837" customWidth="1"/>
    <col min="18" max="18" width="11.33203125" style="5837" bestFit="1" customWidth="1"/>
    <col min="19" max="27" width="10.6640625" style="5837"/>
    <col min="28" max="16384" width="10.6640625" style="5838"/>
  </cols>
  <sheetData>
    <row r="1" spans="1:18">
      <c r="A1" s="5628" t="s">
        <v>1727</v>
      </c>
      <c r="B1" s="5628"/>
      <c r="C1" s="5628"/>
      <c r="D1" s="5832"/>
      <c r="E1" s="5832"/>
      <c r="F1" s="5832"/>
      <c r="G1" s="5832"/>
      <c r="H1" s="5832"/>
      <c r="I1" s="5832"/>
      <c r="J1" s="5833"/>
      <c r="K1" s="5834"/>
      <c r="L1" s="5751" t="str">
        <f>"USD #"&amp;OPEN!$B$4</f>
        <v>USD #237</v>
      </c>
      <c r="N1" s="5836" t="s">
        <v>754</v>
      </c>
      <c r="Q1" s="5784"/>
      <c r="R1" s="5784"/>
    </row>
    <row r="2" spans="1:18">
      <c r="A2" s="6061" t="s">
        <v>910</v>
      </c>
      <c r="B2" s="6061"/>
      <c r="C2" s="5839" t="str">
        <f>IF($O$22&lt;&gt;0,"ERROR: Bonded Indebtedness for 7/1/"&amp;OpenData!$Q$5&amp;" on Open page (cell F136) does not match Grand Total in column 4.","")</f>
        <v/>
      </c>
      <c r="D2" s="5832"/>
      <c r="E2" s="5832"/>
      <c r="F2" s="5832"/>
      <c r="G2" s="5832"/>
      <c r="H2" s="5832"/>
      <c r="I2" s="5832"/>
      <c r="J2" s="5832"/>
      <c r="K2" s="5832"/>
      <c r="L2" s="3577" t="str">
        <f>OpenData!$N$2</f>
        <v>2021-2022</v>
      </c>
      <c r="M2" s="3577"/>
      <c r="N2" s="3577"/>
    </row>
    <row r="3" spans="1:18">
      <c r="A3" s="6062" t="s">
        <v>911</v>
      </c>
      <c r="B3" s="6062"/>
      <c r="C3" s="6062"/>
      <c r="D3" s="6062"/>
      <c r="E3" s="6062"/>
      <c r="F3" s="6062"/>
      <c r="G3" s="6062"/>
      <c r="H3" s="6062"/>
      <c r="I3" s="6062"/>
      <c r="J3" s="6062"/>
      <c r="K3" s="6062"/>
      <c r="L3" s="6062"/>
      <c r="M3" s="3869"/>
      <c r="N3" s="3869"/>
    </row>
    <row r="4" spans="1:18" ht="30" customHeight="1">
      <c r="A4" s="6065" t="s">
        <v>5300</v>
      </c>
      <c r="B4" s="6065"/>
      <c r="C4" s="6065"/>
      <c r="D4" s="6065"/>
      <c r="E4" s="6065"/>
      <c r="F4" s="6065"/>
      <c r="G4" s="6065"/>
      <c r="H4" s="6065"/>
      <c r="I4" s="6065"/>
      <c r="J4" s="6065"/>
      <c r="K4" s="6065"/>
      <c r="L4" s="6065"/>
      <c r="M4" s="3869"/>
      <c r="N4" s="3869"/>
    </row>
    <row r="5" spans="1:18" ht="17.399999999999999" customHeight="1">
      <c r="A5" s="5840"/>
      <c r="B5" s="3869"/>
      <c r="C5" s="5841">
        <v>1</v>
      </c>
      <c r="D5" s="5841">
        <v>2</v>
      </c>
      <c r="E5" s="5841">
        <v>3</v>
      </c>
      <c r="F5" s="5841">
        <v>4</v>
      </c>
      <c r="G5" s="5841">
        <v>5</v>
      </c>
      <c r="H5" s="5841">
        <v>6</v>
      </c>
      <c r="I5" s="5841">
        <v>7</v>
      </c>
      <c r="J5" s="5841">
        <v>8</v>
      </c>
      <c r="K5" s="5841">
        <v>9</v>
      </c>
      <c r="L5" s="5841">
        <v>10</v>
      </c>
      <c r="M5" s="5842"/>
      <c r="N5" s="5842"/>
      <c r="O5" s="5838"/>
    </row>
    <row r="6" spans="1:18">
      <c r="A6" s="6068" t="s">
        <v>4683</v>
      </c>
      <c r="B6" s="6070" t="s">
        <v>914</v>
      </c>
      <c r="C6" s="6066" t="s">
        <v>4679</v>
      </c>
      <c r="D6" s="6066" t="s">
        <v>4680</v>
      </c>
      <c r="E6" s="6066" t="s">
        <v>4681</v>
      </c>
      <c r="F6" s="6066" t="str">
        <f>"Principal Oustanding 7/1/"&amp;OpenData!$Q$5</f>
        <v>Principal Oustanding 7/1/2021</v>
      </c>
      <c r="G6" s="6063" t="s">
        <v>912</v>
      </c>
      <c r="H6" s="6064"/>
      <c r="I6" s="6063" t="str">
        <f>"Due in "&amp;OpenData!$P$4</f>
        <v>Due in 2021-2022</v>
      </c>
      <c r="J6" s="6064"/>
      <c r="K6" s="6063" t="str">
        <f>"Due July-Dec. "&amp;OpenData!$S$5</f>
        <v>Due July-Dec. 2022</v>
      </c>
      <c r="L6" s="6064"/>
      <c r="M6" s="5843"/>
      <c r="N6" s="5843"/>
      <c r="O6" s="5844"/>
    </row>
    <row r="7" spans="1:18" ht="29.1" customHeight="1" thickBot="1">
      <c r="A7" s="6069"/>
      <c r="B7" s="6071"/>
      <c r="C7" s="6067"/>
      <c r="D7" s="6067"/>
      <c r="E7" s="6067"/>
      <c r="F7" s="6067"/>
      <c r="G7" s="5845" t="s">
        <v>1418</v>
      </c>
      <c r="H7" s="5845" t="s">
        <v>919</v>
      </c>
      <c r="I7" s="5845" t="s">
        <v>1418</v>
      </c>
      <c r="J7" s="5845" t="s">
        <v>919</v>
      </c>
      <c r="K7" s="5845" t="s">
        <v>1418</v>
      </c>
      <c r="L7" s="5845" t="s">
        <v>919</v>
      </c>
      <c r="M7" s="5846"/>
      <c r="N7" s="5846"/>
      <c r="O7" s="5844"/>
    </row>
    <row r="8" spans="1:18" ht="15" customHeight="1" thickTop="1">
      <c r="A8" s="6090" t="s">
        <v>4684</v>
      </c>
      <c r="B8" s="5847"/>
      <c r="C8" s="5848"/>
      <c r="D8" s="5849"/>
      <c r="E8" s="5850"/>
      <c r="F8" s="5850"/>
      <c r="G8" s="5848"/>
      <c r="H8" s="5848"/>
      <c r="I8" s="5850"/>
      <c r="J8" s="5850"/>
      <c r="K8" s="5850"/>
      <c r="L8" s="5850"/>
      <c r="M8" s="5851"/>
      <c r="N8" s="6057" t="s">
        <v>5301</v>
      </c>
      <c r="O8" s="6058"/>
      <c r="P8" s="6058"/>
      <c r="Q8" s="5852"/>
      <c r="R8" s="5853"/>
    </row>
    <row r="9" spans="1:18" ht="15" customHeight="1">
      <c r="A9" s="6091"/>
      <c r="B9" s="5854"/>
      <c r="C9" s="5855"/>
      <c r="D9" s="5856"/>
      <c r="E9" s="5857"/>
      <c r="F9" s="5857"/>
      <c r="G9" s="5855"/>
      <c r="H9" s="5855"/>
      <c r="I9" s="5857"/>
      <c r="J9" s="5857"/>
      <c r="K9" s="5857"/>
      <c r="L9" s="5857"/>
      <c r="M9" s="5851"/>
      <c r="N9" s="6059"/>
      <c r="O9" s="6060"/>
      <c r="P9" s="6060"/>
      <c r="Q9" s="5858"/>
      <c r="R9" s="5853"/>
    </row>
    <row r="10" spans="1:18" ht="15" customHeight="1">
      <c r="A10" s="6091"/>
      <c r="B10" s="5854"/>
      <c r="C10" s="5855"/>
      <c r="D10" s="5856"/>
      <c r="E10" s="5857"/>
      <c r="F10" s="5857"/>
      <c r="G10" s="5855"/>
      <c r="H10" s="5855"/>
      <c r="I10" s="5857"/>
      <c r="J10" s="5857"/>
      <c r="K10" s="5857"/>
      <c r="L10" s="5857"/>
      <c r="M10" s="5851"/>
      <c r="N10" s="6059"/>
      <c r="O10" s="6060"/>
      <c r="P10" s="6060"/>
      <c r="Q10" s="5858"/>
      <c r="R10" s="5853"/>
    </row>
    <row r="11" spans="1:18" ht="15" customHeight="1">
      <c r="A11" s="6091"/>
      <c r="B11" s="5854"/>
      <c r="C11" s="5855"/>
      <c r="D11" s="5856"/>
      <c r="E11" s="5857"/>
      <c r="F11" s="5857"/>
      <c r="G11" s="5855"/>
      <c r="H11" s="5855"/>
      <c r="I11" s="5857"/>
      <c r="J11" s="5857"/>
      <c r="K11" s="5857"/>
      <c r="L11" s="5857"/>
      <c r="M11" s="5851"/>
      <c r="N11" s="6059"/>
      <c r="O11" s="6060"/>
      <c r="P11" s="6060"/>
      <c r="Q11" s="5858"/>
      <c r="R11" s="5853"/>
    </row>
    <row r="12" spans="1:18" ht="15" customHeight="1">
      <c r="A12" s="6091"/>
      <c r="B12" s="5854"/>
      <c r="C12" s="5855"/>
      <c r="D12" s="5856"/>
      <c r="E12" s="5857"/>
      <c r="F12" s="5857"/>
      <c r="G12" s="5855"/>
      <c r="H12" s="5855"/>
      <c r="I12" s="5857"/>
      <c r="J12" s="5857"/>
      <c r="K12" s="5857"/>
      <c r="L12" s="5857"/>
      <c r="M12" s="5851"/>
      <c r="N12" s="6059"/>
      <c r="O12" s="6060"/>
      <c r="P12" s="6060"/>
      <c r="Q12" s="5858"/>
      <c r="R12" s="5853"/>
    </row>
    <row r="13" spans="1:18" ht="15" customHeight="1">
      <c r="A13" s="6091"/>
      <c r="B13" s="5854"/>
      <c r="C13" s="5855"/>
      <c r="D13" s="5856"/>
      <c r="E13" s="5857"/>
      <c r="F13" s="5857"/>
      <c r="G13" s="5855"/>
      <c r="H13" s="5855"/>
      <c r="I13" s="5857"/>
      <c r="J13" s="5857"/>
      <c r="K13" s="5857"/>
      <c r="L13" s="5857"/>
      <c r="M13" s="5851"/>
      <c r="N13" s="6059"/>
      <c r="O13" s="6060"/>
      <c r="P13" s="6060"/>
      <c r="Q13" s="5858"/>
      <c r="R13" s="5853"/>
    </row>
    <row r="14" spans="1:18" ht="15" customHeight="1">
      <c r="A14" s="6091"/>
      <c r="B14" s="5854"/>
      <c r="C14" s="5855"/>
      <c r="D14" s="5856"/>
      <c r="E14" s="5857"/>
      <c r="F14" s="5857"/>
      <c r="G14" s="5855"/>
      <c r="H14" s="5855"/>
      <c r="I14" s="5857"/>
      <c r="J14" s="5857"/>
      <c r="K14" s="5857"/>
      <c r="L14" s="5857"/>
      <c r="M14" s="5851"/>
      <c r="N14" s="6059"/>
      <c r="O14" s="6060"/>
      <c r="P14" s="6060"/>
      <c r="Q14" s="5858"/>
      <c r="R14" s="5853"/>
    </row>
    <row r="15" spans="1:18" ht="15" customHeight="1">
      <c r="A15" s="6091"/>
      <c r="B15" s="5854"/>
      <c r="C15" s="5855"/>
      <c r="D15" s="5856"/>
      <c r="E15" s="5857"/>
      <c r="F15" s="5857"/>
      <c r="G15" s="5855"/>
      <c r="H15" s="5855"/>
      <c r="I15" s="5857"/>
      <c r="J15" s="5857"/>
      <c r="K15" s="5857"/>
      <c r="L15" s="5857"/>
      <c r="M15" s="5851"/>
      <c r="N15" s="6059"/>
      <c r="O15" s="6060"/>
      <c r="P15" s="6060"/>
      <c r="Q15" s="5858"/>
      <c r="R15" s="5853"/>
    </row>
    <row r="16" spans="1:18" ht="15" customHeight="1">
      <c r="A16" s="6091"/>
      <c r="B16" s="5854"/>
      <c r="C16" s="5855"/>
      <c r="D16" s="5856"/>
      <c r="E16" s="5857"/>
      <c r="F16" s="5857"/>
      <c r="G16" s="5855"/>
      <c r="H16" s="5855"/>
      <c r="I16" s="5857"/>
      <c r="J16" s="5857"/>
      <c r="K16" s="5857"/>
      <c r="L16" s="5857"/>
      <c r="M16" s="5851"/>
      <c r="N16" s="6072" t="s">
        <v>5106</v>
      </c>
      <c r="O16" s="6073"/>
      <c r="P16" s="6073"/>
      <c r="Q16" s="5858"/>
      <c r="R16" s="5859"/>
    </row>
    <row r="17" spans="1:18" ht="15" customHeight="1" thickBot="1">
      <c r="A17" s="6091"/>
      <c r="B17" s="5854"/>
      <c r="C17" s="5855"/>
      <c r="D17" s="5856"/>
      <c r="E17" s="5857"/>
      <c r="F17" s="5857"/>
      <c r="G17" s="5855"/>
      <c r="H17" s="5855"/>
      <c r="I17" s="5857"/>
      <c r="J17" s="5857"/>
      <c r="K17" s="5857"/>
      <c r="L17" s="5857"/>
      <c r="M17" s="5851"/>
      <c r="N17" s="5860">
        <f>OpenData!$S$5</f>
        <v>2022</v>
      </c>
      <c r="O17" s="6074" t="s">
        <v>5107</v>
      </c>
      <c r="P17" s="6074"/>
      <c r="Q17" s="5861"/>
      <c r="R17" s="5859"/>
    </row>
    <row r="18" spans="1:18" ht="15" customHeight="1" thickTop="1">
      <c r="A18" s="6091"/>
      <c r="B18" s="5854"/>
      <c r="C18" s="5855"/>
      <c r="D18" s="5856"/>
      <c r="E18" s="5857"/>
      <c r="F18" s="5857"/>
      <c r="G18" s="5855"/>
      <c r="H18" s="5855"/>
      <c r="I18" s="5857"/>
      <c r="J18" s="5857"/>
      <c r="K18" s="5857"/>
      <c r="L18" s="5857"/>
      <c r="M18" s="5851"/>
      <c r="N18" s="5862"/>
      <c r="O18" s="5862"/>
      <c r="P18" s="5862"/>
      <c r="Q18" s="5862"/>
      <c r="R18" s="5862"/>
    </row>
    <row r="19" spans="1:18" ht="15" customHeight="1">
      <c r="A19" s="6091"/>
      <c r="B19" s="5854"/>
      <c r="C19" s="5855"/>
      <c r="D19" s="5856"/>
      <c r="E19" s="5857"/>
      <c r="F19" s="5857"/>
      <c r="G19" s="5855"/>
      <c r="H19" s="5855"/>
      <c r="I19" s="5857"/>
      <c r="J19" s="5857"/>
      <c r="K19" s="5857"/>
      <c r="L19" s="5857"/>
      <c r="M19" s="5851"/>
      <c r="N19" s="6083" t="str">
        <f>"C05 vs Open Page (principal outstanding 7/1/"&amp;OpenData!Q5&amp;")"</f>
        <v>C05 vs Open Page (principal outstanding 7/1/2021)</v>
      </c>
      <c r="O19" s="6083"/>
      <c r="P19" s="6083"/>
      <c r="Q19" s="6083"/>
    </row>
    <row r="20" spans="1:18" ht="15" customHeight="1">
      <c r="A20" s="6091"/>
      <c r="B20" s="5854"/>
      <c r="C20" s="5855"/>
      <c r="D20" s="5856"/>
      <c r="E20" s="5857"/>
      <c r="F20" s="5857"/>
      <c r="G20" s="5855"/>
      <c r="H20" s="5855"/>
      <c r="I20" s="5857"/>
      <c r="J20" s="5857"/>
      <c r="K20" s="5857"/>
      <c r="L20" s="5857"/>
      <c r="M20" s="5851"/>
      <c r="N20" s="5863"/>
      <c r="O20" s="5864">
        <f>$F$42</f>
        <v>0</v>
      </c>
      <c r="P20" s="5865" t="s">
        <v>5302</v>
      </c>
      <c r="Q20" s="5866" t="str">
        <f ca="1">CELL("address",Prior_to_July_1_2015_Total)</f>
        <v>$F$29</v>
      </c>
    </row>
    <row r="21" spans="1:18" ht="15" customHeight="1">
      <c r="A21" s="6091"/>
      <c r="B21" s="5854"/>
      <c r="C21" s="5855"/>
      <c r="D21" s="5856"/>
      <c r="E21" s="5857"/>
      <c r="F21" s="5857"/>
      <c r="G21" s="5855"/>
      <c r="H21" s="5855"/>
      <c r="I21" s="5857"/>
      <c r="J21" s="5857"/>
      <c r="K21" s="5857"/>
      <c r="L21" s="5857"/>
      <c r="M21" s="5851"/>
      <c r="N21" s="3617" t="s">
        <v>4828</v>
      </c>
      <c r="O21" s="5867">
        <f>OPEN!$F$129</f>
        <v>0</v>
      </c>
      <c r="P21" s="5863" t="s">
        <v>5303</v>
      </c>
      <c r="Q21" s="5863"/>
    </row>
    <row r="22" spans="1:18" ht="15" customHeight="1">
      <c r="A22" s="6091"/>
      <c r="B22" s="5854"/>
      <c r="C22" s="5855"/>
      <c r="D22" s="5856"/>
      <c r="E22" s="5857"/>
      <c r="F22" s="5857"/>
      <c r="G22" s="5855"/>
      <c r="H22" s="5855"/>
      <c r="I22" s="5857"/>
      <c r="J22" s="5857"/>
      <c r="K22" s="5857"/>
      <c r="L22" s="5857"/>
      <c r="M22" s="5851"/>
      <c r="N22" s="5863"/>
      <c r="O22" s="5864">
        <f>$O$20-$O$21</f>
        <v>0</v>
      </c>
      <c r="P22" s="5868" t="str">
        <f>IF($O$22&lt;&gt;0,"&lt; Error - should be 0.  Correct on Open page (cell ) or C05 Column 4","")</f>
        <v/>
      </c>
    </row>
    <row r="23" spans="1:18" ht="15" customHeight="1">
      <c r="A23" s="6086"/>
      <c r="B23" s="5847"/>
      <c r="C23" s="5869"/>
      <c r="D23" s="5870"/>
      <c r="E23" s="5871"/>
      <c r="F23" s="5871"/>
      <c r="G23" s="5869"/>
      <c r="H23" s="5869"/>
      <c r="I23" s="5871"/>
      <c r="J23" s="5871"/>
      <c r="K23" s="5871"/>
      <c r="L23" s="5871"/>
      <c r="M23" s="5851"/>
      <c r="N23" s="5851"/>
    </row>
    <row r="24" spans="1:18" ht="15" customHeight="1">
      <c r="A24" s="6086"/>
      <c r="B24" s="5847"/>
      <c r="C24" s="5869"/>
      <c r="D24" s="5870"/>
      <c r="E24" s="5871"/>
      <c r="F24" s="5871"/>
      <c r="G24" s="5869"/>
      <c r="H24" s="5869"/>
      <c r="I24" s="5871"/>
      <c r="J24" s="5871"/>
      <c r="K24" s="5871"/>
      <c r="L24" s="5871"/>
      <c r="M24" s="5851"/>
      <c r="N24" s="5851"/>
    </row>
    <row r="25" spans="1:18" ht="15" customHeight="1">
      <c r="A25" s="6086"/>
      <c r="B25" s="5847"/>
      <c r="C25" s="5869"/>
      <c r="D25" s="5870"/>
      <c r="E25" s="5871"/>
      <c r="F25" s="5871"/>
      <c r="G25" s="5869"/>
      <c r="H25" s="5869"/>
      <c r="I25" s="5871"/>
      <c r="J25" s="5871"/>
      <c r="K25" s="5871"/>
      <c r="L25" s="5871"/>
      <c r="M25" s="5851"/>
      <c r="N25" s="5872"/>
    </row>
    <row r="26" spans="1:18" ht="15" customHeight="1">
      <c r="A26" s="6086"/>
      <c r="B26" s="5847"/>
      <c r="C26" s="5869"/>
      <c r="D26" s="5870"/>
      <c r="E26" s="5871"/>
      <c r="F26" s="5871"/>
      <c r="G26" s="5869"/>
      <c r="H26" s="5869"/>
      <c r="I26" s="5871"/>
      <c r="J26" s="5871"/>
      <c r="K26" s="5871"/>
      <c r="L26" s="5871"/>
      <c r="M26" s="5851"/>
      <c r="N26" s="5873"/>
    </row>
    <row r="27" spans="1:18" ht="15" customHeight="1">
      <c r="A27" s="6086"/>
      <c r="B27" s="5847"/>
      <c r="C27" s="5869"/>
      <c r="D27" s="5870"/>
      <c r="E27" s="5871"/>
      <c r="F27" s="5871"/>
      <c r="G27" s="5869"/>
      <c r="H27" s="5869"/>
      <c r="I27" s="5871"/>
      <c r="J27" s="5871"/>
      <c r="K27" s="5871"/>
      <c r="L27" s="5871"/>
      <c r="M27" s="5851"/>
      <c r="N27" s="5873"/>
    </row>
    <row r="28" spans="1:18" ht="15" customHeight="1">
      <c r="A28" s="6086"/>
      <c r="B28" s="5847"/>
      <c r="C28" s="5869"/>
      <c r="D28" s="5870"/>
      <c r="E28" s="5871"/>
      <c r="F28" s="5871"/>
      <c r="G28" s="5869"/>
      <c r="H28" s="5869"/>
      <c r="I28" s="5871"/>
      <c r="J28" s="5871"/>
      <c r="K28" s="5871"/>
      <c r="L28" s="5871"/>
      <c r="M28" s="5851"/>
      <c r="N28" s="5873"/>
    </row>
    <row r="29" spans="1:18" ht="15.6" thickBot="1">
      <c r="A29" s="6087"/>
      <c r="B29" s="6080" t="s">
        <v>916</v>
      </c>
      <c r="C29" s="6081"/>
      <c r="D29" s="6081"/>
      <c r="E29" s="6082"/>
      <c r="F29" s="5874">
        <f>SUM(F8:F28)</f>
        <v>0</v>
      </c>
      <c r="G29" s="6075"/>
      <c r="H29" s="6076"/>
      <c r="I29" s="3879">
        <f>SUM(I8:I28)</f>
        <v>0</v>
      </c>
      <c r="J29" s="3880">
        <f>SUM(J8:J28)</f>
        <v>0</v>
      </c>
      <c r="K29" s="3881">
        <f>SUM(K8:K28)</f>
        <v>0</v>
      </c>
      <c r="L29" s="3882">
        <f>SUM(L8:L28)</f>
        <v>0</v>
      </c>
      <c r="M29" s="5851"/>
      <c r="N29" s="5875"/>
    </row>
    <row r="30" spans="1:18" ht="15" customHeight="1">
      <c r="A30" s="6086" t="s">
        <v>4685</v>
      </c>
      <c r="B30" s="5876"/>
      <c r="C30" s="5848"/>
      <c r="D30" s="5877"/>
      <c r="E30" s="5850"/>
      <c r="F30" s="5850"/>
      <c r="G30" s="5848"/>
      <c r="H30" s="5848"/>
      <c r="I30" s="5857"/>
      <c r="J30" s="5857"/>
      <c r="K30" s="5857"/>
      <c r="L30" s="5857"/>
      <c r="M30" s="5878"/>
      <c r="N30" s="5873"/>
    </row>
    <row r="31" spans="1:18" ht="15" customHeight="1">
      <c r="A31" s="6086"/>
      <c r="B31" s="5879"/>
      <c r="C31" s="5869"/>
      <c r="D31" s="5880"/>
      <c r="E31" s="5871"/>
      <c r="F31" s="5871"/>
      <c r="G31" s="5869"/>
      <c r="H31" s="5869"/>
      <c r="I31" s="5871"/>
      <c r="J31" s="5871"/>
      <c r="K31" s="5871"/>
      <c r="L31" s="5871"/>
      <c r="M31" s="5851"/>
      <c r="N31" s="5873"/>
    </row>
    <row r="32" spans="1:18" ht="15" customHeight="1">
      <c r="A32" s="6086"/>
      <c r="B32" s="5879"/>
      <c r="C32" s="5869"/>
      <c r="D32" s="5880"/>
      <c r="E32" s="5871"/>
      <c r="F32" s="5871"/>
      <c r="G32" s="5869"/>
      <c r="H32" s="5869"/>
      <c r="I32" s="5871"/>
      <c r="J32" s="5871"/>
      <c r="K32" s="5871"/>
      <c r="L32" s="5871"/>
      <c r="M32" s="5851"/>
      <c r="N32" s="5873"/>
    </row>
    <row r="33" spans="1:27" ht="15" customHeight="1">
      <c r="A33" s="6086"/>
      <c r="B33" s="5879"/>
      <c r="C33" s="5869"/>
      <c r="D33" s="5880"/>
      <c r="E33" s="5871"/>
      <c r="F33" s="5871"/>
      <c r="G33" s="5869"/>
      <c r="H33" s="5869"/>
      <c r="I33" s="5871"/>
      <c r="J33" s="5871"/>
      <c r="K33" s="5871"/>
      <c r="L33" s="5871"/>
      <c r="M33" s="5851"/>
      <c r="N33" s="5873"/>
    </row>
    <row r="34" spans="1:27" ht="15" customHeight="1">
      <c r="A34" s="6086"/>
      <c r="B34" s="5879"/>
      <c r="C34" s="5869"/>
      <c r="D34" s="5880"/>
      <c r="E34" s="5871"/>
      <c r="F34" s="5871"/>
      <c r="G34" s="5869"/>
      <c r="H34" s="5869"/>
      <c r="I34" s="5871"/>
      <c r="J34" s="5871"/>
      <c r="K34" s="5871"/>
      <c r="L34" s="5871"/>
      <c r="M34" s="5851"/>
      <c r="N34" s="5873"/>
    </row>
    <row r="35" spans="1:27" ht="15.6" thickBot="1">
      <c r="A35" s="6087"/>
      <c r="B35" s="6080" t="s">
        <v>916</v>
      </c>
      <c r="C35" s="6081"/>
      <c r="D35" s="6081"/>
      <c r="E35" s="6082"/>
      <c r="F35" s="5874">
        <f>SUM(F30:F34)</f>
        <v>0</v>
      </c>
      <c r="G35" s="6075"/>
      <c r="H35" s="6076"/>
      <c r="I35" s="3879">
        <f>SUM(I30:I34)</f>
        <v>0</v>
      </c>
      <c r="J35" s="3880">
        <f>SUM(J30:J34)</f>
        <v>0</v>
      </c>
      <c r="K35" s="3881">
        <f>SUM(K30:K34)</f>
        <v>0</v>
      </c>
      <c r="L35" s="3882">
        <f>SUM(L30:L34)</f>
        <v>0</v>
      </c>
      <c r="M35" s="5851"/>
      <c r="N35" s="5873"/>
      <c r="Z35" s="5838"/>
      <c r="AA35" s="5838"/>
    </row>
    <row r="36" spans="1:27" ht="15" customHeight="1">
      <c r="A36" s="6088" t="s">
        <v>4686</v>
      </c>
      <c r="B36" s="5881"/>
      <c r="C36" s="5882"/>
      <c r="D36" s="5883"/>
      <c r="E36" s="5884"/>
      <c r="F36" s="5885"/>
      <c r="G36" s="5882"/>
      <c r="H36" s="5882"/>
      <c r="I36" s="5857"/>
      <c r="J36" s="5857"/>
      <c r="K36" s="5857"/>
      <c r="L36" s="5857"/>
      <c r="M36" s="5878"/>
      <c r="N36" s="5873"/>
      <c r="Z36" s="5838"/>
      <c r="AA36" s="5838"/>
    </row>
    <row r="37" spans="1:27" ht="15" customHeight="1">
      <c r="A37" s="6086"/>
      <c r="B37" s="5879"/>
      <c r="C37" s="5869"/>
      <c r="D37" s="5880"/>
      <c r="E37" s="5886"/>
      <c r="F37" s="5871"/>
      <c r="G37" s="5869"/>
      <c r="H37" s="5869"/>
      <c r="I37" s="5871"/>
      <c r="J37" s="5871"/>
      <c r="K37" s="5871"/>
      <c r="L37" s="5871"/>
      <c r="M37" s="5851"/>
      <c r="N37" s="5873"/>
      <c r="Z37" s="5838"/>
      <c r="AA37" s="5838"/>
    </row>
    <row r="38" spans="1:27" ht="15" customHeight="1">
      <c r="A38" s="6086"/>
      <c r="B38" s="5879"/>
      <c r="C38" s="5869"/>
      <c r="D38" s="5880"/>
      <c r="E38" s="5886"/>
      <c r="F38" s="5871"/>
      <c r="G38" s="5869"/>
      <c r="H38" s="5869"/>
      <c r="I38" s="5871"/>
      <c r="J38" s="5871"/>
      <c r="K38" s="5871"/>
      <c r="L38" s="5871"/>
      <c r="M38" s="5851"/>
      <c r="N38" s="5873"/>
    </row>
    <row r="39" spans="1:27" ht="15" customHeight="1">
      <c r="A39" s="6086"/>
      <c r="B39" s="5879"/>
      <c r="C39" s="5869"/>
      <c r="D39" s="5880"/>
      <c r="E39" s="5886"/>
      <c r="F39" s="5871"/>
      <c r="G39" s="5869"/>
      <c r="H39" s="5869"/>
      <c r="I39" s="5871"/>
      <c r="J39" s="5871"/>
      <c r="K39" s="5871"/>
      <c r="L39" s="5871"/>
      <c r="M39" s="5851"/>
      <c r="N39" s="5873"/>
    </row>
    <row r="40" spans="1:27" ht="15" customHeight="1">
      <c r="A40" s="6086"/>
      <c r="B40" s="5879"/>
      <c r="C40" s="5869"/>
      <c r="D40" s="5880"/>
      <c r="E40" s="5886"/>
      <c r="F40" s="5871"/>
      <c r="G40" s="5869"/>
      <c r="H40" s="5869"/>
      <c r="I40" s="5871"/>
      <c r="J40" s="5871"/>
      <c r="K40" s="5871"/>
      <c r="L40" s="5871"/>
      <c r="M40" s="5851"/>
      <c r="N40" s="5873"/>
    </row>
    <row r="41" spans="1:27" ht="15.6" thickBot="1">
      <c r="A41" s="6089"/>
      <c r="B41" s="6077" t="s">
        <v>916</v>
      </c>
      <c r="C41" s="6078"/>
      <c r="D41" s="6078"/>
      <c r="E41" s="6079"/>
      <c r="F41" s="5887">
        <f>SUM(F36:F40)</f>
        <v>0</v>
      </c>
      <c r="G41" s="5888"/>
      <c r="H41" s="5888"/>
      <c r="I41" s="3883">
        <f>SUM(I36:I40)</f>
        <v>0</v>
      </c>
      <c r="J41" s="3884">
        <f>SUM(J36:J40)</f>
        <v>0</v>
      </c>
      <c r="K41" s="3885">
        <f>SUM(K36:K40)</f>
        <v>0</v>
      </c>
      <c r="L41" s="3886">
        <f>SUM(L36:L40)</f>
        <v>0</v>
      </c>
      <c r="M41" s="5851"/>
      <c r="N41" s="5873"/>
    </row>
    <row r="42" spans="1:27" ht="18.75" customHeight="1" thickTop="1">
      <c r="A42" s="6084" t="s">
        <v>4682</v>
      </c>
      <c r="B42" s="6084"/>
      <c r="C42" s="6084"/>
      <c r="D42" s="6084"/>
      <c r="E42" s="6085"/>
      <c r="F42" s="5889">
        <f>SUM(F41,F35,F29)</f>
        <v>0</v>
      </c>
      <c r="G42" s="5890"/>
      <c r="H42" s="5890"/>
      <c r="I42" s="3887">
        <f>SUM(I41,I35,I29)</f>
        <v>0</v>
      </c>
      <c r="J42" s="3888">
        <f>SUM(J41,J35,J29)</f>
        <v>0</v>
      </c>
      <c r="K42" s="3889">
        <f>SUM(K41,K35,K29)</f>
        <v>0</v>
      </c>
      <c r="L42" s="3890">
        <f>SUM(L41,L35,L29)</f>
        <v>0</v>
      </c>
      <c r="M42" s="5878"/>
      <c r="N42" s="5873"/>
    </row>
    <row r="43" spans="1:27">
      <c r="B43" s="5891"/>
      <c r="C43" s="5891"/>
      <c r="D43" s="5891"/>
      <c r="E43" s="5891"/>
      <c r="F43" s="5891"/>
      <c r="G43" s="5891"/>
      <c r="H43" s="5891"/>
      <c r="I43" s="5891"/>
      <c r="J43" s="5891"/>
      <c r="K43" s="5891"/>
      <c r="L43" s="5891"/>
      <c r="M43" s="5878"/>
    </row>
    <row r="44" spans="1:27">
      <c r="B44" s="5832"/>
      <c r="C44" s="5892"/>
      <c r="D44" s="5832"/>
      <c r="E44" s="5832"/>
      <c r="F44" s="5832"/>
      <c r="G44" s="5832"/>
      <c r="H44" s="5832"/>
      <c r="I44" s="5832"/>
      <c r="J44" s="5832"/>
      <c r="K44" s="5832"/>
      <c r="L44" s="5832"/>
      <c r="M44" s="5872"/>
    </row>
    <row r="45" spans="1:27">
      <c r="B45" s="5832"/>
      <c r="C45" s="5892"/>
      <c r="D45" s="5832"/>
      <c r="E45" s="5832"/>
      <c r="F45" s="5832"/>
      <c r="G45" s="5832"/>
      <c r="H45" s="5832"/>
      <c r="I45" s="5832"/>
      <c r="J45" s="5832"/>
      <c r="K45" s="5832"/>
      <c r="L45" s="5832"/>
      <c r="M45" s="5873"/>
    </row>
    <row r="46" spans="1:27">
      <c r="B46" s="5832"/>
      <c r="C46" s="5892"/>
      <c r="D46" s="5832"/>
      <c r="E46" s="5832"/>
      <c r="F46" s="5832"/>
      <c r="G46" s="5832"/>
      <c r="H46" s="5832"/>
      <c r="I46" s="5832"/>
      <c r="J46" s="5832"/>
      <c r="K46" s="5832"/>
      <c r="L46" s="5832"/>
      <c r="M46" s="5873"/>
    </row>
    <row r="47" spans="1:27">
      <c r="B47" s="5893"/>
      <c r="C47" s="5894"/>
      <c r="D47" s="5893"/>
      <c r="E47" s="5893"/>
      <c r="F47" s="5893"/>
      <c r="G47" s="5893"/>
      <c r="H47" s="5893"/>
      <c r="I47" s="5893"/>
      <c r="J47" s="5893"/>
      <c r="K47" s="5893"/>
      <c r="L47" s="5893"/>
      <c r="M47" s="5873"/>
    </row>
    <row r="48" spans="1:27">
      <c r="B48" s="5832"/>
      <c r="C48" s="5892"/>
      <c r="D48" s="5832"/>
      <c r="E48" s="5832"/>
      <c r="F48" s="5832"/>
      <c r="G48" s="5832"/>
      <c r="H48" s="5832"/>
      <c r="I48" s="5832"/>
      <c r="J48" s="5832"/>
      <c r="K48" s="5832"/>
      <c r="L48" s="5832"/>
      <c r="M48" s="5875"/>
    </row>
    <row r="49" spans="2:13">
      <c r="B49" s="5832"/>
      <c r="C49" s="5895"/>
      <c r="D49" s="5832"/>
      <c r="E49" s="5832"/>
      <c r="F49" s="5832"/>
      <c r="G49" s="5832"/>
      <c r="H49" s="5832"/>
      <c r="I49" s="5832"/>
      <c r="J49" s="5832"/>
      <c r="K49" s="5832"/>
      <c r="L49" s="5832"/>
      <c r="M49" s="5873"/>
    </row>
    <row r="50" spans="2:13">
      <c r="B50" s="5832"/>
      <c r="C50" s="5895"/>
      <c r="D50" s="5832"/>
      <c r="E50" s="5832"/>
      <c r="F50" s="5832"/>
      <c r="G50" s="5832"/>
      <c r="H50" s="5832"/>
      <c r="I50" s="5832"/>
      <c r="J50" s="5832"/>
      <c r="K50" s="5832"/>
      <c r="L50" s="5832"/>
      <c r="M50" s="5873"/>
    </row>
    <row r="51" spans="2:13">
      <c r="B51" s="5832"/>
      <c r="C51" s="5895"/>
      <c r="D51" s="5832"/>
      <c r="E51" s="5832"/>
      <c r="F51" s="5832"/>
      <c r="G51" s="5832"/>
      <c r="H51" s="5832"/>
      <c r="I51" s="5832"/>
      <c r="J51" s="5832"/>
      <c r="K51" s="5832"/>
      <c r="L51" s="5832"/>
      <c r="M51" s="5873"/>
    </row>
    <row r="52" spans="2:13">
      <c r="B52" s="5832"/>
      <c r="C52" s="5895"/>
      <c r="D52" s="5832"/>
      <c r="E52" s="5832"/>
      <c r="F52" s="5832"/>
      <c r="G52" s="5832"/>
      <c r="H52" s="5832"/>
      <c r="I52" s="5832"/>
      <c r="J52" s="5832"/>
      <c r="K52" s="5832"/>
      <c r="L52" s="5832"/>
      <c r="M52" s="5873"/>
    </row>
    <row r="53" spans="2:13">
      <c r="B53" s="5832"/>
      <c r="C53" s="5895"/>
      <c r="D53" s="5832"/>
      <c r="E53" s="5832"/>
      <c r="F53" s="5832"/>
      <c r="G53" s="5832"/>
      <c r="H53" s="5832"/>
      <c r="I53" s="5832"/>
      <c r="J53" s="5832"/>
      <c r="K53" s="5832"/>
      <c r="L53" s="5832"/>
      <c r="M53" s="5873"/>
    </row>
    <row r="54" spans="2:13">
      <c r="B54" s="5832"/>
      <c r="C54" s="5895"/>
      <c r="D54" s="5832"/>
      <c r="E54" s="5832"/>
      <c r="F54" s="5832"/>
      <c r="G54" s="5832"/>
      <c r="H54" s="5832"/>
      <c r="I54" s="5832"/>
      <c r="J54" s="5832"/>
      <c r="K54" s="5832"/>
      <c r="L54" s="5832"/>
      <c r="M54" s="5873"/>
    </row>
    <row r="55" spans="2:13">
      <c r="B55" s="5832"/>
      <c r="C55" s="5895"/>
      <c r="D55" s="5832"/>
      <c r="E55" s="5832"/>
      <c r="F55" s="5832"/>
      <c r="G55" s="5832"/>
      <c r="H55" s="5832"/>
      <c r="I55" s="5832"/>
      <c r="J55" s="5832"/>
      <c r="K55" s="5832"/>
      <c r="L55" s="5832"/>
      <c r="M55" s="5873"/>
    </row>
    <row r="56" spans="2:13">
      <c r="B56" s="5832"/>
      <c r="C56" s="5895"/>
      <c r="D56" s="5832"/>
      <c r="E56" s="5832"/>
      <c r="F56" s="5832"/>
      <c r="G56" s="5832"/>
      <c r="H56" s="5832"/>
      <c r="I56" s="5832"/>
      <c r="J56" s="5832"/>
      <c r="K56" s="5832"/>
      <c r="L56" s="5832"/>
      <c r="M56" s="5873"/>
    </row>
    <row r="57" spans="2:13">
      <c r="B57" s="5832"/>
      <c r="C57" s="5895"/>
      <c r="D57" s="5832"/>
      <c r="E57" s="5832"/>
      <c r="F57" s="5832"/>
      <c r="G57" s="5832"/>
      <c r="H57" s="5832"/>
      <c r="I57" s="5832"/>
      <c r="J57" s="5832"/>
      <c r="K57" s="5832"/>
      <c r="L57" s="5832"/>
      <c r="M57" s="5873"/>
    </row>
    <row r="58" spans="2:13">
      <c r="B58" s="5832"/>
      <c r="C58" s="5895"/>
      <c r="D58" s="5832"/>
      <c r="E58" s="5832"/>
      <c r="F58" s="5832"/>
      <c r="G58" s="5832"/>
      <c r="H58" s="5832"/>
      <c r="I58" s="5832"/>
      <c r="J58" s="5832"/>
      <c r="K58" s="5832"/>
      <c r="L58" s="5832"/>
      <c r="M58" s="5873"/>
    </row>
    <row r="59" spans="2:13">
      <c r="B59" s="5832"/>
      <c r="C59" s="5895"/>
      <c r="D59" s="5832"/>
      <c r="E59" s="5832"/>
      <c r="F59" s="5832"/>
      <c r="G59" s="5832"/>
      <c r="H59" s="5832"/>
      <c r="I59" s="5832"/>
      <c r="J59" s="5832"/>
      <c r="K59" s="5832"/>
      <c r="L59" s="5832"/>
      <c r="M59" s="5873"/>
    </row>
    <row r="60" spans="2:13">
      <c r="B60" s="5832"/>
      <c r="C60" s="5895"/>
      <c r="D60" s="5832"/>
      <c r="E60" s="5832"/>
      <c r="F60" s="5832"/>
      <c r="G60" s="5832"/>
      <c r="H60" s="5832"/>
      <c r="I60" s="5832"/>
      <c r="J60" s="5832"/>
      <c r="K60" s="5832"/>
      <c r="L60" s="5832"/>
      <c r="M60" s="5873"/>
    </row>
    <row r="61" spans="2:13">
      <c r="B61" s="5832"/>
      <c r="C61" s="5895"/>
      <c r="D61" s="5832"/>
      <c r="E61" s="5832"/>
      <c r="F61" s="5832"/>
      <c r="G61" s="5832"/>
      <c r="H61" s="5832"/>
      <c r="I61" s="5832"/>
      <c r="J61" s="5832"/>
      <c r="K61" s="5832"/>
      <c r="L61" s="5832"/>
      <c r="M61" s="5873"/>
    </row>
    <row r="62" spans="2:13">
      <c r="M62" s="5873"/>
    </row>
  </sheetData>
  <sheetProtection algorithmName="SHA-512" hashValue="BYHffTiRFvXTyN42HZvdrht3L2sWuNa0rQx0WcEEmSy7V5ZKeqOIGmLlWOHpwPKP8U1OnzEQzvVHEJ/JRj/xFA==" saltValue="8Spjcf/ykrwXYUzfPnLocQ==" spinCount="100000" sheet="1" objects="1" scenarios="1"/>
  <mergeCells count="25">
    <mergeCell ref="A42:E42"/>
    <mergeCell ref="B35:E35"/>
    <mergeCell ref="A30:A35"/>
    <mergeCell ref="A36:A41"/>
    <mergeCell ref="A8:A29"/>
    <mergeCell ref="N16:P16"/>
    <mergeCell ref="O17:P17"/>
    <mergeCell ref="G29:H29"/>
    <mergeCell ref="G35:H35"/>
    <mergeCell ref="B41:E41"/>
    <mergeCell ref="B29:E29"/>
    <mergeCell ref="N19:Q19"/>
    <mergeCell ref="N8:P15"/>
    <mergeCell ref="A2:B2"/>
    <mergeCell ref="A3:L3"/>
    <mergeCell ref="G6:H6"/>
    <mergeCell ref="I6:J6"/>
    <mergeCell ref="K6:L6"/>
    <mergeCell ref="A4:L4"/>
    <mergeCell ref="F6:F7"/>
    <mergeCell ref="E6:E7"/>
    <mergeCell ref="D6:D7"/>
    <mergeCell ref="C6:C7"/>
    <mergeCell ref="A6:A7"/>
    <mergeCell ref="B6:B7"/>
  </mergeCells>
  <phoneticPr fontId="13" type="noConversion"/>
  <hyperlinks>
    <hyperlink ref="N1" location="Contents!F1" display="Return to Contents page"/>
  </hyperlinks>
  <printOptions horizontalCentered="1"/>
  <pageMargins left="0.75" right="0.75" top="0.5" bottom="0.5" header="0.3" footer="0.3"/>
  <pageSetup scale="81" fitToHeight="0" orientation="landscape" blackAndWhite="1" r:id="rId1"/>
  <headerFooter scaleWithDoc="0">
    <oddFooter>&amp;L&amp;9&amp;D   &amp;T&amp;C&amp;9Page &amp;P&amp;R&amp;9Code 05</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4" tint="0.39997558519241921"/>
  </sheetPr>
  <dimension ref="A1:Z163"/>
  <sheetViews>
    <sheetView showGridLines="0" zoomScaleNormal="100" zoomScaleSheetLayoutView="100" workbookViewId="0">
      <pane ySplit="8" topLeftCell="A99" activePane="bottomLeft" state="frozen"/>
      <selection activeCell="B22" sqref="B22"/>
      <selection pane="bottomLeft" activeCell="H1" sqref="H1"/>
    </sheetView>
  </sheetViews>
  <sheetFormatPr defaultColWidth="12.6640625" defaultRowHeight="12.75" customHeight="1"/>
  <cols>
    <col min="1" max="1" width="31.44140625" style="4684" customWidth="1"/>
    <col min="2" max="2" width="16.33203125" style="4684" customWidth="1"/>
    <col min="3" max="3" width="1.33203125" style="4684" customWidth="1"/>
    <col min="4" max="4" width="16.33203125" style="4684" customWidth="1"/>
    <col min="5" max="5" width="1.33203125" style="4684" customWidth="1"/>
    <col min="6" max="6" width="17.33203125" style="4684" customWidth="1"/>
    <col min="7" max="7" width="52.33203125" style="4684" customWidth="1"/>
    <col min="8" max="8" width="23.44140625" style="4684" customWidth="1"/>
    <col min="9" max="9" width="13.88671875" style="4684" customWidth="1"/>
    <col min="10" max="11" width="12.6640625" style="4684" customWidth="1"/>
    <col min="12" max="12" width="25" style="4684" customWidth="1"/>
    <col min="13" max="13" width="17.6640625" style="4684" customWidth="1"/>
    <col min="14" max="14" width="11.44140625" style="4684" customWidth="1"/>
    <col min="15" max="15" width="15.44140625" style="4684" customWidth="1"/>
    <col min="16" max="16" width="14.6640625" style="4684" customWidth="1"/>
    <col min="17" max="17" width="16.6640625" style="4684" customWidth="1"/>
    <col min="18" max="18" width="18.33203125" style="4684" customWidth="1"/>
    <col min="19" max="19" width="14.44140625" style="4684" customWidth="1"/>
    <col min="20" max="23" width="12.6640625" style="4684" customWidth="1"/>
    <col min="24" max="25" width="14" style="4684" customWidth="1"/>
    <col min="26" max="26" width="14.44140625" style="4684" customWidth="1"/>
    <col min="27" max="27" width="14.44140625" style="4691" customWidth="1"/>
    <col min="28" max="28" width="14.109375" style="4691" customWidth="1"/>
    <col min="29" max="30" width="12.6640625" style="4691" customWidth="1"/>
    <col min="31" max="31" width="8.88671875" style="4691" customWidth="1"/>
    <col min="32" max="32" width="11.109375" style="4691" customWidth="1"/>
    <col min="33" max="33" width="8.44140625" style="4691" customWidth="1"/>
    <col min="34" max="34" width="10.88671875" style="4691" customWidth="1"/>
    <col min="35" max="35" width="10.44140625" style="4691" customWidth="1"/>
    <col min="36" max="39" width="12.6640625" style="4691" customWidth="1"/>
    <col min="40" max="40" width="33.109375" style="4691" customWidth="1"/>
    <col min="41" max="16384" width="12.6640625" style="4691"/>
  </cols>
  <sheetData>
    <row r="1" spans="1:25" s="4684" customFormat="1" ht="17.25" customHeight="1">
      <c r="A1" s="4681"/>
      <c r="B1" s="4681"/>
      <c r="C1" s="4681"/>
      <c r="D1" s="4681"/>
      <c r="E1" s="4681"/>
      <c r="F1" s="4682"/>
      <c r="G1" s="4683"/>
      <c r="H1" s="4683" t="s">
        <v>754</v>
      </c>
      <c r="L1" s="4685"/>
      <c r="M1" s="4685" t="s">
        <v>865</v>
      </c>
      <c r="N1" s="4685"/>
      <c r="O1" s="4685"/>
      <c r="P1" s="4685"/>
      <c r="Q1" s="4685"/>
      <c r="R1" s="4685"/>
      <c r="S1" s="4685"/>
      <c r="T1" s="4685"/>
      <c r="U1" s="4685"/>
      <c r="V1" s="4685"/>
      <c r="W1" s="4686"/>
      <c r="X1" s="4686"/>
      <c r="Y1" s="4686"/>
    </row>
    <row r="2" spans="1:25" s="4684" customFormat="1" ht="15.75" customHeight="1">
      <c r="A2" s="4687"/>
      <c r="B2" s="4687"/>
      <c r="C2" s="4687"/>
      <c r="D2" s="4687"/>
      <c r="E2" s="4687"/>
      <c r="L2" s="4685"/>
      <c r="M2" s="4685" t="s">
        <v>656</v>
      </c>
      <c r="N2" s="4685" t="s">
        <v>1713</v>
      </c>
      <c r="O2" s="4685"/>
      <c r="P2" s="4685"/>
      <c r="Q2" s="4685"/>
      <c r="R2" s="4685"/>
      <c r="S2" s="4685"/>
      <c r="T2" s="4685"/>
      <c r="U2" s="4685"/>
      <c r="V2" s="4685"/>
      <c r="W2" s="4686"/>
      <c r="X2" s="4686"/>
      <c r="Y2" s="4686"/>
    </row>
    <row r="3" spans="1:25" ht="15.75" customHeight="1">
      <c r="A3" s="4688" t="s">
        <v>808</v>
      </c>
      <c r="B3" s="5933" t="str">
        <f>VLOOKUP(B4,DATA!$A$4:$BE$289,2,FALSE)</f>
        <v>237 - Smith Center</v>
      </c>
      <c r="C3" s="5934"/>
      <c r="D3" s="5934"/>
      <c r="E3" s="4687"/>
      <c r="G3" s="4689" t="str">
        <f>OpenData!$N$2</f>
        <v>2021-2022</v>
      </c>
      <c r="L3" s="4685"/>
      <c r="M3" s="4685" t="s">
        <v>657</v>
      </c>
      <c r="N3" s="4690">
        <v>42887</v>
      </c>
      <c r="O3" s="4685"/>
      <c r="P3" s="4685"/>
      <c r="Q3" s="4685"/>
      <c r="R3" s="4685"/>
      <c r="S3" s="4685"/>
      <c r="T3" s="4685"/>
      <c r="U3" s="4685"/>
      <c r="V3" s="4685"/>
      <c r="W3" s="4686"/>
      <c r="X3" s="4686"/>
      <c r="Y3" s="4686"/>
    </row>
    <row r="4" spans="1:25" ht="14.25" customHeight="1">
      <c r="A4" s="4688" t="s">
        <v>809</v>
      </c>
      <c r="B4" s="4692">
        <v>237</v>
      </c>
      <c r="C4" s="1"/>
      <c r="D4" s="1" t="s">
        <v>810</v>
      </c>
      <c r="E4" s="4687"/>
      <c r="L4" s="4685"/>
      <c r="M4" s="4685" t="s">
        <v>658</v>
      </c>
      <c r="N4" s="4685" t="s">
        <v>1366</v>
      </c>
      <c r="O4" s="4685" t="s">
        <v>1670</v>
      </c>
      <c r="P4" s="4685" t="s">
        <v>1713</v>
      </c>
      <c r="Q4" s="4685" t="s">
        <v>1057</v>
      </c>
      <c r="R4" s="4685" t="s">
        <v>1288</v>
      </c>
      <c r="S4" s="4685" t="s">
        <v>1277</v>
      </c>
      <c r="T4" s="4685" t="s">
        <v>1079</v>
      </c>
      <c r="U4" s="4693" t="s">
        <v>1078</v>
      </c>
      <c r="V4" s="4685"/>
      <c r="W4" s="4686"/>
      <c r="X4" s="4686"/>
      <c r="Y4" s="4686"/>
    </row>
    <row r="5" spans="1:25" ht="15" customHeight="1">
      <c r="A5" s="4688" t="s">
        <v>811</v>
      </c>
      <c r="B5" s="4694" t="str">
        <f>VLOOKUP(B4,DATA!$A$4:$BE$289,3,FALSE)</f>
        <v>Smith</v>
      </c>
      <c r="C5" s="1"/>
      <c r="D5" s="1"/>
      <c r="E5" s="4687"/>
      <c r="L5" s="4685"/>
      <c r="M5" s="4685" t="s">
        <v>659</v>
      </c>
      <c r="N5" s="4685">
        <v>2014</v>
      </c>
      <c r="O5" s="4685">
        <v>2015</v>
      </c>
      <c r="P5" s="4685">
        <v>2016</v>
      </c>
      <c r="Q5" s="4685">
        <v>2017</v>
      </c>
      <c r="R5" s="4685"/>
      <c r="S5" s="4685">
        <v>2018</v>
      </c>
      <c r="T5" s="4685">
        <v>2013</v>
      </c>
      <c r="U5" s="4685">
        <v>2019</v>
      </c>
      <c r="V5" s="4685"/>
      <c r="W5" s="4686"/>
      <c r="X5" s="4686"/>
      <c r="Y5" s="4686"/>
    </row>
    <row r="6" spans="1:25" s="4684" customFormat="1" ht="12.75" customHeight="1">
      <c r="A6" s="4695" t="str">
        <f>IF(AND(A7=" ",A8=" ",F7=" ",F6=" ",F8=" ")," ","The following red error messages will disappear when item is completed:")</f>
        <v xml:space="preserve"> </v>
      </c>
      <c r="B6" s="4687"/>
      <c r="C6" s="4687"/>
      <c r="D6" s="4687"/>
      <c r="E6" s="4687"/>
      <c r="F6" s="4695" t="str">
        <f>IF(A17&gt;0," ","*Capital Outlay Valuation is missing in Cell A17.")</f>
        <v xml:space="preserve"> </v>
      </c>
      <c r="L6" s="4685"/>
      <c r="M6" s="4685" t="s">
        <v>660</v>
      </c>
      <c r="N6" s="4685" t="s">
        <v>4411</v>
      </c>
      <c r="O6" s="4685"/>
      <c r="P6" s="4685"/>
      <c r="Q6" s="4685"/>
      <c r="R6" s="4685"/>
      <c r="S6" s="4685"/>
      <c r="T6" s="4685"/>
      <c r="U6" s="4685"/>
      <c r="V6" s="4685"/>
      <c r="W6" s="4686"/>
      <c r="X6" s="4686"/>
      <c r="Y6" s="4686"/>
    </row>
    <row r="7" spans="1:25" s="4684" customFormat="1" ht="12.75" customHeight="1">
      <c r="A7" s="4696" t="str">
        <f>IF(A125&gt;0," ","    *Delinquent tax rate for "&amp;OpenData!P14&amp;" left blank on Open.")</f>
        <v xml:space="preserve"> </v>
      </c>
      <c r="B7" s="4687"/>
      <c r="C7" s="4687"/>
      <c r="D7" s="4696"/>
      <c r="E7" s="4687"/>
      <c r="F7" s="4697" t="str">
        <f>IF(OR(Salaries!B56=0,Salaries!C56=0,Salaries!E56=0,Salaries!F56=0,Salaries!H56=0,Salaries!I56=0),"*Salaries page incomplete."," ")</f>
        <v xml:space="preserve"> </v>
      </c>
      <c r="L7" s="4685"/>
      <c r="M7" s="4685"/>
      <c r="N7" s="4685"/>
      <c r="O7" s="4685"/>
      <c r="P7" s="4685"/>
      <c r="Q7" s="4685"/>
      <c r="R7" s="4685"/>
      <c r="S7" s="4685"/>
      <c r="T7" s="4685"/>
      <c r="U7" s="4685"/>
      <c r="V7" s="4685"/>
      <c r="W7" s="4686"/>
      <c r="X7" s="4686"/>
      <c r="Y7" s="4686"/>
    </row>
    <row r="8" spans="1:25" s="4684" customFormat="1" ht="12.75" customHeight="1" thickBot="1">
      <c r="A8" s="4698" t="str">
        <f>IF(A152=0,"    *FTE Enrollment for budgeted year not filled out on Open page."," ")</f>
        <v xml:space="preserve"> </v>
      </c>
      <c r="B8" s="4699"/>
      <c r="C8" s="4700"/>
      <c r="D8" s="4700"/>
      <c r="E8" s="4700"/>
      <c r="F8" s="4698" t="str">
        <f>IF(A158&gt;0," ","*Headcount Eligible for Reduced Meals not filled out on Open.")</f>
        <v xml:space="preserve"> </v>
      </c>
      <c r="G8" s="4699"/>
      <c r="L8" s="4685"/>
      <c r="M8" s="4685" t="s">
        <v>661</v>
      </c>
      <c r="N8" s="4685" t="s">
        <v>4788</v>
      </c>
      <c r="O8" s="4685"/>
      <c r="P8" s="4685"/>
      <c r="Q8" s="4685"/>
      <c r="R8" s="4685" t="s">
        <v>254</v>
      </c>
      <c r="S8" s="4685" t="s">
        <v>1716</v>
      </c>
      <c r="T8" s="4685" t="s">
        <v>1718</v>
      </c>
      <c r="U8" s="4685"/>
      <c r="V8" s="4685"/>
      <c r="W8" s="4686"/>
      <c r="X8" s="4686"/>
      <c r="Y8" s="4686"/>
    </row>
    <row r="9" spans="1:25" ht="12.75" customHeight="1">
      <c r="A9" s="4701">
        <f>VLOOKUP($B$4,DATA!$A$4:$BJ$289,4,FALSE)</f>
        <v>47690239</v>
      </c>
      <c r="B9" s="4702" t="str">
        <f>"Final "&amp;OpenData!O5&amp;" Assessed Valuation (All funds except General.)"</f>
        <v>Final 2019 Assessed Valuation (All funds except General.)</v>
      </c>
      <c r="C9" s="4703"/>
      <c r="D9" s="4703"/>
      <c r="E9" s="4703"/>
      <c r="F9" s="4704"/>
      <c r="G9" s="4705"/>
      <c r="L9" s="4685"/>
      <c r="M9" s="4685"/>
      <c r="N9" s="4685" t="s">
        <v>1367</v>
      </c>
      <c r="O9" s="4685"/>
      <c r="P9" s="4685"/>
      <c r="Q9" s="4685"/>
      <c r="R9" s="4685"/>
      <c r="S9" s="4685" t="s">
        <v>1717</v>
      </c>
      <c r="T9" s="4685" t="s">
        <v>1719</v>
      </c>
      <c r="U9" s="4685"/>
      <c r="V9" s="4685"/>
      <c r="W9" s="4686"/>
      <c r="X9" s="4686"/>
      <c r="Y9" s="4686"/>
    </row>
    <row r="10" spans="1:25" ht="12.75" customHeight="1">
      <c r="A10" s="4701">
        <f>VLOOKUP($B$4,DATA!A4:BJ289,5,FALSE)</f>
        <v>44681009</v>
      </c>
      <c r="B10" s="4702" t="str">
        <f>"Final "&amp;OpenData!O5&amp;" General Fund Assessed Valuation"</f>
        <v>Final 2019 General Fund Assessed Valuation</v>
      </c>
      <c r="C10" s="4706"/>
      <c r="D10" s="4706"/>
      <c r="E10" s="4706"/>
      <c r="F10" s="4707"/>
      <c r="G10" s="4707"/>
      <c r="L10" s="4685"/>
      <c r="M10" s="4685"/>
      <c r="N10" s="4685" t="s">
        <v>1671</v>
      </c>
      <c r="O10" s="4685"/>
      <c r="P10" s="4685"/>
      <c r="Q10" s="4685"/>
      <c r="R10" s="4685"/>
      <c r="S10" s="4708">
        <v>43256</v>
      </c>
      <c r="T10" s="4685"/>
      <c r="U10" s="4685"/>
      <c r="V10" s="4685"/>
      <c r="W10" s="4686"/>
      <c r="X10" s="4686"/>
      <c r="Y10" s="4686"/>
    </row>
    <row r="11" spans="1:25" s="4684" customFormat="1" ht="12.75" customHeight="1">
      <c r="A11" s="4701">
        <f>VLOOKUP($B$4,DATA!A4:BL289,61,FALSE)</f>
        <v>47602770</v>
      </c>
      <c r="B11" s="4709" t="str">
        <f>"Final "&amp;OpenData!O5&amp;" Capital Outlay Assessed Valuation"</f>
        <v>Final 2019 Capital Outlay Assessed Valuation</v>
      </c>
      <c r="C11" s="4706"/>
      <c r="D11" s="4706"/>
      <c r="E11" s="4706"/>
      <c r="F11" s="4707"/>
      <c r="G11" s="4707"/>
      <c r="L11" s="4685"/>
      <c r="M11" s="4685"/>
      <c r="N11" s="4685" t="s">
        <v>1714</v>
      </c>
      <c r="O11" s="4685" t="s">
        <v>1715</v>
      </c>
      <c r="P11" s="4685"/>
      <c r="Q11" s="4685"/>
      <c r="R11" s="4685"/>
      <c r="S11" s="4685"/>
      <c r="T11" s="4685"/>
      <c r="U11" s="4685"/>
      <c r="V11" s="4685"/>
      <c r="W11" s="4686"/>
      <c r="X11" s="4686"/>
      <c r="Y11" s="4686"/>
    </row>
    <row r="12" spans="1:25" ht="12.75" customHeight="1">
      <c r="A12" s="4701">
        <f>VLOOKUP($B$4,DATA!A4:BJ289,6,FALSE)</f>
        <v>50550106</v>
      </c>
      <c r="B12" s="4709" t="str">
        <f>"Final "&amp;OpenData!P5&amp;" Assessed Valuation (All funds except General.)"</f>
        <v>Final 2020 Assessed Valuation (All funds except General.)</v>
      </c>
      <c r="C12" s="4706"/>
      <c r="D12" s="4706"/>
      <c r="E12" s="4706"/>
      <c r="F12" s="4707"/>
      <c r="G12" s="4707"/>
      <c r="L12" s="4685"/>
      <c r="M12" s="4685" t="s">
        <v>925</v>
      </c>
      <c r="N12" s="4685" t="s">
        <v>1672</v>
      </c>
      <c r="O12" s="4685" t="s">
        <v>1720</v>
      </c>
      <c r="P12" s="4685" t="s">
        <v>1721</v>
      </c>
      <c r="Q12" s="4685"/>
      <c r="R12" s="4710"/>
      <c r="S12" s="4685"/>
      <c r="T12" s="4685"/>
      <c r="U12" s="4685"/>
      <c r="V12" s="4685"/>
      <c r="W12" s="4686"/>
      <c r="X12" s="4686"/>
      <c r="Y12" s="4686"/>
    </row>
    <row r="13" spans="1:25" ht="12.75" customHeight="1">
      <c r="A13" s="4701">
        <f>VLOOKUP($B$4,DATA!A4:BJ289,7,FALSE)</f>
        <v>47510259</v>
      </c>
      <c r="B13" s="4709" t="str">
        <f>"Final "&amp;OpenData!P5&amp;" General Fund Assessed Valuation"</f>
        <v>Final 2020 General Fund Assessed Valuation</v>
      </c>
      <c r="C13" s="4706"/>
      <c r="D13" s="4706"/>
      <c r="E13" s="4706"/>
      <c r="F13" s="4707"/>
      <c r="G13" s="4707"/>
      <c r="L13" s="4685"/>
      <c r="M13" s="4685"/>
      <c r="N13" s="4685"/>
      <c r="O13" s="4685"/>
      <c r="P13" s="4685"/>
      <c r="Q13" s="4685"/>
      <c r="R13" s="4685"/>
      <c r="S13" s="4685"/>
      <c r="T13" s="4685"/>
      <c r="U13" s="4685"/>
      <c r="V13" s="4685"/>
      <c r="W13" s="4686"/>
      <c r="X13" s="4686"/>
      <c r="Y13" s="4686"/>
    </row>
    <row r="14" spans="1:25" ht="12.75" customHeight="1">
      <c r="A14" s="4711">
        <f>VLOOKUP($B$4,DATA!A4:BL289,62,FALSE)</f>
        <v>50470746</v>
      </c>
      <c r="B14" s="4709" t="str">
        <f>"Final "&amp;OpenData!P5&amp;" Capital Outlay Assessed Valuation"</f>
        <v>Final 2020 Capital Outlay Assessed Valuation</v>
      </c>
      <c r="C14" s="4706"/>
      <c r="D14" s="4706"/>
      <c r="E14" s="4706"/>
      <c r="F14" s="4707"/>
      <c r="G14" s="4707"/>
      <c r="L14" s="4685"/>
      <c r="M14" s="4685" t="s">
        <v>1047</v>
      </c>
      <c r="N14" s="4685" t="s">
        <v>1368</v>
      </c>
      <c r="O14" s="4685" t="s">
        <v>1673</v>
      </c>
      <c r="P14" s="4685" t="s">
        <v>1722</v>
      </c>
      <c r="Q14" s="4685"/>
      <c r="R14" s="4685"/>
      <c r="S14" s="4685"/>
      <c r="T14" s="4685"/>
      <c r="U14" s="4685"/>
      <c r="V14" s="4685"/>
      <c r="W14" s="4686"/>
      <c r="X14" s="4686"/>
      <c r="Y14" s="4686"/>
    </row>
    <row r="15" spans="1:25" ht="13.5" customHeight="1">
      <c r="A15" s="4712">
        <v>50987266</v>
      </c>
      <c r="B15" s="4709" t="str">
        <f>OpenData!Q5&amp;" Assessed Valuation (All funds except General.) "</f>
        <v xml:space="preserve">2021 Assessed Valuation (All funds except General.) </v>
      </c>
      <c r="C15" s="4706"/>
      <c r="D15" s="4706"/>
      <c r="E15" s="4706"/>
      <c r="F15" s="4707"/>
      <c r="G15" s="4707"/>
      <c r="L15" s="4685"/>
      <c r="M15" s="4713"/>
      <c r="N15" s="4685" t="s">
        <v>1016</v>
      </c>
      <c r="O15" s="4685"/>
      <c r="P15" s="4685" t="s">
        <v>1096</v>
      </c>
      <c r="Q15" s="4685"/>
      <c r="R15" s="4685"/>
      <c r="S15" s="4685"/>
      <c r="T15" s="4685"/>
      <c r="U15" s="4685"/>
      <c r="V15" s="4685"/>
      <c r="W15" s="4686"/>
      <c r="X15" s="4686"/>
      <c r="Y15" s="4686"/>
    </row>
    <row r="16" spans="1:25" ht="12.75" customHeight="1">
      <c r="A16" s="4714">
        <v>47913507</v>
      </c>
      <c r="B16" s="4709" t="str">
        <f>OpenData!Q5&amp;" General Fund Assessed Valuation"</f>
        <v>2021 General Fund Assessed Valuation</v>
      </c>
      <c r="C16" s="4706"/>
      <c r="D16" s="4706"/>
      <c r="E16" s="4706"/>
      <c r="F16" s="4707"/>
      <c r="G16" s="4707"/>
      <c r="L16" s="4685"/>
      <c r="M16" s="4685" t="s">
        <v>1015</v>
      </c>
      <c r="N16" s="4685">
        <v>28250</v>
      </c>
      <c r="O16" s="4715"/>
      <c r="P16" s="4716" t="s">
        <v>1725</v>
      </c>
      <c r="Q16" s="4716"/>
      <c r="R16" s="4685"/>
      <c r="S16" s="4685"/>
      <c r="T16" s="4685"/>
      <c r="U16" s="4685"/>
      <c r="V16" s="4685"/>
      <c r="W16" s="4686"/>
      <c r="X16" s="4686"/>
      <c r="Y16" s="4686"/>
    </row>
    <row r="17" spans="1:25" s="4684" customFormat="1" ht="12.75" customHeight="1">
      <c r="A17" s="4717">
        <v>50987266</v>
      </c>
      <c r="B17" s="4709" t="str">
        <f>OpenData!Q5&amp;" Capital Outlay Assessed Valuation if Different than All Other Funds"</f>
        <v>2021 Capital Outlay Assessed Valuation if Different than All Other Funds</v>
      </c>
      <c r="C17" s="4706"/>
      <c r="D17" s="4706"/>
      <c r="E17" s="4706"/>
      <c r="F17" s="4707"/>
      <c r="G17" s="4707"/>
      <c r="L17" s="4685"/>
      <c r="M17" s="4685" t="s">
        <v>773</v>
      </c>
      <c r="N17" s="4716" t="s">
        <v>1369</v>
      </c>
      <c r="O17" s="4716" t="s">
        <v>1674</v>
      </c>
      <c r="P17" s="4716" t="s">
        <v>1723</v>
      </c>
      <c r="Q17" s="4716"/>
      <c r="R17" s="4716"/>
      <c r="S17" s="4716"/>
      <c r="T17" s="4685"/>
      <c r="U17" s="4685"/>
      <c r="V17" s="4685"/>
      <c r="W17" s="4686"/>
      <c r="X17" s="4686"/>
      <c r="Y17" s="4686"/>
    </row>
    <row r="18" spans="1:25" s="4684" customFormat="1" ht="28.5" customHeight="1">
      <c r="A18" s="4712"/>
      <c r="B18" s="5945" t="str">
        <f>OpenData!Q5&amp;" Assessed Valuation for Bond and Interest #2 "&amp;IF(B4=113," (only use if you have a different assessed valuation for the bond and interest #2 fund) - Bond &amp; Interest #1 for USD 441","(Only use if you have a different assessed valuation for the bond and interest #2 fund.)")</f>
        <v>2021 Assessed Valuation for Bond and Interest #2 (Only use if you have a different assessed valuation for the bond and interest #2 fund.)</v>
      </c>
      <c r="C18" s="5946"/>
      <c r="D18" s="5946"/>
      <c r="E18" s="5946"/>
      <c r="F18" s="5946"/>
      <c r="G18" s="5946"/>
      <c r="L18" s="4685"/>
      <c r="M18" s="4685"/>
      <c r="N18" s="4716"/>
      <c r="O18" s="4716"/>
      <c r="P18" s="4716"/>
      <c r="Q18" s="4716"/>
      <c r="R18" s="4716"/>
      <c r="S18" s="4716"/>
      <c r="T18" s="4685"/>
      <c r="U18" s="4685"/>
      <c r="V18" s="4685"/>
      <c r="W18" s="4686"/>
      <c r="X18" s="4686"/>
      <c r="Y18" s="4686"/>
    </row>
    <row r="19" spans="1:25" s="4684" customFormat="1" ht="14.25" hidden="1" customHeight="1">
      <c r="A19" s="4718"/>
      <c r="B19" s="4719"/>
      <c r="C19" s="4703"/>
      <c r="D19" s="4703"/>
      <c r="E19" s="4703"/>
      <c r="F19" s="4704"/>
      <c r="G19" s="4703"/>
      <c r="L19" s="4685"/>
      <c r="M19" s="4685"/>
      <c r="N19" s="4685" t="s">
        <v>746</v>
      </c>
      <c r="O19" s="4685" t="s">
        <v>1287</v>
      </c>
      <c r="P19" s="4685" t="s">
        <v>1286</v>
      </c>
      <c r="Q19" s="4685" t="s">
        <v>1068</v>
      </c>
      <c r="R19" s="4685" t="s">
        <v>1083</v>
      </c>
      <c r="S19" s="4685" t="s">
        <v>1106</v>
      </c>
      <c r="T19" s="4685" t="s">
        <v>1153</v>
      </c>
      <c r="U19" s="4685" t="s">
        <v>1285</v>
      </c>
      <c r="V19" s="4685" t="s">
        <v>1303</v>
      </c>
      <c r="W19" s="4686" t="s">
        <v>1370</v>
      </c>
      <c r="X19" s="4686" t="s">
        <v>1675</v>
      </c>
      <c r="Y19" s="4686" t="s">
        <v>1724</v>
      </c>
    </row>
    <row r="20" spans="1:25" s="4684" customFormat="1" ht="12.75" customHeight="1">
      <c r="A20" s="4712"/>
      <c r="B20" s="4709" t="str">
        <f>IF(ISERROR(VLOOKUP(B4,OpenData!L66:M71,2,FALSE)),"LEAVE BLANK",VLOOKUP(B4,OpenData!L66:M71,2,FALSE))</f>
        <v>LEAVE BLANK</v>
      </c>
      <c r="C20" s="4706"/>
      <c r="D20" s="4706"/>
      <c r="E20" s="4706"/>
      <c r="F20" s="4707"/>
      <c r="G20" s="4720"/>
      <c r="L20" s="4685"/>
      <c r="M20" s="4685" t="s">
        <v>1800</v>
      </c>
      <c r="N20" s="4685"/>
      <c r="O20" s="4685"/>
      <c r="P20" s="4685"/>
      <c r="Q20" s="4685"/>
      <c r="R20" s="4685"/>
      <c r="S20" s="4685"/>
      <c r="T20" s="4685"/>
      <c r="U20" s="4685"/>
      <c r="V20" s="4685"/>
      <c r="W20" s="4686" t="s">
        <v>1371</v>
      </c>
      <c r="X20" s="4686" t="s">
        <v>1371</v>
      </c>
      <c r="Y20" s="4686"/>
    </row>
    <row r="21" spans="1:25" ht="28.5" customHeight="1">
      <c r="A21" s="4721"/>
      <c r="B21" s="4722" t="str">
        <f>OpenData!N14&amp;" Mill Rates"</f>
        <v>2019-20 Mill Rates</v>
      </c>
      <c r="C21" s="4723"/>
      <c r="D21" s="4722" t="str">
        <f>OpenData!O14&amp;" Mill Rates"</f>
        <v>2020-21 Mill Rates</v>
      </c>
      <c r="E21" s="4724"/>
      <c r="F21" s="4725" t="str">
        <f>OpenData!O5&amp;" Taxes Levied"</f>
        <v>2019 Taxes Levied</v>
      </c>
      <c r="G21" s="4726"/>
      <c r="J21" s="4727"/>
      <c r="L21" s="4685"/>
      <c r="M21" s="4685" t="s">
        <v>624</v>
      </c>
      <c r="N21" s="4728">
        <v>0.39500000000000002</v>
      </c>
      <c r="O21" s="4685"/>
      <c r="P21" s="4685"/>
      <c r="Q21" s="4685"/>
      <c r="R21" s="4685"/>
      <c r="S21" s="4685">
        <v>0.39500000000000002</v>
      </c>
      <c r="T21" s="4685"/>
      <c r="U21" s="4685"/>
      <c r="V21" s="4685"/>
      <c r="W21" s="4729" t="s">
        <v>1382</v>
      </c>
      <c r="X21" s="4686" t="s">
        <v>1382</v>
      </c>
      <c r="Y21" s="4686">
        <v>0.39500000000000002</v>
      </c>
    </row>
    <row r="22" spans="1:25" ht="12">
      <c r="A22" s="4721"/>
      <c r="B22" s="4730" t="s">
        <v>5188</v>
      </c>
      <c r="C22" s="4731"/>
      <c r="D22" s="4732"/>
      <c r="E22" s="4733"/>
      <c r="F22" s="4734" t="s">
        <v>5189</v>
      </c>
      <c r="G22" s="4735"/>
      <c r="L22" s="4685"/>
      <c r="M22" s="4685" t="s">
        <v>625</v>
      </c>
      <c r="N22" s="4728">
        <v>0.5</v>
      </c>
      <c r="O22" s="4685"/>
      <c r="P22" s="4685"/>
      <c r="Q22" s="4685"/>
      <c r="R22" s="4685"/>
      <c r="S22" s="4685">
        <v>0.5</v>
      </c>
      <c r="T22" s="4685"/>
      <c r="U22" s="4685"/>
      <c r="V22" s="4685"/>
      <c r="W22" s="4729" t="s">
        <v>1382</v>
      </c>
      <c r="X22" s="4686" t="s">
        <v>1382</v>
      </c>
      <c r="Y22" s="4686">
        <v>0.5</v>
      </c>
    </row>
    <row r="23" spans="1:25" ht="12.75" customHeight="1">
      <c r="A23" s="4736" t="s">
        <v>813</v>
      </c>
      <c r="B23" s="4737">
        <f>VLOOKUP($B$4,DATA1!$A$4:$AM$289,2,FALSE)</f>
        <v>20</v>
      </c>
      <c r="C23" s="4738"/>
      <c r="D23" s="4739">
        <f>VLOOKUP($B$4,DATA1!$A$4:$AM$289,21,FALSE)</f>
        <v>20</v>
      </c>
      <c r="E23" s="4740"/>
      <c r="F23" s="4741">
        <f>ROUND(A10*(B23/1000),0)</f>
        <v>893620</v>
      </c>
      <c r="L23" s="4685"/>
      <c r="M23" s="4685" t="s">
        <v>626</v>
      </c>
      <c r="N23" s="4728">
        <v>0.48399999999999999</v>
      </c>
      <c r="O23" s="4685">
        <v>0.378</v>
      </c>
      <c r="P23" s="4685">
        <v>0.45600000000000002</v>
      </c>
      <c r="Q23" s="4685">
        <v>0.45600000000000002</v>
      </c>
      <c r="R23" s="4685">
        <v>0.45600000000000002</v>
      </c>
      <c r="S23" s="4685">
        <v>0.45600000000000002</v>
      </c>
      <c r="T23" s="4685"/>
      <c r="U23" s="4685"/>
      <c r="V23" s="4685"/>
      <c r="W23" s="4729" t="s">
        <v>1382</v>
      </c>
      <c r="X23" s="4686" t="s">
        <v>1382</v>
      </c>
      <c r="Y23" s="4686">
        <v>0.48399999999999999</v>
      </c>
    </row>
    <row r="24" spans="1:25" ht="12.75" customHeight="1">
      <c r="A24" s="4742" t="s">
        <v>814</v>
      </c>
      <c r="B24" s="4737">
        <f>VLOOKUP($B$4,DATA1!$A$4:$AM$289,3,FALSE)</f>
        <v>20.41</v>
      </c>
      <c r="C24" s="4738"/>
      <c r="D24" s="4743">
        <f>VLOOKUP($B$4,DATA1!$A$4:$AM$289,22,FALSE)</f>
        <v>19.608000000000001</v>
      </c>
      <c r="E24" s="4740"/>
      <c r="F24" s="4744">
        <v>973821</v>
      </c>
      <c r="G24" s="4735" t="str">
        <f>IF(F24=0, "&lt; Be sure to fill in taxes levied for ALL applicable funds!", "")</f>
        <v/>
      </c>
      <c r="L24" s="4685"/>
      <c r="M24" s="4685" t="s">
        <v>627</v>
      </c>
      <c r="N24" s="4728">
        <v>0.25</v>
      </c>
      <c r="O24" s="4685"/>
      <c r="P24" s="4685"/>
      <c r="Q24" s="4685"/>
      <c r="R24" s="4685"/>
      <c r="S24" s="4685">
        <v>0.25</v>
      </c>
      <c r="T24" s="4685"/>
      <c r="U24" s="4685"/>
      <c r="V24" s="4685"/>
      <c r="W24" s="4729" t="s">
        <v>1382</v>
      </c>
      <c r="X24" s="4686" t="s">
        <v>1382</v>
      </c>
      <c r="Y24" s="4686">
        <v>0.25</v>
      </c>
    </row>
    <row r="25" spans="1:25" ht="12.75" customHeight="1">
      <c r="A25" s="4742" t="s">
        <v>815</v>
      </c>
      <c r="B25" s="4737">
        <f>VLOOKUP($B$4,DATA1!$A$4:$AM$289,4,FALSE)</f>
        <v>0</v>
      </c>
      <c r="C25" s="4738"/>
      <c r="D25" s="4743">
        <f>VLOOKUP($B$4,DATA1!$A$4:$AM$289,23,FALSE)</f>
        <v>0</v>
      </c>
      <c r="E25" s="4740"/>
      <c r="F25" s="4744"/>
      <c r="G25" s="4726"/>
      <c r="L25" s="4685"/>
      <c r="M25" s="4685" t="s">
        <v>1804</v>
      </c>
      <c r="N25" s="4685">
        <v>4006</v>
      </c>
      <c r="O25" s="4685">
        <v>4374</v>
      </c>
      <c r="P25" s="4685">
        <v>4433</v>
      </c>
      <c r="Q25" s="4685">
        <v>4218</v>
      </c>
      <c r="R25" s="4685">
        <v>4012</v>
      </c>
      <c r="S25" s="4685">
        <v>3780</v>
      </c>
      <c r="T25" s="4685">
        <v>3838</v>
      </c>
      <c r="U25" s="4685">
        <v>3838</v>
      </c>
      <c r="V25" s="4685">
        <v>3852</v>
      </c>
      <c r="W25" s="4729">
        <v>3852</v>
      </c>
      <c r="X25" s="4686">
        <v>3852</v>
      </c>
      <c r="Y25" s="4686">
        <v>4006</v>
      </c>
    </row>
    <row r="26" spans="1:25" ht="12.75" customHeight="1">
      <c r="A26" s="4742" t="s">
        <v>816</v>
      </c>
      <c r="B26" s="4737">
        <f>VLOOKUP($B$4,DATA1!$A$4:$AM$289,5,FALSE)</f>
        <v>7.9870000000000001</v>
      </c>
      <c r="C26" s="4738"/>
      <c r="D26" s="4743">
        <f>VLOOKUP($B$4,DATA1!$A$4:$AM$289,24,FALSE)</f>
        <v>7.9809999999999999</v>
      </c>
      <c r="E26" s="4740"/>
      <c r="F26" s="4744">
        <v>380933</v>
      </c>
      <c r="G26" s="4726"/>
      <c r="H26" s="4745"/>
      <c r="L26" s="4685"/>
      <c r="M26" s="4685" t="s">
        <v>1803</v>
      </c>
      <c r="N26" s="4746">
        <v>5000</v>
      </c>
      <c r="O26" s="4747">
        <v>1700</v>
      </c>
      <c r="P26" s="4746">
        <v>709</v>
      </c>
      <c r="Q26" s="4685"/>
      <c r="R26" s="4685"/>
      <c r="S26" s="4685"/>
      <c r="T26" s="4685"/>
      <c r="U26" s="4685"/>
      <c r="V26" s="4685"/>
      <c r="W26" s="4729"/>
      <c r="X26" s="4686"/>
      <c r="Y26" s="4686"/>
    </row>
    <row r="27" spans="1:25" ht="12.75" customHeight="1">
      <c r="A27" s="4748" t="s">
        <v>823</v>
      </c>
      <c r="B27" s="4737">
        <f>VLOOKUP($B$4,DATA1!$A$4:$AM$289,6,FALSE)</f>
        <v>0</v>
      </c>
      <c r="C27" s="4738"/>
      <c r="D27" s="4743">
        <f>VLOOKUP($B$4,DATA1!$A$4:$AM$289,25,FALSE)</f>
        <v>0</v>
      </c>
      <c r="E27" s="4740"/>
      <c r="F27" s="4744"/>
      <c r="G27" s="4726"/>
      <c r="L27" s="4685"/>
      <c r="M27" s="4685" t="s">
        <v>628</v>
      </c>
      <c r="N27" s="4685">
        <v>140</v>
      </c>
      <c r="O27" s="4685"/>
      <c r="P27" s="4685" t="s">
        <v>1726</v>
      </c>
      <c r="Q27" s="4685">
        <v>0.5</v>
      </c>
      <c r="R27" s="4749">
        <v>0.5</v>
      </c>
      <c r="S27" s="4685">
        <v>5.0000000000000001E-3</v>
      </c>
      <c r="T27" s="4685"/>
      <c r="U27" s="4685"/>
      <c r="V27" s="4685"/>
      <c r="W27" s="4729"/>
      <c r="X27" s="4686"/>
      <c r="Y27" s="4686"/>
    </row>
    <row r="28" spans="1:25" ht="12.75" customHeight="1">
      <c r="A28" s="4748" t="str">
        <f>OpenData!O44</f>
        <v>Bond and Interest #1</v>
      </c>
      <c r="B28" s="4737">
        <f>VLOOKUP($B$4,DATA1!$A$4:$AM$289,8,FALSE)</f>
        <v>0</v>
      </c>
      <c r="C28" s="4738"/>
      <c r="D28" s="4743">
        <f>VLOOKUP($B$4,DATA1!$A$4:$AM$289,27,FALSE)</f>
        <v>0</v>
      </c>
      <c r="E28" s="4740"/>
      <c r="F28" s="4744"/>
      <c r="G28" s="4726"/>
      <c r="L28" s="4750" t="s">
        <v>1086</v>
      </c>
      <c r="M28" s="4685" t="s">
        <v>1085</v>
      </c>
      <c r="N28" s="4685">
        <v>0.5</v>
      </c>
      <c r="O28" s="4751" t="s">
        <v>1845</v>
      </c>
      <c r="P28" s="4685"/>
      <c r="Q28" s="4685"/>
      <c r="R28" s="4685"/>
      <c r="S28" s="4685"/>
      <c r="T28" s="4685"/>
      <c r="U28" s="4685"/>
      <c r="V28" s="4685"/>
      <c r="W28" s="4729"/>
      <c r="X28" s="4686"/>
      <c r="Y28" s="4686"/>
    </row>
    <row r="29" spans="1:25" ht="12.75" customHeight="1">
      <c r="A29" s="4748" t="str">
        <f>OpenData!O46</f>
        <v>Bond and Interest #2</v>
      </c>
      <c r="B29" s="4737">
        <f>VLOOKUP($B$4,DATA1!$A$4:$AM$289,9,FALSE)</f>
        <v>0</v>
      </c>
      <c r="C29" s="4738"/>
      <c r="D29" s="4743">
        <f>VLOOKUP($B$4,DATA1!$A$4:$AM$289,28,FALSE)</f>
        <v>0</v>
      </c>
      <c r="E29" s="4740"/>
      <c r="F29" s="4744"/>
      <c r="G29" s="4726"/>
      <c r="L29" s="4685"/>
      <c r="M29" s="4685" t="s">
        <v>1802</v>
      </c>
      <c r="N29" s="4685">
        <v>4490</v>
      </c>
      <c r="O29" s="4685"/>
      <c r="P29" s="4685"/>
      <c r="Q29" s="4685" t="s">
        <v>746</v>
      </c>
      <c r="R29" s="4685" t="s">
        <v>1107</v>
      </c>
      <c r="S29" s="4685" t="s">
        <v>1154</v>
      </c>
      <c r="T29" s="4685"/>
      <c r="U29" s="4685" t="s">
        <v>1305</v>
      </c>
      <c r="V29" s="4693" t="s">
        <v>1304</v>
      </c>
      <c r="W29" s="4686" t="s">
        <v>1370</v>
      </c>
      <c r="X29" s="4686" t="s">
        <v>1675</v>
      </c>
      <c r="Y29" s="4686" t="s">
        <v>1724</v>
      </c>
    </row>
    <row r="30" spans="1:25" ht="12.75" customHeight="1">
      <c r="A30" s="4748" t="s">
        <v>818</v>
      </c>
      <c r="B30" s="4737">
        <f>VLOOKUP($B$4,DATA1!$A$4:$AM$289,10,FALSE)</f>
        <v>0</v>
      </c>
      <c r="C30" s="4738"/>
      <c r="D30" s="4743">
        <f>VLOOKUP($B$4,DATA1!$A$4:$AM$289,29,FALSE)</f>
        <v>0</v>
      </c>
      <c r="E30" s="4740"/>
      <c r="F30" s="4744"/>
      <c r="G30" s="4726"/>
      <c r="L30" s="4685"/>
      <c r="M30" s="4685" t="s">
        <v>1272</v>
      </c>
      <c r="N30" s="4685"/>
      <c r="O30" s="4685"/>
      <c r="P30" s="4685"/>
      <c r="Q30" s="4685">
        <v>0.7</v>
      </c>
      <c r="R30" s="4685">
        <v>0.05</v>
      </c>
      <c r="S30" s="4685">
        <v>0.06</v>
      </c>
      <c r="T30" s="4685"/>
      <c r="U30" s="4685">
        <v>0.7</v>
      </c>
      <c r="V30" s="4685"/>
      <c r="W30" s="4686" t="s">
        <v>1371</v>
      </c>
      <c r="X30" s="4686" t="s">
        <v>1371</v>
      </c>
      <c r="Y30" s="4686"/>
    </row>
    <row r="31" spans="1:25" ht="12.75" customHeight="1">
      <c r="A31" s="4748" t="s">
        <v>819</v>
      </c>
      <c r="B31" s="4737">
        <f>VLOOKUP($B$4,DATA1!$A$4:$AM$289,11,FALSE)</f>
        <v>0</v>
      </c>
      <c r="C31" s="4738"/>
      <c r="D31" s="4743">
        <f>VLOOKUP($B$4,DATA1!$A$4:$AM$289,30,FALSE)</f>
        <v>0</v>
      </c>
      <c r="E31" s="4740"/>
      <c r="F31" s="4744"/>
      <c r="G31" s="4726"/>
      <c r="L31" s="4685"/>
      <c r="M31" s="4685" t="s">
        <v>1</v>
      </c>
      <c r="N31" s="4685"/>
      <c r="O31" s="4685"/>
      <c r="P31" s="4685"/>
      <c r="Q31" s="4685">
        <v>0.105</v>
      </c>
      <c r="R31" s="4685">
        <v>0.09</v>
      </c>
      <c r="S31" s="4685">
        <v>0.1</v>
      </c>
      <c r="T31" s="4685"/>
      <c r="U31" s="4685">
        <v>0.105</v>
      </c>
      <c r="V31" s="4685"/>
      <c r="W31" s="4729" t="s">
        <v>1382</v>
      </c>
      <c r="X31" s="4686" t="s">
        <v>1382</v>
      </c>
      <c r="Y31" s="4686"/>
    </row>
    <row r="32" spans="1:25" ht="12.75" customHeight="1">
      <c r="A32" s="4748" t="s">
        <v>820</v>
      </c>
      <c r="B32" s="4737">
        <f>VLOOKUP($B$4,DATA1!$A$4:$AM$289,12,FALSE)</f>
        <v>0</v>
      </c>
      <c r="C32" s="4738"/>
      <c r="D32" s="4743">
        <f>VLOOKUP($B$4,DATA1!$A$4:$AM$289,31,FALSE)</f>
        <v>0</v>
      </c>
      <c r="E32" s="4740"/>
      <c r="F32" s="4744"/>
      <c r="G32" s="4726"/>
      <c r="H32" s="4752"/>
      <c r="L32" s="4685"/>
      <c r="M32" s="4685" t="s">
        <v>2</v>
      </c>
      <c r="N32" s="4685"/>
      <c r="O32" s="4685"/>
      <c r="P32" s="4685"/>
      <c r="Q32" s="4685">
        <v>0.105</v>
      </c>
      <c r="R32" s="4685">
        <v>0.09</v>
      </c>
      <c r="S32" s="4685">
        <v>0.1</v>
      </c>
      <c r="T32" s="4685"/>
      <c r="U32" s="4685">
        <v>0.105</v>
      </c>
      <c r="V32" s="4685"/>
      <c r="W32" s="4729" t="s">
        <v>1382</v>
      </c>
      <c r="X32" s="4686" t="s">
        <v>1382</v>
      </c>
      <c r="Y32" s="4686"/>
    </row>
    <row r="33" spans="1:25" ht="12.75" customHeight="1">
      <c r="A33" s="4748" t="s">
        <v>821</v>
      </c>
      <c r="B33" s="4737">
        <f>VLOOKUP($B$4,DATA1!$A$4:$AM$289,13,FALSE)</f>
        <v>0</v>
      </c>
      <c r="C33" s="4738"/>
      <c r="D33" s="4743">
        <f>VLOOKUP($B$4,DATA1!$A$4:$AM$289,32,FALSE)</f>
        <v>0</v>
      </c>
      <c r="E33" s="4740"/>
      <c r="F33" s="4744"/>
      <c r="G33" s="4726"/>
      <c r="L33" s="4685"/>
      <c r="M33" s="4685" t="s">
        <v>1383</v>
      </c>
      <c r="N33" s="4685">
        <v>0</v>
      </c>
      <c r="O33" s="4685">
        <v>3852</v>
      </c>
      <c r="P33" s="4747" t="s">
        <v>1384</v>
      </c>
      <c r="Q33" s="4685"/>
      <c r="R33" s="4685"/>
      <c r="S33" s="4685"/>
      <c r="T33" s="4685"/>
      <c r="U33" s="4685"/>
      <c r="V33" s="4685"/>
      <c r="W33" s="4686"/>
      <c r="X33" s="4686"/>
      <c r="Y33" s="4686"/>
    </row>
    <row r="34" spans="1:25" ht="12.75" customHeight="1">
      <c r="A34" s="4748" t="s">
        <v>822</v>
      </c>
      <c r="B34" s="4737">
        <f>VLOOKUP($B$4,DATA1!$A$4:$AM$289,14,FALSE)</f>
        <v>0</v>
      </c>
      <c r="C34" s="4738"/>
      <c r="D34" s="4743">
        <f>VLOOKUP($B$4,DATA1!$A$4:$AM$289,33,FALSE)</f>
        <v>0</v>
      </c>
      <c r="E34" s="4740"/>
      <c r="F34" s="4744"/>
      <c r="G34" s="4726"/>
      <c r="L34" s="4685"/>
      <c r="M34" s="4685" t="s">
        <v>1705</v>
      </c>
      <c r="N34" s="4753">
        <v>0.4</v>
      </c>
      <c r="O34" s="4754" t="s">
        <v>1807</v>
      </c>
      <c r="P34" s="4685" t="s">
        <v>1278</v>
      </c>
      <c r="Q34" s="4685" t="s">
        <v>1282</v>
      </c>
      <c r="R34" s="4685" t="s">
        <v>1283</v>
      </c>
      <c r="S34" s="4685"/>
      <c r="T34" s="4685"/>
      <c r="U34" s="4685"/>
      <c r="V34" s="4685"/>
      <c r="W34" s="4686"/>
      <c r="X34" s="4686"/>
      <c r="Y34" s="4686"/>
    </row>
    <row r="35" spans="1:25" s="4684" customFormat="1" ht="12.75" customHeight="1">
      <c r="A35" s="4748" t="s">
        <v>1099</v>
      </c>
      <c r="B35" s="4737">
        <f>VLOOKUP($B$4,DATA1!$A$4:$AM$289,15,FALSE)</f>
        <v>0</v>
      </c>
      <c r="C35" s="4738"/>
      <c r="D35" s="4743">
        <f>VLOOKUP($B$4,DATA1!$A$4:$AM$289,34,FALSE)</f>
        <v>0</v>
      </c>
      <c r="E35" s="4740"/>
      <c r="F35" s="4744"/>
      <c r="G35" s="4755"/>
      <c r="L35" s="4685"/>
      <c r="M35" s="4685"/>
      <c r="N35" s="4685"/>
      <c r="O35" s="4754"/>
      <c r="P35" s="4685" t="s">
        <v>1279</v>
      </c>
      <c r="Q35" s="4756">
        <v>1.45</v>
      </c>
      <c r="R35" s="4757" t="s">
        <v>1291</v>
      </c>
      <c r="S35" s="4685"/>
      <c r="T35" s="4685"/>
      <c r="U35" s="4685"/>
      <c r="V35" s="4685"/>
      <c r="W35" s="4686"/>
      <c r="X35" s="4686"/>
      <c r="Y35" s="4686"/>
    </row>
    <row r="36" spans="1:25" ht="12.75" customHeight="1">
      <c r="A36" s="4748" t="str">
        <f>OpenData!O53</f>
        <v>Recreation Commission</v>
      </c>
      <c r="B36" s="4737">
        <f>VLOOKUP($B$4,DATA1!$A$4:$AM$289,16,FALSE)</f>
        <v>0</v>
      </c>
      <c r="C36" s="4738"/>
      <c r="D36" s="4743">
        <f>VLOOKUP($B$4,DATA1!$A$4:$AM$289,35,FALSE)</f>
        <v>0</v>
      </c>
      <c r="E36" s="4740"/>
      <c r="F36" s="4744"/>
      <c r="G36" s="4726"/>
      <c r="L36" s="4685"/>
      <c r="M36" s="4685"/>
      <c r="N36" s="4685">
        <v>27</v>
      </c>
      <c r="O36" s="4685"/>
      <c r="P36" s="4685" t="s">
        <v>1280</v>
      </c>
      <c r="Q36" s="4753">
        <v>1.1499999999999999</v>
      </c>
      <c r="R36" s="4757" t="s">
        <v>1292</v>
      </c>
      <c r="S36" s="4685"/>
      <c r="T36" s="4685"/>
      <c r="U36" s="4685"/>
      <c r="V36" s="4685"/>
      <c r="W36" s="4686"/>
      <c r="X36" s="4686"/>
      <c r="Y36" s="4686"/>
    </row>
    <row r="37" spans="1:25" ht="12.75" customHeight="1">
      <c r="A37" s="4748" t="str">
        <f>IF(B4=114," ","Rec Commission Emp Benefits")</f>
        <v>Rec Commission Emp Benefits</v>
      </c>
      <c r="B37" s="4737">
        <f>VLOOKUP($B$4,DATA1!$A$4:$AM$289,17,FALSE)</f>
        <v>0</v>
      </c>
      <c r="C37" s="4758"/>
      <c r="D37" s="4743">
        <f>VLOOKUP($B$4,DATA1!$A$4:$AM$289,36,FALSE)</f>
        <v>0</v>
      </c>
      <c r="E37" s="4740"/>
      <c r="F37" s="4744"/>
      <c r="G37" s="4726"/>
      <c r="L37" s="4685"/>
      <c r="M37" s="4685"/>
      <c r="N37" s="4685">
        <v>30</v>
      </c>
      <c r="O37" s="4685"/>
      <c r="P37" s="4685" t="s">
        <v>1281</v>
      </c>
      <c r="Q37" s="4753">
        <v>0.9</v>
      </c>
      <c r="R37" s="4757" t="s">
        <v>1293</v>
      </c>
      <c r="S37" s="4685"/>
      <c r="T37" s="4685"/>
      <c r="U37" s="4685"/>
      <c r="V37" s="4685"/>
      <c r="W37" s="4686"/>
      <c r="X37" s="4686"/>
      <c r="Y37" s="4686"/>
    </row>
    <row r="38" spans="1:25" ht="12.75" customHeight="1">
      <c r="A38" s="4748" t="s">
        <v>824</v>
      </c>
      <c r="B38" s="4737">
        <f>VLOOKUP($B$4,DATA1!$A$4:$AM$289,18,FALSE)</f>
        <v>0</v>
      </c>
      <c r="C38" s="4738"/>
      <c r="D38" s="4743">
        <f>VLOOKUP($B$4,DATA1!$A$4:$AM$289,37,FALSE)</f>
        <v>0</v>
      </c>
      <c r="E38" s="4740"/>
      <c r="F38" s="4744"/>
      <c r="G38" s="4726"/>
      <c r="L38" s="4685"/>
      <c r="M38" s="4685"/>
      <c r="N38" s="4685">
        <v>31</v>
      </c>
      <c r="O38" s="4685"/>
      <c r="P38" s="4685"/>
      <c r="Q38" s="4685"/>
      <c r="R38" s="4685"/>
      <c r="S38" s="4685"/>
      <c r="T38" s="4685"/>
      <c r="U38" s="4685"/>
      <c r="V38" s="4685"/>
      <c r="W38" s="4686"/>
      <c r="X38" s="4686"/>
      <c r="Y38" s="4686"/>
    </row>
    <row r="39" spans="1:25" ht="12.75" customHeight="1">
      <c r="A39" s="4748" t="s">
        <v>929</v>
      </c>
      <c r="B39" s="4737">
        <f>VLOOKUP($B$4,DATA1!$A$4:$AM$289,20,FALSE)</f>
        <v>0</v>
      </c>
      <c r="C39" s="4738"/>
      <c r="D39" s="4743">
        <f>VLOOKUP($B$4,DATA1!$A$4:$AM$289,39,FALSE)</f>
        <v>0</v>
      </c>
      <c r="E39" s="4740"/>
      <c r="F39" s="4759"/>
      <c r="G39" s="4760"/>
      <c r="L39" s="4685" t="s">
        <v>1110</v>
      </c>
      <c r="M39" s="4713" t="s">
        <v>1092</v>
      </c>
      <c r="N39" s="4761" t="str">
        <f>IF(A18=0,"Fill in Bond &amp; Interest #1 on the Open for USD 441 - Cell A17","")</f>
        <v>Fill in Bond &amp; Interest #1 on the Open for USD 441 - Cell A17</v>
      </c>
      <c r="O39" s="4685"/>
      <c r="P39" s="4685"/>
      <c r="Q39" s="4685"/>
      <c r="R39" s="4761" t="str">
        <f>IF(A20=0,"Fill in Assessed Valuation (All funds except General) on the Open for USD 488 - cell A19","")</f>
        <v>Fill in Assessed Valuation (All funds except General) on the Open for USD 488 - cell A19</v>
      </c>
      <c r="S39" s="4685"/>
      <c r="T39" s="4685"/>
      <c r="U39" s="4685"/>
      <c r="V39" s="4685"/>
      <c r="W39" s="4686"/>
      <c r="X39" s="4686"/>
      <c r="Y39" s="4686"/>
    </row>
    <row r="40" spans="1:25" ht="12.75" customHeight="1">
      <c r="A40" s="4687"/>
      <c r="B40" s="4762"/>
      <c r="C40" s="4763"/>
      <c r="D40" s="4762"/>
      <c r="E40" s="4760"/>
      <c r="F40" s="4764"/>
      <c r="G40" s="4765"/>
      <c r="L40" s="4685"/>
      <c r="M40" s="4685" t="s">
        <v>644</v>
      </c>
      <c r="N40" s="4685" t="s">
        <v>1722</v>
      </c>
      <c r="O40" s="4685"/>
      <c r="P40" s="4685"/>
      <c r="Q40" s="4685"/>
      <c r="R40" s="4761" t="str">
        <f>IF(A20=0,"Fill in Assessed Valuation for Recreation Commission (Claflin) on the Open - cell A19"," ")</f>
        <v>Fill in Assessed Valuation for Recreation Commission (Claflin) on the Open - cell A19</v>
      </c>
      <c r="S40" s="4685"/>
      <c r="T40" s="4685"/>
      <c r="U40" s="4685"/>
      <c r="V40" s="4685"/>
      <c r="W40" s="4686"/>
      <c r="X40" s="4686"/>
      <c r="Y40" s="4686"/>
    </row>
    <row r="41" spans="1:25" ht="12.75" customHeight="1">
      <c r="A41" s="5935" t="s">
        <v>5272</v>
      </c>
      <c r="B41" s="5935"/>
      <c r="C41" s="5935"/>
      <c r="D41" s="5935"/>
      <c r="E41" s="5935"/>
      <c r="F41" s="5935"/>
      <c r="G41" s="5935"/>
      <c r="L41" s="4685"/>
      <c r="M41" s="4685"/>
      <c r="N41" s="4685"/>
      <c r="O41" s="4766" t="s">
        <v>1103</v>
      </c>
      <c r="P41" s="4685"/>
      <c r="Q41" s="4685"/>
      <c r="R41" s="4685"/>
      <c r="S41" s="4685"/>
      <c r="T41" s="4685"/>
      <c r="U41" s="4685"/>
      <c r="V41" s="4685"/>
      <c r="W41" s="4686"/>
      <c r="X41" s="4686"/>
      <c r="Y41" s="4686"/>
    </row>
    <row r="42" spans="1:25" ht="12.75" hidden="1" customHeight="1">
      <c r="A42" s="4760"/>
      <c r="B42" s="713"/>
      <c r="C42" s="713"/>
      <c r="D42" s="713"/>
      <c r="E42" s="713"/>
      <c r="F42" s="713"/>
      <c r="G42" s="4765"/>
      <c r="L42" s="4685" t="s">
        <v>3033</v>
      </c>
      <c r="M42" s="4713" t="s">
        <v>1094</v>
      </c>
      <c r="N42" s="4767">
        <f>IF(B4&lt;&gt;113,A15,A18)</f>
        <v>50987266</v>
      </c>
      <c r="O42" s="4685" t="str">
        <f>IF(B4=113,"Bond and Interest #1 - USD 441","Bond and Interest #1")</f>
        <v>Bond and Interest #1</v>
      </c>
      <c r="P42" s="4685"/>
      <c r="Q42" s="4685"/>
      <c r="R42" s="4685"/>
      <c r="S42" s="4685"/>
      <c r="T42" s="4685"/>
      <c r="U42" s="4685"/>
      <c r="V42" s="4685"/>
      <c r="W42" s="4686"/>
      <c r="X42" s="4686"/>
      <c r="Y42" s="4686"/>
    </row>
    <row r="43" spans="1:25" ht="12.75" customHeight="1">
      <c r="A43" s="4768">
        <f>VLOOKUP($B$4,DATA!A4:BJ289,8,FALSE)</f>
        <v>423.3</v>
      </c>
      <c r="B43" s="4769" t="str">
        <f>"9/20/"&amp;RIGHT(OpenData!N5,2)&amp; " Audited FTE Enrollment (Excludes Preschool-Aged At-Risk (4 yr Old); Kindergarten based on Minutes Enrolled.)"</f>
        <v>9/20/18 Audited FTE Enrollment (Excludes Preschool-Aged At-Risk (4 yr Old); Kindergarten based on Minutes Enrolled.)</v>
      </c>
      <c r="C43" s="4770"/>
      <c r="D43" s="4770"/>
      <c r="E43" s="4703"/>
      <c r="F43" s="4771"/>
      <c r="G43" s="4704"/>
      <c r="L43" s="4685"/>
      <c r="M43" s="4713"/>
      <c r="N43" s="4767"/>
      <c r="O43" s="4685"/>
      <c r="P43" s="4685"/>
      <c r="Q43" s="4685"/>
      <c r="R43" s="4685"/>
      <c r="S43" s="4685"/>
      <c r="T43" s="4685"/>
      <c r="U43" s="4685"/>
      <c r="V43" s="4685"/>
      <c r="W43" s="4686"/>
      <c r="X43" s="4686"/>
      <c r="Y43" s="4686"/>
    </row>
    <row r="44" spans="1:25" ht="12.75" customHeight="1">
      <c r="A44" s="4768">
        <f>VLOOKUP($B$4,DATA!A4:BJ289,9,FALSE)</f>
        <v>399</v>
      </c>
      <c r="B44" s="4707" t="str">
        <f>"9/20/"&amp;RIGHT(OpenData!O5,2)&amp; " Audited FTE Enrollment (Excludes Preschool-Aged At-Risk (4 yr Old); Kindergarten based on Minutes Enrolled.)"</f>
        <v>9/20/19 Audited FTE Enrollment (Excludes Preschool-Aged At-Risk (4 yr Old); Kindergarten based on Minutes Enrolled.)</v>
      </c>
      <c r="C44" s="4706"/>
      <c r="D44" s="4706"/>
      <c r="E44" s="4706"/>
      <c r="F44" s="4772"/>
      <c r="G44" s="4707"/>
      <c r="H44" s="4695"/>
      <c r="L44" s="4728" t="s">
        <v>1142</v>
      </c>
      <c r="M44" s="4713" t="s">
        <v>1095</v>
      </c>
      <c r="N44" s="4728">
        <f>IF(B4=113,A20,A18)</f>
        <v>0</v>
      </c>
      <c r="O44" s="4685" t="str">
        <f>IF(B4=113,"Bond and Interest #2 - USD 488","Bond and Interest #2")</f>
        <v>Bond and Interest #2</v>
      </c>
      <c r="P44" s="4685"/>
      <c r="Q44" s="4685"/>
      <c r="R44" s="4685"/>
      <c r="S44" s="4685"/>
      <c r="T44" s="4685"/>
      <c r="U44" s="4685"/>
      <c r="V44" s="4685"/>
      <c r="W44" s="4686"/>
      <c r="X44" s="4686"/>
      <c r="Y44" s="4686"/>
    </row>
    <row r="45" spans="1:25" s="4684" customFormat="1" ht="12.75" customHeight="1">
      <c r="A45" s="4773">
        <f>VLOOKUP($B$4,DATA!A4:BJ289,41,FALSE)</f>
        <v>394.9</v>
      </c>
      <c r="B45" s="4707" t="str">
        <f>"9/20/"&amp;RIGHT(OpenData!P5,2)&amp;" Audited FTE Enrollment (Excludes Preschool-Aged At-Risk (4 yr Old); Kindergarten based on Minutes Enrolled.)"</f>
        <v>9/20/20 Audited FTE Enrollment (Excludes Preschool-Aged At-Risk (4 yr Old); Kindergarten based on Minutes Enrolled.)</v>
      </c>
      <c r="C45" s="4706"/>
      <c r="D45" s="4706"/>
      <c r="E45" s="4706"/>
      <c r="F45" s="4707"/>
      <c r="G45" s="4707"/>
      <c r="H45" s="4695"/>
      <c r="I45" s="4774"/>
      <c r="J45" s="4695"/>
      <c r="L45" s="4685"/>
      <c r="M45" s="4685" t="s">
        <v>1706</v>
      </c>
      <c r="N45" s="4775">
        <v>1</v>
      </c>
      <c r="O45" s="4749" t="s">
        <v>1340</v>
      </c>
      <c r="P45" s="4685" t="s">
        <v>1847</v>
      </c>
      <c r="Q45" s="4685"/>
      <c r="R45" s="4685"/>
      <c r="S45" s="4685"/>
      <c r="T45" s="4685"/>
      <c r="U45" s="4685"/>
      <c r="V45" s="4685"/>
      <c r="W45" s="4686"/>
      <c r="X45" s="4686"/>
      <c r="Y45" s="4686"/>
    </row>
    <row r="46" spans="1:25" s="4684" customFormat="1" ht="12.75" customHeight="1">
      <c r="A46" s="4776">
        <v>430</v>
      </c>
      <c r="B46" s="4707" t="str">
        <f>"9/20/" &amp; RIGHT(OpenData!Q5,2) &amp; " Est. Funded Headcount for PK-12 (Include Preschool-Aged At-Risk (4 yr Old). Exclude Virtual.)"</f>
        <v>9/20/21 Est. Funded Headcount for PK-12 (Include Preschool-Aged At-Risk (4 yr Old). Exclude Virtual.)</v>
      </c>
      <c r="C46" s="4706"/>
      <c r="D46" s="4706"/>
      <c r="E46" s="4706"/>
      <c r="F46" s="4707"/>
      <c r="G46" s="4707"/>
      <c r="H46" s="4695"/>
      <c r="I46" s="4774"/>
      <c r="J46" s="4695"/>
      <c r="L46" s="4685"/>
      <c r="M46" s="4685"/>
      <c r="N46" s="4775"/>
      <c r="O46" s="4749"/>
      <c r="P46" s="4685"/>
      <c r="Q46" s="4685"/>
      <c r="R46" s="4685"/>
      <c r="S46" s="4685"/>
      <c r="T46" s="4685"/>
      <c r="U46" s="4685"/>
      <c r="V46" s="4685"/>
      <c r="W46" s="4686"/>
      <c r="X46" s="4686"/>
      <c r="Y46" s="4686"/>
    </row>
    <row r="47" spans="1:25" s="4684" customFormat="1" ht="29.25" customHeight="1">
      <c r="A47" s="4777">
        <v>430</v>
      </c>
      <c r="B47" s="5939" t="str">
        <f>"9/20/" &amp; RIGHT(OpenData!Q5,2) &amp; " Est. FTE Enrollment (Excludes Preschool-Aged At-Risk (4 yr Old).
Note: Out of state students counted as HALF of regular FTE.  Exclude FHSU Math &amp; Science Academy."</f>
        <v>9/20/21 Est. FTE Enrollment (Excludes Preschool-Aged At-Risk (4 yr Old).
Note: Out of state students counted as HALF of regular FTE.  Exclude FHSU Math &amp; Science Academy.</v>
      </c>
      <c r="C47" s="5940"/>
      <c r="D47" s="5940"/>
      <c r="E47" s="5940"/>
      <c r="F47" s="5940"/>
      <c r="G47" s="5940"/>
      <c r="H47" s="4695"/>
      <c r="I47" s="4774"/>
      <c r="J47" s="4695"/>
      <c r="L47" s="4685" t="s">
        <v>3026</v>
      </c>
      <c r="M47" s="4685" t="s">
        <v>1707</v>
      </c>
      <c r="N47" s="4753">
        <v>1</v>
      </c>
      <c r="O47" s="4778" t="s">
        <v>1340</v>
      </c>
      <c r="P47" s="4761" t="s">
        <v>4406</v>
      </c>
      <c r="Q47" s="4685"/>
      <c r="R47" s="4685"/>
      <c r="S47" s="4685"/>
      <c r="T47" s="4685"/>
      <c r="U47" s="4685"/>
      <c r="V47" s="4685"/>
      <c r="W47" s="4686"/>
      <c r="X47" s="4686"/>
      <c r="Y47" s="4686"/>
    </row>
    <row r="48" spans="1:25" s="4684" customFormat="1" ht="17.25" hidden="1" customHeight="1">
      <c r="A48" s="4779"/>
      <c r="B48" s="4780"/>
      <c r="C48" s="4781"/>
      <c r="D48" s="4781"/>
      <c r="E48" s="4781"/>
      <c r="F48" s="4782"/>
      <c r="G48" s="4782"/>
      <c r="H48" s="4695"/>
      <c r="I48" s="4774"/>
      <c r="J48" s="4695"/>
      <c r="L48" s="4685"/>
      <c r="M48" s="4685"/>
      <c r="N48" s="4753"/>
      <c r="O48" s="4778"/>
      <c r="P48" s="4761"/>
      <c r="Q48" s="4685"/>
      <c r="R48" s="4685"/>
      <c r="S48" s="4685"/>
      <c r="T48" s="4685"/>
      <c r="U48" s="4685"/>
      <c r="V48" s="4685"/>
      <c r="W48" s="4686"/>
      <c r="X48" s="4686"/>
      <c r="Y48" s="4686"/>
    </row>
    <row r="49" spans="1:25" s="4684" customFormat="1" ht="12.75" customHeight="1">
      <c r="A49" s="4783">
        <v>3.5</v>
      </c>
      <c r="B49" s="4704" t="str">
        <f>"9/20/"&amp;RIGHT(OpenData!Q5,2)&amp;" Est. Preschool-Aged At-Risk (4 yr old) FTE Enrollment (count each student as .5 FTE)"</f>
        <v>9/20/21 Est. Preschool-Aged At-Risk (4 yr old) FTE Enrollment (count each student as .5 FTE)</v>
      </c>
      <c r="C49" s="4703"/>
      <c r="D49" s="4703"/>
      <c r="E49" s="4703"/>
      <c r="F49" s="4704"/>
      <c r="G49" s="4704"/>
      <c r="H49" s="4695"/>
      <c r="I49" s="4774"/>
      <c r="J49" s="4695"/>
      <c r="L49" s="4685"/>
      <c r="M49" s="4685"/>
      <c r="N49" s="4753"/>
      <c r="O49" s="4778"/>
      <c r="P49" s="4761"/>
      <c r="Q49" s="4685"/>
      <c r="R49" s="4685"/>
      <c r="S49" s="4685"/>
      <c r="T49" s="4685"/>
      <c r="U49" s="4685"/>
      <c r="V49" s="4685"/>
      <c r="W49" s="4686"/>
      <c r="X49" s="4686"/>
      <c r="Y49" s="4686"/>
    </row>
    <row r="50" spans="1:25" ht="28.5" customHeight="1">
      <c r="A50" s="4776">
        <v>150</v>
      </c>
      <c r="B50" s="5939" t="str">
        <f>"9/20/"&amp;RIGHT(OpenData!Q5,2)&amp; " Est. Number of eligible students that qualify for free meals.  Do NOT include part-time students in grades 1-12 and students 20 years of age and over, unless they are on an IEP."</f>
        <v>9/20/21 Est. Number of eligible students that qualify for free meals.  Do NOT include part-time students in grades 1-12 and students 20 years of age and over, unless they are on an IEP.</v>
      </c>
      <c r="C50" s="5940"/>
      <c r="D50" s="5940"/>
      <c r="E50" s="5940"/>
      <c r="F50" s="5940"/>
      <c r="G50" s="5940"/>
      <c r="L50" s="4685" t="s">
        <v>1150</v>
      </c>
      <c r="M50" s="4685" t="s">
        <v>1097</v>
      </c>
      <c r="N50" s="4685"/>
      <c r="O50" s="4685"/>
      <c r="P50" s="4685"/>
      <c r="Q50" s="4766" t="s">
        <v>1104</v>
      </c>
      <c r="R50" s="4685"/>
      <c r="S50" s="4685"/>
      <c r="T50" s="4685"/>
      <c r="U50" s="4685"/>
      <c r="V50" s="4685"/>
      <c r="W50" s="4686"/>
      <c r="X50" s="4686"/>
      <c r="Y50" s="4686"/>
    </row>
    <row r="51" spans="1:25" ht="12.75" hidden="1" customHeight="1">
      <c r="A51" s="4774"/>
      <c r="B51" s="4782"/>
      <c r="C51" s="4781"/>
      <c r="D51" s="4781"/>
      <c r="E51" s="4781"/>
      <c r="F51" s="4782"/>
      <c r="G51" s="4782"/>
      <c r="L51" s="4685"/>
      <c r="M51" s="4685" t="s">
        <v>1098</v>
      </c>
      <c r="N51" s="4685"/>
      <c r="O51" s="4685" t="str">
        <f>IF(B4=114,"Recreation Commission #406",IF(B4=422,"Recreation Commission #422","Recreation Commission"))</f>
        <v>Recreation Commission</v>
      </c>
      <c r="P51" s="4685"/>
      <c r="Q51" s="4685"/>
      <c r="R51" s="4685"/>
      <c r="S51" s="4685" t="str">
        <f>IF(B4=114,"RECREATION COMMISSION #406",IF(B4=422,"RECREATION COMMISSION #422","RECREATION COMMISSION"))</f>
        <v>RECREATION COMMISSION</v>
      </c>
      <c r="T51" s="4685"/>
      <c r="U51" s="4685"/>
      <c r="V51" s="4685"/>
      <c r="W51" s="4686"/>
      <c r="X51" s="4686"/>
      <c r="Y51" s="4686"/>
    </row>
    <row r="52" spans="1:25" ht="12.75" customHeight="1">
      <c r="A52" s="4783">
        <v>130</v>
      </c>
      <c r="B52" s="4704" t="str">
        <f>"9/20/"&amp;RIGHT(OpenData!Q5,2)&amp;" Est. Career and Tech Ed total clock hours of students enrolled and attending in approved courses."</f>
        <v>9/20/21 Est. Career and Tech Ed total clock hours of students enrolled and attending in approved courses.</v>
      </c>
      <c r="C52" s="4703"/>
      <c r="D52" s="4703"/>
      <c r="E52" s="4703"/>
      <c r="F52" s="4704"/>
      <c r="G52" s="4704"/>
      <c r="L52" s="4685"/>
      <c r="M52" s="4685"/>
      <c r="N52" s="4685"/>
      <c r="O52" s="4685"/>
      <c r="P52" s="4685"/>
      <c r="Q52" s="4685"/>
      <c r="R52" s="4685"/>
      <c r="S52" s="4685"/>
      <c r="T52" s="4685"/>
      <c r="U52" s="4685"/>
      <c r="V52" s="4685"/>
      <c r="W52" s="4686"/>
      <c r="X52" s="4686"/>
      <c r="Y52" s="4686"/>
    </row>
    <row r="53" spans="1:25" ht="12.75" customHeight="1">
      <c r="A53" s="4783">
        <v>3</v>
      </c>
      <c r="B53" s="4707" t="str">
        <f>"9/20/"&amp;RIGHT(OpenData!Q5,2)&amp;" Est. Bilingual Education total clock hours of students enrolled and attending"</f>
        <v>9/20/21 Est. Bilingual Education total clock hours of students enrolled and attending</v>
      </c>
      <c r="C53" s="4706"/>
      <c r="D53" s="4706"/>
      <c r="E53" s="4706"/>
      <c r="F53" s="4707"/>
      <c r="G53" s="4707"/>
      <c r="L53" s="4685"/>
      <c r="M53" s="4685"/>
      <c r="N53" s="4685"/>
      <c r="O53" s="4685"/>
      <c r="P53" s="4685"/>
      <c r="Q53" s="4685"/>
      <c r="R53" s="4685"/>
      <c r="S53" s="4685"/>
      <c r="T53" s="4685"/>
      <c r="U53" s="4685"/>
      <c r="V53" s="4685"/>
      <c r="W53" s="4686"/>
      <c r="X53" s="4686"/>
      <c r="Y53" s="4686"/>
    </row>
    <row r="54" spans="1:25" ht="12.75" customHeight="1">
      <c r="A54" s="4776">
        <v>3</v>
      </c>
      <c r="B54" s="4707" t="str">
        <f>"9/20/"&amp;RIGHT(OpenData!Q5,2)&amp;" Est. Bilingual headcount of students enrolled and attending"</f>
        <v>9/20/21 Est. Bilingual headcount of students enrolled and attending</v>
      </c>
      <c r="C54" s="4706"/>
      <c r="D54" s="4706"/>
      <c r="E54" s="4706"/>
      <c r="F54" s="4707"/>
      <c r="G54" s="4707"/>
      <c r="L54" s="4685"/>
      <c r="M54" s="4685"/>
      <c r="N54" s="4685"/>
      <c r="O54" s="4685"/>
      <c r="P54" s="4685"/>
      <c r="Q54" s="4685" t="str">
        <f>IF(B4=114,"Recreation Commission #486",IF(B4=422,"Recreation Commission #424","Rec Comm Emp Benefits &amp; Spec Liab"))</f>
        <v>Rec Comm Emp Benefits &amp; Spec Liab</v>
      </c>
      <c r="R54" s="4685"/>
      <c r="S54" s="4685" t="str">
        <f>IF(B4=114,"RECREATION COMMISSION #486",IF(B4=422,"RECREATION COMMISSION #424","BENEFITS &amp; SPECIAL LIABILITY"))</f>
        <v>BENEFITS &amp; SPECIAL LIABILITY</v>
      </c>
      <c r="T54" s="4685"/>
      <c r="U54" s="4685"/>
      <c r="V54" s="4685"/>
      <c r="W54" s="4686"/>
      <c r="X54" s="4686"/>
      <c r="Y54" s="4686"/>
    </row>
    <row r="55" spans="1:25" ht="27.75" customHeight="1">
      <c r="A55" s="4777">
        <v>0</v>
      </c>
      <c r="B55" s="5939" t="str">
        <f>"9/20/"&amp;RIGHT(OpenData!Q5,2)&amp;" Est. FTE for new facilities (only eligible to schools that had bond election prior to 7-1-2015 &amp; bond money was used for construction of new facilities or schools that"&amp;" were built primarily with federal funds on a military reservation within USD 207 or 475.)"</f>
        <v>9/20/21 Est. FTE for new facilities (only eligible to schools that had bond election prior to 7-1-2015 &amp; bond money was used for construction of new facilities or schools that were built primarily with federal funds on a military reservation within USD 207 or 475.)</v>
      </c>
      <c r="C55" s="5940"/>
      <c r="D55" s="5940"/>
      <c r="E55" s="5940"/>
      <c r="F55" s="5940"/>
      <c r="G55" s="5940"/>
      <c r="L55" s="4685"/>
      <c r="M55" s="4685"/>
      <c r="N55" s="4685"/>
      <c r="O55" s="4685"/>
      <c r="P55" s="4685"/>
      <c r="Q55" s="4685"/>
      <c r="R55" s="4685"/>
      <c r="S55" s="4685"/>
      <c r="T55" s="4685"/>
      <c r="U55" s="4685"/>
      <c r="V55" s="4685"/>
      <c r="W55" s="4686"/>
      <c r="X55" s="4686"/>
      <c r="Y55" s="4686"/>
    </row>
    <row r="56" spans="1:25" ht="12.75" hidden="1" customHeight="1">
      <c r="A56" s="4784"/>
      <c r="B56" s="4782"/>
      <c r="C56" s="4781"/>
      <c r="D56" s="4781"/>
      <c r="E56" s="4781"/>
      <c r="F56" s="4782"/>
      <c r="G56" s="4782"/>
      <c r="L56" s="4728" t="s">
        <v>1149</v>
      </c>
      <c r="M56" s="4728" t="s">
        <v>1141</v>
      </c>
      <c r="N56" s="4767">
        <f>IF(AND(B4&lt;&gt;105,B4&lt;&gt;110,B4&lt;&gt;112,B4&lt;&gt;113,B4&lt;&gt;114,B4&lt;&gt;422),A15,IF(B4=113,A18,IF(OR(B4=114,B4=422),A15-A20,A20)))</f>
        <v>50987266</v>
      </c>
      <c r="O56" s="4685"/>
      <c r="P56" s="4685"/>
      <c r="Q56" s="4685" t="str">
        <f>IF(B4=114,"Recreation Commission #486",IF(B4=422,"Recreation Commission #424","Recreation Commission Employee Benefits"))</f>
        <v>Recreation Commission Employee Benefits</v>
      </c>
      <c r="R56" s="4685"/>
      <c r="S56" s="4685"/>
      <c r="T56" s="4685"/>
      <c r="U56" s="4685"/>
      <c r="V56" s="4685"/>
      <c r="W56" s="4686"/>
      <c r="X56" s="4686"/>
      <c r="Y56" s="4686"/>
    </row>
    <row r="57" spans="1:25" ht="12.75" hidden="1" customHeight="1">
      <c r="A57" s="4774"/>
      <c r="B57" s="4785"/>
      <c r="C57" s="4786"/>
      <c r="D57" s="4786"/>
      <c r="E57" s="4786"/>
      <c r="F57" s="4785"/>
      <c r="G57" s="4785"/>
      <c r="L57" s="4728"/>
      <c r="M57" s="4728"/>
      <c r="N57" s="4767"/>
      <c r="O57" s="4685"/>
      <c r="P57" s="4685"/>
      <c r="Q57" s="4685"/>
      <c r="R57" s="4685"/>
      <c r="S57" s="4685"/>
      <c r="T57" s="4685"/>
      <c r="U57" s="4685"/>
      <c r="V57" s="4685"/>
      <c r="W57" s="4686"/>
      <c r="X57" s="4686"/>
      <c r="Y57" s="4686"/>
    </row>
    <row r="58" spans="1:25" ht="12.75" customHeight="1">
      <c r="A58" s="4783">
        <v>135</v>
      </c>
      <c r="B58" s="5941" t="str">
        <f>"9/20/"&amp;RIGHT(OpenData!Q5,2)&amp;" Est. Public pupils transported or for whom transportation is being made available who reside in the district 2.5 miles or more."</f>
        <v>9/20/21 Est. Public pupils transported or for whom transportation is being made available who reside in the district 2.5 miles or more.</v>
      </c>
      <c r="C58" s="5942"/>
      <c r="D58" s="5942"/>
      <c r="E58" s="5942"/>
      <c r="F58" s="5942"/>
      <c r="G58" s="5942"/>
      <c r="L58" s="4728"/>
      <c r="M58" s="4728"/>
      <c r="N58" s="4767"/>
      <c r="O58" s="4685"/>
      <c r="P58" s="4685"/>
      <c r="Q58" s="4685"/>
      <c r="R58" s="4685"/>
      <c r="S58" s="4685"/>
      <c r="T58" s="4685"/>
      <c r="U58" s="4685"/>
      <c r="V58" s="4685"/>
      <c r="W58" s="4686"/>
      <c r="X58" s="4686"/>
      <c r="Y58" s="4686"/>
    </row>
    <row r="59" spans="1:25" ht="12.75" hidden="1" customHeight="1">
      <c r="A59" s="4787"/>
      <c r="B59" s="4782"/>
      <c r="C59" s="4781"/>
      <c r="D59" s="4781"/>
      <c r="E59" s="4788"/>
      <c r="F59" s="4782"/>
      <c r="G59" s="4788"/>
      <c r="L59" s="4685" t="s">
        <v>1150</v>
      </c>
      <c r="M59" s="4685" t="s">
        <v>1143</v>
      </c>
      <c r="N59" s="4728">
        <f>IF(OR(B4=114,B4=422),A20,A15)</f>
        <v>50987266</v>
      </c>
      <c r="O59" s="4685"/>
      <c r="P59" s="4685"/>
      <c r="Q59" s="4685" t="str">
        <f>IF(B4=114,"Recreation Commission #486",IF(B4=422,"Recreation Commission #424","Rec Comm Employee Bnfts"))</f>
        <v>Rec Comm Employee Bnfts</v>
      </c>
      <c r="R59" s="4685"/>
      <c r="S59" s="4685"/>
      <c r="T59" s="4685"/>
      <c r="U59" s="4685"/>
      <c r="V59" s="4685"/>
      <c r="W59" s="4686"/>
      <c r="X59" s="4686"/>
      <c r="Y59" s="4686"/>
    </row>
    <row r="60" spans="1:25" ht="12.75" customHeight="1">
      <c r="A60" s="4789">
        <v>0</v>
      </c>
      <c r="B60" s="5937" t="str">
        <f>"9/20/"&amp;RIGHT(OpenData!Q5,2)&amp; " Est. FTE of students enrolled in your district and attending Fort Hays State University (FHSU) Math &amp; Science Academy."</f>
        <v>9/20/21 Est. FTE of students enrolled in your district and attending Fort Hays State University (FHSU) Math &amp; Science Academy.</v>
      </c>
      <c r="C60" s="5938"/>
      <c r="D60" s="5938"/>
      <c r="E60" s="5938"/>
      <c r="F60" s="5938"/>
      <c r="G60" s="5938"/>
      <c r="L60" s="4685"/>
      <c r="M60" s="4685"/>
      <c r="N60" s="4685"/>
      <c r="O60" s="4685"/>
      <c r="P60" s="4685"/>
      <c r="Q60" s="4685"/>
      <c r="R60" s="4685"/>
      <c r="S60" s="4685"/>
      <c r="T60" s="4685"/>
      <c r="U60" s="4685"/>
      <c r="V60" s="4685"/>
      <c r="W60" s="4686"/>
      <c r="X60" s="4686"/>
      <c r="Y60" s="4686"/>
    </row>
    <row r="61" spans="1:25" ht="12" hidden="1" customHeight="1">
      <c r="A61" s="4790"/>
      <c r="B61" s="4791"/>
      <c r="C61" s="4792"/>
      <c r="D61" s="4792"/>
      <c r="E61" s="4792"/>
      <c r="F61" s="4792"/>
      <c r="G61" s="4792"/>
      <c r="L61" s="4766" t="str">
        <f>"Exceptions on budget " &amp; P14</f>
        <v>Exceptions on budget 2017-18</v>
      </c>
      <c r="M61" s="4685"/>
      <c r="N61" s="4685"/>
      <c r="O61" s="4685"/>
      <c r="P61" s="4685"/>
      <c r="Q61" s="4685"/>
      <c r="R61" s="4685"/>
      <c r="S61" s="4685"/>
      <c r="T61" s="4685"/>
      <c r="U61" s="4685"/>
      <c r="V61" s="4685"/>
      <c r="W61" s="4686"/>
      <c r="X61" s="4686"/>
      <c r="Y61" s="4686"/>
    </row>
    <row r="62" spans="1:25" ht="12.75" customHeight="1">
      <c r="A62" s="4790"/>
      <c r="B62" s="4793" t="s">
        <v>5273</v>
      </c>
      <c r="C62" s="4792"/>
      <c r="D62" s="4792"/>
      <c r="E62" s="4792"/>
      <c r="F62" s="4792"/>
      <c r="G62" s="4792"/>
      <c r="L62" s="4750" t="s">
        <v>834</v>
      </c>
      <c r="M62" s="4685" t="s">
        <v>1140</v>
      </c>
      <c r="N62" s="4685"/>
      <c r="O62" s="4685"/>
      <c r="P62" s="4685"/>
      <c r="Q62" s="4685"/>
      <c r="R62" s="4685"/>
      <c r="S62" s="4685"/>
      <c r="T62" s="4685"/>
      <c r="U62" s="4685"/>
      <c r="V62" s="4685"/>
      <c r="W62" s="4686"/>
      <c r="X62" s="4686"/>
      <c r="Y62" s="4686"/>
    </row>
    <row r="63" spans="1:25" ht="12.75" customHeight="1">
      <c r="A63" s="4790"/>
      <c r="B63" s="4794" t="s">
        <v>5185</v>
      </c>
      <c r="C63" s="4795"/>
      <c r="D63" s="4795"/>
      <c r="E63" s="4795"/>
      <c r="F63" s="4795"/>
      <c r="G63" s="4795"/>
      <c r="L63" s="4685">
        <v>105</v>
      </c>
      <c r="M63" s="4685" t="str">
        <f>Q5 &amp; " Assessed Valuation for Recreation Commission (#318-Atwood)"</f>
        <v>2017 Assessed Valuation for Recreation Commission (#318-Atwood)</v>
      </c>
      <c r="N63" s="4685"/>
      <c r="O63" s="4685"/>
      <c r="P63" s="4685"/>
      <c r="Q63" s="4685"/>
      <c r="R63" s="4685"/>
      <c r="S63" s="4685"/>
      <c r="T63" s="4685"/>
      <c r="U63" s="4685"/>
      <c r="V63" s="4685"/>
      <c r="W63" s="4686"/>
      <c r="X63" s="4686"/>
      <c r="Y63" s="4686"/>
    </row>
    <row r="64" spans="1:25" ht="12.75" customHeight="1">
      <c r="A64" s="4790"/>
      <c r="B64" s="4796"/>
      <c r="C64" s="4792"/>
      <c r="D64" s="4792"/>
      <c r="E64" s="4792"/>
      <c r="F64" s="4792"/>
      <c r="G64" s="4792"/>
      <c r="L64" s="4685">
        <v>110</v>
      </c>
      <c r="M64" s="4685" t="str">
        <f>Q5 &amp; " Assessed Valuation for Recreation Commission #238"</f>
        <v>2017 Assessed Valuation for Recreation Commission #238</v>
      </c>
      <c r="N64" s="4685"/>
      <c r="O64" s="4685"/>
      <c r="P64" s="4685"/>
      <c r="Q64" s="4685"/>
      <c r="R64" s="4685"/>
      <c r="S64" s="4685"/>
      <c r="T64" s="4685"/>
      <c r="U64" s="4685"/>
      <c r="V64" s="4685"/>
      <c r="W64" s="4686"/>
      <c r="X64" s="4686"/>
      <c r="Y64" s="4686"/>
    </row>
    <row r="65" spans="1:25" ht="12" hidden="1" customHeight="1">
      <c r="A65" s="4790"/>
      <c r="B65" s="4797"/>
      <c r="C65" s="4798"/>
      <c r="D65" s="4798"/>
      <c r="E65" s="4798"/>
      <c r="F65" s="4798"/>
      <c r="G65" s="4798"/>
      <c r="L65" s="4685">
        <v>112</v>
      </c>
      <c r="M65" s="4685" t="str">
        <f>Q5 &amp; " Assessed Valuation for Recreation Commission (Claflin)"</f>
        <v>2017 Assessed Valuation for Recreation Commission (Claflin)</v>
      </c>
      <c r="N65" s="4685"/>
      <c r="O65" s="4685"/>
      <c r="P65" s="4685"/>
      <c r="Q65" s="4685"/>
      <c r="R65" s="4685"/>
      <c r="S65" s="4685"/>
      <c r="T65" s="4685"/>
      <c r="U65" s="4685"/>
      <c r="V65" s="4685"/>
      <c r="W65" s="4686"/>
      <c r="X65" s="4686"/>
      <c r="Y65" s="4686"/>
    </row>
    <row r="66" spans="1:25" ht="12" customHeight="1">
      <c r="A66" s="5936" t="str">
        <f>"Military Provision for Form 150"</f>
        <v>Military Provision for Form 150</v>
      </c>
      <c r="B66" s="5936"/>
      <c r="C66" s="4799"/>
      <c r="D66" s="4800" t="str">
        <f>"(new students of military families, not enrolled on 9/20/"&amp;OpenData!Q5&amp;" and Excludes Virtual)"</f>
        <v>(new students of military families, not enrolled on 9/20/2021 and Excludes Virtual)</v>
      </c>
      <c r="E66" s="4799"/>
      <c r="F66" s="4799"/>
      <c r="G66" s="4799"/>
      <c r="H66" s="4801"/>
      <c r="I66" s="4802"/>
      <c r="L66" s="4686">
        <v>113</v>
      </c>
      <c r="M66" s="4686" t="str">
        <f>Q5 &amp; " Assessed Valuation for Bond and Interest #2 for USD 488"</f>
        <v>2017 Assessed Valuation for Bond and Interest #2 for USD 488</v>
      </c>
      <c r="N66" s="4686"/>
      <c r="O66" s="4686"/>
      <c r="P66" s="4686"/>
      <c r="Q66" s="4686"/>
      <c r="R66" s="4686"/>
      <c r="S66" s="4686"/>
      <c r="T66" s="4686"/>
      <c r="U66" s="4686"/>
      <c r="V66" s="4686"/>
      <c r="W66" s="4686"/>
      <c r="X66" s="4686"/>
      <c r="Y66" s="4686"/>
    </row>
    <row r="67" spans="1:25" ht="9" hidden="1" customHeight="1">
      <c r="A67" s="4803"/>
      <c r="B67" s="4804"/>
      <c r="C67" s="4804"/>
      <c r="D67" s="4804"/>
      <c r="E67" s="4804"/>
      <c r="F67" s="4804"/>
      <c r="G67" s="4804"/>
      <c r="H67" s="4805"/>
      <c r="L67" s="4686">
        <v>114</v>
      </c>
      <c r="M67" s="4686" t="str">
        <f>Q5 &amp; " Assessed Valuation for Recreation Commission #486"</f>
        <v>2017 Assessed Valuation for Recreation Commission #486</v>
      </c>
      <c r="N67" s="4686"/>
      <c r="O67" s="4686"/>
      <c r="P67" s="4686"/>
      <c r="Q67" s="4686"/>
      <c r="R67" s="4686"/>
      <c r="S67" s="4686"/>
      <c r="T67" s="4686"/>
      <c r="U67" s="4686"/>
      <c r="V67" s="4686"/>
      <c r="W67" s="4686"/>
      <c r="X67" s="4686"/>
      <c r="Y67" s="4686"/>
    </row>
    <row r="68" spans="1:25" ht="12.75" customHeight="1">
      <c r="A68" s="4768">
        <f>VLOOKUP($B$4,DATA!A4:BJ289,43,FALSE)</f>
        <v>0</v>
      </c>
      <c r="B68" s="4806" t="str">
        <f>"2/20/"&amp;RIGHT(OpenData!O5,2)&amp; " Audited FTE Enrollment (Excludes Preschool-Aged At-Risk (4 yr Old); Kindergarten based on Minutes Enrolled.)"</f>
        <v>2/20/19 Audited FTE Enrollment (Excludes Preschool-Aged At-Risk (4 yr Old); Kindergarten based on Minutes Enrolled.)</v>
      </c>
      <c r="C68" s="4807"/>
      <c r="D68" s="4807"/>
      <c r="E68" s="4807"/>
      <c r="F68" s="4771"/>
      <c r="G68" s="4808"/>
      <c r="H68" s="4809"/>
      <c r="L68" s="4686"/>
      <c r="M68" s="4686"/>
      <c r="N68" s="4686"/>
      <c r="O68" s="4686"/>
      <c r="P68" s="4686"/>
      <c r="Q68" s="4686"/>
      <c r="R68" s="4686"/>
      <c r="S68" s="4686"/>
      <c r="T68" s="4686"/>
      <c r="U68" s="4686"/>
      <c r="V68" s="4686"/>
      <c r="W68" s="4686"/>
      <c r="X68" s="4686"/>
      <c r="Y68" s="4686"/>
    </row>
    <row r="69" spans="1:25" ht="12.75" customHeight="1">
      <c r="A69" s="4768">
        <f>VLOOKUP($B$4,DATA!A4:BJ289,46,FALSE)</f>
        <v>0</v>
      </c>
      <c r="B69" s="4810" t="str">
        <f>"2/20/"&amp;RIGHT(OpenData!P5,2)&amp; " Audited FTE Enrollment (Excludes Preschool-Aged At-Risk (4 yr Old); Kindergarten based on Minutes Enrolled.)"</f>
        <v>2/20/20 Audited FTE Enrollment (Excludes Preschool-Aged At-Risk (4 yr Old); Kindergarten based on Minutes Enrolled.)</v>
      </c>
      <c r="C69" s="4811"/>
      <c r="D69" s="4811"/>
      <c r="E69" s="4706"/>
      <c r="F69" s="4811"/>
      <c r="G69" s="4707"/>
      <c r="H69" s="4805"/>
      <c r="L69" s="4686"/>
      <c r="M69" s="4686"/>
      <c r="N69" s="4686"/>
      <c r="O69" s="4686"/>
      <c r="P69" s="4686"/>
      <c r="Q69" s="4686"/>
      <c r="R69" s="4686"/>
      <c r="S69" s="4686"/>
      <c r="T69" s="4686"/>
      <c r="U69" s="4686"/>
      <c r="V69" s="4686"/>
      <c r="W69" s="4686"/>
      <c r="X69" s="4686"/>
      <c r="Y69" s="4686"/>
    </row>
    <row r="70" spans="1:25" ht="12.75" customHeight="1">
      <c r="A70" s="4812">
        <f>VLOOKUP($B$4,DATA!A4:BJ289,47,FALSE)</f>
        <v>0</v>
      </c>
      <c r="B70" s="4707" t="str">
        <f>"2/20/"&amp;RIGHT(OpenData!Q5,2)&amp;" Audited FTE Enrollment (Excludes Preschool-Aged At-Risk (4 yr Old); Kindergarten based on Minutes Enrolled.) "</f>
        <v xml:space="preserve">2/20/21 Audited FTE Enrollment (Excludes Preschool-Aged At-Risk (4 yr Old); Kindergarten based on Minutes Enrolled.) </v>
      </c>
      <c r="C70" s="4706"/>
      <c r="D70" s="4706"/>
      <c r="E70" s="4706"/>
      <c r="F70" s="4707"/>
      <c r="G70" s="4707"/>
      <c r="H70" s="4805"/>
      <c r="L70" s="4686"/>
      <c r="M70" s="4686"/>
      <c r="N70" s="4686"/>
      <c r="O70" s="4686"/>
      <c r="P70" s="4686"/>
      <c r="Q70" s="4686"/>
      <c r="R70" s="4686"/>
      <c r="S70" s="4686"/>
      <c r="T70" s="4686"/>
      <c r="U70" s="4686"/>
      <c r="V70" s="4686"/>
      <c r="W70" s="4686"/>
      <c r="X70" s="4686"/>
      <c r="Y70" s="4686"/>
    </row>
    <row r="71" spans="1:25" ht="12.75" customHeight="1">
      <c r="A71" s="4813">
        <v>0</v>
      </c>
      <c r="B71" s="4810" t="str">
        <f>"2/20/" &amp; RIGHT(OpenData!S5,2) &amp; " Est. Funded Headcount for PK-12 (Include Preschool-Aged At-Risk (4 yr Old)."</f>
        <v>2/20/22 Est. Funded Headcount for PK-12 (Include Preschool-Aged At-Risk (4 yr Old).</v>
      </c>
      <c r="C71" s="4811"/>
      <c r="D71" s="4811"/>
      <c r="E71" s="4811"/>
      <c r="F71" s="4707"/>
      <c r="G71" s="4814"/>
      <c r="H71" s="4805"/>
      <c r="L71" s="4686"/>
      <c r="M71" s="4686"/>
      <c r="N71" s="4686"/>
      <c r="O71" s="4686"/>
      <c r="P71" s="4686"/>
      <c r="Q71" s="4686"/>
      <c r="R71" s="4686"/>
      <c r="S71" s="4686"/>
      <c r="T71" s="4686"/>
      <c r="U71" s="4686"/>
      <c r="V71" s="4686"/>
      <c r="W71" s="4686"/>
      <c r="X71" s="4686"/>
      <c r="Y71" s="4686"/>
    </row>
    <row r="72" spans="1:25" ht="12.75" customHeight="1">
      <c r="A72" s="4815">
        <v>0</v>
      </c>
      <c r="B72" s="5943" t="str">
        <f>"2/20/" &amp; RIGHT(OpenData!S5,2) &amp; " Est. FTE Enrollment (Excludes Preschool-Aged At-Risk (4 yr Old).) (Out of state students counted as HALF of regular FTE.)"</f>
        <v>2/20/22 Est. FTE Enrollment (Excludes Preschool-Aged At-Risk (4 yr Old).) (Out of state students counted as HALF of regular FTE.)</v>
      </c>
      <c r="C72" s="5944"/>
      <c r="D72" s="5944"/>
      <c r="E72" s="5944"/>
      <c r="F72" s="5944"/>
      <c r="G72" s="5944"/>
      <c r="I72" s="4816"/>
      <c r="L72" s="4686">
        <v>422</v>
      </c>
      <c r="M72" s="4686" t="str">
        <f>Q5 &amp; " Assessed Valuation for Recreation Commission #424"</f>
        <v>2017 Assessed Valuation for Recreation Commission #424</v>
      </c>
      <c r="N72" s="4686"/>
      <c r="O72" s="4686"/>
      <c r="P72" s="4686"/>
      <c r="Q72" s="4686"/>
      <c r="R72" s="4686"/>
      <c r="S72" s="4686"/>
      <c r="T72" s="4686"/>
      <c r="U72" s="4686"/>
      <c r="V72" s="4686"/>
      <c r="W72" s="4686"/>
      <c r="X72" s="4686"/>
      <c r="Y72" s="4686"/>
    </row>
    <row r="73" spans="1:25" ht="12.75" customHeight="1">
      <c r="A73" s="4817">
        <v>0</v>
      </c>
      <c r="B73" s="4707" t="str">
        <f>"2/20/"&amp;RIGHT(OpenData!S5,2)&amp;" Est. Preschool-Aged At-Risk (4 yr old) FTE Enrollment (count each student as .5 FTE) "</f>
        <v xml:space="preserve">2/20/22 Est. Preschool-Aged At-Risk (4 yr old) FTE Enrollment (count each student as .5 FTE) </v>
      </c>
      <c r="C73" s="4706"/>
      <c r="D73" s="4706"/>
      <c r="E73" s="4706"/>
      <c r="F73" s="4707"/>
      <c r="G73" s="4707"/>
      <c r="I73" s="4816"/>
      <c r="L73" s="4686"/>
      <c r="M73" s="4686"/>
      <c r="N73" s="4686"/>
      <c r="O73" s="4686"/>
      <c r="P73" s="4686"/>
      <c r="Q73" s="4686"/>
      <c r="R73" s="4686"/>
      <c r="S73" s="4686"/>
      <c r="T73" s="4686"/>
      <c r="U73" s="4686"/>
      <c r="V73" s="4686"/>
      <c r="W73" s="4686"/>
      <c r="X73" s="4686"/>
      <c r="Y73" s="4686"/>
    </row>
    <row r="74" spans="1:25" ht="12.75" customHeight="1">
      <c r="A74" s="4818">
        <v>0</v>
      </c>
      <c r="B74" s="4707" t="str">
        <f>"2/20/"&amp;RIGHT(OpenData!S5,2)&amp;" Est. number of eligible students that qualify for free meals. Do not include part-time students."</f>
        <v>2/20/22 Est. number of eligible students that qualify for free meals. Do not include part-time students.</v>
      </c>
      <c r="C74" s="4706"/>
      <c r="D74" s="4706"/>
      <c r="E74" s="4706"/>
      <c r="F74" s="4707"/>
      <c r="G74" s="4707"/>
      <c r="I74" s="4816"/>
      <c r="L74" s="4686"/>
      <c r="M74" s="4686"/>
      <c r="N74" s="4686"/>
      <c r="O74" s="4686"/>
      <c r="P74" s="4686"/>
      <c r="Q74" s="4686"/>
      <c r="R74" s="4686"/>
      <c r="S74" s="4686"/>
      <c r="T74" s="4686"/>
      <c r="U74" s="4686"/>
      <c r="V74" s="4686"/>
      <c r="W74" s="4686"/>
      <c r="X74" s="4686"/>
      <c r="Y74" s="4686"/>
    </row>
    <row r="75" spans="1:25" ht="12.75" customHeight="1">
      <c r="A75" s="4815">
        <v>0</v>
      </c>
      <c r="B75" s="4707" t="str">
        <f>"2/20/"&amp;RIGHT(OpenData!S5,2)&amp;" Est. Career and Tech Ed total clock hours of students enrolled and attending in approved courses"</f>
        <v>2/20/22 Est. Career and Tech Ed total clock hours of students enrolled and attending in approved courses</v>
      </c>
      <c r="C75" s="4706"/>
      <c r="D75" s="4706"/>
      <c r="E75" s="4706"/>
      <c r="F75" s="4707"/>
      <c r="G75" s="4707"/>
      <c r="L75" s="4686"/>
      <c r="M75" s="4686"/>
      <c r="N75" s="4686"/>
      <c r="O75" s="4686"/>
      <c r="P75" s="4686"/>
      <c r="Q75" s="4686"/>
      <c r="R75" s="4686"/>
      <c r="S75" s="4686"/>
      <c r="T75" s="4686"/>
      <c r="U75" s="4686"/>
      <c r="V75" s="4686"/>
      <c r="W75" s="4686"/>
      <c r="X75" s="4686"/>
      <c r="Y75" s="4686"/>
    </row>
    <row r="76" spans="1:25" ht="12.75" customHeight="1">
      <c r="A76" s="4815">
        <v>0</v>
      </c>
      <c r="B76" s="4707" t="str">
        <f>"2/20/"&amp;RIGHT(OpenData!S5,2)&amp;" Est. Bilingual Education total clock hours of students enrolled and attending"</f>
        <v>2/20/22 Est. Bilingual Education total clock hours of students enrolled and attending</v>
      </c>
      <c r="C76" s="4706"/>
      <c r="D76" s="4706"/>
      <c r="E76" s="4706"/>
      <c r="F76" s="4707"/>
      <c r="G76" s="4707"/>
      <c r="L76" s="4819" t="s">
        <v>1333</v>
      </c>
      <c r="M76" s="4686">
        <v>1.4</v>
      </c>
      <c r="N76" s="4686" t="s">
        <v>1811</v>
      </c>
      <c r="O76" s="4686"/>
      <c r="P76" s="4686"/>
      <c r="Q76" s="4686"/>
      <c r="R76" s="4686"/>
      <c r="S76" s="4686"/>
      <c r="T76" s="4686"/>
      <c r="U76" s="4686"/>
      <c r="V76" s="4686"/>
      <c r="W76" s="4686"/>
      <c r="X76" s="4686"/>
      <c r="Y76" s="4686"/>
    </row>
    <row r="77" spans="1:25" ht="12.75" customHeight="1">
      <c r="A77" s="4818">
        <v>0</v>
      </c>
      <c r="B77" s="4707" t="str">
        <f>"2/20/"&amp;RIGHT(OpenData!S5,2)&amp;" Est. Bilingual headcount of students enrolled and attending"</f>
        <v>2/20/22 Est. Bilingual headcount of students enrolled and attending</v>
      </c>
      <c r="C77" s="4706"/>
      <c r="D77" s="4706"/>
      <c r="E77" s="4706"/>
      <c r="F77" s="4707"/>
      <c r="G77" s="4707"/>
      <c r="L77" s="4686"/>
      <c r="M77" s="4686"/>
      <c r="N77" s="4686"/>
      <c r="O77" s="4686"/>
      <c r="P77" s="4686"/>
      <c r="Q77" s="4686"/>
      <c r="R77" s="4686"/>
      <c r="S77" s="4686"/>
      <c r="T77" s="4686"/>
      <c r="U77" s="4686"/>
      <c r="V77" s="4686"/>
      <c r="W77" s="4686"/>
      <c r="X77" s="4686"/>
      <c r="Y77" s="4686"/>
    </row>
    <row r="78" spans="1:25" ht="27.75" customHeight="1">
      <c r="A78" s="4815">
        <v>0</v>
      </c>
      <c r="B78" s="5939" t="str">
        <f>"2/20/"&amp;RIGHT(OpenData!S5,2)&amp;" Est. FTE for new facilities (only eligible to schools that had a bond election prior to 7-1-2015 &amp; bond money was used for "&amp;"construction of new facilities or schools that were built primarily with federal funds on a military reservation within USD 207 or 475.)"</f>
        <v>2/20/22 Est. FTE for new facilities (only eligible to schools that had a bond election prior to 7-1-2015 &amp; bond money was used for construction of new facilities or schools that were built primarily with federal funds on a military reservation within USD 207 or 475.)</v>
      </c>
      <c r="C78" s="5940"/>
      <c r="D78" s="5940"/>
      <c r="E78" s="5940"/>
      <c r="F78" s="5940"/>
      <c r="G78" s="5940"/>
      <c r="L78" s="4686"/>
      <c r="M78" s="4686"/>
      <c r="N78" s="4686"/>
      <c r="O78" s="4686"/>
      <c r="P78" s="4686"/>
      <c r="Q78" s="4686"/>
      <c r="R78" s="4686"/>
      <c r="S78" s="4686"/>
      <c r="T78" s="4686"/>
      <c r="U78" s="4686"/>
      <c r="V78" s="4686"/>
      <c r="W78" s="4686"/>
      <c r="X78" s="4686"/>
      <c r="Y78" s="4686"/>
    </row>
    <row r="79" spans="1:25" ht="12.75" hidden="1" customHeight="1">
      <c r="A79" s="4774"/>
      <c r="B79" s="4782"/>
      <c r="C79" s="4781"/>
      <c r="D79" s="4781"/>
      <c r="E79" s="4781"/>
      <c r="F79" s="4782"/>
      <c r="G79" s="4782"/>
      <c r="L79" s="4686"/>
      <c r="M79" s="4686"/>
      <c r="N79" s="4686"/>
      <c r="O79" s="4686"/>
      <c r="P79" s="4686"/>
      <c r="Q79" s="4686"/>
      <c r="R79" s="4686"/>
      <c r="S79" s="4686"/>
      <c r="T79" s="4686"/>
      <c r="U79" s="4686"/>
      <c r="V79" s="4686"/>
      <c r="W79" s="4686"/>
      <c r="X79" s="4686"/>
      <c r="Y79" s="4686"/>
    </row>
    <row r="80" spans="1:25" ht="12.75" hidden="1" customHeight="1">
      <c r="A80" s="4774"/>
      <c r="B80" s="4785"/>
      <c r="C80" s="4786"/>
      <c r="D80" s="4786"/>
      <c r="E80" s="4786"/>
      <c r="F80" s="4785"/>
      <c r="G80" s="4785"/>
      <c r="L80" s="4820"/>
      <c r="M80" s="4820"/>
    </row>
    <row r="81" spans="1:13" ht="26.25" customHeight="1">
      <c r="A81" s="4817">
        <v>0</v>
      </c>
      <c r="B81" s="5941" t="str">
        <f>"2/20/"&amp;RIGHT(OpenData!S5,2)&amp;" Est. Public pupils transported of military families or for whom transportation is being made available who reside in the district 2.5 miles or more."</f>
        <v>2/20/22 Est. Public pupils transported of military families or for whom transportation is being made available who reside in the district 2.5 miles or more.</v>
      </c>
      <c r="C81" s="5942"/>
      <c r="D81" s="5942"/>
      <c r="E81" s="5942"/>
      <c r="F81" s="5942"/>
      <c r="G81" s="5942"/>
      <c r="H81" s="4816"/>
      <c r="L81" s="4820"/>
      <c r="M81" s="4820"/>
    </row>
    <row r="82" spans="1:13" ht="12.75" customHeight="1">
      <c r="A82" s="4785"/>
      <c r="B82" s="4785"/>
      <c r="C82" s="4786"/>
      <c r="D82" s="4786"/>
      <c r="E82" s="4786"/>
      <c r="F82" s="4785"/>
      <c r="G82" s="4785"/>
      <c r="L82" s="4820"/>
      <c r="M82" s="4820"/>
    </row>
    <row r="83" spans="1:13" ht="12.75" hidden="1" customHeight="1">
      <c r="A83" s="4774"/>
      <c r="B83" s="4821"/>
      <c r="C83" s="4687"/>
      <c r="D83" s="4687"/>
      <c r="E83" s="4822"/>
      <c r="G83" s="4822"/>
      <c r="L83" s="4820"/>
      <c r="M83" s="4820"/>
    </row>
    <row r="84" spans="1:13" ht="12.75" customHeight="1">
      <c r="A84" s="4823" t="str">
        <f>"USD# " &amp;B4</f>
        <v>USD# 237</v>
      </c>
      <c r="B84" s="4824"/>
      <c r="C84" s="4824"/>
      <c r="D84" s="4824"/>
      <c r="E84" s="4824"/>
      <c r="F84" s="4824"/>
      <c r="G84" s="4825" t="str">
        <f>OpenData!$N$2</f>
        <v>2021-2022</v>
      </c>
      <c r="L84" s="4820"/>
      <c r="M84" s="4820"/>
    </row>
    <row r="85" spans="1:13" ht="12.75" customHeight="1">
      <c r="A85" s="4822"/>
      <c r="B85" s="713"/>
      <c r="C85" s="713"/>
      <c r="D85" s="713"/>
      <c r="E85" s="713"/>
      <c r="F85" s="713"/>
      <c r="G85" s="713"/>
      <c r="L85" s="4820"/>
      <c r="M85" s="4820"/>
    </row>
    <row r="86" spans="1:13" ht="12.75" hidden="1" customHeight="1">
      <c r="A86" s="4822"/>
      <c r="B86" s="713"/>
      <c r="C86" s="713"/>
      <c r="D86" s="713"/>
      <c r="E86" s="713"/>
      <c r="F86" s="713"/>
      <c r="G86" s="713"/>
      <c r="L86" s="4820"/>
      <c r="M86" s="4820"/>
    </row>
    <row r="87" spans="1:13" ht="12.75" customHeight="1">
      <c r="A87" s="5932" t="s">
        <v>4987</v>
      </c>
      <c r="B87" s="5932"/>
      <c r="C87" s="5932"/>
      <c r="D87" s="5932"/>
      <c r="E87" s="5932"/>
      <c r="F87" s="5932"/>
      <c r="G87" s="5932"/>
      <c r="L87" s="4820"/>
      <c r="M87" s="4820"/>
    </row>
    <row r="88" spans="1:13" ht="9.75" customHeight="1">
      <c r="A88" s="4826"/>
      <c r="B88" s="713"/>
      <c r="C88" s="713"/>
      <c r="D88" s="713"/>
      <c r="E88" s="713"/>
      <c r="F88" s="713"/>
      <c r="G88" s="713"/>
      <c r="L88" s="4820"/>
      <c r="M88" s="4820"/>
    </row>
    <row r="89" spans="1:13" ht="12.75" customHeight="1">
      <c r="A89" s="4827">
        <v>0</v>
      </c>
      <c r="B89" s="4702" t="str">
        <f>"9/20/" &amp;RIGHT(OpenData!Q5,2)&amp; " Est. FTE Virtual Students  (Full-Time Students)"</f>
        <v>9/20/21 Est. FTE Virtual Students  (Full-Time Students)</v>
      </c>
      <c r="C89" s="4703"/>
      <c r="D89" s="4703"/>
      <c r="E89" s="4703"/>
      <c r="F89" s="4771"/>
      <c r="G89" s="4704"/>
      <c r="L89" s="4820"/>
      <c r="M89" s="4820"/>
    </row>
    <row r="90" spans="1:13" ht="12.75" customHeight="1">
      <c r="A90" s="4828">
        <v>0</v>
      </c>
      <c r="B90" s="4709" t="str">
        <f>"9/20/" &amp; RIGHT(OpenData!Q5,2) &amp; " Est. FTE Virtual Students  (Part-Time Students)"</f>
        <v>9/20/21 Est. FTE Virtual Students  (Part-Time Students)</v>
      </c>
      <c r="C90" s="4706"/>
      <c r="D90" s="4706"/>
      <c r="E90" s="4706"/>
      <c r="F90" s="4707"/>
      <c r="G90" s="4707"/>
      <c r="M90" s="4820"/>
    </row>
    <row r="91" spans="1:13" ht="28.5" customHeight="1">
      <c r="A91" s="4829">
        <v>0</v>
      </c>
      <c r="B91" s="5939" t="str">
        <f>"Total Credits Earned (20 yrs and older as of 9/20/" &amp; RIGHT(OpenData!Q5,2) &amp; ") (No student shall be counted for more than 6 credits between July 1, " &amp; OpenData!Q5 &amp;  " and June 30, " &amp; OpenData!S5 &amp; ")"</f>
        <v>Total Credits Earned (20 yrs and older as of 9/20/21) (No student shall be counted for more than 6 credits between July 1, 2021 and June 30, 2022)</v>
      </c>
      <c r="C91" s="5940"/>
      <c r="D91" s="5940"/>
      <c r="E91" s="5940"/>
      <c r="F91" s="5940"/>
      <c r="G91" s="5940"/>
      <c r="M91" s="4820"/>
    </row>
    <row r="92" spans="1:13" ht="12.75" hidden="1" customHeight="1">
      <c r="A92" s="4830"/>
      <c r="B92" s="4782"/>
      <c r="C92" s="4781"/>
      <c r="D92" s="4781"/>
      <c r="E92" s="4831"/>
      <c r="F92" s="4782"/>
      <c r="G92" s="4831"/>
      <c r="M92" s="4820"/>
    </row>
    <row r="93" spans="1:13" ht="12.75" customHeight="1">
      <c r="A93" s="4809"/>
      <c r="B93" s="4809"/>
      <c r="C93" s="4809"/>
      <c r="D93" s="4809"/>
      <c r="E93" s="4687"/>
      <c r="M93" s="4820"/>
    </row>
    <row r="94" spans="1:13" ht="12.75" customHeight="1">
      <c r="A94" s="4832">
        <f>VLOOKUP($B$4,DATA!A4:BJ289,10,FALSE)</f>
        <v>599</v>
      </c>
      <c r="B94" s="4702" t="str">
        <f>"Area of district in square miles 9/20/"&amp;RIGHT(OpenData!Q5,2)&amp;"."</f>
        <v>Area of district in square miles 9/20/21.</v>
      </c>
      <c r="C94" s="4703"/>
      <c r="D94" s="4703"/>
      <c r="M94" s="4820"/>
    </row>
    <row r="95" spans="1:13" ht="12.75" customHeight="1">
      <c r="A95" s="4787"/>
      <c r="C95" s="4687"/>
      <c r="D95" s="4687"/>
      <c r="M95" s="4820"/>
    </row>
    <row r="96" spans="1:13" ht="12.75" customHeight="1">
      <c r="A96" s="4833">
        <v>0</v>
      </c>
      <c r="B96" s="4702" t="s">
        <v>1816</v>
      </c>
      <c r="C96" s="4703"/>
      <c r="D96" s="4703"/>
      <c r="E96" s="4703"/>
      <c r="F96" s="4704"/>
      <c r="G96" s="4704"/>
      <c r="M96" s="4820"/>
    </row>
    <row r="97" spans="1:16" ht="12.75" customHeight="1">
      <c r="A97" s="4834"/>
      <c r="M97" s="4820"/>
    </row>
    <row r="98" spans="1:16" ht="12.75" customHeight="1">
      <c r="A98" s="4835" t="s">
        <v>5307</v>
      </c>
      <c r="B98" s="4836" t="s">
        <v>3027</v>
      </c>
      <c r="C98" s="4704"/>
      <c r="D98" s="4704"/>
      <c r="E98" s="4704"/>
      <c r="F98" s="4704"/>
      <c r="J98" s="4837" t="str">
        <f>IF(A98="","&lt;--If district levies tax for cost of living weighting - this MUST be Yes","")</f>
        <v/>
      </c>
      <c r="M98" s="4820"/>
    </row>
    <row r="99" spans="1:16" ht="12.75" customHeight="1">
      <c r="A99" s="4838"/>
      <c r="B99" s="4839" t="s">
        <v>5108</v>
      </c>
      <c r="C99" s="4707"/>
      <c r="D99" s="4707"/>
      <c r="E99" s="4707"/>
      <c r="F99" s="4707"/>
      <c r="J99" s="4837"/>
      <c r="M99" s="4820"/>
    </row>
    <row r="100" spans="1:16" ht="12.75" customHeight="1">
      <c r="A100" s="4840"/>
      <c r="B100" s="4839" t="s">
        <v>5109</v>
      </c>
      <c r="C100" s="4707"/>
      <c r="D100" s="4707"/>
      <c r="E100" s="4707"/>
      <c r="F100" s="4707"/>
      <c r="J100" s="4837"/>
      <c r="M100" s="4820"/>
    </row>
    <row r="101" spans="1:16" ht="12.75" customHeight="1">
      <c r="A101" s="4841"/>
      <c r="M101" s="4820"/>
    </row>
    <row r="102" spans="1:16" ht="12.75" customHeight="1">
      <c r="A102" s="4840">
        <v>41982</v>
      </c>
      <c r="B102" s="4842" t="s">
        <v>5274</v>
      </c>
      <c r="C102" s="4704"/>
      <c r="D102" s="4704"/>
      <c r="E102" s="4704"/>
      <c r="F102" s="4704"/>
      <c r="G102" s="4704"/>
      <c r="I102" s="4843"/>
      <c r="J102" s="4844" t="s">
        <v>4947</v>
      </c>
      <c r="M102" s="4820"/>
    </row>
    <row r="103" spans="1:16" ht="12.75" customHeight="1">
      <c r="A103" s="4845">
        <v>33</v>
      </c>
      <c r="B103" s="4846" t="s">
        <v>5275</v>
      </c>
      <c r="C103" s="4707"/>
      <c r="D103" s="4707"/>
      <c r="E103" s="4707"/>
      <c r="F103" s="4707"/>
      <c r="G103" s="4707"/>
      <c r="I103" s="4847"/>
      <c r="J103" s="4848">
        <f>IF(A103&gt;33,33,A103)</f>
        <v>33</v>
      </c>
      <c r="K103" s="4843"/>
      <c r="M103" s="4820"/>
    </row>
    <row r="104" spans="1:16" ht="12.75" customHeight="1">
      <c r="A104" s="4849">
        <v>9999</v>
      </c>
      <c r="B104" s="4846" t="s">
        <v>5276</v>
      </c>
      <c r="C104" s="4707"/>
      <c r="D104" s="4707"/>
      <c r="E104" s="4707"/>
      <c r="F104" s="4707"/>
      <c r="G104" s="4707"/>
      <c r="M104" s="4820"/>
    </row>
    <row r="105" spans="1:16" ht="12.75" customHeight="1">
      <c r="A105" s="4850" t="str">
        <f>IF(A103&gt;33,"ERROR!  LOB authority by ELECTION cannot exceed 33%","")</f>
        <v/>
      </c>
      <c r="B105" s="4851"/>
      <c r="I105" s="4852"/>
      <c r="M105" s="4820"/>
    </row>
    <row r="106" spans="1:16" ht="12.75" customHeight="1">
      <c r="A106" s="4840"/>
      <c r="B106" s="4842" t="s">
        <v>4430</v>
      </c>
      <c r="C106" s="4704"/>
      <c r="D106" s="4704"/>
      <c r="E106" s="4704"/>
      <c r="F106" s="4704"/>
      <c r="G106" s="4704"/>
      <c r="I106" s="4852"/>
      <c r="J106" s="4844" t="s">
        <v>4948</v>
      </c>
      <c r="M106" s="4820"/>
    </row>
    <row r="107" spans="1:16" ht="12.75" customHeight="1">
      <c r="A107" s="4853"/>
      <c r="B107" s="4846" t="s">
        <v>5277</v>
      </c>
      <c r="C107" s="4707"/>
      <c r="D107" s="4707"/>
      <c r="E107" s="4707"/>
      <c r="F107" s="4707"/>
      <c r="G107" s="4707"/>
      <c r="J107" s="4848">
        <f>IF(A107&gt;33,33,A107)</f>
        <v>0</v>
      </c>
      <c r="M107" s="4820"/>
    </row>
    <row r="108" spans="1:16" ht="12.75" customHeight="1">
      <c r="A108" s="4849"/>
      <c r="B108" s="4846" t="s">
        <v>5278</v>
      </c>
      <c r="C108" s="4707"/>
      <c r="D108" s="4707"/>
      <c r="E108" s="4707"/>
      <c r="F108" s="4707"/>
      <c r="G108" s="4707"/>
      <c r="M108" s="4820"/>
    </row>
    <row r="109" spans="1:16" ht="12.75" customHeight="1">
      <c r="A109" s="4841" t="str">
        <f>IF(A107&gt;33,"ERROR!  Adopted resolution cannot exceed 33%","")</f>
        <v/>
      </c>
      <c r="M109" s="4820"/>
    </row>
    <row r="110" spans="1:16" ht="12.75" customHeight="1">
      <c r="A110" s="4840">
        <v>43381</v>
      </c>
      <c r="B110" s="4702" t="s">
        <v>825</v>
      </c>
      <c r="C110" s="4704"/>
      <c r="D110" s="4704"/>
      <c r="E110" s="4854" t="s">
        <v>826</v>
      </c>
      <c r="F110" s="4704"/>
      <c r="G110" s="4704"/>
      <c r="J110" s="4848"/>
      <c r="M110" s="4820"/>
    </row>
    <row r="111" spans="1:16" ht="12.75" customHeight="1">
      <c r="A111" s="4855">
        <v>8</v>
      </c>
      <c r="B111" s="4709" t="s">
        <v>4891</v>
      </c>
      <c r="C111" s="4707"/>
      <c r="D111" s="4707"/>
      <c r="E111" s="4707"/>
      <c r="F111" s="4707"/>
      <c r="G111" s="4707"/>
      <c r="M111" s="4820"/>
    </row>
    <row r="112" spans="1:16" ht="12.75" customHeight="1">
      <c r="A112" s="4856">
        <v>9999</v>
      </c>
      <c r="B112" s="4709" t="s">
        <v>1341</v>
      </c>
      <c r="C112" s="4707"/>
      <c r="D112" s="4707"/>
      <c r="E112" s="4707"/>
      <c r="F112" s="4707"/>
      <c r="G112" s="4707"/>
      <c r="M112" s="4686" t="s">
        <v>3028</v>
      </c>
      <c r="N112" s="4686"/>
      <c r="O112" s="4686"/>
      <c r="P112" s="4686"/>
    </row>
    <row r="113" spans="1:16" s="4684" customFormat="1" ht="12.75" hidden="1" customHeight="1">
      <c r="A113" s="4857" t="str">
        <f>IF(A111&gt;8,"ERROR! Capital Outlay cannot exceed 8 mills.", "")</f>
        <v/>
      </c>
      <c r="M113" s="4686" t="s">
        <v>1271</v>
      </c>
      <c r="N113" s="4858">
        <v>891.36590000000001</v>
      </c>
      <c r="O113" s="4686"/>
      <c r="P113" s="4686"/>
    </row>
    <row r="114" spans="1:16" s="4684" customFormat="1" ht="12.75" customHeight="1">
      <c r="A114" s="4859"/>
      <c r="E114" s="4860"/>
      <c r="M114" s="4686"/>
      <c r="N114" s="4686"/>
      <c r="O114" s="4686"/>
      <c r="P114" s="4686"/>
    </row>
    <row r="115" spans="1:16" s="4684" customFormat="1" ht="12.75" customHeight="1">
      <c r="A115" s="4840"/>
      <c r="B115" s="4702" t="s">
        <v>827</v>
      </c>
      <c r="C115" s="4704"/>
      <c r="D115" s="4704"/>
      <c r="E115" s="4854" t="s">
        <v>826</v>
      </c>
      <c r="F115" s="4704"/>
      <c r="M115" s="4686"/>
      <c r="N115" s="4686"/>
      <c r="O115" s="4686"/>
      <c r="P115" s="4686"/>
    </row>
    <row r="116" spans="1:16" s="4684" customFormat="1" ht="12.75" customHeight="1">
      <c r="A116" s="4861"/>
      <c r="B116" s="4709" t="s">
        <v>1342</v>
      </c>
      <c r="C116" s="4707"/>
      <c r="D116" s="4707"/>
      <c r="E116" s="4707"/>
      <c r="F116" s="4707"/>
    </row>
    <row r="117" spans="1:16" s="4684" customFormat="1" ht="12.75" customHeight="1">
      <c r="A117" s="4856"/>
      <c r="B117" s="4709" t="s">
        <v>1339</v>
      </c>
      <c r="C117" s="4707"/>
      <c r="D117" s="4707"/>
      <c r="E117" s="4707"/>
      <c r="F117" s="4707"/>
    </row>
    <row r="118" spans="1:16" s="4684" customFormat="1" ht="12.75" customHeight="1">
      <c r="A118" s="4862"/>
    </row>
    <row r="119" spans="1:16" s="4684" customFormat="1" ht="12.75" customHeight="1">
      <c r="A119" s="4701">
        <f>VLOOKUP($B$4,DATA!A4:BJ289,11,FALSE)</f>
        <v>3870400</v>
      </c>
      <c r="B119" s="4702" t="str">
        <f>OpenData!O14&amp;" General Fund (Final Audited Legal Max)"</f>
        <v>2020-21 General Fund (Final Audited Legal Max)</v>
      </c>
      <c r="C119" s="4704"/>
      <c r="D119" s="4704"/>
      <c r="E119" s="4704"/>
      <c r="F119" s="4704"/>
    </row>
    <row r="120" spans="1:16" s="4684" customFormat="1" ht="12.75" customHeight="1">
      <c r="A120" s="4790"/>
    </row>
    <row r="121" spans="1:16" s="4684" customFormat="1" ht="28.5" customHeight="1">
      <c r="A121" s="4863"/>
      <c r="B121" s="5937" t="str">
        <f>"100% of estimated P.L. 382  for "&amp; OpenData!P14&amp;". (Exclude extra aid for Construction, Children on Indian Land, Low Rent Housing, Special Education and Pre-Kindergarten Deduct that does not generate state aid."</f>
        <v>100% of estimated P.L. 382  for 2021-22. (Exclude extra aid for Construction, Children on Indian Land, Low Rent Housing, Special Education and Pre-Kindergarten Deduct that does not generate state aid.</v>
      </c>
      <c r="C121" s="5938"/>
      <c r="D121" s="5938"/>
      <c r="E121" s="5938"/>
      <c r="F121" s="5938"/>
      <c r="G121" s="5938"/>
    </row>
    <row r="122" spans="1:16" s="4684" customFormat="1" ht="12.75" customHeight="1">
      <c r="A122" s="4864"/>
      <c r="B122" s="4782"/>
      <c r="C122" s="4782"/>
      <c r="D122" s="4782"/>
      <c r="E122" s="4782"/>
      <c r="F122" s="4782"/>
      <c r="G122" s="4782"/>
    </row>
    <row r="123" spans="1:16" s="4684" customFormat="1" ht="5.25" hidden="1" customHeight="1"/>
    <row r="124" spans="1:16" s="4684" customFormat="1" ht="11.4" hidden="1"/>
    <row r="125" spans="1:16" ht="12.75" customHeight="1">
      <c r="A125" s="4865">
        <v>3</v>
      </c>
      <c r="B125" s="4866" t="str">
        <f>"Delinquent tax rate to be used for the "&amp; OpenData!P4&amp;" budget.  (Goes to Code 01.)"</f>
        <v>Delinquent tax rate to be used for the 2021-2022 budget.  (Goes to Code 01.)</v>
      </c>
      <c r="C125" s="4704"/>
      <c r="D125" s="4704"/>
      <c r="E125" s="4704"/>
      <c r="F125" s="4704"/>
      <c r="G125" s="4704"/>
    </row>
    <row r="126" spans="1:16" s="4684" customFormat="1" ht="12.75" customHeight="1">
      <c r="E126" s="4867"/>
    </row>
    <row r="127" spans="1:16" ht="12.75" customHeight="1">
      <c r="A127" s="4687" t="s">
        <v>828</v>
      </c>
      <c r="B127" s="4868" t="str">
        <f>"7/1/"&amp; OpenData!O5</f>
        <v>7/1/2019</v>
      </c>
      <c r="C127" s="4869"/>
      <c r="D127" s="4868" t="str">
        <f>"7/1/"&amp; OpenData!P5</f>
        <v>7/1/2020</v>
      </c>
      <c r="E127" s="4785"/>
      <c r="F127" s="4868" t="str">
        <f>"7/1/"&amp; OpenData!Q5</f>
        <v>7/1/2021</v>
      </c>
    </row>
    <row r="128" spans="1:16" ht="12.75" customHeight="1">
      <c r="A128" s="4703" t="s">
        <v>1082</v>
      </c>
      <c r="B128" s="4704"/>
      <c r="C128" s="4704"/>
      <c r="D128" s="4704"/>
      <c r="E128" s="4870"/>
      <c r="F128" s="4704"/>
    </row>
    <row r="129" spans="1:8" s="4684" customFormat="1" ht="12.75" customHeight="1">
      <c r="A129" s="4871" t="s">
        <v>829</v>
      </c>
      <c r="B129" s="4872"/>
      <c r="C129" s="4873"/>
      <c r="D129" s="4872"/>
      <c r="E129" s="4873"/>
      <c r="F129" s="4872"/>
    </row>
    <row r="130" spans="1:8" s="4684" customFormat="1" ht="12.75" customHeight="1">
      <c r="A130" s="4871" t="s">
        <v>830</v>
      </c>
      <c r="B130" s="4874"/>
      <c r="C130" s="4873"/>
      <c r="D130" s="4874"/>
      <c r="E130" s="4873"/>
      <c r="F130" s="4874"/>
    </row>
    <row r="131" spans="1:8" s="4684" customFormat="1" ht="12.75" customHeight="1">
      <c r="A131" s="4871" t="s">
        <v>820</v>
      </c>
      <c r="B131" s="4874"/>
      <c r="C131" s="4873"/>
      <c r="D131" s="4874"/>
      <c r="E131" s="4873"/>
      <c r="F131" s="4874"/>
    </row>
    <row r="132" spans="1:8" s="4684" customFormat="1" ht="12.75" customHeight="1">
      <c r="A132" s="4871" t="s">
        <v>831</v>
      </c>
      <c r="B132" s="4874"/>
      <c r="C132" s="4873"/>
      <c r="D132" s="4874"/>
      <c r="E132" s="4873"/>
      <c r="F132" s="4874"/>
    </row>
    <row r="133" spans="1:8" s="4684" customFormat="1" ht="12.75" customHeight="1">
      <c r="A133" s="4871" t="s">
        <v>832</v>
      </c>
      <c r="B133" s="4874">
        <v>85742</v>
      </c>
      <c r="C133" s="4873"/>
      <c r="D133" s="4874">
        <v>0</v>
      </c>
      <c r="F133" s="4874">
        <v>0</v>
      </c>
    </row>
    <row r="134" spans="1:8" s="4684" customFormat="1" ht="12.75" customHeight="1">
      <c r="H134" s="4843"/>
    </row>
    <row r="135" spans="1:8" ht="12.75" customHeight="1">
      <c r="A135" s="4875">
        <v>46401</v>
      </c>
      <c r="B135" s="4702" t="str">
        <f>"*Estimated Motor Vehicle Property Tax - 7/1/"&amp;RIGHT(OpenData!Q5,2)&amp;" to 6/30/"&amp;RIGHT(OpenData!S5,2)</f>
        <v>*Estimated Motor Vehicle Property Tax - 7/1/21 to 6/30/22</v>
      </c>
      <c r="C135" s="4704"/>
      <c r="D135" s="4704"/>
      <c r="E135" s="4704"/>
      <c r="F135" s="4704"/>
      <c r="G135" s="4704"/>
    </row>
    <row r="136" spans="1:8" ht="12.75" customHeight="1">
      <c r="A136" s="4744">
        <v>1253</v>
      </c>
      <c r="B136" s="4709" t="str">
        <f>"*Estimated Recreational Vehicle Property Tax - 7/1/"&amp;RIGHT(OpenData!Q5,2)&amp;" to 6/30/"&amp;RIGHT(OpenData!S5,2)</f>
        <v>*Estimated Recreational Vehicle Property Tax - 7/1/21 to 6/30/22</v>
      </c>
      <c r="C136" s="4707"/>
      <c r="D136" s="4707"/>
      <c r="E136" s="4707"/>
      <c r="F136" s="4707"/>
      <c r="G136" s="4707"/>
    </row>
    <row r="137" spans="1:8" ht="12.75" customHeight="1">
      <c r="A137" s="4744"/>
      <c r="B137" s="4709" t="str">
        <f>"*Estimated In Lieu of Taxes on Industrial Bonds - 7/1/"&amp;RIGHT(OpenData!Q5,2)&amp;" to 6/30/"&amp;RIGHT(OpenData!S5,2)</f>
        <v>*Estimated In Lieu of Taxes on Industrial Bonds - 7/1/21 to 6/30/22</v>
      </c>
      <c r="C137" s="4707"/>
      <c r="D137" s="4707"/>
      <c r="E137" s="4707"/>
      <c r="F137" s="4707"/>
      <c r="G137" s="4707"/>
    </row>
    <row r="138" spans="1:8" ht="12.75" customHeight="1">
      <c r="A138" s="4876">
        <v>13367</v>
      </c>
      <c r="B138" s="4709" t="str">
        <f>"*Estimated 16/20M Tax - 7/1/"&amp;RIGHT(OpenData!Q5,2)&amp;" to 6/30/"&amp;RIGHT(OpenData!S5,2)</f>
        <v>*Estimated 16/20M Tax - 7/1/21 to 6/30/22</v>
      </c>
      <c r="C138" s="4707"/>
      <c r="D138" s="4707"/>
      <c r="E138" s="4707"/>
      <c r="F138" s="4707"/>
      <c r="G138" s="4707"/>
    </row>
    <row r="139" spans="1:8" ht="12.75" customHeight="1">
      <c r="A139" s="4877">
        <v>4106</v>
      </c>
      <c r="B139" s="4709" t="str">
        <f>"*Estimated Commercial Vehicle Tax - 7/1/"&amp;RIGHT(OpenData!Q5,2)&amp;" to 6/30/"&amp;RIGHT(OpenData!S5,2)</f>
        <v>*Estimated Commercial Vehicle Tax - 7/1/21 to 6/30/22</v>
      </c>
      <c r="C139" s="4707"/>
      <c r="D139" s="4707"/>
      <c r="E139" s="4707"/>
      <c r="F139" s="4707"/>
      <c r="G139" s="4707"/>
    </row>
    <row r="140" spans="1:8" s="4684" customFormat="1" ht="12.75" customHeight="1">
      <c r="A140" s="4878" t="s">
        <v>5187</v>
      </c>
    </row>
    <row r="141" spans="1:8" ht="12.75" customHeight="1">
      <c r="A141" s="4726"/>
    </row>
    <row r="142" spans="1:8" ht="12.75" hidden="1" customHeight="1">
      <c r="E142" s="4860"/>
    </row>
    <row r="143" spans="1:8" ht="12.75" customHeight="1">
      <c r="A143" s="4879">
        <v>8</v>
      </c>
      <c r="B143" s="4702" t="str">
        <f>OpenData!P14&amp;" Capital Outlay Mill Levy Rate to be used in this budget"</f>
        <v>2021-22 Capital Outlay Mill Levy Rate to be used in this budget</v>
      </c>
      <c r="C143" s="4704"/>
      <c r="D143" s="4704"/>
      <c r="E143" s="4854"/>
      <c r="F143" s="4704"/>
      <c r="G143" s="4854" t="s">
        <v>833</v>
      </c>
    </row>
    <row r="144" spans="1:8" ht="12.75" customHeight="1">
      <c r="A144" s="4880" t="str">
        <f>IF(A143&gt;A111,"Error!!!  Capital outlay levy is greater than authorized above."," ")</f>
        <v xml:space="preserve"> </v>
      </c>
      <c r="E144" s="4860"/>
      <c r="F144" s="4860"/>
    </row>
    <row r="145" spans="1:10" ht="12.75" customHeight="1">
      <c r="A145" s="4879"/>
      <c r="B145" s="4702" t="str">
        <f>OpenData!P14&amp;" Adult Ed. Mill Levy Rate to be used in this budget"</f>
        <v>2021-22 Adult Ed. Mill Levy Rate to be used in this budget</v>
      </c>
      <c r="C145" s="4704"/>
      <c r="D145" s="4704"/>
      <c r="E145" s="4704"/>
      <c r="F145" s="4854"/>
      <c r="G145" s="4854" t="s">
        <v>833</v>
      </c>
    </row>
    <row r="146" spans="1:10" ht="12.75" customHeight="1">
      <c r="A146" s="4726"/>
      <c r="F146" s="4860"/>
    </row>
    <row r="147" spans="1:10" s="4684" customFormat="1" ht="12.75" customHeight="1">
      <c r="A147" s="5932" t="s">
        <v>5259</v>
      </c>
      <c r="B147" s="5932"/>
      <c r="C147" s="5932"/>
      <c r="D147" s="5932"/>
      <c r="E147" s="5932"/>
      <c r="F147" s="5932"/>
      <c r="G147" s="5932"/>
      <c r="I147" s="4686" t="s">
        <v>3084</v>
      </c>
    </row>
    <row r="148" spans="1:10" s="4684" customFormat="1" ht="12.75" customHeight="1">
      <c r="A148" s="4832">
        <f>VLOOKUP($B$4,DATA!A4:BJ289,12,FALSE)</f>
        <v>396</v>
      </c>
      <c r="B148" s="4702" t="str">
        <f>"9/20/"&amp;RIGHT(OpenData!T5,2)&amp;" FTE Enrollment (2/20/"&amp;RIGHT(OpenData!N5,2)&amp;" military count not applicable)"</f>
        <v>9/20/17 FTE Enrollment (2/20/18 military count not applicable)</v>
      </c>
      <c r="C148" s="4704"/>
      <c r="D148" s="4704"/>
      <c r="E148" s="4704"/>
      <c r="F148" s="4704"/>
      <c r="I148" s="4686">
        <f>VLOOKUP($B$4,DATA!A4:BJ289,12,FALSE)</f>
        <v>396</v>
      </c>
    </row>
    <row r="149" spans="1:10" s="4684" customFormat="1" ht="12.75" customHeight="1">
      <c r="A149" s="4832">
        <f>VLOOKUP($B$4,DATA!A4:BJ289,13,FALSE)</f>
        <v>424.8</v>
      </c>
      <c r="B149" s="4709" t="str">
        <f>"9/20/"&amp;RIGHT(OpenData!N5,2)&amp;" FTE Enrollment (Includes 2/20/"&amp;RIGHT(OpenData!O5,2)&amp;" military count)"</f>
        <v>9/20/18 FTE Enrollment (Includes 2/20/19 military count)</v>
      </c>
      <c r="C149" s="4707"/>
      <c r="D149" s="4707"/>
      <c r="E149" s="4707"/>
      <c r="F149" s="4707"/>
      <c r="I149" s="4686">
        <f>VLOOKUP($B$4,DATA!A4:BJ289,13,FALSE)</f>
        <v>424.8</v>
      </c>
    </row>
    <row r="150" spans="1:10" s="4684" customFormat="1" ht="12.75" customHeight="1">
      <c r="A150" s="4881">
        <f>VLOOKUP($B$4,DATA!A4:BJ289,14,FALSE)</f>
        <v>399</v>
      </c>
      <c r="B150" s="4709" t="str">
        <f>"9/20/"&amp;RIGHT(OpenData!O5,2)&amp;" FTE Enrollment (Includes 2/20/"&amp; RIGHT(OpenData!P5,2) &amp; " military count)"</f>
        <v>9/20/19 FTE Enrollment (Includes 2/20/20 military count)</v>
      </c>
      <c r="C150" s="4707"/>
      <c r="D150" s="4707"/>
      <c r="E150" s="4707"/>
      <c r="F150" s="4707"/>
      <c r="I150" s="4686">
        <f>VLOOKUP($B$4,DATA!A4:BJ289,14,FALSE)</f>
        <v>399</v>
      </c>
    </row>
    <row r="151" spans="1:10" s="4684" customFormat="1" ht="12.75" customHeight="1">
      <c r="A151" s="4881">
        <f>VLOOKUP($B$4,DATA!A4:BJ289,15,FALSE)</f>
        <v>397.4</v>
      </c>
      <c r="B151" s="4709" t="str">
        <f>"9/20/"&amp;RIGHT(OpenData!P5,2)&amp;" FTE Enrollment (Includes 2/20/"&amp;RIGHT(OpenData!Q5,2)&amp;" military count)"</f>
        <v>9/20/20 FTE Enrollment (Includes 2/20/21 military count)</v>
      </c>
      <c r="C151" s="4707"/>
      <c r="D151" s="4707"/>
      <c r="E151" s="4707"/>
      <c r="F151" s="4707"/>
      <c r="I151" s="4686">
        <f>VLOOKUP($B$4,DATA!A4:BJ289,15,FALSE)</f>
        <v>397.4</v>
      </c>
    </row>
    <row r="152" spans="1:10" s="4684" customFormat="1" ht="12.75" customHeight="1">
      <c r="A152" s="4882">
        <f>A47+A49+A72+A73+A89+A90+(A91/6)</f>
        <v>433.5</v>
      </c>
      <c r="B152" s="4709" t="str">
        <f>"9/20/"&amp;RIGHT(OpenData!Q5,2)&amp;" Est. FTE Enrollment (Includes 2/20/"&amp;RIGHT(OpenData!S5,2) &amp; " military count estimate)"</f>
        <v>9/20/21 Est. FTE Enrollment (Includes 2/20/22 military count estimate)</v>
      </c>
      <c r="C152" s="4707"/>
      <c r="D152" s="4707"/>
      <c r="E152" s="4707"/>
      <c r="F152" s="4707"/>
    </row>
    <row r="153" spans="1:10" s="4684" customFormat="1" ht="12.75" hidden="1" customHeight="1">
      <c r="H153" s="4816"/>
      <c r="J153" s="4883"/>
    </row>
    <row r="154" spans="1:10" s="4684" customFormat="1" ht="12.75" customHeight="1">
      <c r="A154" s="4884" t="s">
        <v>5186</v>
      </c>
      <c r="B154" s="4884"/>
      <c r="C154" s="4884"/>
      <c r="D154" s="4884"/>
      <c r="E154" s="4884"/>
      <c r="F154" s="4884"/>
      <c r="G154" s="4884"/>
      <c r="H154" s="4816"/>
      <c r="J154" s="4883"/>
    </row>
    <row r="155" spans="1:10" s="4684" customFormat="1" ht="12.75" hidden="1" customHeight="1">
      <c r="H155" s="4816"/>
      <c r="J155" s="4883"/>
    </row>
    <row r="156" spans="1:10" s="4684" customFormat="1" ht="12.75" customHeight="1">
      <c r="H156" s="4816"/>
      <c r="J156" s="4883"/>
    </row>
    <row r="157" spans="1:10" ht="12.75" hidden="1" customHeight="1">
      <c r="H157" s="4816"/>
      <c r="I157" s="4885">
        <f>A47+A49+A72+A73+A89+A90+(A91/6)</f>
        <v>433.5</v>
      </c>
    </row>
    <row r="158" spans="1:10" ht="12.75" customHeight="1">
      <c r="A158" s="4886">
        <v>52</v>
      </c>
      <c r="B158" s="4704" t="str">
        <f>"9/20/"&amp;RIGHT(OpenData!Q5,2)&amp;" Headcount Eligible for Reduced Priced Meals (Estimated)"</f>
        <v>9/20/21 Headcount Eligible for Reduced Priced Meals (Estimated)</v>
      </c>
      <c r="C158" s="4704"/>
      <c r="D158" s="4704"/>
      <c r="E158" s="4704"/>
      <c r="F158" s="4704"/>
      <c r="H158" s="4843"/>
    </row>
    <row r="159" spans="1:10" s="4684" customFormat="1" ht="12.75" customHeight="1"/>
    <row r="160" spans="1:10" s="4684" customFormat="1" ht="12.75" customHeight="1">
      <c r="A160" s="4887" t="str">
        <f>IF(A158&gt;A152,"Headcount Eligible for Reduced Meals is greater than FTE** Enrollment for 9/20/"&amp;OpenData!Q5&amp;"!"," ")</f>
        <v xml:space="preserve"> </v>
      </c>
    </row>
    <row r="161" spans="8:8" s="4684" customFormat="1" ht="12.75" customHeight="1">
      <c r="H161" s="4816"/>
    </row>
    <row r="162" spans="8:8" s="4684" customFormat="1" ht="12.75" customHeight="1"/>
    <row r="163" spans="8:8" s="4684" customFormat="1" ht="12.75" customHeight="1">
      <c r="H163" s="4816"/>
    </row>
  </sheetData>
  <sheetProtection algorithmName="SHA-512" hashValue="biZeVL6ZGM034aObJ58aPve8RS1LMUi1/qrQHZzhu5gftBKKi82ZH6FDVVeh08ZYgEC5lNuYgUhVhP9ujtCHCA==" saltValue="TBhn22tvdwp3mtg9fKYrkQ==" spinCount="100000" sheet="1" objects="1" scenarios="1"/>
  <mergeCells count="16">
    <mergeCell ref="A147:G147"/>
    <mergeCell ref="B3:D3"/>
    <mergeCell ref="A41:G41"/>
    <mergeCell ref="A66:B66"/>
    <mergeCell ref="A87:G87"/>
    <mergeCell ref="B121:G121"/>
    <mergeCell ref="B91:G91"/>
    <mergeCell ref="B81:G81"/>
    <mergeCell ref="B78:G78"/>
    <mergeCell ref="B50:G50"/>
    <mergeCell ref="B72:G72"/>
    <mergeCell ref="B18:G18"/>
    <mergeCell ref="B47:G47"/>
    <mergeCell ref="B55:G55"/>
    <mergeCell ref="B58:G58"/>
    <mergeCell ref="B60:G60"/>
  </mergeCells>
  <phoneticPr fontId="13" type="noConversion"/>
  <dataValidations xWindow="145" yWindow="504" count="5">
    <dataValidation type="whole" operator="greaterThanOrEqual" showInputMessage="1" showErrorMessage="1" errorTitle="Invalid Data Entry" error="Please enter a positive whole number or press the delete key or enter a zero._x000a_" promptTitle="Expected Data Entry" prompt="This should be the 9/20 headcount eligible for reduced meals (whole number) not the total number of meals served for the year." sqref="A158">
      <formula1>0</formula1>
    </dataValidation>
    <dataValidation type="whole" operator="greaterThanOrEqual" showInputMessage="1" showErrorMessage="1" errorTitle="Invalid Data Entry" error="Please enter a positive whole number or press the delete key or enter a zero." sqref="A122 A20 A135:A139 A141 F24:F38">
      <formula1>0</formula1>
    </dataValidation>
    <dataValidation type="whole" allowBlank="1" showInputMessage="1" showErrorMessage="1" errorTitle="Invalid USD Number" error="Please enter your district number.  Valid range is between 101 and 512." promptTitle="Expected Data Entry" prompt="Enter a valid USD number between 101 and 512 and the district name will populate above and the county name below." sqref="B4">
      <formula1>101</formula1>
      <formula2>512</formula2>
    </dataValidation>
    <dataValidation type="list" allowBlank="1" showInputMessage="1" showErrorMessage="1" errorTitle="Invalid data entry" error="Correct values are Yes or No." prompt="Click on drop-down (down arrow to right of cell) to select Yes if your district meets the guidelines to the right." sqref="A98:A99">
      <formula1>"Yes,No"</formula1>
    </dataValidation>
    <dataValidation type="whole" operator="greaterThanOrEqual" showInputMessage="1" showErrorMessage="1" errorTitle="Invalid Data Entry" error="Please enter a positive whole number or press the delete key or enter zero." sqref="A15:A18">
      <formula1>0</formula1>
    </dataValidation>
  </dataValidations>
  <hyperlinks>
    <hyperlink ref="H1" location="Contents!F1" display="Return to Contents page"/>
  </hyperlinks>
  <printOptions horizontalCentered="1"/>
  <pageMargins left="0.25" right="0.25" top="0.25" bottom="0.25" header="0.3" footer="0.3"/>
  <pageSetup scale="75" orientation="portrait" blackAndWhite="1" r:id="rId1"/>
  <headerFooter scaleWithDoc="0">
    <oddFooter>&amp;L&amp;"Open Sans Light,Regular"&amp;8&amp;D   &amp;T&amp;C&amp;"Open Sans Light,Regular"&amp;8Page &amp;P&amp;R&amp;"Open Sans Light,Regular"&amp;8OPEN Page</oddFooter>
  </headerFooter>
  <rowBreaks count="1" manualBreakCount="1">
    <brk id="81" max="6" man="1"/>
  </rowBreaks>
  <ignoredErrors>
    <ignoredError sqref="P16 P33 O28 O34 R35:R37 O45 O47" numberStoredAsText="1"/>
  </ignoredError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tint="0.39997558519241921"/>
    <pageSetUpPr fitToPage="1"/>
  </sheetPr>
  <dimension ref="A1:AA53"/>
  <sheetViews>
    <sheetView showGridLines="0" zoomScaleNormal="100" workbookViewId="0">
      <pane ySplit="8" topLeftCell="A9" activePane="bottomLeft" state="frozen"/>
      <selection activeCell="B22" sqref="B22"/>
      <selection pane="bottomLeft" activeCell="B22" sqref="B22"/>
    </sheetView>
  </sheetViews>
  <sheetFormatPr defaultColWidth="10.6640625" defaultRowHeight="15"/>
  <cols>
    <col min="1" max="1" width="29.44140625" style="5899" customWidth="1"/>
    <col min="2" max="2" width="9.6640625" style="5899" customWidth="1"/>
    <col min="3" max="3" width="8.109375" style="5899" bestFit="1" customWidth="1"/>
    <col min="4" max="4" width="8.109375" style="5899" customWidth="1"/>
    <col min="5" max="10" width="13.6640625" style="5899" customWidth="1"/>
    <col min="11" max="11" width="2.33203125" style="5929" customWidth="1"/>
    <col min="12" max="12" width="21.109375" style="5899" customWidth="1"/>
    <col min="13" max="27" width="10.6640625" style="5899"/>
    <col min="28" max="16384" width="10.6640625" style="5900"/>
  </cols>
  <sheetData>
    <row r="1" spans="1:15">
      <c r="A1" s="3573" t="s">
        <v>4646</v>
      </c>
      <c r="B1" s="3573"/>
      <c r="C1" s="3573"/>
      <c r="D1" s="3573"/>
      <c r="E1" s="3573"/>
      <c r="F1" s="3573"/>
      <c r="G1" s="3573"/>
      <c r="H1" s="5896"/>
      <c r="I1" s="5897"/>
      <c r="J1" s="3577" t="str">
        <f>"USD #"&amp;OPEN!$B$4</f>
        <v>USD #237</v>
      </c>
      <c r="K1" s="5898"/>
      <c r="L1" s="5784" t="s">
        <v>754</v>
      </c>
    </row>
    <row r="2" spans="1:15">
      <c r="A2" s="3573" t="s">
        <v>918</v>
      </c>
      <c r="B2" s="3573"/>
      <c r="C2" s="3573"/>
      <c r="D2" s="3573"/>
      <c r="E2" s="3573"/>
      <c r="F2" s="3573"/>
      <c r="G2" s="3573"/>
      <c r="H2" s="3573"/>
      <c r="I2" s="3573"/>
      <c r="J2" s="3577" t="str">
        <f>OpenData!$N$2</f>
        <v>2021-2022</v>
      </c>
      <c r="K2" s="5898"/>
    </row>
    <row r="3" spans="1:15">
      <c r="A3" s="3573"/>
      <c r="B3" s="3573"/>
      <c r="C3" s="3573"/>
      <c r="D3" s="5901"/>
      <c r="E3" s="3573"/>
      <c r="F3" s="3573"/>
      <c r="G3" s="3573"/>
      <c r="H3" s="3573"/>
      <c r="I3" s="3573"/>
      <c r="J3" s="3573"/>
      <c r="K3" s="5898"/>
    </row>
    <row r="4" spans="1:15">
      <c r="A4" s="6092" t="s">
        <v>4687</v>
      </c>
      <c r="B4" s="6092"/>
      <c r="C4" s="6092"/>
      <c r="D4" s="6092"/>
      <c r="E4" s="6092"/>
      <c r="F4" s="6092"/>
      <c r="G4" s="6092"/>
      <c r="H4" s="6092"/>
      <c r="I4" s="6092"/>
      <c r="J4" s="6092"/>
      <c r="K4" s="5902"/>
    </row>
    <row r="5" spans="1:15">
      <c r="A5" s="6093" t="s">
        <v>5304</v>
      </c>
      <c r="B5" s="6093"/>
      <c r="C5" s="6093"/>
      <c r="D5" s="6093"/>
      <c r="E5" s="6093"/>
      <c r="F5" s="6093"/>
      <c r="G5" s="6093"/>
      <c r="H5" s="6093"/>
      <c r="I5" s="6093"/>
      <c r="J5" s="6093"/>
      <c r="K5" s="5898"/>
    </row>
    <row r="6" spans="1:15">
      <c r="A6" s="5903"/>
      <c r="B6" s="5903"/>
      <c r="C6" s="5903"/>
      <c r="D6" s="5903"/>
      <c r="E6" s="5903"/>
      <c r="F6" s="5903"/>
      <c r="G6" s="5903"/>
      <c r="H6" s="5903"/>
      <c r="I6" s="5903"/>
      <c r="J6" s="5903"/>
      <c r="K6" s="5898"/>
    </row>
    <row r="7" spans="1:15">
      <c r="A7" s="3573"/>
      <c r="B7" s="5904">
        <v>1</v>
      </c>
      <c r="C7" s="5904">
        <v>2</v>
      </c>
      <c r="D7" s="5904">
        <v>3</v>
      </c>
      <c r="E7" s="5904">
        <v>4</v>
      </c>
      <c r="F7" s="5904">
        <v>5</v>
      </c>
      <c r="G7" s="5904">
        <v>6</v>
      </c>
      <c r="H7" s="5904">
        <v>7</v>
      </c>
      <c r="I7" s="5904">
        <v>8</v>
      </c>
      <c r="J7" s="5904">
        <v>9</v>
      </c>
      <c r="K7" s="5905"/>
      <c r="L7" s="5906"/>
    </row>
    <row r="8" spans="1:15" ht="59.25" customHeight="1">
      <c r="A8" s="5907" t="s">
        <v>920</v>
      </c>
      <c r="B8" s="5908" t="s">
        <v>4688</v>
      </c>
      <c r="C8" s="5908" t="s">
        <v>5305</v>
      </c>
      <c r="D8" s="5908" t="s">
        <v>4830</v>
      </c>
      <c r="E8" s="5909" t="s">
        <v>4831</v>
      </c>
      <c r="F8" s="5908" t="s">
        <v>4689</v>
      </c>
      <c r="G8" s="5908" t="s">
        <v>5306</v>
      </c>
      <c r="H8" s="5909" t="str">
        <f>"Principal Balance on 7/1/"&amp;OpenData!$Q$5</f>
        <v>Principal Balance on 7/1/2021</v>
      </c>
      <c r="I8" s="5909" t="str">
        <f>"Payments Due in "&amp;OpenData!$N$2</f>
        <v>Payments Due in 2021-2022</v>
      </c>
      <c r="J8" s="5909" t="str">
        <f>"Payments due July - Dec "&amp;OpenData!$S$5</f>
        <v>Payments due July - Dec 2022</v>
      </c>
      <c r="K8" s="5910"/>
      <c r="L8" s="5906"/>
    </row>
    <row r="9" spans="1:15" ht="18" customHeight="1">
      <c r="A9" s="5911"/>
      <c r="B9" s="5912"/>
      <c r="C9" s="5913"/>
      <c r="D9" s="5914"/>
      <c r="E9" s="5915"/>
      <c r="F9" s="5915"/>
      <c r="G9" s="5915"/>
      <c r="H9" s="5915"/>
      <c r="I9" s="5915"/>
      <c r="J9" s="5915"/>
      <c r="K9" s="5916"/>
      <c r="L9" s="5906"/>
      <c r="M9" s="5917"/>
      <c r="N9" s="5917"/>
      <c r="O9" s="5917"/>
    </row>
    <row r="10" spans="1:15">
      <c r="A10" s="5911"/>
      <c r="B10" s="5912"/>
      <c r="C10" s="5913"/>
      <c r="D10" s="5914"/>
      <c r="E10" s="5915"/>
      <c r="F10" s="5915"/>
      <c r="G10" s="5915"/>
      <c r="H10" s="5915"/>
      <c r="I10" s="5915"/>
      <c r="J10" s="5915"/>
      <c r="K10" s="5916"/>
      <c r="L10" s="5906"/>
      <c r="M10" s="5917"/>
      <c r="N10" s="5917"/>
      <c r="O10" s="5917"/>
    </row>
    <row r="11" spans="1:15">
      <c r="A11" s="5918"/>
      <c r="B11" s="5919"/>
      <c r="C11" s="5920"/>
      <c r="D11" s="5921"/>
      <c r="E11" s="5922"/>
      <c r="F11" s="5922"/>
      <c r="G11" s="5922"/>
      <c r="H11" s="5922"/>
      <c r="I11" s="5922"/>
      <c r="J11" s="5922"/>
      <c r="K11" s="5916"/>
      <c r="L11" s="5906"/>
      <c r="M11" s="5917"/>
      <c r="N11" s="5917"/>
      <c r="O11" s="5917"/>
    </row>
    <row r="12" spans="1:15">
      <c r="A12" s="5918"/>
      <c r="B12" s="5919"/>
      <c r="C12" s="5920"/>
      <c r="D12" s="5921"/>
      <c r="E12" s="5922"/>
      <c r="F12" s="5922"/>
      <c r="G12" s="5922"/>
      <c r="H12" s="5922"/>
      <c r="I12" s="5922"/>
      <c r="J12" s="5922"/>
      <c r="K12" s="5916"/>
      <c r="L12" s="5906"/>
    </row>
    <row r="13" spans="1:15">
      <c r="A13" s="5918"/>
      <c r="B13" s="5919"/>
      <c r="C13" s="5920"/>
      <c r="D13" s="5921"/>
      <c r="E13" s="5922"/>
      <c r="F13" s="5922"/>
      <c r="G13" s="5922"/>
      <c r="H13" s="5922"/>
      <c r="I13" s="5922"/>
      <c r="J13" s="5922"/>
      <c r="K13" s="5916"/>
      <c r="L13" s="5906"/>
    </row>
    <row r="14" spans="1:15">
      <c r="A14" s="5918"/>
      <c r="B14" s="5919"/>
      <c r="C14" s="5920"/>
      <c r="D14" s="5921"/>
      <c r="E14" s="5922"/>
      <c r="F14" s="5922"/>
      <c r="G14" s="5922"/>
      <c r="H14" s="5922"/>
      <c r="I14" s="5922"/>
      <c r="J14" s="5922"/>
      <c r="K14" s="5916"/>
      <c r="L14" s="5917"/>
    </row>
    <row r="15" spans="1:15">
      <c r="A15" s="5918"/>
      <c r="B15" s="5919"/>
      <c r="C15" s="5920"/>
      <c r="D15" s="5921"/>
      <c r="E15" s="5922"/>
      <c r="F15" s="5922"/>
      <c r="G15" s="5922"/>
      <c r="H15" s="5922"/>
      <c r="I15" s="5922"/>
      <c r="J15" s="5922"/>
      <c r="K15" s="5916"/>
      <c r="L15" s="5917"/>
    </row>
    <row r="16" spans="1:15">
      <c r="A16" s="5918"/>
      <c r="B16" s="5919"/>
      <c r="C16" s="5920"/>
      <c r="D16" s="5921"/>
      <c r="E16" s="5922"/>
      <c r="F16" s="5922"/>
      <c r="G16" s="5922"/>
      <c r="H16" s="5922"/>
      <c r="I16" s="5922"/>
      <c r="J16" s="5922"/>
      <c r="K16" s="5916"/>
      <c r="L16" s="5917"/>
    </row>
    <row r="17" spans="1:11">
      <c r="A17" s="5918"/>
      <c r="B17" s="5919"/>
      <c r="C17" s="5920"/>
      <c r="D17" s="5921"/>
      <c r="E17" s="5922"/>
      <c r="F17" s="5922"/>
      <c r="G17" s="5922"/>
      <c r="H17" s="5922"/>
      <c r="I17" s="5922"/>
      <c r="J17" s="5922"/>
      <c r="K17" s="5916"/>
    </row>
    <row r="18" spans="1:11">
      <c r="A18" s="5918"/>
      <c r="B18" s="5919"/>
      <c r="C18" s="5920"/>
      <c r="D18" s="5921"/>
      <c r="E18" s="5922"/>
      <c r="F18" s="5922"/>
      <c r="G18" s="5922"/>
      <c r="H18" s="5922"/>
      <c r="I18" s="5922"/>
      <c r="J18" s="5922"/>
      <c r="K18" s="5916"/>
    </row>
    <row r="19" spans="1:11">
      <c r="A19" s="5918"/>
      <c r="B19" s="5919"/>
      <c r="C19" s="5920"/>
      <c r="D19" s="5921"/>
      <c r="E19" s="5922"/>
      <c r="F19" s="5922"/>
      <c r="G19" s="5922"/>
      <c r="H19" s="5922"/>
      <c r="I19" s="5922"/>
      <c r="J19" s="5922"/>
      <c r="K19" s="5916"/>
    </row>
    <row r="20" spans="1:11">
      <c r="A20" s="5918"/>
      <c r="B20" s="5919"/>
      <c r="C20" s="5920"/>
      <c r="D20" s="5921"/>
      <c r="E20" s="5922"/>
      <c r="F20" s="5922"/>
      <c r="G20" s="5922"/>
      <c r="H20" s="5922"/>
      <c r="I20" s="5922"/>
      <c r="J20" s="5922"/>
      <c r="K20" s="5916"/>
    </row>
    <row r="21" spans="1:11">
      <c r="A21" s="5918"/>
      <c r="B21" s="5919"/>
      <c r="C21" s="5920"/>
      <c r="D21" s="5921"/>
      <c r="E21" s="5922"/>
      <c r="F21" s="5922"/>
      <c r="G21" s="5922"/>
      <c r="H21" s="5922"/>
      <c r="I21" s="5922"/>
      <c r="J21" s="5922"/>
      <c r="K21" s="5916"/>
    </row>
    <row r="22" spans="1:11">
      <c r="A22" s="5918"/>
      <c r="B22" s="5919"/>
      <c r="C22" s="5920"/>
      <c r="D22" s="5921"/>
      <c r="E22" s="5922"/>
      <c r="F22" s="5922"/>
      <c r="G22" s="5922"/>
      <c r="H22" s="5922"/>
      <c r="I22" s="5922"/>
      <c r="J22" s="5922"/>
      <c r="K22" s="5916"/>
    </row>
    <row r="23" spans="1:11">
      <c r="A23" s="5918"/>
      <c r="B23" s="5919"/>
      <c r="C23" s="5920"/>
      <c r="D23" s="5921"/>
      <c r="E23" s="5922"/>
      <c r="F23" s="5922"/>
      <c r="G23" s="5922"/>
      <c r="H23" s="5922"/>
      <c r="I23" s="5922"/>
      <c r="J23" s="5922"/>
      <c r="K23" s="5916"/>
    </row>
    <row r="24" spans="1:11">
      <c r="A24" s="5918"/>
      <c r="B24" s="5919"/>
      <c r="C24" s="5920"/>
      <c r="D24" s="5921"/>
      <c r="E24" s="5922"/>
      <c r="F24" s="5922"/>
      <c r="G24" s="5922"/>
      <c r="H24" s="5922"/>
      <c r="I24" s="5922"/>
      <c r="J24" s="5922"/>
      <c r="K24" s="5916"/>
    </row>
    <row r="25" spans="1:11">
      <c r="A25" s="5918"/>
      <c r="B25" s="5919"/>
      <c r="C25" s="5920"/>
      <c r="D25" s="5921"/>
      <c r="E25" s="5922"/>
      <c r="F25" s="5922"/>
      <c r="G25" s="5922"/>
      <c r="H25" s="5922"/>
      <c r="I25" s="5922"/>
      <c r="J25" s="5922"/>
      <c r="K25" s="5916"/>
    </row>
    <row r="26" spans="1:11">
      <c r="A26" s="5918"/>
      <c r="B26" s="5919"/>
      <c r="C26" s="5920"/>
      <c r="D26" s="5921"/>
      <c r="E26" s="5922"/>
      <c r="F26" s="5922"/>
      <c r="G26" s="5922"/>
      <c r="H26" s="5922"/>
      <c r="I26" s="5922"/>
      <c r="J26" s="5922"/>
      <c r="K26" s="5916"/>
    </row>
    <row r="27" spans="1:11">
      <c r="A27" s="5918"/>
      <c r="B27" s="5919"/>
      <c r="C27" s="5920"/>
      <c r="D27" s="5921"/>
      <c r="E27" s="5922"/>
      <c r="F27" s="5922"/>
      <c r="G27" s="5922"/>
      <c r="H27" s="5922"/>
      <c r="I27" s="5922"/>
      <c r="J27" s="5922"/>
      <c r="K27" s="5916"/>
    </row>
    <row r="28" spans="1:11">
      <c r="A28" s="5911"/>
      <c r="B28" s="5912"/>
      <c r="C28" s="5913"/>
      <c r="D28" s="5914"/>
      <c r="E28" s="5915"/>
      <c r="F28" s="5915"/>
      <c r="G28" s="5915"/>
      <c r="H28" s="5915"/>
      <c r="I28" s="5915"/>
      <c r="J28" s="5915"/>
      <c r="K28" s="5916"/>
    </row>
    <row r="29" spans="1:11">
      <c r="A29" s="6094" t="s">
        <v>884</v>
      </c>
      <c r="B29" s="6095"/>
      <c r="C29" s="6095"/>
      <c r="D29" s="6096"/>
      <c r="E29" s="5923">
        <f t="shared" ref="E29:J29" si="0">SUM(E9:E28)</f>
        <v>0</v>
      </c>
      <c r="F29" s="5923">
        <f t="shared" si="0"/>
        <v>0</v>
      </c>
      <c r="G29" s="5923">
        <f t="shared" si="0"/>
        <v>0</v>
      </c>
      <c r="H29" s="5923">
        <f t="shared" si="0"/>
        <v>0</v>
      </c>
      <c r="I29" s="5923">
        <f t="shared" si="0"/>
        <v>0</v>
      </c>
      <c r="J29" s="5923">
        <f t="shared" si="0"/>
        <v>0</v>
      </c>
      <c r="K29" s="5924"/>
    </row>
    <row r="30" spans="1:11">
      <c r="A30" s="5900"/>
      <c r="B30" s="5925"/>
      <c r="C30" s="3573"/>
      <c r="D30" s="3573"/>
      <c r="E30" s="3573"/>
      <c r="F30" s="3573"/>
      <c r="G30" s="3573"/>
      <c r="H30" s="3573"/>
      <c r="I30" s="3573"/>
      <c r="J30" s="3573"/>
      <c r="K30" s="5898"/>
    </row>
    <row r="31" spans="1:11">
      <c r="A31" s="3573"/>
      <c r="B31" s="5926"/>
      <c r="C31" s="5927"/>
      <c r="D31" s="5927"/>
      <c r="E31" s="5927"/>
      <c r="F31" s="5927"/>
      <c r="G31" s="5927"/>
      <c r="H31" s="5927"/>
      <c r="I31" s="5927"/>
      <c r="J31" s="3573"/>
      <c r="K31" s="5898"/>
    </row>
    <row r="32" spans="1:11">
      <c r="A32" s="3573"/>
      <c r="B32" s="5925"/>
      <c r="C32" s="3573"/>
      <c r="D32" s="3573"/>
      <c r="E32" s="3573"/>
      <c r="F32" s="3573"/>
      <c r="G32" s="3573"/>
      <c r="H32" s="3573"/>
      <c r="I32" s="3573"/>
      <c r="J32" s="3573"/>
      <c r="K32" s="5898"/>
    </row>
    <row r="33" spans="1:11">
      <c r="A33" s="3573"/>
      <c r="B33" s="5925"/>
      <c r="C33" s="3573"/>
      <c r="D33" s="3573"/>
      <c r="E33" s="3573"/>
      <c r="F33" s="3573"/>
      <c r="G33" s="3573"/>
      <c r="H33" s="3573"/>
      <c r="I33" s="3573"/>
      <c r="J33" s="3573"/>
      <c r="K33" s="5898"/>
    </row>
    <row r="34" spans="1:11">
      <c r="A34" s="3573"/>
      <c r="B34" s="5925"/>
      <c r="C34" s="3573"/>
      <c r="D34" s="3573"/>
      <c r="E34" s="3573"/>
      <c r="F34" s="3573"/>
      <c r="G34" s="3573"/>
      <c r="H34" s="3573"/>
      <c r="I34" s="3573"/>
      <c r="J34" s="3573"/>
      <c r="K34" s="5898"/>
    </row>
    <row r="35" spans="1:11">
      <c r="A35" s="5927"/>
      <c r="B35" s="5926"/>
      <c r="C35" s="5927"/>
      <c r="D35" s="5927"/>
      <c r="E35" s="5927"/>
      <c r="F35" s="5927"/>
      <c r="G35" s="5927"/>
      <c r="H35" s="5927"/>
      <c r="I35" s="5927"/>
      <c r="J35" s="5927"/>
      <c r="K35" s="5902"/>
    </row>
    <row r="36" spans="1:11">
      <c r="A36" s="3573"/>
      <c r="B36" s="5925"/>
      <c r="C36" s="3573"/>
      <c r="D36" s="3573"/>
      <c r="E36" s="3573"/>
      <c r="F36" s="3573"/>
      <c r="G36" s="3573"/>
      <c r="H36" s="3573"/>
      <c r="I36" s="3573"/>
      <c r="J36" s="3573"/>
      <c r="K36" s="5898"/>
    </row>
    <row r="37" spans="1:11">
      <c r="A37" s="3573"/>
      <c r="B37" s="5925"/>
      <c r="C37" s="3573"/>
      <c r="D37" s="3573"/>
      <c r="E37" s="3573"/>
      <c r="F37" s="3573"/>
      <c r="G37" s="3573"/>
      <c r="H37" s="3573"/>
      <c r="I37" s="3573"/>
      <c r="J37" s="3573"/>
      <c r="K37" s="5898"/>
    </row>
    <row r="38" spans="1:11">
      <c r="A38" s="3573"/>
      <c r="B38" s="5925"/>
      <c r="C38" s="3573"/>
      <c r="D38" s="3573"/>
      <c r="E38" s="3573"/>
      <c r="F38" s="3573"/>
      <c r="G38" s="3573"/>
      <c r="H38" s="3573"/>
      <c r="I38" s="3573"/>
      <c r="J38" s="3573"/>
      <c r="K38" s="5898"/>
    </row>
    <row r="39" spans="1:11">
      <c r="A39" s="3573"/>
      <c r="B39" s="5925"/>
      <c r="C39" s="3573"/>
      <c r="D39" s="3573"/>
      <c r="E39" s="3573"/>
      <c r="F39" s="3573"/>
      <c r="G39" s="3573"/>
      <c r="H39" s="3573"/>
      <c r="I39" s="3573"/>
      <c r="J39" s="3573"/>
      <c r="K39" s="5898"/>
    </row>
    <row r="40" spans="1:11">
      <c r="A40" s="3573"/>
      <c r="B40" s="5925"/>
      <c r="C40" s="3573"/>
      <c r="D40" s="3573"/>
      <c r="E40" s="3573"/>
      <c r="F40" s="3573"/>
      <c r="G40" s="3573"/>
      <c r="H40" s="3573"/>
      <c r="I40" s="3573"/>
      <c r="J40" s="3573"/>
      <c r="K40" s="5898"/>
    </row>
    <row r="41" spans="1:11">
      <c r="A41" s="3573"/>
      <c r="B41" s="5928"/>
      <c r="C41" s="3573"/>
      <c r="D41" s="3573"/>
      <c r="E41" s="3573"/>
      <c r="F41" s="3573"/>
      <c r="G41" s="3573"/>
      <c r="H41" s="3573"/>
      <c r="I41" s="3573"/>
      <c r="J41" s="3573"/>
      <c r="K41" s="5898"/>
    </row>
    <row r="42" spans="1:11">
      <c r="A42" s="3573"/>
      <c r="B42" s="5928"/>
      <c r="C42" s="3573"/>
      <c r="D42" s="3573"/>
      <c r="E42" s="3573"/>
      <c r="F42" s="3573"/>
      <c r="G42" s="3573"/>
      <c r="H42" s="3573"/>
      <c r="I42" s="3573"/>
      <c r="J42" s="3573"/>
      <c r="K42" s="5898"/>
    </row>
    <row r="43" spans="1:11">
      <c r="A43" s="3573"/>
      <c r="B43" s="5928"/>
      <c r="C43" s="3573"/>
      <c r="D43" s="3573"/>
      <c r="E43" s="3573"/>
      <c r="F43" s="3573"/>
      <c r="G43" s="3573"/>
      <c r="H43" s="3573"/>
      <c r="I43" s="3573"/>
      <c r="J43" s="3573"/>
      <c r="K43" s="5898"/>
    </row>
    <row r="44" spans="1:11">
      <c r="A44" s="3573"/>
      <c r="B44" s="5928"/>
      <c r="C44" s="3573"/>
      <c r="D44" s="3573"/>
      <c r="E44" s="3573"/>
      <c r="F44" s="3573"/>
      <c r="G44" s="3573"/>
      <c r="H44" s="3573"/>
      <c r="I44" s="3573"/>
      <c r="J44" s="3573"/>
      <c r="K44" s="5898"/>
    </row>
    <row r="45" spans="1:11">
      <c r="A45" s="3573"/>
      <c r="B45" s="5928"/>
      <c r="C45" s="3573"/>
      <c r="D45" s="3573"/>
      <c r="E45" s="3573"/>
      <c r="F45" s="3573"/>
      <c r="G45" s="3573"/>
      <c r="H45" s="3573"/>
      <c r="I45" s="3573"/>
      <c r="J45" s="3573"/>
      <c r="K45" s="5898"/>
    </row>
    <row r="46" spans="1:11">
      <c r="A46" s="3573"/>
      <c r="B46" s="5928"/>
      <c r="C46" s="3573"/>
      <c r="D46" s="3573"/>
      <c r="E46" s="3573"/>
      <c r="F46" s="3573"/>
      <c r="G46" s="3573"/>
      <c r="H46" s="3573"/>
      <c r="I46" s="3573"/>
      <c r="J46" s="3573"/>
      <c r="K46" s="5898"/>
    </row>
    <row r="47" spans="1:11">
      <c r="A47" s="3573"/>
      <c r="B47" s="5928"/>
      <c r="C47" s="3573"/>
      <c r="D47" s="3573"/>
      <c r="E47" s="3573"/>
      <c r="F47" s="3573"/>
      <c r="G47" s="3573"/>
      <c r="H47" s="3573"/>
      <c r="I47" s="3573"/>
      <c r="J47" s="3573"/>
      <c r="K47" s="5898"/>
    </row>
    <row r="48" spans="1:11">
      <c r="A48" s="3573"/>
      <c r="B48" s="5928"/>
      <c r="C48" s="3573"/>
      <c r="D48" s="3573"/>
      <c r="E48" s="3573"/>
      <c r="F48" s="3573"/>
      <c r="G48" s="3573"/>
      <c r="H48" s="3573"/>
      <c r="I48" s="3573"/>
      <c r="J48" s="3573"/>
      <c r="K48" s="5898"/>
    </row>
    <row r="49" spans="1:11">
      <c r="A49" s="3573"/>
      <c r="B49" s="5928"/>
      <c r="C49" s="3573"/>
      <c r="D49" s="3573"/>
      <c r="E49" s="3573"/>
      <c r="F49" s="3573"/>
      <c r="G49" s="3573"/>
      <c r="H49" s="3573"/>
      <c r="I49" s="3573"/>
      <c r="J49" s="3573"/>
      <c r="K49" s="5898"/>
    </row>
    <row r="50" spans="1:11">
      <c r="A50" s="3573"/>
      <c r="B50" s="5928"/>
      <c r="C50" s="3573"/>
      <c r="D50" s="3573"/>
      <c r="E50" s="3573"/>
      <c r="F50" s="3573"/>
      <c r="G50" s="3573"/>
      <c r="H50" s="3573"/>
      <c r="I50" s="3573"/>
      <c r="J50" s="3573"/>
      <c r="K50" s="5898"/>
    </row>
    <row r="51" spans="1:11">
      <c r="A51" s="3573"/>
      <c r="B51" s="5928"/>
      <c r="C51" s="3573"/>
      <c r="D51" s="3573"/>
      <c r="E51" s="3573"/>
      <c r="F51" s="3573"/>
      <c r="G51" s="3573"/>
      <c r="H51" s="3573"/>
      <c r="I51" s="3573"/>
      <c r="J51" s="3573"/>
      <c r="K51" s="5898"/>
    </row>
    <row r="52" spans="1:11">
      <c r="A52" s="3573"/>
      <c r="B52" s="5928"/>
      <c r="C52" s="3573"/>
      <c r="D52" s="3573"/>
      <c r="E52" s="3573"/>
      <c r="F52" s="3573"/>
      <c r="G52" s="3573"/>
      <c r="H52" s="3573"/>
      <c r="I52" s="3573"/>
      <c r="J52" s="3573"/>
      <c r="K52" s="5898"/>
    </row>
    <row r="53" spans="1:11">
      <c r="A53" s="3573"/>
      <c r="B53" s="5928"/>
      <c r="C53" s="3573"/>
      <c r="D53" s="3573"/>
      <c r="E53" s="3573"/>
      <c r="F53" s="3573"/>
      <c r="G53" s="3573"/>
      <c r="H53" s="3573"/>
      <c r="I53" s="3573"/>
      <c r="J53" s="3573"/>
      <c r="K53" s="5898"/>
    </row>
  </sheetData>
  <sheetProtection algorithmName="SHA-512" hashValue="A+a97spkZydrPeE5TdGo2LSAK6HdditImj5KhuWfnMJGcGylFXH60pQ39x3tKjwZJNm7MsF/Rn4bVop+08Ydjg==" saltValue="FYHTHvbtRuCg9W1dZo6xQg==" spinCount="100000" sheet="1" objects="1" scenarios="1"/>
  <mergeCells count="3">
    <mergeCell ref="A4:J4"/>
    <mergeCell ref="A5:J5"/>
    <mergeCell ref="A29:D29"/>
  </mergeCells>
  <phoneticPr fontId="13" type="noConversion"/>
  <hyperlinks>
    <hyperlink ref="L1" location="Contents!F1" display="Return to Contents page"/>
  </hyperlinks>
  <printOptions horizontalCentered="1"/>
  <pageMargins left="0.75" right="0.75" top="0.5" bottom="0.5" header="0.3" footer="0.3"/>
  <pageSetup scale="89" fitToHeight="0" orientation="landscape" blackAndWhite="1" r:id="rId1"/>
  <headerFooter scaleWithDoc="0">
    <oddFooter>&amp;L&amp;9&amp;D   &amp;T&amp;C&amp;9Page &amp;P&amp;R&amp;9Code 05a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4" tint="0.39997558519241921"/>
  </sheetPr>
  <dimension ref="A1:M286"/>
  <sheetViews>
    <sheetView showGridLines="0" zoomScaleNormal="100" zoomScaleSheetLayoutView="100" workbookViewId="0">
      <pane ySplit="7" topLeftCell="A8" activePane="bottomLeft" state="frozen"/>
      <selection activeCell="B22" sqref="B22"/>
      <selection pane="bottomLeft" activeCell="D25" sqref="D25"/>
    </sheetView>
  </sheetViews>
  <sheetFormatPr defaultColWidth="10.6640625" defaultRowHeight="12.75" customHeight="1"/>
  <cols>
    <col min="1" max="1" width="40.6640625" style="3579" customWidth="1"/>
    <col min="2" max="2" width="5.6640625" style="3658" customWidth="1"/>
    <col min="3" max="5" width="14.33203125" style="3579" customWidth="1"/>
    <col min="6" max="6" width="2" style="3579" customWidth="1"/>
    <col min="7" max="7" width="32.6640625" style="3579" customWidth="1"/>
    <col min="8" max="8" width="7" style="3579" customWidth="1"/>
    <col min="9" max="9" width="4.109375" style="3579" customWidth="1"/>
    <col min="10" max="10" width="16.44140625" style="3579" customWidth="1"/>
    <col min="11" max="11" width="8.33203125" style="3579" customWidth="1"/>
    <col min="12" max="12" width="34.88671875" style="3579" customWidth="1"/>
    <col min="13" max="16384" width="10.6640625" style="3580"/>
  </cols>
  <sheetData>
    <row r="1" spans="1:12" ht="12.75" customHeight="1">
      <c r="A1" s="3573" t="s">
        <v>4646</v>
      </c>
      <c r="B1" s="3574"/>
      <c r="C1" s="3575"/>
      <c r="D1" s="3576"/>
      <c r="E1" s="3577" t="str">
        <f>"USD #"&amp;OPEN!$B$4</f>
        <v>USD #237</v>
      </c>
      <c r="F1" s="3576"/>
      <c r="G1" s="3578" t="s">
        <v>754</v>
      </c>
      <c r="H1" s="3576"/>
      <c r="I1" s="3576"/>
      <c r="J1" s="3576"/>
      <c r="K1" s="3576"/>
    </row>
    <row r="2" spans="1:12" ht="12.75" customHeight="1">
      <c r="A2" s="3575" t="s">
        <v>921</v>
      </c>
      <c r="B2" s="3574"/>
      <c r="C2" s="3576"/>
      <c r="D2" s="3576"/>
      <c r="E2" s="3577" t="str">
        <f>OpenData!$N$2</f>
        <v>2021-2022</v>
      </c>
      <c r="F2" s="3576"/>
      <c r="H2" s="3578"/>
      <c r="I2" s="3578"/>
      <c r="K2" s="3576"/>
    </row>
    <row r="3" spans="1:12" ht="12.75" customHeight="1">
      <c r="A3" s="3576"/>
      <c r="B3" s="3574"/>
      <c r="C3" s="3576"/>
      <c r="D3" s="3576"/>
      <c r="E3" s="3581"/>
      <c r="F3" s="3576"/>
      <c r="G3" s="3576"/>
      <c r="H3" s="3576"/>
      <c r="I3" s="3576"/>
    </row>
    <row r="4" spans="1:12" ht="12.75" customHeight="1">
      <c r="A4" s="3582"/>
      <c r="B4" s="3583"/>
      <c r="C4" s="904" t="s">
        <v>922</v>
      </c>
      <c r="D4" s="904" t="s">
        <v>922</v>
      </c>
      <c r="E4" s="904" t="s">
        <v>922</v>
      </c>
      <c r="F4" s="3582"/>
      <c r="G4" s="3582"/>
      <c r="H4" s="3582"/>
      <c r="I4" s="3582"/>
      <c r="J4" s="3582"/>
      <c r="K4" s="3584"/>
    </row>
    <row r="5" spans="1:12" ht="12.75" customHeight="1">
      <c r="A5" s="3585"/>
      <c r="B5" s="3586" t="s">
        <v>854</v>
      </c>
      <c r="C5" s="906" t="str">
        <f>OpenData!$N$4</f>
        <v>2019-2020</v>
      </c>
      <c r="D5" s="907" t="str">
        <f>OpenData!$O$4</f>
        <v>2020-2021</v>
      </c>
      <c r="E5" s="906" t="str">
        <f>OpenData!$P$4</f>
        <v>2021-2022</v>
      </c>
      <c r="F5" s="3582"/>
      <c r="G5" s="3582"/>
      <c r="H5" s="3582"/>
      <c r="I5" s="3582"/>
      <c r="J5" s="3582"/>
      <c r="K5" s="3582"/>
    </row>
    <row r="6" spans="1:12" ht="12.75" customHeight="1" thickBot="1">
      <c r="A6" s="3587" t="s">
        <v>5118</v>
      </c>
      <c r="B6" s="3588">
        <v>6</v>
      </c>
      <c r="C6" s="909" t="s">
        <v>893</v>
      </c>
      <c r="D6" s="910" t="s">
        <v>893</v>
      </c>
      <c r="E6" s="909" t="s">
        <v>923</v>
      </c>
      <c r="F6" s="3582"/>
      <c r="G6" s="3589"/>
      <c r="H6" s="3582"/>
      <c r="I6" s="3582"/>
      <c r="J6" s="3582"/>
      <c r="K6" s="3590"/>
    </row>
    <row r="7" spans="1:12" ht="12.75" customHeight="1" thickTop="1">
      <c r="B7" s="3591" t="s">
        <v>858</v>
      </c>
      <c r="C7" s="912">
        <v>1</v>
      </c>
      <c r="D7" s="913">
        <v>2</v>
      </c>
      <c r="E7" s="912">
        <v>3</v>
      </c>
      <c r="F7" s="3582"/>
      <c r="G7" s="3659" t="s">
        <v>4697</v>
      </c>
      <c r="H7" s="3582"/>
      <c r="I7" s="3582"/>
      <c r="J7" s="3582"/>
      <c r="K7" s="3582"/>
    </row>
    <row r="8" spans="1:12" ht="12.75" customHeight="1">
      <c r="A8" s="3704" t="s">
        <v>924</v>
      </c>
      <c r="B8" s="987">
        <v>1</v>
      </c>
      <c r="C8" s="3592">
        <v>0</v>
      </c>
      <c r="D8" s="3593">
        <f>C32</f>
        <v>0</v>
      </c>
      <c r="E8" s="3594">
        <f>D32</f>
        <v>0</v>
      </c>
      <c r="F8" s="3582"/>
      <c r="G8" s="3895"/>
      <c r="H8" s="3582"/>
      <c r="I8" s="3582"/>
      <c r="J8" s="3582"/>
      <c r="K8" s="3582"/>
    </row>
    <row r="9" spans="1:12" s="3601" customFormat="1" ht="12.75" customHeight="1">
      <c r="A9" s="3595" t="s">
        <v>4940</v>
      </c>
      <c r="B9" s="3596">
        <v>3</v>
      </c>
      <c r="C9" s="3597"/>
      <c r="D9" s="3977"/>
      <c r="E9" s="3594"/>
      <c r="F9" s="3582"/>
      <c r="G9" s="3895"/>
      <c r="H9" s="3598"/>
      <c r="I9" s="3598"/>
      <c r="J9" s="3599"/>
      <c r="K9" s="3589"/>
      <c r="L9" s="3600"/>
    </row>
    <row r="10" spans="1:12" s="3601" customFormat="1" ht="12.75" customHeight="1">
      <c r="A10" s="3603"/>
      <c r="B10" s="3975"/>
      <c r="C10" s="3975"/>
      <c r="D10" s="3975"/>
      <c r="E10" s="3979"/>
      <c r="F10" s="3582"/>
      <c r="G10" s="3895"/>
      <c r="H10" s="3598"/>
      <c r="I10" s="3598"/>
      <c r="J10" s="3599"/>
      <c r="K10" s="3589"/>
      <c r="L10" s="3600"/>
    </row>
    <row r="11" spans="1:12" s="3601" customFormat="1" ht="12.75" customHeight="1">
      <c r="A11" s="3978" t="s">
        <v>4767</v>
      </c>
      <c r="B11" s="3976"/>
      <c r="C11" s="3976"/>
      <c r="D11" s="3976"/>
      <c r="E11" s="3980"/>
      <c r="F11" s="3582"/>
      <c r="G11" s="3895"/>
      <c r="H11" s="3582"/>
      <c r="I11" s="3582"/>
      <c r="J11" s="3602"/>
      <c r="K11" s="3589"/>
      <c r="L11" s="3600"/>
    </row>
    <row r="12" spans="1:12" s="3601" customFormat="1" ht="12.75" customHeight="1">
      <c r="A12" s="3603" t="s">
        <v>4757</v>
      </c>
      <c r="B12" s="3606"/>
      <c r="C12" s="3606"/>
      <c r="D12" s="3606"/>
      <c r="E12" s="3606"/>
      <c r="F12" s="3582"/>
      <c r="G12" s="3895"/>
      <c r="H12" s="3582"/>
      <c r="I12" s="3582"/>
      <c r="J12" s="3604"/>
      <c r="K12" s="3604"/>
      <c r="L12" s="3600"/>
    </row>
    <row r="13" spans="1:12" s="3601" customFormat="1" ht="12.75" customHeight="1">
      <c r="A13" s="3605" t="s">
        <v>4690</v>
      </c>
      <c r="B13" s="3606"/>
      <c r="C13" s="3606"/>
      <c r="D13" s="3606"/>
      <c r="E13" s="3606"/>
      <c r="F13" s="3582"/>
      <c r="G13" s="3895"/>
      <c r="H13" s="3582"/>
      <c r="I13" s="3894"/>
      <c r="J13" s="6100" t="s">
        <v>4760</v>
      </c>
      <c r="K13" s="6100"/>
      <c r="L13" s="6100"/>
    </row>
    <row r="14" spans="1:12" s="3601" customFormat="1" ht="12.75" customHeight="1">
      <c r="A14" s="3660" t="s">
        <v>4921</v>
      </c>
      <c r="B14" s="3635">
        <v>30</v>
      </c>
      <c r="C14" s="3608"/>
      <c r="D14" s="3608"/>
      <c r="E14" s="3608"/>
      <c r="F14" s="3582"/>
      <c r="G14" s="3895"/>
      <c r="H14" s="3611"/>
      <c r="I14" s="3612"/>
      <c r="J14" s="3613">
        <f>'F150'!J51</f>
        <v>3938451</v>
      </c>
      <c r="K14" s="3607" t="str">
        <f>"F150, Line "&amp;LEFT('F150'!A51,2)</f>
        <v>F150, Line 17</v>
      </c>
      <c r="L14" s="3614" t="s">
        <v>4878</v>
      </c>
    </row>
    <row r="15" spans="1:12" s="3601" customFormat="1" ht="25.5" customHeight="1">
      <c r="A15" s="3973" t="s">
        <v>5163</v>
      </c>
      <c r="B15" s="3678">
        <v>40</v>
      </c>
      <c r="C15" s="3597"/>
      <c r="D15" s="3608"/>
      <c r="E15" s="3608"/>
      <c r="F15" s="3582"/>
      <c r="G15" s="3895"/>
      <c r="H15" s="3612"/>
      <c r="I15" s="3617" t="s">
        <v>4828</v>
      </c>
      <c r="J15" s="3618">
        <f>E284</f>
        <v>3938451</v>
      </c>
      <c r="K15" s="3717" t="s">
        <v>4925</v>
      </c>
      <c r="L15" s="3717"/>
    </row>
    <row r="16" spans="1:12" s="3601" customFormat="1" ht="12.75" customHeight="1">
      <c r="A16" s="3973" t="s">
        <v>5125</v>
      </c>
      <c r="B16" s="3678">
        <v>45</v>
      </c>
      <c r="C16" s="3609"/>
      <c r="D16" s="3609"/>
      <c r="E16" s="3609"/>
      <c r="F16" s="3582"/>
      <c r="G16" s="3895"/>
      <c r="H16" s="3612"/>
      <c r="I16" s="3620"/>
      <c r="J16" s="3621">
        <f>SUM(J14-J15)</f>
        <v>0</v>
      </c>
      <c r="K16" s="3718" t="str">
        <f>IF(J16&lt;0,"&lt; Decrease expenditures by this amount",IF(J16&gt;0,"&lt; Increase expenditures by this amount","&lt; Should balance to $0"))</f>
        <v>&lt; Should balance to $0</v>
      </c>
      <c r="L16" s="3718"/>
    </row>
    <row r="17" spans="1:13" s="3601" customFormat="1" ht="12.75" customHeight="1">
      <c r="A17" s="3661" t="s">
        <v>4922</v>
      </c>
      <c r="B17" s="3678">
        <v>47</v>
      </c>
      <c r="C17" s="3609"/>
      <c r="D17" s="3597"/>
      <c r="E17" s="3594"/>
      <c r="F17" s="3582"/>
      <c r="G17" s="3895"/>
      <c r="H17" s="3611"/>
      <c r="I17" s="3620"/>
      <c r="J17" s="3621"/>
      <c r="K17" s="3623"/>
      <c r="L17" s="3600"/>
    </row>
    <row r="18" spans="1:13" s="3601" customFormat="1" ht="12.75" customHeight="1">
      <c r="A18" s="3661" t="s">
        <v>4923</v>
      </c>
      <c r="B18" s="3678">
        <v>50</v>
      </c>
      <c r="C18" s="3597"/>
      <c r="D18" s="3608"/>
      <c r="E18" s="3679"/>
      <c r="F18" s="3582"/>
      <c r="G18" s="3895"/>
      <c r="H18" s="3612"/>
      <c r="I18" s="3620"/>
      <c r="J18" s="3625">
        <f>SUM(E8:E9,E14:E23,E26:E29)</f>
        <v>606957</v>
      </c>
      <c r="K18" s="3719" t="s">
        <v>5256</v>
      </c>
      <c r="L18" s="3719"/>
    </row>
    <row r="19" spans="1:13" s="3601" customFormat="1" ht="12.75" customHeight="1">
      <c r="A19" s="3605" t="s">
        <v>4754</v>
      </c>
      <c r="B19" s="3610"/>
      <c r="C19" s="3594"/>
      <c r="D19" s="3594"/>
      <c r="E19" s="3679"/>
      <c r="F19" s="3582"/>
      <c r="G19" s="3895"/>
      <c r="H19" s="3616"/>
      <c r="I19" s="3620"/>
      <c r="J19" s="3625">
        <f>IF(ISERROR(SUM(E31-J18)),"Check Line 175",SUM(E31-J18))</f>
        <v>3331494</v>
      </c>
      <c r="K19" s="3719" t="s">
        <v>5257</v>
      </c>
      <c r="L19" s="3719"/>
    </row>
    <row r="20" spans="1:13" s="3601" customFormat="1" ht="12.75" customHeight="1">
      <c r="A20" s="3660" t="s">
        <v>4924</v>
      </c>
      <c r="B20" s="3635">
        <v>55</v>
      </c>
      <c r="C20" s="3608"/>
      <c r="D20" s="3608"/>
      <c r="E20" s="3679"/>
      <c r="F20" s="3582"/>
      <c r="G20" s="3895"/>
      <c r="H20" s="3620"/>
      <c r="I20" s="3620"/>
      <c r="J20" s="3621"/>
      <c r="K20" s="3623"/>
      <c r="L20" s="3600"/>
    </row>
    <row r="21" spans="1:13" s="3601" customFormat="1" ht="12.75" customHeight="1">
      <c r="A21" s="3660" t="s">
        <v>4691</v>
      </c>
      <c r="B21" s="3678">
        <v>60</v>
      </c>
      <c r="C21" s="3597">
        <v>30733</v>
      </c>
      <c r="D21" s="3597">
        <v>28999</v>
      </c>
      <c r="E21" s="3679"/>
      <c r="F21" s="3582"/>
      <c r="G21" s="3895"/>
      <c r="H21" s="3622"/>
      <c r="I21" s="3894"/>
      <c r="J21" s="6100" t="s">
        <v>4761</v>
      </c>
      <c r="K21" s="6100"/>
      <c r="L21" s="6100"/>
    </row>
    <row r="22" spans="1:13" s="3601" customFormat="1" ht="12.75" customHeight="1">
      <c r="A22" s="3660" t="s">
        <v>5112</v>
      </c>
      <c r="B22" s="3678">
        <v>65</v>
      </c>
      <c r="C22" s="3609"/>
      <c r="D22" s="3609"/>
      <c r="E22" s="3679"/>
      <c r="F22" s="3582"/>
      <c r="G22" s="3895"/>
      <c r="H22" s="3641"/>
      <c r="I22" s="3868" t="s">
        <v>4762</v>
      </c>
      <c r="J22" s="3868"/>
      <c r="K22" s="3868"/>
      <c r="L22" s="3868"/>
      <c r="M22" s="3869"/>
    </row>
    <row r="23" spans="1:13" s="3601" customFormat="1" ht="12.75" customHeight="1">
      <c r="A23" s="3662" t="s">
        <v>4692</v>
      </c>
      <c r="B23" s="2095">
        <v>67</v>
      </c>
      <c r="C23" s="3597"/>
      <c r="D23" s="3597"/>
      <c r="E23" s="3679"/>
      <c r="F23" s="3582"/>
      <c r="G23" s="3895"/>
      <c r="H23" s="3626"/>
      <c r="I23" s="3620"/>
      <c r="J23" s="3613">
        <f>E276</f>
        <v>656957</v>
      </c>
      <c r="K23" s="3589" t="s">
        <v>4995</v>
      </c>
      <c r="L23" s="3813" t="s">
        <v>4996</v>
      </c>
    </row>
    <row r="24" spans="1:13" s="3601" customFormat="1" ht="12.75" customHeight="1">
      <c r="A24" s="3615" t="s">
        <v>4756</v>
      </c>
      <c r="B24" s="3610"/>
      <c r="C24" s="3594"/>
      <c r="D24" s="3594"/>
      <c r="E24" s="3679"/>
      <c r="F24" s="3582"/>
      <c r="G24" s="3895"/>
      <c r="H24" s="3611"/>
      <c r="I24" s="3617" t="s">
        <v>4828</v>
      </c>
      <c r="J24" s="3629">
        <f>E27</f>
        <v>606957</v>
      </c>
      <c r="K24" s="3589" t="s">
        <v>4927</v>
      </c>
      <c r="L24" s="3614" t="str">
        <f>"(Special Ed State Aid comes from F150, Line "&amp;LEFT('F150'!A40,2)&amp;")"</f>
        <v>(Special Ed State Aid comes from F150, Line 12)</v>
      </c>
    </row>
    <row r="25" spans="1:13" s="3601" customFormat="1" ht="12.75" customHeight="1">
      <c r="A25" s="3661" t="s">
        <v>4693</v>
      </c>
      <c r="B25" s="3635">
        <v>95</v>
      </c>
      <c r="C25" s="3619">
        <f>VLOOKUP(OPEN!$B$4,DATA!A4:BE289,48,FALSE)</f>
        <v>3244925</v>
      </c>
      <c r="D25" s="3619">
        <f>VLOOKUP(OPEN!$B$4,DATA!A4:BE289,57,FALSE)</f>
        <v>3332152</v>
      </c>
      <c r="E25" s="3619">
        <f>IF(E31="Ck Expend.","Ck Line 175",SUM(E31-J18))</f>
        <v>3331494</v>
      </c>
      <c r="F25" s="3582"/>
      <c r="G25" s="3895"/>
      <c r="H25" s="3611"/>
      <c r="I25" s="3616"/>
      <c r="J25" s="3630">
        <f>J23-J24</f>
        <v>50000</v>
      </c>
      <c r="K25" s="3717" t="str">
        <f>IF(J25&lt;0,"&lt; Increase Line 840 (transfer to Special Ed)", "&lt; Difference should be $0 or greater")</f>
        <v>&lt; Difference should be $0 or greater</v>
      </c>
      <c r="L25" s="3717"/>
    </row>
    <row r="26" spans="1:13" s="3601" customFormat="1" ht="12.75" customHeight="1">
      <c r="A26" s="3663" t="s">
        <v>4694</v>
      </c>
      <c r="B26" s="3678">
        <v>115</v>
      </c>
      <c r="C26" s="3597"/>
      <c r="D26" s="3597"/>
      <c r="E26" s="3597"/>
      <c r="F26" s="3582"/>
      <c r="G26" s="3895"/>
      <c r="H26" s="3620"/>
    </row>
    <row r="27" spans="1:13" s="3601" customFormat="1" ht="12.75" customHeight="1">
      <c r="A27" s="3664" t="s">
        <v>4695</v>
      </c>
      <c r="B27" s="3633">
        <v>120</v>
      </c>
      <c r="C27" s="3624">
        <f>VLOOKUP(OPEN!$B$4,DATA!A4:BE289,16,FALSE)</f>
        <v>510149</v>
      </c>
      <c r="D27" s="3680">
        <f>VLOOKUP(OPEN!$B$4,DATA!A4:BE289,17,FALSE)</f>
        <v>538248</v>
      </c>
      <c r="E27" s="3624">
        <f>'F150'!E40</f>
        <v>606957</v>
      </c>
      <c r="F27" s="3582"/>
      <c r="G27" s="3895"/>
      <c r="H27" s="3582"/>
      <c r="I27" s="3894"/>
      <c r="J27" s="6100" t="s">
        <v>4997</v>
      </c>
      <c r="K27" s="6100"/>
      <c r="L27" s="6100"/>
    </row>
    <row r="28" spans="1:13" s="3601" customFormat="1" ht="12.75" customHeight="1">
      <c r="A28" s="3615" t="s">
        <v>4755</v>
      </c>
      <c r="B28" s="3610"/>
      <c r="C28" s="3594"/>
      <c r="D28" s="3594"/>
      <c r="E28" s="3594"/>
      <c r="F28" s="3582"/>
      <c r="G28" s="3895"/>
      <c r="H28" s="3620"/>
      <c r="I28" s="3868" t="s">
        <v>4998</v>
      </c>
      <c r="J28" s="3868"/>
      <c r="K28" s="3868"/>
      <c r="L28" s="3868"/>
    </row>
    <row r="29" spans="1:13" s="3601" customFormat="1" ht="12.75" customHeight="1">
      <c r="A29" s="3665" t="s">
        <v>4945</v>
      </c>
      <c r="B29" s="3635">
        <v>145</v>
      </c>
      <c r="C29" s="3651"/>
      <c r="D29" s="3651"/>
      <c r="E29" s="3699">
        <f>ROUND(OPEN!A121*0.7,0)</f>
        <v>0</v>
      </c>
      <c r="F29" s="3582"/>
      <c r="G29" s="3895"/>
      <c r="H29" s="3620"/>
      <c r="I29" s="3620"/>
      <c r="J29" s="3613">
        <f>E283</f>
        <v>341656</v>
      </c>
      <c r="K29" s="3589" t="s">
        <v>4999</v>
      </c>
      <c r="L29" s="3813" t="s">
        <v>5000</v>
      </c>
    </row>
    <row r="30" spans="1:13" s="3601" customFormat="1" ht="12.75" customHeight="1">
      <c r="A30" s="1022" t="s">
        <v>933</v>
      </c>
      <c r="B30" s="3700">
        <v>170</v>
      </c>
      <c r="C30" s="3701">
        <f>SUM(C8:C29)</f>
        <v>3785807</v>
      </c>
      <c r="D30" s="3702">
        <f>SUM(D8:D29)</f>
        <v>3899399</v>
      </c>
      <c r="E30" s="3703">
        <f>SUM(E8:E29)</f>
        <v>3938451</v>
      </c>
      <c r="F30" s="3582"/>
      <c r="G30" s="3895"/>
      <c r="H30" s="3616"/>
      <c r="I30" s="3617" t="s">
        <v>4828</v>
      </c>
      <c r="J30" s="3629">
        <f>'F150'!J175</f>
        <v>341656</v>
      </c>
      <c r="K30" s="3589" t="s">
        <v>5001</v>
      </c>
      <c r="L30" s="3614" t="s">
        <v>5270</v>
      </c>
    </row>
    <row r="31" spans="1:13" s="3601" customFormat="1" ht="12.75" customHeight="1">
      <c r="A31" s="1024" t="s">
        <v>4696</v>
      </c>
      <c r="B31" s="987">
        <v>175</v>
      </c>
      <c r="C31" s="3628">
        <f>C284</f>
        <v>3785807</v>
      </c>
      <c r="D31" s="3593">
        <f>D284</f>
        <v>3899399</v>
      </c>
      <c r="E31" s="3624">
        <f>IF(AND(J16=0,E276&gt;=E27, J31&gt;=0),'F150'!J51,"Ck Expend.")</f>
        <v>3938451</v>
      </c>
      <c r="F31" s="3582"/>
      <c r="G31" s="3895"/>
      <c r="H31" s="3616"/>
      <c r="I31" s="3616"/>
      <c r="J31" s="3630">
        <f>J29-J30</f>
        <v>0</v>
      </c>
      <c r="K31" s="6099" t="str">
        <f>IF(J31&lt;0,"&lt; Increase Line 840 (transfer to Special Ed)", "&lt; Difference should be $0 or greater")</f>
        <v>&lt; Difference should be $0 or greater</v>
      </c>
      <c r="L31" s="6099"/>
    </row>
    <row r="32" spans="1:13" s="3601" customFormat="1" ht="12.75" customHeight="1">
      <c r="A32" s="1024" t="s">
        <v>4926</v>
      </c>
      <c r="B32" s="987">
        <v>190</v>
      </c>
      <c r="C32" s="3628">
        <f>C30-C31</f>
        <v>0</v>
      </c>
      <c r="D32" s="3593">
        <f>D30-D31</f>
        <v>0</v>
      </c>
      <c r="E32" s="2774" t="s">
        <v>4905</v>
      </c>
      <c r="F32" s="3582"/>
      <c r="G32" s="3895"/>
      <c r="H32" s="3582"/>
      <c r="I32" s="3582"/>
      <c r="J32" s="3584"/>
      <c r="K32" s="3589"/>
      <c r="L32" s="3600"/>
    </row>
    <row r="33" spans="1:12" s="3601" customFormat="1" ht="12.75" customHeight="1">
      <c r="A33" s="6098" t="s">
        <v>4942</v>
      </c>
      <c r="B33" s="6098"/>
      <c r="C33" s="6098"/>
      <c r="D33" s="6098"/>
      <c r="E33" s="6098"/>
      <c r="F33" s="3582"/>
      <c r="G33" s="3895"/>
    </row>
    <row r="34" spans="1:12" s="3601" customFormat="1" ht="42.75" customHeight="1">
      <c r="A34" s="6097" t="s">
        <v>4943</v>
      </c>
      <c r="B34" s="6097"/>
      <c r="C34" s="6097"/>
      <c r="D34" s="6097"/>
      <c r="E34" s="6097"/>
      <c r="F34" s="3582"/>
      <c r="G34" s="3895"/>
    </row>
    <row r="35" spans="1:12" s="3601" customFormat="1" ht="27" customHeight="1">
      <c r="A35" s="6097" t="s">
        <v>4944</v>
      </c>
      <c r="B35" s="6097"/>
      <c r="C35" s="6097"/>
      <c r="D35" s="6097"/>
      <c r="E35" s="6097"/>
      <c r="F35" s="3582"/>
      <c r="G35" s="3895"/>
    </row>
    <row r="36" spans="1:12" s="3601" customFormat="1" ht="12.75" customHeight="1">
      <c r="A36" s="3631"/>
      <c r="B36" s="3631"/>
      <c r="C36" s="3631"/>
      <c r="D36" s="3631"/>
      <c r="E36" s="3631"/>
      <c r="F36" s="3582"/>
      <c r="G36" s="3895"/>
    </row>
    <row r="37" spans="1:12" s="3601" customFormat="1" ht="12.75" customHeight="1">
      <c r="A37" s="3632" t="str">
        <f>A1</f>
        <v>State of Kansas</v>
      </c>
      <c r="B37" s="3583"/>
      <c r="C37" s="3627"/>
      <c r="D37" s="3582"/>
      <c r="E37" s="3577" t="str">
        <f>E1</f>
        <v>USD #237</v>
      </c>
      <c r="F37" s="3582"/>
      <c r="G37" s="3895"/>
    </row>
    <row r="38" spans="1:12" s="3601" customFormat="1" ht="12.75" customHeight="1">
      <c r="A38" s="3627" t="str">
        <f>A2</f>
        <v>Budget Form USD-E</v>
      </c>
      <c r="B38" s="3583"/>
      <c r="C38" s="3582"/>
      <c r="D38" s="3582"/>
      <c r="E38" s="3577" t="str">
        <f>E2</f>
        <v>2021-2022</v>
      </c>
      <c r="F38" s="3582"/>
      <c r="G38" s="3895"/>
      <c r="H38" s="3582"/>
      <c r="I38" s="3620"/>
      <c r="J38" s="3584"/>
      <c r="K38" s="3584"/>
      <c r="L38" s="3600"/>
    </row>
    <row r="39" spans="1:12" s="3601" customFormat="1" ht="12.75" customHeight="1">
      <c r="A39" s="3631"/>
      <c r="B39" s="3631"/>
      <c r="C39" s="3631"/>
      <c r="D39" s="3631"/>
      <c r="E39" s="3631"/>
      <c r="F39" s="3582"/>
      <c r="G39" s="3895"/>
      <c r="H39" s="3582"/>
      <c r="I39" s="3620"/>
      <c r="J39" s="3584"/>
      <c r="K39" s="3584"/>
      <c r="L39" s="3600"/>
    </row>
    <row r="40" spans="1:12" s="3601" customFormat="1" ht="12.75" customHeight="1">
      <c r="A40" s="3631"/>
      <c r="B40" s="3631"/>
      <c r="C40" s="904" t="s">
        <v>922</v>
      </c>
      <c r="D40" s="904" t="s">
        <v>922</v>
      </c>
      <c r="E40" s="904" t="s">
        <v>922</v>
      </c>
      <c r="F40" s="3582"/>
      <c r="G40" s="3895"/>
      <c r="H40" s="3620"/>
      <c r="I40" s="3584"/>
      <c r="J40" s="3584"/>
      <c r="K40" s="3584"/>
      <c r="L40" s="3600"/>
    </row>
    <row r="41" spans="1:12" s="3601" customFormat="1" ht="12.75" customHeight="1">
      <c r="A41" s="3582"/>
      <c r="B41" s="3633" t="str">
        <f>B5</f>
        <v>Code</v>
      </c>
      <c r="C41" s="906" t="str">
        <f>OpenData!$N$4</f>
        <v>2019-2020</v>
      </c>
      <c r="D41" s="907" t="str">
        <f>OpenData!$O$4</f>
        <v>2020-2021</v>
      </c>
      <c r="E41" s="906" t="str">
        <f>OpenData!$P$4</f>
        <v>2021-2022</v>
      </c>
      <c r="F41" s="3582"/>
      <c r="G41" s="3895"/>
      <c r="H41" s="3620"/>
      <c r="I41" s="3584"/>
      <c r="J41" s="3584"/>
      <c r="K41" s="3584"/>
      <c r="L41" s="3600"/>
    </row>
    <row r="42" spans="1:12" s="3601" customFormat="1" ht="12.75" customHeight="1">
      <c r="A42" s="3587" t="str">
        <f>A6</f>
        <v>GENERAL FUND</v>
      </c>
      <c r="B42" s="3634">
        <f>B6</f>
        <v>6</v>
      </c>
      <c r="C42" s="909" t="s">
        <v>893</v>
      </c>
      <c r="D42" s="910" t="s">
        <v>893</v>
      </c>
      <c r="E42" s="909" t="s">
        <v>923</v>
      </c>
      <c r="F42" s="3582"/>
      <c r="G42" s="3895"/>
      <c r="H42" s="3584"/>
      <c r="I42" s="3584"/>
      <c r="J42" s="3584"/>
      <c r="K42" s="3584"/>
      <c r="L42" s="3600"/>
    </row>
    <row r="43" spans="1:12" s="3601" customFormat="1" ht="12.75" customHeight="1">
      <c r="B43" s="3634" t="str">
        <f>B7</f>
        <v>Line</v>
      </c>
      <c r="C43" s="1394">
        <v>1</v>
      </c>
      <c r="D43" s="3981">
        <v>2</v>
      </c>
      <c r="E43" s="1394">
        <v>3</v>
      </c>
      <c r="F43" s="3582"/>
      <c r="G43" s="3895"/>
      <c r="H43" s="3584"/>
      <c r="I43" s="3584"/>
      <c r="J43" s="3584"/>
      <c r="K43" s="3584"/>
      <c r="L43" s="3600"/>
    </row>
    <row r="44" spans="1:12" s="3601" customFormat="1" ht="12.75" customHeight="1">
      <c r="A44" s="3982"/>
      <c r="B44" s="3983"/>
      <c r="C44" s="3984"/>
      <c r="D44" s="3984"/>
      <c r="E44" s="3985"/>
      <c r="F44" s="3582"/>
      <c r="G44" s="3895"/>
      <c r="H44" s="3584"/>
      <c r="I44" s="3584"/>
      <c r="J44" s="3584"/>
      <c r="K44" s="3584"/>
      <c r="L44" s="3600"/>
    </row>
    <row r="45" spans="1:12" s="3601" customFormat="1" ht="12.75" customHeight="1">
      <c r="A45" s="3978" t="s">
        <v>60</v>
      </c>
      <c r="B45" s="3986"/>
      <c r="C45" s="3986"/>
      <c r="D45" s="3986"/>
      <c r="E45" s="3987"/>
      <c r="F45" s="3582"/>
      <c r="G45" s="3895"/>
      <c r="H45" s="3584"/>
      <c r="I45" s="3584"/>
      <c r="J45" s="3584"/>
      <c r="K45" s="3584"/>
      <c r="L45" s="3600"/>
    </row>
    <row r="46" spans="1:12" s="3601" customFormat="1" ht="12.75" customHeight="1">
      <c r="A46" s="3603" t="s">
        <v>4698</v>
      </c>
      <c r="B46" s="2096"/>
      <c r="C46" s="3682"/>
      <c r="D46" s="3682"/>
      <c r="E46" s="3682"/>
      <c r="F46" s="3582"/>
      <c r="G46" s="3895"/>
      <c r="H46" s="3584"/>
      <c r="I46" s="3584"/>
      <c r="J46" s="3584"/>
      <c r="K46" s="3584"/>
      <c r="L46" s="3600"/>
    </row>
    <row r="47" spans="1:12" s="3601" customFormat="1" ht="12.75" customHeight="1">
      <c r="A47" s="3650" t="s">
        <v>4699</v>
      </c>
      <c r="B47" s="2096"/>
      <c r="C47" s="3682"/>
      <c r="D47" s="3682"/>
      <c r="E47" s="3682"/>
      <c r="F47" s="3582"/>
      <c r="G47" s="3896"/>
      <c r="H47" s="3584"/>
      <c r="I47" s="3584"/>
      <c r="J47" s="3637"/>
      <c r="K47" s="3582"/>
      <c r="L47" s="3600"/>
    </row>
    <row r="48" spans="1:12" s="3601" customFormat="1" ht="12.75" customHeight="1">
      <c r="A48" s="3666" t="s">
        <v>4700</v>
      </c>
      <c r="B48" s="3635">
        <v>210</v>
      </c>
      <c r="C48" s="3651">
        <v>1355750</v>
      </c>
      <c r="D48" s="3651">
        <v>1441768</v>
      </c>
      <c r="E48" s="3651">
        <v>1386768</v>
      </c>
      <c r="F48" s="3582"/>
      <c r="G48" s="3897"/>
      <c r="H48" s="3584"/>
      <c r="I48" s="3584"/>
      <c r="J48" s="3637"/>
      <c r="K48" s="3582"/>
      <c r="L48" s="3600"/>
    </row>
    <row r="49" spans="1:12" s="3601" customFormat="1" ht="12.75" customHeight="1">
      <c r="A49" s="3667" t="s">
        <v>4763</v>
      </c>
      <c r="B49" s="3678">
        <v>215</v>
      </c>
      <c r="C49" s="3642">
        <v>27793</v>
      </c>
      <c r="D49" s="3642">
        <v>14916</v>
      </c>
      <c r="E49" s="3642">
        <v>14916</v>
      </c>
      <c r="F49" s="3582"/>
      <c r="G49" s="3895"/>
      <c r="H49" s="3584"/>
      <c r="I49" s="3584"/>
      <c r="J49" s="3582"/>
      <c r="K49" s="3582"/>
      <c r="L49" s="3600"/>
    </row>
    <row r="50" spans="1:12" s="3601" customFormat="1" ht="12.75" customHeight="1">
      <c r="A50" s="3640" t="s">
        <v>4701</v>
      </c>
      <c r="B50" s="3610"/>
      <c r="C50" s="3681"/>
      <c r="D50" s="3681"/>
      <c r="E50" s="3681"/>
      <c r="F50" s="3582"/>
      <c r="G50" s="3895"/>
      <c r="H50" s="3584"/>
      <c r="I50" s="3620"/>
      <c r="J50" s="3637"/>
      <c r="K50" s="3582"/>
      <c r="L50" s="3600"/>
    </row>
    <row r="51" spans="1:12" s="3601" customFormat="1" ht="12.75" customHeight="1">
      <c r="A51" s="3666" t="s">
        <v>4928</v>
      </c>
      <c r="B51" s="3635">
        <v>220</v>
      </c>
      <c r="C51" s="3651">
        <v>11068</v>
      </c>
      <c r="D51" s="3651">
        <v>15973</v>
      </c>
      <c r="E51" s="3651">
        <v>15974</v>
      </c>
      <c r="F51" s="3582"/>
      <c r="G51" s="3895"/>
      <c r="H51" s="3584"/>
      <c r="I51" s="3582"/>
      <c r="J51" s="3637"/>
      <c r="K51" s="3582"/>
      <c r="L51" s="3600"/>
    </row>
    <row r="52" spans="1:12" s="3601" customFormat="1" ht="12.75" customHeight="1">
      <c r="A52" s="3667" t="s">
        <v>4702</v>
      </c>
      <c r="B52" s="3678">
        <v>225</v>
      </c>
      <c r="C52" s="3642">
        <v>111251</v>
      </c>
      <c r="D52" s="3642">
        <v>108870</v>
      </c>
      <c r="E52" s="3642">
        <v>108870</v>
      </c>
      <c r="F52" s="3582"/>
      <c r="G52" s="3895"/>
      <c r="H52" s="3620"/>
      <c r="I52" s="3620"/>
      <c r="J52" s="3637"/>
      <c r="K52" s="3582"/>
      <c r="L52" s="3600"/>
    </row>
    <row r="53" spans="1:12" ht="12.75" customHeight="1">
      <c r="A53" s="3667" t="s">
        <v>4703</v>
      </c>
      <c r="B53" s="3678">
        <v>230</v>
      </c>
      <c r="C53" s="3642">
        <v>31370</v>
      </c>
      <c r="D53" s="3642">
        <v>28255</v>
      </c>
      <c r="E53" s="3642">
        <v>28255</v>
      </c>
      <c r="F53" s="3582"/>
      <c r="G53" s="3895"/>
      <c r="H53" s="3582"/>
      <c r="I53" s="3582"/>
      <c r="J53" s="3582"/>
      <c r="K53" s="3582"/>
      <c r="L53" s="3600"/>
    </row>
    <row r="54" spans="1:12" ht="12.75" customHeight="1">
      <c r="A54" s="3645" t="s">
        <v>5164</v>
      </c>
      <c r="B54" s="3635">
        <v>235</v>
      </c>
      <c r="C54" s="3683"/>
      <c r="D54" s="3683"/>
      <c r="E54" s="3683"/>
      <c r="F54" s="3582"/>
      <c r="G54" s="3895"/>
      <c r="H54" s="3620"/>
      <c r="I54" s="3620"/>
      <c r="J54" s="3582"/>
      <c r="K54" s="3582"/>
    </row>
    <row r="55" spans="1:12" ht="12.75" customHeight="1">
      <c r="A55" s="3645" t="s">
        <v>4704</v>
      </c>
      <c r="B55" s="2096">
        <v>237</v>
      </c>
      <c r="C55" s="3683"/>
      <c r="D55" s="3683"/>
      <c r="E55" s="3683">
        <v>7884</v>
      </c>
      <c r="F55" s="3582"/>
      <c r="G55" s="3895"/>
      <c r="H55" s="3582"/>
      <c r="I55" s="3582"/>
      <c r="J55" s="3582"/>
      <c r="K55" s="3582"/>
    </row>
    <row r="56" spans="1:12" ht="12.75" customHeight="1">
      <c r="A56" s="3676" t="s">
        <v>4705</v>
      </c>
      <c r="B56" s="2095"/>
      <c r="C56" s="3656"/>
      <c r="D56" s="3656"/>
      <c r="E56" s="3656"/>
      <c r="F56" s="3582"/>
      <c r="G56" s="3895"/>
      <c r="H56" s="3620"/>
      <c r="I56" s="3582"/>
      <c r="J56" s="3582"/>
      <c r="K56" s="3582"/>
    </row>
    <row r="57" spans="1:12" ht="12.75" customHeight="1">
      <c r="A57" s="3668" t="s">
        <v>4706</v>
      </c>
      <c r="B57" s="2096"/>
      <c r="C57" s="3682"/>
      <c r="D57" s="3682"/>
      <c r="E57" s="3682"/>
      <c r="F57" s="3582"/>
      <c r="G57" s="3895"/>
      <c r="H57" s="3582"/>
      <c r="I57" s="3582"/>
      <c r="J57" s="3582"/>
      <c r="K57" s="3582"/>
    </row>
    <row r="58" spans="1:12" ht="12.75" customHeight="1">
      <c r="A58" s="3669" t="s">
        <v>4758</v>
      </c>
      <c r="B58" s="3635">
        <v>240</v>
      </c>
      <c r="C58" s="3651"/>
      <c r="D58" s="3651"/>
      <c r="E58" s="3651"/>
      <c r="F58" s="3582"/>
      <c r="G58" s="3895"/>
      <c r="H58" s="3582"/>
      <c r="I58" s="3582"/>
      <c r="J58" s="3582"/>
      <c r="K58" s="3582"/>
    </row>
    <row r="59" spans="1:12" ht="12.75" customHeight="1">
      <c r="A59" s="3670" t="s">
        <v>4759</v>
      </c>
      <c r="B59" s="3633">
        <v>245</v>
      </c>
      <c r="C59" s="3683"/>
      <c r="D59" s="3683"/>
      <c r="E59" s="3683"/>
      <c r="F59" s="3582"/>
      <c r="G59" s="3895"/>
      <c r="H59" s="3582"/>
      <c r="I59" s="3582"/>
      <c r="J59" s="3582"/>
      <c r="K59" s="3582"/>
    </row>
    <row r="60" spans="1:12" ht="12.75" customHeight="1">
      <c r="A60" s="3671" t="s">
        <v>4829</v>
      </c>
      <c r="B60" s="3678">
        <v>250</v>
      </c>
      <c r="C60" s="3642"/>
      <c r="D60" s="3642"/>
      <c r="E60" s="3642"/>
      <c r="F60" s="3582"/>
      <c r="G60" s="3898"/>
      <c r="H60" s="3582"/>
      <c r="I60" s="3582"/>
      <c r="J60" s="3582"/>
      <c r="K60" s="3582"/>
    </row>
    <row r="61" spans="1:12" ht="12.75" customHeight="1">
      <c r="A61" s="3672" t="s">
        <v>4707</v>
      </c>
      <c r="B61" s="3678">
        <v>255</v>
      </c>
      <c r="C61" s="3642"/>
      <c r="D61" s="3642"/>
      <c r="E61" s="3642"/>
      <c r="F61" s="3582"/>
      <c r="G61" s="3899"/>
      <c r="H61" s="3582"/>
      <c r="I61" s="3582"/>
      <c r="J61" s="3582"/>
      <c r="K61" s="3582"/>
    </row>
    <row r="62" spans="1:12" ht="12.75" customHeight="1">
      <c r="A62" s="3650" t="s">
        <v>4708</v>
      </c>
      <c r="B62" s="3610"/>
      <c r="C62" s="3681"/>
      <c r="D62" s="3681"/>
      <c r="E62" s="3682"/>
      <c r="F62" s="3582"/>
      <c r="G62" s="3898"/>
      <c r="H62" s="3582"/>
      <c r="I62" s="3582"/>
      <c r="J62" s="3582"/>
      <c r="K62" s="3582"/>
    </row>
    <row r="63" spans="1:12" ht="12.75" customHeight="1">
      <c r="A63" s="3666" t="s">
        <v>4929</v>
      </c>
      <c r="B63" s="3635">
        <v>260</v>
      </c>
      <c r="C63" s="3651">
        <v>40757</v>
      </c>
      <c r="D63" s="3651">
        <v>55545</v>
      </c>
      <c r="E63" s="3651">
        <v>49905</v>
      </c>
      <c r="F63" s="3582"/>
      <c r="G63" s="3895"/>
      <c r="H63" s="3582"/>
      <c r="I63" s="3582"/>
      <c r="J63" s="3582"/>
      <c r="K63" s="3582"/>
    </row>
    <row r="64" spans="1:12" ht="12.75" customHeight="1">
      <c r="A64" s="3672" t="s">
        <v>4709</v>
      </c>
      <c r="B64" s="3678">
        <v>265</v>
      </c>
      <c r="C64" s="3642"/>
      <c r="D64" s="3642"/>
      <c r="E64" s="3642"/>
      <c r="F64" s="3582"/>
      <c r="G64" s="3895"/>
      <c r="H64" s="3582"/>
      <c r="I64" s="3582"/>
      <c r="J64" s="3582"/>
      <c r="K64" s="3582"/>
    </row>
    <row r="65" spans="1:11" ht="12.75" customHeight="1">
      <c r="A65" s="3672" t="s">
        <v>4930</v>
      </c>
      <c r="B65" s="2095">
        <v>267</v>
      </c>
      <c r="C65" s="3642"/>
      <c r="D65" s="3642"/>
      <c r="E65" s="3642"/>
      <c r="F65" s="3582"/>
      <c r="G65" s="3895"/>
      <c r="H65" s="3582"/>
      <c r="I65" s="3582"/>
      <c r="J65" s="3582"/>
      <c r="K65" s="3582"/>
    </row>
    <row r="66" spans="1:11" ht="12.75" customHeight="1">
      <c r="A66" s="3672" t="s">
        <v>4710</v>
      </c>
      <c r="B66" s="3678">
        <v>270</v>
      </c>
      <c r="C66" s="3642">
        <v>59422</v>
      </c>
      <c r="D66" s="3642">
        <v>30328</v>
      </c>
      <c r="E66" s="3642">
        <v>29343</v>
      </c>
      <c r="F66" s="3641"/>
      <c r="G66" s="3895"/>
      <c r="H66" s="3582"/>
      <c r="I66" s="3582"/>
      <c r="J66" s="3582"/>
      <c r="K66" s="3582"/>
    </row>
    <row r="67" spans="1:11" ht="12.75" customHeight="1">
      <c r="A67" s="3645" t="s">
        <v>4931</v>
      </c>
      <c r="B67" s="3635">
        <v>275</v>
      </c>
      <c r="C67" s="3651"/>
      <c r="D67" s="3651"/>
      <c r="E67" s="3651"/>
      <c r="F67" s="3582"/>
      <c r="G67" s="3895"/>
      <c r="H67" s="3582"/>
      <c r="I67" s="3582"/>
      <c r="J67" s="3582"/>
      <c r="K67" s="3582"/>
    </row>
    <row r="68" spans="1:11" ht="12.75" customHeight="1">
      <c r="A68" s="3673" t="s">
        <v>4711</v>
      </c>
      <c r="B68" s="3678">
        <v>280</v>
      </c>
      <c r="C68" s="3642"/>
      <c r="D68" s="3642">
        <v>1963</v>
      </c>
      <c r="E68" s="3642">
        <v>1963</v>
      </c>
      <c r="F68" s="3582"/>
      <c r="G68" s="3895"/>
      <c r="H68" s="3582"/>
      <c r="I68" s="3582"/>
      <c r="J68" s="3582"/>
      <c r="K68" s="3582"/>
    </row>
    <row r="69" spans="1:11" ht="12.75" customHeight="1">
      <c r="A69" s="3636" t="s">
        <v>4712</v>
      </c>
      <c r="B69" s="3610"/>
      <c r="C69" s="3681"/>
      <c r="D69" s="3681"/>
      <c r="E69" s="3681"/>
      <c r="F69" s="3582"/>
      <c r="G69" s="3895"/>
      <c r="H69" s="3582"/>
      <c r="I69" s="3582"/>
      <c r="J69" s="3582"/>
      <c r="K69" s="3582"/>
    </row>
    <row r="70" spans="1:11" ht="12.75" customHeight="1">
      <c r="A70" s="3605" t="s">
        <v>4713</v>
      </c>
      <c r="B70" s="2096"/>
      <c r="C70" s="3682"/>
      <c r="D70" s="3682"/>
      <c r="E70" s="3682"/>
      <c r="F70" s="3582"/>
      <c r="G70" s="3895"/>
      <c r="H70" s="3582"/>
      <c r="I70" s="3582"/>
      <c r="J70" s="3582"/>
      <c r="K70" s="3582"/>
    </row>
    <row r="71" spans="1:11" ht="12.75" customHeight="1">
      <c r="A71" s="3650" t="s">
        <v>4699</v>
      </c>
      <c r="B71" s="2096"/>
      <c r="C71" s="3682"/>
      <c r="D71" s="3682"/>
      <c r="E71" s="3682"/>
      <c r="F71" s="3582"/>
      <c r="G71" s="3895"/>
      <c r="H71" s="3582"/>
      <c r="I71" s="3582"/>
      <c r="J71" s="3582"/>
      <c r="K71" s="3582"/>
    </row>
    <row r="72" spans="1:11" ht="12.75" customHeight="1">
      <c r="A72" s="3674" t="s">
        <v>4700</v>
      </c>
      <c r="B72" s="3635">
        <v>285</v>
      </c>
      <c r="C72" s="3651">
        <v>45877</v>
      </c>
      <c r="D72" s="3651">
        <v>41968</v>
      </c>
      <c r="E72" s="3651">
        <v>41968</v>
      </c>
      <c r="F72" s="3582"/>
      <c r="G72" s="3895"/>
      <c r="H72" s="3582"/>
      <c r="I72" s="3582"/>
      <c r="J72" s="3582"/>
      <c r="K72" s="3582"/>
    </row>
    <row r="73" spans="1:11" ht="12.75" customHeight="1">
      <c r="A73" s="3672" t="s">
        <v>4763</v>
      </c>
      <c r="B73" s="3678">
        <v>290</v>
      </c>
      <c r="C73" s="3642"/>
      <c r="D73" s="3642"/>
      <c r="E73" s="3642"/>
      <c r="F73" s="3582"/>
      <c r="G73" s="3895"/>
      <c r="H73" s="3582"/>
      <c r="I73" s="3582"/>
      <c r="J73" s="3582"/>
      <c r="K73" s="3582"/>
    </row>
    <row r="74" spans="1:11" ht="12.75" customHeight="1">
      <c r="A74" s="3650" t="s">
        <v>4701</v>
      </c>
      <c r="B74" s="3610"/>
      <c r="C74" s="3681"/>
      <c r="D74" s="3681"/>
      <c r="E74" s="3681"/>
      <c r="F74" s="3582"/>
      <c r="G74" s="3895"/>
      <c r="H74" s="3582"/>
      <c r="I74" s="3582"/>
      <c r="J74" s="3582"/>
      <c r="K74" s="3582"/>
    </row>
    <row r="75" spans="1:11" ht="12.75" customHeight="1">
      <c r="A75" s="3675" t="s">
        <v>4928</v>
      </c>
      <c r="B75" s="3635">
        <v>295</v>
      </c>
      <c r="C75" s="3651"/>
      <c r="D75" s="3651"/>
      <c r="E75" s="3651"/>
      <c r="F75" s="3582"/>
      <c r="G75" s="3895"/>
      <c r="H75" s="3582"/>
      <c r="I75" s="3582"/>
      <c r="J75" s="3582"/>
      <c r="K75" s="3582"/>
    </row>
    <row r="76" spans="1:11" ht="12.75" customHeight="1">
      <c r="A76" s="3675" t="s">
        <v>4702</v>
      </c>
      <c r="B76" s="3635">
        <v>300</v>
      </c>
      <c r="C76" s="3651">
        <v>2829</v>
      </c>
      <c r="D76" s="3651">
        <v>2530</v>
      </c>
      <c r="E76" s="3651">
        <v>2530</v>
      </c>
      <c r="F76" s="3582"/>
      <c r="G76" s="3895"/>
      <c r="H76" s="3582"/>
      <c r="I76" s="3582"/>
      <c r="J76" s="3582"/>
      <c r="K76" s="3582"/>
    </row>
    <row r="77" spans="1:11" ht="12.75" customHeight="1">
      <c r="A77" s="3672" t="s">
        <v>4703</v>
      </c>
      <c r="B77" s="3678">
        <v>305</v>
      </c>
      <c r="C77" s="3642"/>
      <c r="D77" s="3642"/>
      <c r="E77" s="3642"/>
      <c r="F77" s="3582"/>
      <c r="G77" s="3895"/>
      <c r="H77" s="3582"/>
      <c r="I77" s="3582"/>
      <c r="J77" s="3582"/>
      <c r="K77" s="3582"/>
    </row>
    <row r="78" spans="1:11" ht="12.75" customHeight="1">
      <c r="A78" s="3645" t="s">
        <v>5164</v>
      </c>
      <c r="B78" s="3635">
        <v>310</v>
      </c>
      <c r="C78" s="3683"/>
      <c r="D78" s="3683"/>
      <c r="E78" s="3683"/>
      <c r="F78" s="3582"/>
      <c r="G78" s="3895"/>
      <c r="H78" s="3582"/>
      <c r="I78" s="3582"/>
      <c r="J78" s="3582"/>
      <c r="K78" s="3582"/>
    </row>
    <row r="79" spans="1:11" ht="12.75" customHeight="1">
      <c r="A79" s="3645" t="s">
        <v>4704</v>
      </c>
      <c r="B79" s="2094">
        <v>313</v>
      </c>
      <c r="C79" s="3683"/>
      <c r="D79" s="3683"/>
      <c r="E79" s="3683"/>
      <c r="F79" s="3582"/>
      <c r="G79" s="3895"/>
      <c r="H79" s="3582"/>
      <c r="I79" s="3582"/>
      <c r="J79" s="3582"/>
      <c r="K79" s="3582"/>
    </row>
    <row r="80" spans="1:11" ht="12.75" customHeight="1">
      <c r="A80" s="3645" t="s">
        <v>4705</v>
      </c>
      <c r="B80" s="3678">
        <v>315</v>
      </c>
      <c r="C80" s="3642">
        <v>5285</v>
      </c>
      <c r="D80" s="3642">
        <v>6750</v>
      </c>
      <c r="E80" s="3642">
        <v>6750</v>
      </c>
      <c r="F80" s="3582"/>
      <c r="G80" s="3895"/>
      <c r="H80" s="3582"/>
      <c r="I80" s="3582"/>
      <c r="J80" s="3582"/>
      <c r="K80" s="3582"/>
    </row>
    <row r="81" spans="1:11" ht="12.75" customHeight="1">
      <c r="A81" s="3645" t="s">
        <v>4708</v>
      </c>
      <c r="B81" s="3635">
        <v>320</v>
      </c>
      <c r="C81" s="3651"/>
      <c r="D81" s="3651"/>
      <c r="E81" s="3651"/>
      <c r="F81" s="3582"/>
      <c r="G81" s="3895"/>
      <c r="H81" s="3582"/>
      <c r="I81" s="3582"/>
      <c r="J81" s="3582"/>
      <c r="K81" s="3582"/>
    </row>
    <row r="82" spans="1:11" ht="12.75" customHeight="1">
      <c r="A82" s="3645" t="s">
        <v>4931</v>
      </c>
      <c r="B82" s="3633">
        <v>325</v>
      </c>
      <c r="C82" s="3683"/>
      <c r="D82" s="3683"/>
      <c r="E82" s="3683"/>
      <c r="F82" s="3582"/>
      <c r="G82" s="3895"/>
      <c r="H82" s="3582"/>
      <c r="I82" s="3582"/>
      <c r="J82" s="3582"/>
      <c r="K82" s="3582"/>
    </row>
    <row r="83" spans="1:11" ht="12.75" customHeight="1">
      <c r="A83" s="3645" t="s">
        <v>4711</v>
      </c>
      <c r="B83" s="3678">
        <v>330</v>
      </c>
      <c r="C83" s="3642"/>
      <c r="D83" s="3642"/>
      <c r="E83" s="3642"/>
      <c r="F83" s="3582"/>
      <c r="G83" s="3895"/>
      <c r="H83" s="3582"/>
      <c r="I83" s="3582"/>
      <c r="J83" s="3582"/>
      <c r="K83" s="3582"/>
    </row>
    <row r="84" spans="1:11" ht="12.75" customHeight="1">
      <c r="A84" s="3643" t="s">
        <v>4714</v>
      </c>
      <c r="B84" s="3610"/>
      <c r="C84" s="3681"/>
      <c r="D84" s="3681"/>
      <c r="E84" s="3681"/>
      <c r="F84" s="3582"/>
      <c r="G84" s="3895"/>
      <c r="H84" s="3582"/>
      <c r="I84" s="3582"/>
      <c r="J84" s="3582"/>
      <c r="K84" s="3582"/>
    </row>
    <row r="85" spans="1:11" ht="12.75" customHeight="1">
      <c r="A85" s="3650" t="s">
        <v>4699</v>
      </c>
      <c r="B85" s="2096"/>
      <c r="C85" s="3682"/>
      <c r="D85" s="3682"/>
      <c r="E85" s="3682"/>
      <c r="F85" s="3582"/>
      <c r="G85" s="3895"/>
      <c r="H85" s="3582"/>
      <c r="I85" s="3582"/>
      <c r="J85" s="3582"/>
      <c r="K85" s="3582"/>
    </row>
    <row r="86" spans="1:11" ht="12.75" customHeight="1">
      <c r="A86" s="3675" t="s">
        <v>4700</v>
      </c>
      <c r="B86" s="3635">
        <v>335</v>
      </c>
      <c r="C86" s="3651">
        <v>51902</v>
      </c>
      <c r="D86" s="3651">
        <v>57615</v>
      </c>
      <c r="E86" s="3651">
        <v>57615</v>
      </c>
      <c r="F86" s="3582"/>
      <c r="G86" s="3895"/>
      <c r="H86" s="3582"/>
      <c r="I86" s="3582"/>
      <c r="J86" s="3582"/>
      <c r="K86" s="3582"/>
    </row>
    <row r="87" spans="1:11" ht="12.75" customHeight="1">
      <c r="A87" s="3675" t="s">
        <v>4763</v>
      </c>
      <c r="B87" s="3678">
        <v>340</v>
      </c>
      <c r="C87" s="3642">
        <v>28086</v>
      </c>
      <c r="D87" s="3642">
        <v>29093</v>
      </c>
      <c r="E87" s="3642">
        <v>29093</v>
      </c>
      <c r="F87" s="3582"/>
      <c r="G87" s="3895"/>
      <c r="H87" s="3582"/>
      <c r="I87" s="3582"/>
      <c r="J87" s="3582"/>
      <c r="K87" s="3582"/>
    </row>
    <row r="88" spans="1:11" ht="12.75" customHeight="1">
      <c r="A88" s="3650" t="s">
        <v>4701</v>
      </c>
      <c r="B88" s="3610"/>
      <c r="C88" s="3681"/>
      <c r="D88" s="3681"/>
      <c r="E88" s="3681"/>
      <c r="F88" s="3582"/>
      <c r="G88" s="3895"/>
      <c r="H88" s="3582"/>
      <c r="I88" s="3582"/>
      <c r="J88" s="3582"/>
      <c r="K88" s="3582"/>
    </row>
    <row r="89" spans="1:11" ht="12.75" customHeight="1">
      <c r="A89" s="3675" t="s">
        <v>4928</v>
      </c>
      <c r="B89" s="3635">
        <v>345</v>
      </c>
      <c r="C89" s="3651"/>
      <c r="D89" s="3651"/>
      <c r="E89" s="3651"/>
      <c r="F89" s="3582"/>
      <c r="G89" s="3895"/>
      <c r="H89" s="3582"/>
      <c r="I89" s="3582"/>
      <c r="J89" s="3582"/>
      <c r="K89" s="3582"/>
    </row>
    <row r="90" spans="1:11" ht="12.75" customHeight="1">
      <c r="A90" s="3675" t="s">
        <v>4702</v>
      </c>
      <c r="B90" s="3678">
        <v>350</v>
      </c>
      <c r="C90" s="3642">
        <v>5933</v>
      </c>
      <c r="D90" s="3642">
        <v>6363</v>
      </c>
      <c r="E90" s="3642">
        <v>6363</v>
      </c>
      <c r="F90" s="3582"/>
      <c r="G90" s="3895"/>
      <c r="H90" s="3582"/>
      <c r="I90" s="3582"/>
      <c r="J90" s="3582"/>
      <c r="K90" s="3582"/>
    </row>
    <row r="91" spans="1:11" ht="12.75" customHeight="1">
      <c r="A91" s="3675" t="s">
        <v>4703</v>
      </c>
      <c r="B91" s="3678">
        <v>355</v>
      </c>
      <c r="C91" s="3642"/>
      <c r="D91" s="3642"/>
      <c r="E91" s="3642"/>
      <c r="F91" s="3582"/>
      <c r="G91" s="3895"/>
      <c r="H91" s="3582"/>
      <c r="I91" s="3582"/>
      <c r="J91" s="3582"/>
      <c r="K91" s="3582"/>
    </row>
    <row r="92" spans="1:11" ht="12.75" customHeight="1">
      <c r="A92" s="3645" t="s">
        <v>5164</v>
      </c>
      <c r="B92" s="3635">
        <v>360</v>
      </c>
      <c r="C92" s="3651"/>
      <c r="D92" s="3651"/>
      <c r="E92" s="3651"/>
      <c r="F92" s="3582"/>
      <c r="G92" s="3895"/>
      <c r="H92" s="3582"/>
      <c r="I92" s="3582"/>
      <c r="J92" s="3582"/>
      <c r="K92" s="3582"/>
    </row>
    <row r="93" spans="1:11" ht="12.75" customHeight="1">
      <c r="A93" s="3645" t="s">
        <v>4704</v>
      </c>
      <c r="B93" s="2094">
        <v>363</v>
      </c>
      <c r="C93" s="3651"/>
      <c r="D93" s="3651"/>
      <c r="E93" s="3651"/>
      <c r="F93" s="3582"/>
      <c r="G93" s="3895"/>
      <c r="H93" s="3582"/>
      <c r="I93" s="3582"/>
      <c r="J93" s="3582"/>
      <c r="K93" s="3582"/>
    </row>
    <row r="94" spans="1:11" ht="12.75" customHeight="1">
      <c r="A94" s="3645" t="s">
        <v>4705</v>
      </c>
      <c r="B94" s="3678">
        <v>365</v>
      </c>
      <c r="C94" s="3642"/>
      <c r="D94" s="3642"/>
      <c r="E94" s="3642"/>
      <c r="F94" s="3582"/>
      <c r="G94" s="3895"/>
      <c r="H94" s="3582"/>
      <c r="I94" s="3582"/>
      <c r="J94" s="3582"/>
      <c r="K94" s="3582"/>
    </row>
    <row r="95" spans="1:11" ht="12.75" customHeight="1">
      <c r="A95" s="3640" t="s">
        <v>4708</v>
      </c>
      <c r="B95" s="3684"/>
      <c r="C95" s="3681"/>
      <c r="D95" s="3681"/>
      <c r="E95" s="3681"/>
      <c r="F95" s="3582"/>
      <c r="G95" s="3895"/>
      <c r="H95" s="3582"/>
      <c r="I95" s="3582"/>
      <c r="J95" s="3582"/>
      <c r="K95" s="3582"/>
    </row>
    <row r="96" spans="1:11" ht="12.75" customHeight="1">
      <c r="A96" s="3675" t="s">
        <v>4932</v>
      </c>
      <c r="B96" s="3635">
        <v>370</v>
      </c>
      <c r="C96" s="3651">
        <v>2944</v>
      </c>
      <c r="D96" s="3651">
        <v>2871</v>
      </c>
      <c r="E96" s="3651">
        <v>2022</v>
      </c>
      <c r="F96" s="3582"/>
      <c r="G96" s="3895"/>
      <c r="H96" s="3582"/>
      <c r="I96" s="3582"/>
      <c r="J96" s="3582"/>
      <c r="K96" s="3582"/>
    </row>
    <row r="97" spans="1:11" ht="12.75" customHeight="1">
      <c r="A97" s="3675" t="s">
        <v>4715</v>
      </c>
      <c r="B97" s="3635">
        <v>375</v>
      </c>
      <c r="C97" s="3651"/>
      <c r="D97" s="3651"/>
      <c r="E97" s="3651"/>
      <c r="F97" s="3582"/>
      <c r="G97" s="3895"/>
      <c r="H97" s="3582"/>
      <c r="I97" s="3582"/>
      <c r="J97" s="3582"/>
      <c r="K97" s="3582"/>
    </row>
    <row r="98" spans="1:11" ht="12.75" customHeight="1">
      <c r="A98" s="3672" t="s">
        <v>4710</v>
      </c>
      <c r="B98" s="3678">
        <v>380</v>
      </c>
      <c r="C98" s="3642"/>
      <c r="D98" s="3642"/>
      <c r="E98" s="3642"/>
      <c r="F98" s="3582"/>
      <c r="G98" s="3895"/>
      <c r="H98" s="3582"/>
      <c r="I98" s="3582"/>
      <c r="J98" s="3582"/>
      <c r="K98" s="3582"/>
    </row>
    <row r="99" spans="1:11" ht="12.75" customHeight="1">
      <c r="A99" s="3644" t="s">
        <v>4931</v>
      </c>
      <c r="B99" s="3678">
        <v>385</v>
      </c>
      <c r="C99" s="3642"/>
      <c r="D99" s="3642"/>
      <c r="E99" s="3642"/>
      <c r="F99" s="3582"/>
      <c r="G99" s="3895"/>
      <c r="H99" s="3582"/>
      <c r="I99" s="3582"/>
      <c r="J99" s="3582"/>
      <c r="K99" s="3582"/>
    </row>
    <row r="100" spans="1:11" ht="12.75" customHeight="1">
      <c r="A100" s="3645" t="s">
        <v>4711</v>
      </c>
      <c r="B100" s="3678">
        <v>390</v>
      </c>
      <c r="C100" s="3642"/>
      <c r="D100" s="3642"/>
      <c r="E100" s="3642"/>
      <c r="F100" s="3582"/>
      <c r="G100" s="3895"/>
      <c r="H100" s="3582"/>
      <c r="I100" s="3582"/>
      <c r="J100" s="3582"/>
      <c r="K100" s="3582"/>
    </row>
    <row r="101" spans="1:11" ht="12.75" customHeight="1">
      <c r="A101" s="3605" t="s">
        <v>4716</v>
      </c>
      <c r="B101" s="2096"/>
      <c r="C101" s="3682"/>
      <c r="D101" s="3682"/>
      <c r="E101" s="3682"/>
      <c r="F101" s="3582"/>
      <c r="G101" s="3895"/>
      <c r="H101" s="3582"/>
      <c r="I101" s="3582"/>
      <c r="J101" s="3582"/>
      <c r="K101" s="3582"/>
    </row>
    <row r="102" spans="1:11" ht="12.75" customHeight="1">
      <c r="A102" s="3650" t="s">
        <v>4699</v>
      </c>
      <c r="B102" s="2096"/>
      <c r="C102" s="3682"/>
      <c r="D102" s="3682"/>
      <c r="E102" s="3682"/>
      <c r="F102" s="3582"/>
      <c r="G102" s="3895"/>
      <c r="H102" s="3582"/>
      <c r="I102" s="3582"/>
      <c r="J102" s="3582"/>
      <c r="K102" s="3582"/>
    </row>
    <row r="103" spans="1:11" ht="12.75" customHeight="1">
      <c r="A103" s="3675" t="s">
        <v>4700</v>
      </c>
      <c r="B103" s="3635">
        <v>395</v>
      </c>
      <c r="C103" s="3651">
        <v>89799</v>
      </c>
      <c r="D103" s="3651">
        <v>89799</v>
      </c>
      <c r="E103" s="3651">
        <v>89799</v>
      </c>
      <c r="F103" s="3582"/>
      <c r="G103" s="3895"/>
      <c r="H103" s="3582"/>
      <c r="I103" s="3582"/>
      <c r="J103" s="3582"/>
      <c r="K103" s="3582"/>
    </row>
    <row r="104" spans="1:11" ht="12.75" customHeight="1">
      <c r="A104" s="3672" t="s">
        <v>4763</v>
      </c>
      <c r="B104" s="3678">
        <v>400</v>
      </c>
      <c r="C104" s="3642">
        <v>57172</v>
      </c>
      <c r="D104" s="3642">
        <v>79125</v>
      </c>
      <c r="E104" s="3642">
        <v>64028</v>
      </c>
      <c r="F104" s="3582"/>
      <c r="G104" s="3895"/>
      <c r="H104" s="3582"/>
      <c r="I104" s="3582"/>
      <c r="J104" s="3582"/>
      <c r="K104" s="3582"/>
    </row>
    <row r="105" spans="1:11" ht="12.75" customHeight="1">
      <c r="A105" s="3650" t="s">
        <v>4701</v>
      </c>
      <c r="B105" s="3610"/>
      <c r="C105" s="3681"/>
      <c r="D105" s="3681"/>
      <c r="E105" s="3681"/>
      <c r="F105" s="3582"/>
      <c r="G105" s="3895"/>
      <c r="H105" s="3582"/>
      <c r="I105" s="3582"/>
      <c r="J105" s="3582"/>
      <c r="K105" s="3582"/>
    </row>
    <row r="106" spans="1:11" ht="12.75" customHeight="1">
      <c r="A106" s="3675" t="s">
        <v>4928</v>
      </c>
      <c r="B106" s="3635">
        <v>405</v>
      </c>
      <c r="C106" s="3651">
        <v>1069</v>
      </c>
      <c r="D106" s="3651">
        <v>1258</v>
      </c>
      <c r="E106" s="3651">
        <v>1259</v>
      </c>
      <c r="F106" s="3582"/>
      <c r="G106" s="3895"/>
      <c r="H106" s="3582"/>
      <c r="I106" s="3582"/>
      <c r="J106" s="3582"/>
      <c r="K106" s="3582"/>
    </row>
    <row r="107" spans="1:11" ht="12.75" customHeight="1">
      <c r="A107" s="3672" t="s">
        <v>4702</v>
      </c>
      <c r="B107" s="3678">
        <v>410</v>
      </c>
      <c r="C107" s="3642">
        <v>13743</v>
      </c>
      <c r="D107" s="3642">
        <v>15557</v>
      </c>
      <c r="E107" s="3642">
        <v>15557</v>
      </c>
      <c r="F107" s="3582"/>
      <c r="G107" s="3895"/>
      <c r="H107" s="3582"/>
      <c r="I107" s="3582"/>
      <c r="J107" s="3582"/>
      <c r="K107" s="3582"/>
    </row>
    <row r="108" spans="1:11" ht="12.75" customHeight="1">
      <c r="A108" s="3672" t="s">
        <v>4703</v>
      </c>
      <c r="B108" s="3678">
        <v>415</v>
      </c>
      <c r="C108" s="3642">
        <v>42659</v>
      </c>
      <c r="D108" s="3642">
        <v>54186</v>
      </c>
      <c r="E108" s="3642">
        <v>54186</v>
      </c>
      <c r="F108" s="3582"/>
      <c r="G108" s="3895"/>
      <c r="H108" s="3582"/>
      <c r="I108" s="3582"/>
      <c r="J108" s="3582"/>
      <c r="K108" s="3582"/>
    </row>
    <row r="109" spans="1:11" ht="12.75" customHeight="1">
      <c r="A109" s="3645" t="s">
        <v>5164</v>
      </c>
      <c r="B109" s="2094">
        <v>420</v>
      </c>
      <c r="C109" s="3651">
        <v>29241</v>
      </c>
      <c r="D109" s="3651">
        <v>35814</v>
      </c>
      <c r="E109" s="3651">
        <v>27914</v>
      </c>
      <c r="F109" s="3582"/>
      <c r="G109" s="3895"/>
      <c r="H109" s="3582"/>
      <c r="I109" s="3582"/>
      <c r="J109" s="3582"/>
      <c r="K109" s="3582"/>
    </row>
    <row r="110" spans="1:11" ht="12.75" customHeight="1">
      <c r="A110" s="3676" t="s">
        <v>4704</v>
      </c>
      <c r="B110" s="3678">
        <v>425</v>
      </c>
      <c r="C110" s="3642"/>
      <c r="D110" s="3642"/>
      <c r="E110" s="3642"/>
      <c r="F110" s="3582"/>
      <c r="G110" s="3895"/>
      <c r="H110" s="3582"/>
      <c r="I110" s="3582"/>
      <c r="J110" s="3582"/>
      <c r="K110" s="3582"/>
    </row>
    <row r="111" spans="1:11" ht="12.75" customHeight="1">
      <c r="A111" s="3650" t="s">
        <v>4705</v>
      </c>
      <c r="B111" s="3610"/>
      <c r="C111" s="3681"/>
      <c r="D111" s="3681"/>
      <c r="E111" s="3681"/>
      <c r="F111" s="3582"/>
      <c r="G111" s="3895"/>
      <c r="H111" s="3582"/>
      <c r="I111" s="3582"/>
      <c r="J111" s="3582"/>
      <c r="K111" s="3582"/>
    </row>
    <row r="112" spans="1:11" ht="12.75" customHeight="1">
      <c r="A112" s="3675" t="s">
        <v>4717</v>
      </c>
      <c r="B112" s="3635">
        <v>430</v>
      </c>
      <c r="C112" s="3651"/>
      <c r="D112" s="3651"/>
      <c r="E112" s="3651"/>
      <c r="F112" s="3582"/>
      <c r="G112" s="3895"/>
      <c r="H112" s="3582"/>
      <c r="I112" s="3582"/>
      <c r="J112" s="3582"/>
      <c r="K112" s="3582"/>
    </row>
    <row r="113" spans="1:11" ht="25.5" customHeight="1">
      <c r="A113" s="4498" t="s">
        <v>5165</v>
      </c>
      <c r="B113" s="3635">
        <v>435</v>
      </c>
      <c r="C113" s="3651">
        <v>6220</v>
      </c>
      <c r="D113" s="3651">
        <v>1388</v>
      </c>
      <c r="E113" s="3651">
        <v>1388</v>
      </c>
      <c r="F113" s="3582"/>
      <c r="G113" s="3895"/>
      <c r="H113" s="3582"/>
      <c r="I113" s="3582"/>
      <c r="J113" s="3582"/>
      <c r="K113" s="3582"/>
    </row>
    <row r="114" spans="1:11" ht="12.75" customHeight="1">
      <c r="A114" s="3675" t="s">
        <v>4707</v>
      </c>
      <c r="B114" s="3678">
        <v>440</v>
      </c>
      <c r="C114" s="3642">
        <v>1562</v>
      </c>
      <c r="D114" s="3642">
        <v>1409</v>
      </c>
      <c r="E114" s="3642"/>
      <c r="F114" s="3582"/>
      <c r="G114" s="3895"/>
      <c r="H114" s="3582"/>
      <c r="I114" s="3582"/>
      <c r="J114" s="3582"/>
      <c r="K114" s="3582"/>
    </row>
    <row r="115" spans="1:11" ht="12.75" customHeight="1">
      <c r="A115" s="3650" t="s">
        <v>4708</v>
      </c>
      <c r="B115" s="3678">
        <v>445</v>
      </c>
      <c r="C115" s="3642">
        <v>4848</v>
      </c>
      <c r="D115" s="3642">
        <v>2223</v>
      </c>
      <c r="E115" s="3642">
        <v>1971</v>
      </c>
      <c r="F115" s="3582"/>
      <c r="G115" s="3895"/>
      <c r="H115" s="3582"/>
      <c r="I115" s="3582"/>
      <c r="J115" s="3582"/>
      <c r="K115" s="3582"/>
    </row>
    <row r="116" spans="1:11" ht="12.75" customHeight="1">
      <c r="A116" s="3676" t="s">
        <v>4931</v>
      </c>
      <c r="B116" s="3678">
        <v>450</v>
      </c>
      <c r="C116" s="3642"/>
      <c r="D116" s="3642"/>
      <c r="E116" s="3642"/>
      <c r="F116" s="3582"/>
      <c r="G116" s="3895"/>
      <c r="H116" s="3582"/>
      <c r="I116" s="3582"/>
      <c r="J116" s="3582"/>
      <c r="K116" s="3582"/>
    </row>
    <row r="117" spans="1:11" ht="12.75" customHeight="1">
      <c r="A117" s="3676" t="s">
        <v>4711</v>
      </c>
      <c r="B117" s="3678">
        <v>455</v>
      </c>
      <c r="C117" s="3642">
        <v>11278</v>
      </c>
      <c r="D117" s="3642">
        <v>14537</v>
      </c>
      <c r="E117" s="3642">
        <v>14207</v>
      </c>
      <c r="F117" s="3582"/>
      <c r="G117" s="3895"/>
      <c r="H117" s="3582"/>
      <c r="I117" s="3582"/>
      <c r="J117" s="3582"/>
      <c r="K117" s="3582"/>
    </row>
    <row r="118" spans="1:11" ht="12.75" customHeight="1">
      <c r="A118" s="3643" t="s">
        <v>4718</v>
      </c>
      <c r="B118" s="3610"/>
      <c r="C118" s="3681"/>
      <c r="D118" s="3681"/>
      <c r="E118" s="3681"/>
      <c r="F118" s="3582"/>
      <c r="G118" s="3895"/>
      <c r="H118" s="3582"/>
      <c r="I118" s="3582"/>
      <c r="J118" s="3582"/>
      <c r="K118" s="3582"/>
    </row>
    <row r="119" spans="1:11" ht="12.75" customHeight="1">
      <c r="A119" s="3650" t="s">
        <v>4699</v>
      </c>
      <c r="B119" s="2096"/>
      <c r="C119" s="3682"/>
      <c r="D119" s="3682"/>
      <c r="E119" s="3682"/>
      <c r="F119" s="3582"/>
      <c r="G119" s="3895"/>
      <c r="H119" s="3582"/>
      <c r="I119" s="3582"/>
      <c r="J119" s="3582"/>
      <c r="K119" s="3582"/>
    </row>
    <row r="120" spans="1:11" ht="12.75" customHeight="1">
      <c r="A120" s="3675" t="s">
        <v>4700</v>
      </c>
      <c r="B120" s="3635">
        <v>460</v>
      </c>
      <c r="C120" s="3651">
        <v>110115</v>
      </c>
      <c r="D120" s="3651">
        <v>110815</v>
      </c>
      <c r="E120" s="3651">
        <v>88815</v>
      </c>
      <c r="F120" s="3582"/>
      <c r="G120" s="3895"/>
      <c r="H120" s="3582"/>
      <c r="I120" s="3582"/>
      <c r="J120" s="3582"/>
      <c r="K120" s="3582"/>
    </row>
    <row r="121" spans="1:11" ht="12.75" customHeight="1">
      <c r="A121" s="3672" t="s">
        <v>4763</v>
      </c>
      <c r="B121" s="3678">
        <v>465</v>
      </c>
      <c r="C121" s="3642">
        <v>66854</v>
      </c>
      <c r="D121" s="3642">
        <v>66782</v>
      </c>
      <c r="E121" s="3642">
        <v>66782</v>
      </c>
      <c r="F121" s="3582"/>
      <c r="G121" s="3895"/>
      <c r="H121" s="3582"/>
      <c r="I121" s="3582"/>
      <c r="J121" s="3582"/>
      <c r="K121" s="3582"/>
    </row>
    <row r="122" spans="1:11" ht="12.75" customHeight="1">
      <c r="A122" s="3650" t="s">
        <v>4701</v>
      </c>
      <c r="B122" s="2096"/>
      <c r="C122" s="3682"/>
      <c r="D122" s="3682"/>
      <c r="E122" s="3682"/>
      <c r="F122" s="3582"/>
      <c r="G122" s="3895"/>
      <c r="H122" s="3582"/>
      <c r="I122" s="3582"/>
      <c r="J122" s="3582"/>
      <c r="K122" s="3582"/>
    </row>
    <row r="123" spans="1:11" ht="12.75" customHeight="1">
      <c r="A123" s="3675" t="s">
        <v>4928</v>
      </c>
      <c r="B123" s="3635">
        <v>470</v>
      </c>
      <c r="C123" s="3651">
        <v>13687</v>
      </c>
      <c r="D123" s="3651">
        <v>16905</v>
      </c>
      <c r="E123" s="3651">
        <v>16906</v>
      </c>
      <c r="F123" s="3582"/>
      <c r="G123" s="3895"/>
      <c r="H123" s="3582"/>
      <c r="I123" s="3582"/>
      <c r="J123" s="3582"/>
      <c r="K123" s="3582"/>
    </row>
    <row r="124" spans="1:11" ht="12.75" customHeight="1">
      <c r="A124" s="3675" t="s">
        <v>4702</v>
      </c>
      <c r="B124" s="3678">
        <v>475</v>
      </c>
      <c r="C124" s="3642">
        <v>12274</v>
      </c>
      <c r="D124" s="3642">
        <v>12672</v>
      </c>
      <c r="E124" s="3642">
        <v>12671</v>
      </c>
      <c r="F124" s="3582"/>
      <c r="G124" s="3895"/>
      <c r="H124" s="3582"/>
      <c r="I124" s="3582"/>
      <c r="J124" s="3582"/>
      <c r="K124" s="3582"/>
    </row>
    <row r="125" spans="1:11" ht="12.75" customHeight="1">
      <c r="A125" s="3675" t="s">
        <v>4703</v>
      </c>
      <c r="B125" s="3678">
        <v>480</v>
      </c>
      <c r="C125" s="3642">
        <v>10216</v>
      </c>
      <c r="D125" s="3642">
        <v>13332</v>
      </c>
      <c r="E125" s="3642">
        <v>13332</v>
      </c>
      <c r="F125" s="3582"/>
      <c r="G125" s="3895"/>
      <c r="H125" s="3582"/>
      <c r="I125" s="3582"/>
      <c r="J125" s="3582"/>
      <c r="K125" s="3582"/>
    </row>
    <row r="126" spans="1:11" ht="12.75" customHeight="1">
      <c r="A126" s="3645" t="s">
        <v>5164</v>
      </c>
      <c r="B126" s="3635">
        <v>485</v>
      </c>
      <c r="C126" s="3651"/>
      <c r="D126" s="3651"/>
      <c r="E126" s="3651"/>
      <c r="F126" s="3641"/>
      <c r="G126" s="3895"/>
      <c r="H126" s="3582"/>
      <c r="I126" s="3582"/>
      <c r="J126" s="3582"/>
      <c r="K126" s="3582"/>
    </row>
    <row r="127" spans="1:11" ht="12.75" customHeight="1">
      <c r="A127" s="3676" t="s">
        <v>4704</v>
      </c>
      <c r="B127" s="3678">
        <v>490</v>
      </c>
      <c r="C127" s="3642"/>
      <c r="D127" s="3642"/>
      <c r="E127" s="3642"/>
      <c r="F127" s="3582"/>
      <c r="G127" s="3895"/>
      <c r="H127" s="3582"/>
      <c r="I127" s="3582"/>
      <c r="J127" s="3582"/>
      <c r="K127" s="3582"/>
    </row>
    <row r="128" spans="1:11" ht="12.75" customHeight="1">
      <c r="A128" s="3650" t="s">
        <v>4705</v>
      </c>
      <c r="B128" s="3610"/>
      <c r="C128" s="3681"/>
      <c r="D128" s="3681"/>
      <c r="E128" s="3681"/>
      <c r="F128" s="3582"/>
      <c r="G128" s="3895"/>
      <c r="H128" s="3582"/>
      <c r="I128" s="3582"/>
      <c r="J128" s="3582"/>
      <c r="K128" s="3582"/>
    </row>
    <row r="129" spans="1:11" ht="25.5" customHeight="1">
      <c r="A129" s="4498" t="s">
        <v>5165</v>
      </c>
      <c r="B129" s="3635">
        <v>495</v>
      </c>
      <c r="C129" s="3651"/>
      <c r="D129" s="3651"/>
      <c r="E129" s="3651"/>
      <c r="F129" s="3582"/>
      <c r="G129" s="3895"/>
      <c r="H129" s="3582"/>
      <c r="I129" s="3582"/>
      <c r="J129" s="3582"/>
      <c r="K129" s="3582"/>
    </row>
    <row r="130" spans="1:11" ht="12.75" customHeight="1">
      <c r="A130" s="3675" t="s">
        <v>4707</v>
      </c>
      <c r="B130" s="3678">
        <v>500</v>
      </c>
      <c r="C130" s="3642"/>
      <c r="D130" s="3642"/>
      <c r="E130" s="3642"/>
      <c r="F130" s="3582"/>
      <c r="G130" s="3895"/>
      <c r="H130" s="3582"/>
      <c r="I130" s="3582"/>
      <c r="J130" s="3582"/>
      <c r="K130" s="3582"/>
    </row>
    <row r="131" spans="1:11" ht="12.75" customHeight="1">
      <c r="A131" s="3676" t="s">
        <v>4708</v>
      </c>
      <c r="B131" s="3678">
        <v>505</v>
      </c>
      <c r="C131" s="3642"/>
      <c r="D131" s="3642"/>
      <c r="E131" s="3642"/>
      <c r="F131" s="3582"/>
      <c r="G131" s="3895"/>
      <c r="H131" s="3582"/>
      <c r="I131" s="3582"/>
      <c r="J131" s="3582"/>
      <c r="K131" s="3582"/>
    </row>
    <row r="132" spans="1:11" ht="12.75" customHeight="1">
      <c r="A132" s="3676" t="s">
        <v>4931</v>
      </c>
      <c r="B132" s="3678">
        <v>510</v>
      </c>
      <c r="C132" s="3642"/>
      <c r="D132" s="3642"/>
      <c r="E132" s="3642"/>
      <c r="F132" s="3582"/>
      <c r="G132" s="3895"/>
      <c r="H132" s="3582"/>
      <c r="I132" s="3582"/>
      <c r="J132" s="3582"/>
      <c r="K132" s="3582"/>
    </row>
    <row r="133" spans="1:11" ht="12.75" customHeight="1">
      <c r="A133" s="3646" t="s">
        <v>4711</v>
      </c>
      <c r="B133" s="3678">
        <v>515</v>
      </c>
      <c r="C133" s="3642"/>
      <c r="D133" s="3642"/>
      <c r="E133" s="3642"/>
      <c r="F133" s="3582"/>
      <c r="G133" s="3895"/>
      <c r="H133" s="3582"/>
      <c r="I133" s="3582"/>
      <c r="J133" s="3582"/>
      <c r="K133" s="3582"/>
    </row>
    <row r="134" spans="1:11" ht="12.75" customHeight="1">
      <c r="A134" s="4641" t="s">
        <v>1320</v>
      </c>
      <c r="B134" s="3610"/>
      <c r="C134" s="3685"/>
      <c r="D134" s="3685"/>
      <c r="E134" s="3686"/>
      <c r="F134" s="3582"/>
      <c r="G134" s="3895"/>
      <c r="H134" s="3582"/>
      <c r="I134" s="3582"/>
      <c r="J134" s="3582"/>
      <c r="K134" s="3582"/>
    </row>
    <row r="135" spans="1:11" ht="12.75" customHeight="1">
      <c r="A135" s="3650" t="s">
        <v>4699</v>
      </c>
      <c r="B135" s="2096"/>
      <c r="C135" s="3686"/>
      <c r="D135" s="3686"/>
      <c r="E135" s="3686"/>
      <c r="F135" s="3582"/>
      <c r="G135" s="3895"/>
      <c r="H135" s="3582"/>
      <c r="I135" s="3582"/>
      <c r="J135" s="3582"/>
      <c r="K135" s="3582"/>
    </row>
    <row r="136" spans="1:11" ht="12.75" customHeight="1">
      <c r="A136" s="3675" t="s">
        <v>4700</v>
      </c>
      <c r="B136" s="2094">
        <v>730</v>
      </c>
      <c r="C136" s="3214"/>
      <c r="D136" s="3214"/>
      <c r="E136" s="3215"/>
      <c r="F136" s="3582"/>
      <c r="G136" s="3895"/>
      <c r="H136" s="3582"/>
      <c r="I136" s="3582"/>
      <c r="J136" s="3582"/>
      <c r="K136" s="3582"/>
    </row>
    <row r="137" spans="1:11" ht="12.75" customHeight="1">
      <c r="A137" s="3675" t="s">
        <v>4763</v>
      </c>
      <c r="B137" s="2095">
        <v>735</v>
      </c>
      <c r="C137" s="3216">
        <v>33878</v>
      </c>
      <c r="D137" s="3216">
        <v>33907</v>
      </c>
      <c r="E137" s="3216">
        <v>33907</v>
      </c>
      <c r="F137" s="3582"/>
      <c r="G137" s="3895"/>
      <c r="H137" s="3582"/>
      <c r="I137" s="3582"/>
      <c r="J137" s="3582"/>
      <c r="K137" s="3582"/>
    </row>
    <row r="138" spans="1:11" ht="12.75" customHeight="1">
      <c r="A138" s="3650" t="s">
        <v>4701</v>
      </c>
      <c r="B138" s="3610"/>
      <c r="C138" s="3687"/>
      <c r="D138" s="3687"/>
      <c r="E138" s="3688"/>
      <c r="F138" s="3582"/>
      <c r="G138" s="3895"/>
      <c r="H138" s="3582"/>
      <c r="I138" s="3582"/>
      <c r="J138" s="3582"/>
      <c r="K138" s="3582"/>
    </row>
    <row r="139" spans="1:11" ht="12.75" customHeight="1">
      <c r="A139" s="3675" t="s">
        <v>4719</v>
      </c>
      <c r="B139" s="2096">
        <v>740</v>
      </c>
      <c r="C139" s="3214"/>
      <c r="D139" s="3214"/>
      <c r="E139" s="3214"/>
      <c r="F139" s="3582"/>
      <c r="G139" s="3895"/>
      <c r="H139" s="3582"/>
      <c r="I139" s="3582"/>
      <c r="J139" s="3582"/>
      <c r="K139" s="3582"/>
    </row>
    <row r="140" spans="1:11" ht="12.75" customHeight="1">
      <c r="A140" s="3675" t="s">
        <v>4702</v>
      </c>
      <c r="B140" s="2095">
        <v>745</v>
      </c>
      <c r="C140" s="3216"/>
      <c r="D140" s="3216"/>
      <c r="E140" s="3216"/>
      <c r="F140" s="3582"/>
      <c r="G140" s="3895"/>
      <c r="H140" s="3582"/>
      <c r="I140" s="3582"/>
      <c r="J140" s="3582"/>
      <c r="K140" s="3582"/>
    </row>
    <row r="141" spans="1:11" ht="12.75" customHeight="1">
      <c r="A141" s="3675" t="s">
        <v>4703</v>
      </c>
      <c r="B141" s="2095">
        <v>750</v>
      </c>
      <c r="C141" s="3216"/>
      <c r="D141" s="3216"/>
      <c r="E141" s="3216"/>
      <c r="F141" s="3582"/>
      <c r="G141" s="3895"/>
      <c r="H141" s="3582"/>
      <c r="I141" s="3582"/>
      <c r="J141" s="3582"/>
      <c r="K141" s="3582"/>
    </row>
    <row r="142" spans="1:11" ht="12.75" customHeight="1">
      <c r="A142" s="3645" t="s">
        <v>5164</v>
      </c>
      <c r="B142" s="2095">
        <v>755</v>
      </c>
      <c r="C142" s="3216"/>
      <c r="D142" s="3216"/>
      <c r="E142" s="3216"/>
      <c r="F142" s="3582"/>
      <c r="G142" s="3895"/>
      <c r="H142" s="3582"/>
      <c r="I142" s="3582"/>
      <c r="J142" s="3582"/>
      <c r="K142" s="3582"/>
    </row>
    <row r="143" spans="1:11" ht="12.75" customHeight="1">
      <c r="A143" s="3676" t="s">
        <v>4704</v>
      </c>
      <c r="B143" s="2095">
        <v>760</v>
      </c>
      <c r="C143" s="3215"/>
      <c r="D143" s="3215"/>
      <c r="E143" s="3216"/>
      <c r="F143" s="3582"/>
      <c r="G143" s="3895"/>
      <c r="H143" s="3582"/>
      <c r="I143" s="3582"/>
      <c r="J143" s="3582"/>
      <c r="K143" s="3582"/>
    </row>
    <row r="144" spans="1:11" ht="12.75" customHeight="1">
      <c r="A144" s="3676" t="s">
        <v>4705</v>
      </c>
      <c r="B144" s="2095">
        <v>765</v>
      </c>
      <c r="C144" s="3214"/>
      <c r="D144" s="3214"/>
      <c r="E144" s="3216"/>
      <c r="F144" s="3582"/>
      <c r="G144" s="3895"/>
      <c r="H144" s="3582"/>
      <c r="I144" s="3582"/>
      <c r="J144" s="3582"/>
      <c r="K144" s="3582"/>
    </row>
    <row r="145" spans="1:11" ht="12.75" customHeight="1">
      <c r="A145" s="3676" t="s">
        <v>4708</v>
      </c>
      <c r="B145" s="2095">
        <v>770</v>
      </c>
      <c r="C145" s="3216"/>
      <c r="D145" s="3216"/>
      <c r="E145" s="3216"/>
      <c r="F145" s="3582"/>
      <c r="G145" s="3895"/>
      <c r="H145" s="3582"/>
      <c r="I145" s="3582"/>
      <c r="J145" s="3582"/>
      <c r="K145" s="3582"/>
    </row>
    <row r="146" spans="1:11" ht="12.75" customHeight="1">
      <c r="A146" s="3676" t="s">
        <v>4931</v>
      </c>
      <c r="B146" s="2095">
        <v>775</v>
      </c>
      <c r="C146" s="3216"/>
      <c r="D146" s="3216"/>
      <c r="E146" s="3216"/>
      <c r="F146" s="3582"/>
      <c r="G146" s="3895"/>
      <c r="H146" s="3582"/>
      <c r="I146" s="3582"/>
      <c r="J146" s="3582"/>
      <c r="K146" s="3582"/>
    </row>
    <row r="147" spans="1:11" ht="12.75" customHeight="1">
      <c r="A147" s="3676" t="s">
        <v>4711</v>
      </c>
      <c r="B147" s="2095">
        <v>780</v>
      </c>
      <c r="C147" s="3216"/>
      <c r="D147" s="3216"/>
      <c r="E147" s="3216"/>
      <c r="F147" s="3582"/>
      <c r="G147" s="3895"/>
      <c r="H147" s="3582"/>
      <c r="I147" s="3582"/>
      <c r="J147" s="3582"/>
      <c r="K147" s="3582"/>
    </row>
    <row r="148" spans="1:11" ht="12.75" customHeight="1">
      <c r="A148" s="3643" t="s">
        <v>1307</v>
      </c>
      <c r="B148" s="3610"/>
      <c r="C148" s="3685"/>
      <c r="D148" s="3685"/>
      <c r="E148" s="3685"/>
      <c r="F148" s="3582"/>
      <c r="G148" s="3895"/>
      <c r="H148" s="3582"/>
      <c r="I148" s="3582"/>
      <c r="J148" s="3582"/>
      <c r="K148" s="3582"/>
    </row>
    <row r="149" spans="1:11" ht="12.75" customHeight="1">
      <c r="A149" s="3650" t="s">
        <v>4699</v>
      </c>
      <c r="B149" s="2096"/>
      <c r="C149" s="3686"/>
      <c r="D149" s="3686"/>
      <c r="E149" s="3686"/>
      <c r="F149" s="3582"/>
      <c r="G149" s="3895"/>
      <c r="H149" s="3582"/>
      <c r="I149" s="3582"/>
      <c r="J149" s="3582"/>
      <c r="K149" s="3582"/>
    </row>
    <row r="150" spans="1:11" ht="12.75" customHeight="1">
      <c r="A150" s="3675" t="s">
        <v>4763</v>
      </c>
      <c r="B150" s="3635">
        <v>520</v>
      </c>
      <c r="C150" s="3651">
        <v>200148</v>
      </c>
      <c r="D150" s="3651">
        <v>185277</v>
      </c>
      <c r="E150" s="3651">
        <v>185276</v>
      </c>
      <c r="F150" s="3582"/>
      <c r="G150" s="3895"/>
      <c r="H150" s="3582"/>
      <c r="I150" s="3582"/>
      <c r="J150" s="3582"/>
      <c r="K150" s="3582"/>
    </row>
    <row r="151" spans="1:11" ht="12.75" customHeight="1">
      <c r="A151" s="3640" t="s">
        <v>4701</v>
      </c>
      <c r="B151" s="3610"/>
      <c r="C151" s="3681"/>
      <c r="D151" s="3681"/>
      <c r="E151" s="3681"/>
      <c r="F151" s="3582"/>
      <c r="G151" s="3895"/>
      <c r="H151" s="3582"/>
      <c r="I151" s="3582"/>
      <c r="J151" s="3582"/>
      <c r="K151" s="3582"/>
    </row>
    <row r="152" spans="1:11" ht="12.75" customHeight="1">
      <c r="A152" s="3675" t="s">
        <v>4928</v>
      </c>
      <c r="B152" s="3635">
        <v>525</v>
      </c>
      <c r="C152" s="3651">
        <v>41863</v>
      </c>
      <c r="D152" s="3651">
        <v>49655</v>
      </c>
      <c r="E152" s="3651">
        <v>49655</v>
      </c>
      <c r="F152" s="3582"/>
      <c r="G152" s="3895"/>
      <c r="H152" s="3582"/>
      <c r="I152" s="3582"/>
      <c r="J152" s="3582"/>
      <c r="K152" s="3582"/>
    </row>
    <row r="153" spans="1:11" ht="12.75" customHeight="1">
      <c r="A153" s="3675" t="s">
        <v>4702</v>
      </c>
      <c r="B153" s="3678">
        <v>530</v>
      </c>
      <c r="C153" s="3642">
        <v>17189</v>
      </c>
      <c r="D153" s="3642">
        <v>17675</v>
      </c>
      <c r="E153" s="3642">
        <v>17675</v>
      </c>
      <c r="F153" s="3582"/>
      <c r="G153" s="3895"/>
      <c r="H153" s="3582"/>
      <c r="I153" s="3582"/>
      <c r="J153" s="3582"/>
      <c r="K153" s="3582"/>
    </row>
    <row r="154" spans="1:11" ht="12.75" customHeight="1">
      <c r="A154" s="3675" t="s">
        <v>4703</v>
      </c>
      <c r="B154" s="3678">
        <v>535</v>
      </c>
      <c r="C154" s="3642">
        <v>8435</v>
      </c>
      <c r="D154" s="3642">
        <v>12701</v>
      </c>
      <c r="E154" s="3642">
        <v>12701</v>
      </c>
      <c r="F154" s="3582"/>
      <c r="G154" s="3895"/>
      <c r="H154" s="3582"/>
      <c r="I154" s="3582"/>
      <c r="J154" s="3582"/>
      <c r="K154" s="3582"/>
    </row>
    <row r="155" spans="1:11" ht="12.75" customHeight="1">
      <c r="A155" s="3645" t="s">
        <v>5164</v>
      </c>
      <c r="B155" s="3678">
        <v>540</v>
      </c>
      <c r="C155" s="3642"/>
      <c r="D155" s="3642"/>
      <c r="E155" s="3642"/>
      <c r="F155" s="3582"/>
      <c r="G155" s="3895"/>
      <c r="H155" s="3582"/>
      <c r="I155" s="3582"/>
      <c r="J155" s="3582"/>
      <c r="K155" s="3582"/>
    </row>
    <row r="156" spans="1:11" ht="12.75" customHeight="1">
      <c r="A156" s="3650" t="s">
        <v>4704</v>
      </c>
      <c r="B156" s="2096"/>
      <c r="C156" s="3682"/>
      <c r="D156" s="3682"/>
      <c r="E156" s="3682"/>
      <c r="F156" s="3582"/>
      <c r="G156" s="3895"/>
      <c r="H156" s="3582"/>
      <c r="I156" s="3582"/>
      <c r="J156" s="3582"/>
      <c r="K156" s="3582"/>
    </row>
    <row r="157" spans="1:11" ht="12.75" customHeight="1">
      <c r="A157" s="3675" t="s">
        <v>4720</v>
      </c>
      <c r="B157" s="3635">
        <v>545</v>
      </c>
      <c r="C157" s="3651"/>
      <c r="D157" s="3651"/>
      <c r="E157" s="3651"/>
      <c r="F157" s="3582"/>
      <c r="G157" s="3895"/>
      <c r="H157" s="3582"/>
      <c r="I157" s="3582"/>
      <c r="J157" s="3582"/>
      <c r="K157" s="3582"/>
    </row>
    <row r="158" spans="1:11" ht="12.75" customHeight="1">
      <c r="A158" s="3675" t="s">
        <v>4721</v>
      </c>
      <c r="B158" s="3678">
        <v>550</v>
      </c>
      <c r="C158" s="3642"/>
      <c r="D158" s="3642"/>
      <c r="E158" s="3642"/>
      <c r="F158" s="3582"/>
      <c r="G158" s="3895"/>
      <c r="H158" s="3582"/>
      <c r="I158" s="3582"/>
      <c r="J158" s="3582"/>
      <c r="K158" s="3582"/>
    </row>
    <row r="159" spans="1:11" ht="12.75" customHeight="1">
      <c r="A159" s="3675" t="s">
        <v>4722</v>
      </c>
      <c r="B159" s="3678">
        <v>555</v>
      </c>
      <c r="C159" s="3642"/>
      <c r="D159" s="3642"/>
      <c r="E159" s="3642"/>
      <c r="F159" s="3582"/>
      <c r="G159" s="3895"/>
      <c r="H159" s="3582"/>
      <c r="I159" s="3582"/>
      <c r="J159" s="3582"/>
      <c r="K159" s="3582"/>
    </row>
    <row r="160" spans="1:11" ht="12.75" customHeight="1">
      <c r="A160" s="3675" t="s">
        <v>4723</v>
      </c>
      <c r="B160" s="3678">
        <v>560</v>
      </c>
      <c r="C160" s="3642"/>
      <c r="D160" s="3642"/>
      <c r="E160" s="3642"/>
      <c r="F160" s="3582"/>
      <c r="G160" s="3895"/>
      <c r="H160" s="3582"/>
      <c r="I160" s="3582"/>
      <c r="J160" s="3582"/>
      <c r="K160" s="3582"/>
    </row>
    <row r="161" spans="1:11" ht="12.75" customHeight="1">
      <c r="A161" s="3675" t="s">
        <v>4724</v>
      </c>
      <c r="B161" s="3678">
        <v>565</v>
      </c>
      <c r="C161" s="3642"/>
      <c r="D161" s="3642">
        <v>2093</v>
      </c>
      <c r="E161" s="3642">
        <v>2093</v>
      </c>
      <c r="F161" s="3582"/>
      <c r="G161" s="3895"/>
      <c r="H161" s="3582"/>
      <c r="I161" s="3582"/>
      <c r="J161" s="3582"/>
      <c r="K161" s="3582"/>
    </row>
    <row r="162" spans="1:11" ht="12.75" customHeight="1">
      <c r="A162" s="3675" t="s">
        <v>4725</v>
      </c>
      <c r="B162" s="3678">
        <v>570</v>
      </c>
      <c r="C162" s="3642">
        <v>15354</v>
      </c>
      <c r="D162" s="3642">
        <v>15479</v>
      </c>
      <c r="E162" s="3642">
        <v>15479</v>
      </c>
      <c r="F162" s="3582"/>
      <c r="G162" s="3895"/>
      <c r="H162" s="3582"/>
      <c r="I162" s="3582"/>
      <c r="J162" s="3582"/>
      <c r="K162" s="3582"/>
    </row>
    <row r="163" spans="1:11" ht="12.75" customHeight="1">
      <c r="A163" s="3640" t="s">
        <v>4705</v>
      </c>
      <c r="B163" s="3610"/>
      <c r="C163" s="3681"/>
      <c r="D163" s="3681"/>
      <c r="E163" s="3681"/>
      <c r="F163" s="3582"/>
      <c r="G163" s="3895"/>
      <c r="H163" s="3582"/>
      <c r="I163" s="3582"/>
      <c r="J163" s="3582"/>
      <c r="K163" s="3582"/>
    </row>
    <row r="164" spans="1:11" ht="12.75" customHeight="1">
      <c r="A164" s="3675" t="s">
        <v>4717</v>
      </c>
      <c r="B164" s="3635">
        <v>575</v>
      </c>
      <c r="C164" s="3651">
        <v>134309</v>
      </c>
      <c r="D164" s="3651">
        <v>71257</v>
      </c>
      <c r="E164" s="3651">
        <v>103595</v>
      </c>
      <c r="F164" s="3582"/>
      <c r="G164" s="3895"/>
      <c r="H164" s="3582"/>
      <c r="I164" s="3582"/>
      <c r="J164" s="3582"/>
      <c r="K164" s="3582"/>
    </row>
    <row r="165" spans="1:11" ht="12.75" customHeight="1">
      <c r="A165" s="3675" t="s">
        <v>4707</v>
      </c>
      <c r="B165" s="3678">
        <v>580</v>
      </c>
      <c r="C165" s="3642"/>
      <c r="D165" s="3642"/>
      <c r="E165" s="3642"/>
      <c r="F165" s="3582"/>
      <c r="G165" s="3895"/>
      <c r="H165" s="3582"/>
      <c r="I165" s="3582"/>
      <c r="J165" s="3582"/>
      <c r="K165" s="3582"/>
    </row>
    <row r="166" spans="1:11" ht="12.75" customHeight="1">
      <c r="A166" s="3640" t="s">
        <v>4708</v>
      </c>
      <c r="B166" s="3610"/>
      <c r="C166" s="3681"/>
      <c r="D166" s="3681"/>
      <c r="E166" s="3681"/>
      <c r="F166" s="3582"/>
      <c r="G166" s="3895"/>
      <c r="H166" s="3582"/>
      <c r="I166" s="3582"/>
      <c r="J166" s="3582"/>
      <c r="K166" s="3582"/>
    </row>
    <row r="167" spans="1:11" ht="12.75" customHeight="1">
      <c r="A167" s="3675" t="s">
        <v>4726</v>
      </c>
      <c r="B167" s="3635">
        <v>585</v>
      </c>
      <c r="C167" s="3651"/>
      <c r="D167" s="3651"/>
      <c r="E167" s="3651"/>
      <c r="F167" s="3582"/>
      <c r="G167" s="3895"/>
      <c r="H167" s="3582"/>
      <c r="I167" s="3582"/>
      <c r="J167" s="3582"/>
      <c r="K167" s="3582"/>
    </row>
    <row r="168" spans="1:11" ht="12.75" customHeight="1">
      <c r="A168" s="3647" t="s">
        <v>4727</v>
      </c>
      <c r="B168" s="3610"/>
      <c r="C168" s="3681"/>
      <c r="D168" s="3681"/>
      <c r="E168" s="3681"/>
      <c r="F168" s="3582"/>
      <c r="G168" s="3895"/>
      <c r="H168" s="3582"/>
      <c r="I168" s="3582"/>
      <c r="J168" s="3582"/>
      <c r="K168" s="3582"/>
    </row>
    <row r="169" spans="1:11" ht="12.75" customHeight="1">
      <c r="A169" s="3669" t="s">
        <v>4728</v>
      </c>
      <c r="B169" s="3635">
        <v>590</v>
      </c>
      <c r="C169" s="3651"/>
      <c r="D169" s="3651"/>
      <c r="E169" s="3651"/>
      <c r="F169" s="3582"/>
      <c r="G169" s="3895"/>
      <c r="H169" s="3582"/>
      <c r="I169" s="3582"/>
      <c r="J169" s="3582"/>
      <c r="K169" s="3582"/>
    </row>
    <row r="170" spans="1:11" ht="12.75" customHeight="1">
      <c r="A170" s="3669" t="s">
        <v>4729</v>
      </c>
      <c r="B170" s="3678">
        <v>595</v>
      </c>
      <c r="C170" s="3642"/>
      <c r="D170" s="3642"/>
      <c r="E170" s="3642"/>
      <c r="F170" s="3582"/>
      <c r="G170" s="3895"/>
      <c r="H170" s="3582"/>
      <c r="I170" s="3582"/>
      <c r="J170" s="3582"/>
      <c r="K170" s="3582"/>
    </row>
    <row r="171" spans="1:11" ht="12.75" customHeight="1">
      <c r="A171" s="3669" t="s">
        <v>4933</v>
      </c>
      <c r="B171" s="3678">
        <v>600</v>
      </c>
      <c r="C171" s="3642"/>
      <c r="D171" s="3642"/>
      <c r="E171" s="3642"/>
      <c r="F171" s="3582"/>
      <c r="G171" s="3895"/>
      <c r="H171" s="3582"/>
      <c r="I171" s="3582"/>
      <c r="J171" s="3582"/>
      <c r="K171" s="3582"/>
    </row>
    <row r="172" spans="1:11" ht="12.75" customHeight="1">
      <c r="A172" s="3669" t="s">
        <v>4730</v>
      </c>
      <c r="B172" s="3678">
        <v>605</v>
      </c>
      <c r="C172" s="3642">
        <v>20843</v>
      </c>
      <c r="D172" s="3642">
        <v>21826</v>
      </c>
      <c r="E172" s="3642">
        <v>21826</v>
      </c>
      <c r="F172" s="3582"/>
      <c r="G172" s="3895"/>
      <c r="H172" s="3582"/>
      <c r="I172" s="3582"/>
      <c r="J172" s="3582"/>
      <c r="K172" s="3582"/>
    </row>
    <row r="173" spans="1:11" ht="12.75" customHeight="1">
      <c r="A173" s="3675" t="s">
        <v>4710</v>
      </c>
      <c r="B173" s="3678">
        <v>610</v>
      </c>
      <c r="C173" s="3642">
        <v>37465</v>
      </c>
      <c r="D173" s="3642">
        <v>39510</v>
      </c>
      <c r="E173" s="3642">
        <v>39264</v>
      </c>
      <c r="F173" s="3582"/>
      <c r="G173" s="3895"/>
      <c r="H173" s="3582"/>
      <c r="I173" s="3582"/>
      <c r="J173" s="3582"/>
      <c r="K173" s="3582"/>
    </row>
    <row r="174" spans="1:11" ht="12.75" customHeight="1">
      <c r="A174" s="3676" t="s">
        <v>4931</v>
      </c>
      <c r="B174" s="3678">
        <v>615</v>
      </c>
      <c r="C174" s="3642"/>
      <c r="D174" s="3642"/>
      <c r="E174" s="3642"/>
      <c r="F174" s="3582"/>
      <c r="G174" s="3895"/>
      <c r="H174" s="3582"/>
      <c r="I174" s="3582"/>
      <c r="J174" s="3582"/>
      <c r="K174" s="3582"/>
    </row>
    <row r="175" spans="1:11" ht="12.75" customHeight="1">
      <c r="A175" s="3676" t="s">
        <v>4711</v>
      </c>
      <c r="B175" s="3678">
        <v>620</v>
      </c>
      <c r="C175" s="3642"/>
      <c r="D175" s="3642"/>
      <c r="E175" s="3642"/>
      <c r="F175" s="3582"/>
      <c r="G175" s="3895"/>
      <c r="H175" s="3582"/>
      <c r="I175" s="3582"/>
      <c r="J175" s="3582"/>
      <c r="K175" s="3582"/>
    </row>
    <row r="176" spans="1:11" ht="12.75" customHeight="1">
      <c r="A176" s="3648" t="s">
        <v>4934</v>
      </c>
      <c r="B176" s="3610"/>
      <c r="C176" s="3681"/>
      <c r="D176" s="3681"/>
      <c r="E176" s="3681"/>
      <c r="F176" s="3582"/>
      <c r="G176" s="3895"/>
      <c r="H176" s="3582"/>
      <c r="I176" s="3582"/>
      <c r="J176" s="3582"/>
      <c r="K176" s="3582"/>
    </row>
    <row r="177" spans="1:11" ht="12.75" customHeight="1">
      <c r="A177" s="3650" t="s">
        <v>4699</v>
      </c>
      <c r="B177" s="2096"/>
      <c r="C177" s="3682"/>
      <c r="D177" s="3682"/>
      <c r="E177" s="3682"/>
      <c r="F177" s="3582"/>
      <c r="G177" s="3895"/>
      <c r="H177" s="3582"/>
      <c r="I177" s="3582"/>
      <c r="J177" s="3582"/>
      <c r="K177" s="3582"/>
    </row>
    <row r="178" spans="1:11" ht="12.75" customHeight="1">
      <c r="A178" s="3675" t="s">
        <v>4763</v>
      </c>
      <c r="B178" s="3635">
        <v>622</v>
      </c>
      <c r="C178" s="3651"/>
      <c r="D178" s="3651"/>
      <c r="E178" s="3651"/>
      <c r="F178" s="3582"/>
      <c r="G178" s="3895"/>
      <c r="H178" s="3582"/>
      <c r="I178" s="3582"/>
      <c r="J178" s="3582"/>
      <c r="K178" s="3582"/>
    </row>
    <row r="179" spans="1:11" ht="12.75" customHeight="1">
      <c r="A179" s="3650" t="s">
        <v>4701</v>
      </c>
      <c r="B179" s="3610"/>
      <c r="C179" s="3681"/>
      <c r="D179" s="3681"/>
      <c r="E179" s="3681"/>
      <c r="F179" s="3582"/>
      <c r="G179" s="3895"/>
      <c r="H179" s="3582"/>
      <c r="I179" s="3582"/>
      <c r="J179" s="3582"/>
      <c r="K179" s="3582"/>
    </row>
    <row r="180" spans="1:11" ht="12.75" customHeight="1">
      <c r="A180" s="3675" t="s">
        <v>4928</v>
      </c>
      <c r="B180" s="3635">
        <v>623</v>
      </c>
      <c r="C180" s="3689"/>
      <c r="D180" s="3689"/>
      <c r="E180" s="3651"/>
      <c r="F180" s="3582"/>
      <c r="G180" s="3895"/>
      <c r="H180" s="3582"/>
      <c r="I180" s="3582"/>
      <c r="J180" s="3582"/>
      <c r="K180" s="3582"/>
    </row>
    <row r="181" spans="1:11" ht="12.75" customHeight="1">
      <c r="A181" s="3675" t="s">
        <v>4702</v>
      </c>
      <c r="B181" s="3678">
        <v>626</v>
      </c>
      <c r="C181" s="3642"/>
      <c r="D181" s="3642"/>
      <c r="E181" s="3642"/>
      <c r="F181" s="3582"/>
      <c r="G181" s="3895"/>
      <c r="H181" s="3582"/>
      <c r="I181" s="3582"/>
      <c r="J181" s="3582"/>
      <c r="K181" s="3582"/>
    </row>
    <row r="182" spans="1:11" ht="12.75" customHeight="1">
      <c r="A182" s="3675" t="s">
        <v>4703</v>
      </c>
      <c r="B182" s="3678">
        <v>628</v>
      </c>
      <c r="C182" s="3642"/>
      <c r="D182" s="3642"/>
      <c r="E182" s="3642"/>
      <c r="F182" s="3582"/>
      <c r="G182" s="3895"/>
      <c r="H182" s="3582"/>
      <c r="I182" s="3582"/>
      <c r="J182" s="3582"/>
      <c r="K182" s="3582"/>
    </row>
    <row r="183" spans="1:11" ht="12.75" customHeight="1">
      <c r="A183" s="3645" t="s">
        <v>5164</v>
      </c>
      <c r="B183" s="3678">
        <v>630</v>
      </c>
      <c r="C183" s="3642"/>
      <c r="D183" s="3642"/>
      <c r="E183" s="3651"/>
      <c r="F183" s="3582"/>
      <c r="G183" s="3895"/>
      <c r="H183" s="3582"/>
      <c r="I183" s="3582"/>
      <c r="J183" s="3582"/>
      <c r="K183" s="3582"/>
    </row>
    <row r="184" spans="1:11" ht="12.75" customHeight="1">
      <c r="A184" s="3676" t="s">
        <v>4704</v>
      </c>
      <c r="B184" s="3633">
        <v>632</v>
      </c>
      <c r="C184" s="3642"/>
      <c r="D184" s="3642"/>
      <c r="E184" s="3683"/>
      <c r="F184" s="3582"/>
      <c r="G184" s="3895"/>
      <c r="H184" s="3582"/>
      <c r="I184" s="3582"/>
      <c r="J184" s="3582"/>
      <c r="K184" s="3582"/>
    </row>
    <row r="185" spans="1:11" ht="12.75" customHeight="1">
      <c r="A185" s="3676" t="s">
        <v>4705</v>
      </c>
      <c r="B185" s="3678">
        <v>634</v>
      </c>
      <c r="C185" s="3642"/>
      <c r="D185" s="3642"/>
      <c r="E185" s="3642"/>
      <c r="F185" s="3582"/>
      <c r="G185" s="3895"/>
      <c r="H185" s="3582"/>
      <c r="I185" s="3582"/>
      <c r="J185" s="3582"/>
      <c r="K185" s="3582"/>
    </row>
    <row r="186" spans="1:11" ht="12.75" customHeight="1">
      <c r="A186" s="3650" t="s">
        <v>4708</v>
      </c>
      <c r="B186" s="2096"/>
      <c r="C186" s="3682"/>
      <c r="D186" s="3682"/>
      <c r="E186" s="3682"/>
      <c r="F186" s="3582"/>
      <c r="G186" s="3895"/>
      <c r="H186" s="3582"/>
      <c r="I186" s="3582"/>
      <c r="J186" s="3582"/>
      <c r="K186" s="3582"/>
    </row>
    <row r="187" spans="1:11" ht="12.75" customHeight="1">
      <c r="A187" s="3675" t="s">
        <v>4726</v>
      </c>
      <c r="B187" s="3635">
        <v>636</v>
      </c>
      <c r="C187" s="3651"/>
      <c r="D187" s="3651"/>
      <c r="E187" s="3651"/>
      <c r="F187" s="3582"/>
      <c r="G187" s="3895"/>
      <c r="H187" s="3582"/>
      <c r="I187" s="3582"/>
      <c r="J187" s="3582"/>
      <c r="K187" s="3582"/>
    </row>
    <row r="188" spans="1:11" ht="12.75" customHeight="1">
      <c r="A188" s="3647" t="s">
        <v>4727</v>
      </c>
      <c r="B188" s="3610"/>
      <c r="C188" s="3681"/>
      <c r="D188" s="3681"/>
      <c r="E188" s="3681"/>
      <c r="F188" s="3641"/>
      <c r="G188" s="3895"/>
      <c r="H188" s="3582"/>
      <c r="I188" s="3582"/>
      <c r="J188" s="3582"/>
      <c r="K188" s="3582"/>
    </row>
    <row r="189" spans="1:11" ht="12.75" customHeight="1">
      <c r="A189" s="3669" t="s">
        <v>4728</v>
      </c>
      <c r="B189" s="3635">
        <v>638</v>
      </c>
      <c r="C189" s="3689"/>
      <c r="D189" s="3689"/>
      <c r="E189" s="3651"/>
      <c r="F189" s="3582"/>
      <c r="G189" s="3895"/>
      <c r="H189" s="3582"/>
      <c r="I189" s="3582"/>
      <c r="J189" s="3582"/>
      <c r="K189" s="3582"/>
    </row>
    <row r="190" spans="1:11" ht="12.75" customHeight="1">
      <c r="A190" s="3669" t="s">
        <v>4729</v>
      </c>
      <c r="B190" s="3678">
        <v>640</v>
      </c>
      <c r="C190" s="3642"/>
      <c r="D190" s="3642"/>
      <c r="E190" s="3642"/>
      <c r="F190" s="3582"/>
      <c r="G190" s="3895"/>
      <c r="H190" s="3582"/>
      <c r="I190" s="3582"/>
      <c r="J190" s="3582"/>
      <c r="K190" s="3582"/>
    </row>
    <row r="191" spans="1:11" ht="12.75" customHeight="1">
      <c r="A191" s="3669" t="s">
        <v>4933</v>
      </c>
      <c r="B191" s="3678">
        <v>642</v>
      </c>
      <c r="C191" s="3642"/>
      <c r="D191" s="3642"/>
      <c r="E191" s="3642"/>
      <c r="F191" s="3582"/>
      <c r="G191" s="3895"/>
      <c r="H191" s="3582"/>
      <c r="I191" s="3582"/>
      <c r="J191" s="3582"/>
      <c r="K191" s="3582"/>
    </row>
    <row r="192" spans="1:11" ht="12.75" customHeight="1">
      <c r="A192" s="3669" t="s">
        <v>4730</v>
      </c>
      <c r="B192" s="3678">
        <v>644</v>
      </c>
      <c r="C192" s="3642">
        <v>1233</v>
      </c>
      <c r="D192" s="3642">
        <v>897</v>
      </c>
      <c r="E192" s="3642">
        <v>897</v>
      </c>
      <c r="F192" s="3582"/>
      <c r="G192" s="3895"/>
      <c r="H192" s="3582"/>
      <c r="I192" s="3582"/>
      <c r="J192" s="3582"/>
      <c r="K192" s="3582"/>
    </row>
    <row r="193" spans="1:11" ht="12.75" customHeight="1">
      <c r="A193" s="3672" t="s">
        <v>4710</v>
      </c>
      <c r="B193" s="3678">
        <v>646</v>
      </c>
      <c r="C193" s="3642"/>
      <c r="D193" s="3642"/>
      <c r="E193" s="3642"/>
      <c r="F193" s="3582"/>
      <c r="G193" s="3895"/>
      <c r="H193" s="3582"/>
      <c r="I193" s="3582"/>
      <c r="J193" s="3582"/>
      <c r="K193" s="3582"/>
    </row>
    <row r="194" spans="1:11" ht="12.75" customHeight="1">
      <c r="A194" s="3677" t="s">
        <v>4931</v>
      </c>
      <c r="B194" s="3635">
        <v>648</v>
      </c>
      <c r="C194" s="3651"/>
      <c r="D194" s="3651"/>
      <c r="E194" s="3651"/>
      <c r="F194" s="3582"/>
      <c r="G194" s="3895"/>
      <c r="H194" s="3582"/>
      <c r="I194" s="3582"/>
      <c r="J194" s="3582"/>
      <c r="K194" s="3582"/>
    </row>
    <row r="195" spans="1:11" ht="12.75" customHeight="1">
      <c r="A195" s="3676" t="s">
        <v>4711</v>
      </c>
      <c r="B195" s="3678">
        <v>650</v>
      </c>
      <c r="C195" s="3642"/>
      <c r="D195" s="3642"/>
      <c r="E195" s="3642"/>
      <c r="F195" s="3582"/>
      <c r="G195" s="3895"/>
      <c r="H195" s="3582"/>
      <c r="I195" s="3582"/>
      <c r="J195" s="3582"/>
      <c r="K195" s="3582"/>
    </row>
    <row r="196" spans="1:11" ht="12.75" customHeight="1">
      <c r="A196" s="3605" t="s">
        <v>1027</v>
      </c>
      <c r="B196" s="3690"/>
      <c r="C196" s="3691"/>
      <c r="D196" s="3691"/>
      <c r="E196" s="3691"/>
      <c r="F196" s="3582"/>
      <c r="G196" s="3895"/>
      <c r="H196" s="3582"/>
      <c r="I196" s="3582"/>
      <c r="J196" s="3582"/>
      <c r="K196" s="3582"/>
    </row>
    <row r="197" spans="1:11" ht="12.75" customHeight="1">
      <c r="A197" s="3653" t="s">
        <v>4731</v>
      </c>
      <c r="B197" s="3692"/>
      <c r="C197" s="2890"/>
      <c r="D197" s="2890"/>
      <c r="E197" s="2890"/>
      <c r="F197" s="3582"/>
      <c r="G197" s="3895"/>
      <c r="H197" s="3582"/>
      <c r="I197" s="3582"/>
      <c r="J197" s="3582"/>
      <c r="K197" s="3582"/>
    </row>
    <row r="198" spans="1:11" ht="12.75" customHeight="1">
      <c r="A198" s="3650" t="s">
        <v>4699</v>
      </c>
      <c r="B198" s="3692"/>
      <c r="C198" s="2890"/>
      <c r="D198" s="2890"/>
      <c r="E198" s="2890"/>
      <c r="F198" s="3582"/>
      <c r="G198" s="3895"/>
      <c r="H198" s="3582"/>
      <c r="I198" s="3582"/>
      <c r="J198" s="3582"/>
      <c r="K198" s="3582"/>
    </row>
    <row r="199" spans="1:11" ht="12.75" customHeight="1">
      <c r="A199" s="3674" t="s">
        <v>4763</v>
      </c>
      <c r="B199" s="2902">
        <v>652</v>
      </c>
      <c r="C199" s="3654">
        <v>112547</v>
      </c>
      <c r="D199" s="3654">
        <v>105876</v>
      </c>
      <c r="E199" s="3654">
        <v>105876</v>
      </c>
      <c r="F199" s="3582"/>
      <c r="G199" s="3895"/>
      <c r="H199" s="3582"/>
      <c r="I199" s="3582"/>
      <c r="J199" s="3582"/>
      <c r="K199" s="3582"/>
    </row>
    <row r="200" spans="1:11" ht="12.75" customHeight="1">
      <c r="A200" s="3650" t="s">
        <v>4701</v>
      </c>
      <c r="B200" s="3693"/>
      <c r="C200" s="3691"/>
      <c r="D200" s="3691"/>
      <c r="E200" s="3691"/>
      <c r="F200" s="3582"/>
      <c r="G200" s="3895"/>
      <c r="H200" s="3582"/>
      <c r="I200" s="3582"/>
      <c r="J200" s="3582"/>
      <c r="K200" s="3582"/>
    </row>
    <row r="201" spans="1:11" ht="12.75" customHeight="1">
      <c r="A201" s="3674" t="s">
        <v>4719</v>
      </c>
      <c r="B201" s="3694">
        <v>654</v>
      </c>
      <c r="C201" s="3695">
        <v>3725</v>
      </c>
      <c r="D201" s="3695">
        <v>5598</v>
      </c>
      <c r="E201" s="3654">
        <v>5598</v>
      </c>
      <c r="F201" s="3582"/>
      <c r="G201" s="3895"/>
      <c r="H201" s="3582"/>
      <c r="I201" s="3582"/>
      <c r="J201" s="3582"/>
      <c r="K201" s="3582"/>
    </row>
    <row r="202" spans="1:11" ht="12.75" customHeight="1">
      <c r="A202" s="3675" t="s">
        <v>4702</v>
      </c>
      <c r="B202" s="2902">
        <v>656</v>
      </c>
      <c r="C202" s="3652">
        <v>11461</v>
      </c>
      <c r="D202" s="3652">
        <v>10706</v>
      </c>
      <c r="E202" s="3654">
        <v>10706</v>
      </c>
      <c r="F202" s="3582"/>
      <c r="G202" s="3895"/>
      <c r="H202" s="3582"/>
      <c r="I202" s="3582"/>
      <c r="J202" s="3582"/>
      <c r="K202" s="3582"/>
    </row>
    <row r="203" spans="1:11" ht="12.75" customHeight="1">
      <c r="A203" s="3675" t="s">
        <v>4703</v>
      </c>
      <c r="B203" s="3696">
        <v>658</v>
      </c>
      <c r="C203" s="3652"/>
      <c r="D203" s="3652"/>
      <c r="E203" s="3652"/>
      <c r="F203" s="3582"/>
      <c r="G203" s="3895"/>
      <c r="H203" s="3582"/>
      <c r="I203" s="3582"/>
      <c r="J203" s="3582"/>
      <c r="K203" s="3582"/>
    </row>
    <row r="204" spans="1:11" ht="12.75" customHeight="1">
      <c r="A204" s="3676" t="s">
        <v>4708</v>
      </c>
      <c r="B204" s="3696">
        <v>660</v>
      </c>
      <c r="C204" s="3652">
        <v>525</v>
      </c>
      <c r="D204" s="3652"/>
      <c r="E204" s="3652"/>
      <c r="F204" s="3582"/>
      <c r="G204" s="3895"/>
      <c r="H204" s="3582"/>
      <c r="I204" s="3582"/>
      <c r="J204" s="3582"/>
      <c r="K204" s="3582"/>
    </row>
    <row r="205" spans="1:11" ht="12.75" customHeight="1">
      <c r="A205" s="3676" t="s">
        <v>4732</v>
      </c>
      <c r="B205" s="2902">
        <v>662</v>
      </c>
      <c r="C205" s="3652"/>
      <c r="D205" s="3652"/>
      <c r="E205" s="3654"/>
      <c r="F205" s="3582"/>
      <c r="G205" s="3895"/>
      <c r="H205" s="3582"/>
      <c r="I205" s="3582"/>
      <c r="J205" s="3582"/>
      <c r="K205" s="3582"/>
    </row>
    <row r="206" spans="1:11" ht="12.75" customHeight="1">
      <c r="A206" s="3676" t="s">
        <v>4711</v>
      </c>
      <c r="B206" s="3696">
        <v>664</v>
      </c>
      <c r="C206" s="3652">
        <v>3503</v>
      </c>
      <c r="D206" s="3652">
        <v>5336</v>
      </c>
      <c r="E206" s="3652">
        <v>5217</v>
      </c>
      <c r="F206" s="3582"/>
      <c r="G206" s="3895"/>
      <c r="H206" s="3582"/>
      <c r="I206" s="3582"/>
      <c r="J206" s="3582"/>
      <c r="K206" s="3582"/>
    </row>
    <row r="207" spans="1:11" ht="12.75" customHeight="1">
      <c r="A207" s="3648" t="s">
        <v>689</v>
      </c>
      <c r="B207" s="3690"/>
      <c r="C207" s="3691"/>
      <c r="D207" s="3691"/>
      <c r="E207" s="3691"/>
      <c r="F207" s="3582"/>
      <c r="G207" s="3895"/>
      <c r="H207" s="3582"/>
      <c r="I207" s="3582"/>
      <c r="J207" s="3582"/>
      <c r="K207" s="3582"/>
    </row>
    <row r="208" spans="1:11" ht="12.75" customHeight="1">
      <c r="A208" s="3650" t="s">
        <v>4699</v>
      </c>
      <c r="B208" s="3692"/>
      <c r="C208" s="2890"/>
      <c r="D208" s="2890"/>
      <c r="E208" s="2890"/>
      <c r="F208" s="3582"/>
      <c r="G208" s="3895"/>
      <c r="H208" s="3582"/>
      <c r="I208" s="3582"/>
      <c r="J208" s="3582"/>
      <c r="K208" s="3582"/>
    </row>
    <row r="209" spans="1:11" ht="12.75" customHeight="1">
      <c r="A209" s="3674" t="s">
        <v>4763</v>
      </c>
      <c r="B209" s="2902">
        <v>666</v>
      </c>
      <c r="C209" s="3654"/>
      <c r="D209" s="3654"/>
      <c r="E209" s="3654"/>
      <c r="F209" s="3582"/>
      <c r="G209" s="3895"/>
      <c r="H209" s="3582"/>
      <c r="I209" s="3582"/>
      <c r="J209" s="3582"/>
      <c r="K209" s="3582"/>
    </row>
    <row r="210" spans="1:11" ht="12.75" customHeight="1">
      <c r="A210" s="3650" t="s">
        <v>4701</v>
      </c>
      <c r="B210" s="3690"/>
      <c r="C210" s="3691"/>
      <c r="D210" s="3691"/>
      <c r="E210" s="3691"/>
      <c r="F210" s="3582"/>
      <c r="G210" s="3895"/>
      <c r="H210" s="3582"/>
      <c r="I210" s="3582"/>
      <c r="J210" s="3582"/>
      <c r="K210" s="3582"/>
    </row>
    <row r="211" spans="1:11" ht="12.75" customHeight="1">
      <c r="A211" s="3674" t="s">
        <v>4719</v>
      </c>
      <c r="B211" s="2902">
        <v>668</v>
      </c>
      <c r="C211" s="3695"/>
      <c r="D211" s="3695"/>
      <c r="E211" s="3654"/>
      <c r="F211" s="3582"/>
      <c r="G211" s="3895"/>
      <c r="H211" s="3582"/>
      <c r="I211" s="3582"/>
      <c r="J211" s="3582"/>
      <c r="K211" s="3582"/>
    </row>
    <row r="212" spans="1:11" ht="12.75" customHeight="1">
      <c r="A212" s="3675" t="s">
        <v>4702</v>
      </c>
      <c r="B212" s="3696">
        <v>670</v>
      </c>
      <c r="C212" s="3652"/>
      <c r="D212" s="3652"/>
      <c r="E212" s="3652"/>
      <c r="F212" s="3582"/>
      <c r="G212" s="3895"/>
      <c r="H212" s="3582"/>
      <c r="I212" s="3582"/>
      <c r="J212" s="3582"/>
      <c r="K212" s="3582"/>
    </row>
    <row r="213" spans="1:11" ht="12.75" customHeight="1">
      <c r="A213" s="3675" t="s">
        <v>4703</v>
      </c>
      <c r="B213" s="2902">
        <v>672</v>
      </c>
      <c r="C213" s="3652"/>
      <c r="D213" s="3652"/>
      <c r="E213" s="3654"/>
      <c r="F213" s="3582"/>
      <c r="G213" s="3895"/>
      <c r="H213" s="3582"/>
      <c r="I213" s="3582"/>
      <c r="J213" s="3582"/>
      <c r="K213" s="3582"/>
    </row>
    <row r="214" spans="1:11" ht="12.75" customHeight="1">
      <c r="A214" s="3676" t="s">
        <v>4935</v>
      </c>
      <c r="B214" s="3696">
        <v>674</v>
      </c>
      <c r="C214" s="3652"/>
      <c r="D214" s="3652"/>
      <c r="E214" s="3652"/>
      <c r="F214" s="3582"/>
      <c r="G214" s="3895"/>
      <c r="H214" s="3582"/>
      <c r="I214" s="3582"/>
      <c r="J214" s="3582"/>
      <c r="K214" s="3582"/>
    </row>
    <row r="215" spans="1:11" ht="12.75" customHeight="1">
      <c r="A215" s="3650" t="s">
        <v>4705</v>
      </c>
      <c r="B215" s="3690"/>
      <c r="C215" s="3691"/>
      <c r="D215" s="3691"/>
      <c r="E215" s="3691"/>
      <c r="F215" s="3582"/>
      <c r="G215" s="3895"/>
      <c r="H215" s="3582"/>
      <c r="I215" s="3582"/>
      <c r="J215" s="3582"/>
      <c r="K215" s="3582"/>
    </row>
    <row r="216" spans="1:11" ht="12.75" customHeight="1">
      <c r="A216" s="3674" t="s">
        <v>4733</v>
      </c>
      <c r="B216" s="2902">
        <v>676</v>
      </c>
      <c r="C216" s="3695"/>
      <c r="D216" s="3695"/>
      <c r="E216" s="3654"/>
      <c r="F216" s="3582"/>
      <c r="G216" s="3895"/>
      <c r="H216" s="3582"/>
      <c r="I216" s="3582"/>
      <c r="J216" s="3582"/>
      <c r="K216" s="3582"/>
    </row>
    <row r="217" spans="1:11" ht="12.75" customHeight="1">
      <c r="A217" s="3675" t="s">
        <v>4734</v>
      </c>
      <c r="B217" s="3696">
        <v>678</v>
      </c>
      <c r="C217" s="3652"/>
      <c r="D217" s="3652"/>
      <c r="E217" s="3652"/>
      <c r="F217" s="3582"/>
      <c r="G217" s="3895"/>
      <c r="H217" s="3582"/>
      <c r="I217" s="3582"/>
      <c r="J217" s="3582"/>
      <c r="K217" s="3582"/>
    </row>
    <row r="218" spans="1:11" ht="12.75" customHeight="1">
      <c r="A218" s="3675" t="s">
        <v>4717</v>
      </c>
      <c r="B218" s="3696">
        <v>680</v>
      </c>
      <c r="C218" s="3652">
        <v>18446</v>
      </c>
      <c r="D218" s="3652">
        <v>14184</v>
      </c>
      <c r="E218" s="3652">
        <v>18943</v>
      </c>
      <c r="F218" s="3582"/>
      <c r="G218" s="3895"/>
      <c r="H218" s="3582"/>
      <c r="I218" s="3582"/>
      <c r="J218" s="3582"/>
      <c r="K218" s="3582"/>
    </row>
    <row r="219" spans="1:11" ht="12.75" customHeight="1">
      <c r="A219" s="3676" t="s">
        <v>4735</v>
      </c>
      <c r="B219" s="3696">
        <v>682</v>
      </c>
      <c r="C219" s="3652"/>
      <c r="D219" s="3652"/>
      <c r="E219" s="3652"/>
      <c r="F219" s="3582"/>
      <c r="G219" s="3895"/>
      <c r="H219" s="3582"/>
      <c r="I219" s="3582"/>
      <c r="J219" s="3582"/>
      <c r="K219" s="3582"/>
    </row>
    <row r="220" spans="1:11" ht="12.75" customHeight="1">
      <c r="A220" s="3676" t="s">
        <v>4936</v>
      </c>
      <c r="B220" s="3696">
        <v>684</v>
      </c>
      <c r="C220" s="3652"/>
      <c r="D220" s="3652"/>
      <c r="E220" s="3652"/>
      <c r="F220" s="3582"/>
      <c r="G220" s="3895"/>
      <c r="H220" s="3582"/>
      <c r="I220" s="3582"/>
      <c r="J220" s="3582"/>
      <c r="K220" s="3582"/>
    </row>
    <row r="221" spans="1:11" ht="12.75" customHeight="1">
      <c r="A221" s="3676" t="s">
        <v>4711</v>
      </c>
      <c r="B221" s="3696">
        <v>686</v>
      </c>
      <c r="C221" s="3652"/>
      <c r="D221" s="3652"/>
      <c r="E221" s="3652"/>
      <c r="F221" s="3582"/>
      <c r="G221" s="3895"/>
      <c r="H221" s="3582"/>
      <c r="I221" s="3582"/>
      <c r="J221" s="3582"/>
      <c r="K221" s="3582"/>
    </row>
    <row r="222" spans="1:11" ht="12.75" customHeight="1">
      <c r="A222" s="3653" t="s">
        <v>1312</v>
      </c>
      <c r="B222" s="3692"/>
      <c r="C222" s="2890"/>
      <c r="D222" s="2890"/>
      <c r="E222" s="2890"/>
      <c r="F222" s="3582"/>
      <c r="G222" s="3895"/>
      <c r="H222" s="3582"/>
      <c r="I222" s="3582"/>
      <c r="J222" s="3582"/>
      <c r="K222" s="3582"/>
    </row>
    <row r="223" spans="1:11" ht="12.75" customHeight="1">
      <c r="A223" s="3650" t="s">
        <v>4699</v>
      </c>
      <c r="B223" s="3692"/>
      <c r="C223" s="2890"/>
      <c r="D223" s="2890"/>
      <c r="E223" s="2890"/>
      <c r="F223" s="3582"/>
      <c r="G223" s="3895"/>
      <c r="H223" s="3582"/>
      <c r="I223" s="3582"/>
      <c r="J223" s="3582"/>
      <c r="K223" s="3582"/>
    </row>
    <row r="224" spans="1:11" ht="12.75" customHeight="1">
      <c r="A224" s="3674" t="s">
        <v>4763</v>
      </c>
      <c r="B224" s="2902">
        <v>688</v>
      </c>
      <c r="C224" s="3654">
        <v>5855</v>
      </c>
      <c r="D224" s="3654">
        <v>4575</v>
      </c>
      <c r="E224" s="3654">
        <v>4575</v>
      </c>
      <c r="F224" s="3582"/>
      <c r="G224" s="3895"/>
      <c r="H224" s="3582"/>
      <c r="I224" s="3582"/>
      <c r="J224" s="3582"/>
      <c r="K224" s="3582"/>
    </row>
    <row r="225" spans="1:11" ht="12.75" customHeight="1">
      <c r="A225" s="3650" t="s">
        <v>4701</v>
      </c>
      <c r="B225" s="3690"/>
      <c r="C225" s="3691"/>
      <c r="D225" s="3691"/>
      <c r="E225" s="3691"/>
      <c r="F225" s="3582"/>
      <c r="G225" s="3895"/>
      <c r="H225" s="3582"/>
      <c r="I225" s="3582"/>
      <c r="J225" s="3582"/>
      <c r="K225" s="3582"/>
    </row>
    <row r="226" spans="1:11" ht="12.75" customHeight="1">
      <c r="A226" s="3674" t="s">
        <v>4719</v>
      </c>
      <c r="B226" s="2902">
        <v>690</v>
      </c>
      <c r="C226" s="3695">
        <v>6334</v>
      </c>
      <c r="D226" s="3695">
        <v>7393</v>
      </c>
      <c r="E226" s="3654">
        <v>7393</v>
      </c>
      <c r="F226" s="3582"/>
      <c r="G226" s="3895"/>
      <c r="H226" s="3582"/>
      <c r="I226" s="3582"/>
      <c r="J226" s="3582"/>
      <c r="K226" s="3582"/>
    </row>
    <row r="227" spans="1:11" ht="12.75" customHeight="1">
      <c r="A227" s="3675" t="s">
        <v>4702</v>
      </c>
      <c r="B227" s="2902">
        <v>692</v>
      </c>
      <c r="C227" s="3652"/>
      <c r="D227" s="3652"/>
      <c r="E227" s="3654"/>
      <c r="F227" s="3582"/>
      <c r="G227" s="3895"/>
      <c r="H227" s="3582"/>
      <c r="I227" s="3582"/>
      <c r="J227" s="3582"/>
      <c r="K227" s="3582"/>
    </row>
    <row r="228" spans="1:11" ht="12.75" customHeight="1">
      <c r="A228" s="3675" t="s">
        <v>4703</v>
      </c>
      <c r="B228" s="3696">
        <v>694</v>
      </c>
      <c r="C228" s="3652"/>
      <c r="D228" s="3652"/>
      <c r="E228" s="3652"/>
      <c r="F228" s="3582"/>
      <c r="G228" s="3895"/>
      <c r="H228" s="3582"/>
      <c r="I228" s="3582"/>
      <c r="J228" s="3582"/>
      <c r="K228" s="3582"/>
    </row>
    <row r="229" spans="1:11" ht="12.75" customHeight="1">
      <c r="A229" s="3645" t="s">
        <v>5164</v>
      </c>
      <c r="B229" s="3696">
        <v>696</v>
      </c>
      <c r="C229" s="3652"/>
      <c r="D229" s="3652"/>
      <c r="E229" s="3652"/>
      <c r="F229" s="3582"/>
      <c r="G229" s="3895"/>
      <c r="H229" s="3582"/>
      <c r="I229" s="3582"/>
      <c r="J229" s="3582"/>
      <c r="K229" s="3582"/>
    </row>
    <row r="230" spans="1:11" ht="12.75" customHeight="1">
      <c r="A230" s="3676" t="s">
        <v>4704</v>
      </c>
      <c r="B230" s="2902">
        <v>698</v>
      </c>
      <c r="C230" s="3652"/>
      <c r="D230" s="3652"/>
      <c r="E230" s="3654"/>
      <c r="F230" s="3582"/>
      <c r="G230" s="3895"/>
      <c r="H230" s="3582"/>
      <c r="I230" s="3582"/>
      <c r="J230" s="3582"/>
      <c r="K230" s="3582"/>
    </row>
    <row r="231" spans="1:11" ht="12.75" customHeight="1">
      <c r="A231" s="3676" t="s">
        <v>4705</v>
      </c>
      <c r="B231" s="3696">
        <v>700</v>
      </c>
      <c r="C231" s="3652"/>
      <c r="D231" s="3652"/>
      <c r="E231" s="3652"/>
      <c r="F231" s="3582"/>
      <c r="G231" s="3895"/>
      <c r="H231" s="3582"/>
      <c r="I231" s="3582"/>
      <c r="J231" s="3582"/>
      <c r="K231" s="3582"/>
    </row>
    <row r="232" spans="1:11" ht="12.75" customHeight="1">
      <c r="A232" s="3677" t="s">
        <v>4708</v>
      </c>
      <c r="B232" s="2902">
        <v>702</v>
      </c>
      <c r="C232" s="3654">
        <v>25911</v>
      </c>
      <c r="D232" s="3654">
        <v>8203</v>
      </c>
      <c r="E232" s="3654">
        <v>8072</v>
      </c>
      <c r="F232" s="3582"/>
      <c r="G232" s="3895"/>
      <c r="H232" s="3582"/>
      <c r="I232" s="3582"/>
      <c r="J232" s="3582"/>
      <c r="K232" s="3582"/>
    </row>
    <row r="233" spans="1:11" ht="12.75" customHeight="1">
      <c r="A233" s="3676" t="s">
        <v>4732</v>
      </c>
      <c r="B233" s="3696">
        <v>704</v>
      </c>
      <c r="C233" s="3652"/>
      <c r="D233" s="3652"/>
      <c r="E233" s="3652"/>
      <c r="F233" s="3582"/>
      <c r="G233" s="3895"/>
      <c r="H233" s="3582"/>
      <c r="I233" s="3582"/>
      <c r="J233" s="3582"/>
      <c r="K233" s="3582"/>
    </row>
    <row r="234" spans="1:11" ht="12.75" customHeight="1">
      <c r="A234" s="3676" t="s">
        <v>4711</v>
      </c>
      <c r="B234" s="3696">
        <v>706</v>
      </c>
      <c r="C234" s="3652"/>
      <c r="D234" s="3652"/>
      <c r="E234" s="3652"/>
      <c r="F234" s="3582"/>
      <c r="G234" s="3895"/>
      <c r="H234" s="3582"/>
      <c r="I234" s="3582"/>
      <c r="J234" s="3582"/>
      <c r="K234" s="3582"/>
    </row>
    <row r="235" spans="1:11" ht="12.75" customHeight="1">
      <c r="A235" s="3653" t="s">
        <v>4736</v>
      </c>
      <c r="B235" s="3692"/>
      <c r="C235" s="2890"/>
      <c r="D235" s="2890"/>
      <c r="E235" s="2890"/>
      <c r="F235" s="3582"/>
      <c r="G235" s="3895"/>
      <c r="H235" s="3582"/>
      <c r="I235" s="3582"/>
      <c r="J235" s="3582"/>
      <c r="K235" s="3582"/>
    </row>
    <row r="236" spans="1:11" ht="12.75" customHeight="1">
      <c r="A236" s="3650" t="s">
        <v>4699</v>
      </c>
      <c r="B236" s="3692"/>
      <c r="C236" s="2890"/>
      <c r="D236" s="2890"/>
      <c r="E236" s="2890"/>
      <c r="F236" s="3582"/>
      <c r="G236" s="3895"/>
      <c r="H236" s="3582"/>
      <c r="I236" s="3582"/>
      <c r="J236" s="3582"/>
      <c r="K236" s="3582"/>
    </row>
    <row r="237" spans="1:11" ht="12.75" customHeight="1">
      <c r="A237" s="3674" t="s">
        <v>4763</v>
      </c>
      <c r="B237" s="2902">
        <v>708</v>
      </c>
      <c r="C237" s="3654"/>
      <c r="D237" s="3654"/>
      <c r="E237" s="3654"/>
      <c r="F237" s="3582"/>
      <c r="G237" s="3895"/>
      <c r="H237" s="3582"/>
      <c r="I237" s="3582"/>
      <c r="J237" s="3582"/>
      <c r="K237" s="3582"/>
    </row>
    <row r="238" spans="1:11" ht="12.75" customHeight="1">
      <c r="A238" s="3650" t="s">
        <v>4701</v>
      </c>
      <c r="B238" s="3690"/>
      <c r="C238" s="3691"/>
      <c r="D238" s="3691"/>
      <c r="E238" s="3691"/>
      <c r="F238" s="3582"/>
      <c r="G238" s="3895"/>
      <c r="H238" s="3582"/>
      <c r="I238" s="3582"/>
      <c r="J238" s="3582"/>
      <c r="K238" s="3582"/>
    </row>
    <row r="239" spans="1:11" ht="12.75" customHeight="1">
      <c r="A239" s="3674" t="s">
        <v>4719</v>
      </c>
      <c r="B239" s="2902">
        <v>710</v>
      </c>
      <c r="C239" s="3695"/>
      <c r="D239" s="3695"/>
      <c r="E239" s="3654"/>
      <c r="F239" s="3582"/>
      <c r="G239" s="3895"/>
      <c r="H239" s="3582"/>
      <c r="I239" s="3582"/>
      <c r="J239" s="3582"/>
      <c r="K239" s="3582"/>
    </row>
    <row r="240" spans="1:11" ht="12.75" customHeight="1">
      <c r="A240" s="3675" t="s">
        <v>4702</v>
      </c>
      <c r="B240" s="2902">
        <v>712</v>
      </c>
      <c r="C240" s="3652"/>
      <c r="D240" s="3652"/>
      <c r="E240" s="3654"/>
      <c r="F240" s="3582"/>
      <c r="G240" s="3895"/>
      <c r="H240" s="3582"/>
      <c r="I240" s="3582"/>
      <c r="J240" s="3582"/>
      <c r="K240" s="3582"/>
    </row>
    <row r="241" spans="1:11" ht="12.75" customHeight="1">
      <c r="A241" s="3675" t="s">
        <v>4703</v>
      </c>
      <c r="B241" s="3696">
        <v>714</v>
      </c>
      <c r="C241" s="3652"/>
      <c r="D241" s="3652"/>
      <c r="E241" s="3652"/>
      <c r="F241" s="3582"/>
      <c r="G241" s="3895"/>
      <c r="H241" s="3582"/>
      <c r="I241" s="3582"/>
      <c r="J241" s="3582"/>
      <c r="K241" s="3582"/>
    </row>
    <row r="242" spans="1:11" ht="12.75" customHeight="1">
      <c r="A242" s="3645" t="s">
        <v>5164</v>
      </c>
      <c r="B242" s="3697">
        <v>716</v>
      </c>
      <c r="C242" s="3652"/>
      <c r="D242" s="3652"/>
      <c r="E242" s="3698"/>
      <c r="F242" s="3582"/>
      <c r="G242" s="3895"/>
      <c r="H242" s="3582"/>
      <c r="I242" s="3582"/>
      <c r="J242" s="3582"/>
      <c r="K242" s="3582"/>
    </row>
    <row r="243" spans="1:11" ht="12.75" customHeight="1">
      <c r="A243" s="3676" t="s">
        <v>4704</v>
      </c>
      <c r="B243" s="2889">
        <v>718</v>
      </c>
      <c r="C243" s="3652"/>
      <c r="D243" s="3652"/>
      <c r="E243" s="3652"/>
      <c r="F243" s="3582"/>
      <c r="G243" s="3895"/>
      <c r="H243" s="3582"/>
      <c r="I243" s="3582"/>
      <c r="J243" s="3582"/>
      <c r="K243" s="3582"/>
    </row>
    <row r="244" spans="1:11" ht="12.75" customHeight="1">
      <c r="A244" s="3676" t="s">
        <v>4705</v>
      </c>
      <c r="B244" s="2889">
        <v>720</v>
      </c>
      <c r="C244" s="3652"/>
      <c r="D244" s="3652"/>
      <c r="E244" s="3652"/>
      <c r="F244" s="3582"/>
      <c r="G244" s="3895"/>
      <c r="H244" s="3582"/>
      <c r="I244" s="3582"/>
      <c r="J244" s="3582"/>
      <c r="K244" s="3582"/>
    </row>
    <row r="245" spans="1:11" ht="12.75" customHeight="1">
      <c r="A245" s="3676" t="s">
        <v>4708</v>
      </c>
      <c r="B245" s="2889">
        <v>722</v>
      </c>
      <c r="C245" s="3652"/>
      <c r="D245" s="3652"/>
      <c r="E245" s="3652"/>
      <c r="F245" s="3582"/>
      <c r="G245" s="3895"/>
      <c r="H245" s="3582"/>
      <c r="I245" s="3582"/>
      <c r="J245" s="3582"/>
      <c r="K245" s="3582"/>
    </row>
    <row r="246" spans="1:11" ht="12.75" customHeight="1">
      <c r="A246" s="3676" t="s">
        <v>4732</v>
      </c>
      <c r="B246" s="2889">
        <v>724</v>
      </c>
      <c r="C246" s="3652"/>
      <c r="D246" s="3652"/>
      <c r="E246" s="3652"/>
      <c r="F246" s="3582"/>
      <c r="G246" s="3895"/>
      <c r="H246" s="3582"/>
      <c r="I246" s="3582"/>
      <c r="J246" s="3582"/>
      <c r="K246" s="3582"/>
    </row>
    <row r="247" spans="1:11" ht="12.75" customHeight="1">
      <c r="A247" s="3676" t="s">
        <v>4711</v>
      </c>
      <c r="B247" s="2889">
        <v>726</v>
      </c>
      <c r="C247" s="3652"/>
      <c r="D247" s="3652"/>
      <c r="E247" s="3652"/>
      <c r="F247" s="3582"/>
      <c r="G247" s="3895"/>
      <c r="H247" s="3582"/>
      <c r="I247" s="3582"/>
      <c r="J247" s="3582"/>
      <c r="K247" s="3582"/>
    </row>
    <row r="248" spans="1:11" ht="12.75" customHeight="1">
      <c r="A248" s="3643" t="s">
        <v>1325</v>
      </c>
      <c r="B248" s="3610"/>
      <c r="C248" s="3681"/>
      <c r="D248" s="3681"/>
      <c r="E248" s="3681"/>
      <c r="F248" s="3582"/>
      <c r="G248" s="3895"/>
      <c r="H248" s="3582"/>
      <c r="I248" s="3582"/>
      <c r="J248" s="3582"/>
      <c r="K248" s="3582"/>
    </row>
    <row r="249" spans="1:11" ht="12.75" customHeight="1">
      <c r="A249" s="3650" t="s">
        <v>4699</v>
      </c>
      <c r="B249" s="2096"/>
      <c r="C249" s="3682"/>
      <c r="D249" s="3682"/>
      <c r="E249" s="3682"/>
      <c r="F249" s="3582"/>
      <c r="G249" s="3895"/>
      <c r="H249" s="3582"/>
      <c r="I249" s="3582"/>
      <c r="J249" s="3582"/>
      <c r="K249" s="3582"/>
    </row>
    <row r="250" spans="1:11" ht="12.75" customHeight="1">
      <c r="A250" s="3674" t="s">
        <v>4700</v>
      </c>
      <c r="B250" s="2094">
        <v>895</v>
      </c>
      <c r="C250" s="3651"/>
      <c r="D250" s="3651"/>
      <c r="E250" s="3651"/>
      <c r="F250" s="3582"/>
      <c r="G250" s="3895"/>
      <c r="H250" s="3582"/>
      <c r="I250" s="3582"/>
      <c r="J250" s="3582"/>
      <c r="K250" s="3582"/>
    </row>
    <row r="251" spans="1:11" ht="12.75" customHeight="1">
      <c r="A251" s="3675" t="s">
        <v>4763</v>
      </c>
      <c r="B251" s="2095">
        <v>900</v>
      </c>
      <c r="C251" s="3651"/>
      <c r="D251" s="3642"/>
      <c r="E251" s="3642"/>
      <c r="F251" s="3582"/>
      <c r="G251" s="3895"/>
      <c r="H251" s="3582"/>
      <c r="I251" s="3582"/>
      <c r="J251" s="3582"/>
      <c r="K251" s="3582"/>
    </row>
    <row r="252" spans="1:11" ht="12.75" customHeight="1">
      <c r="A252" s="3650" t="s">
        <v>4701</v>
      </c>
      <c r="B252" s="3610"/>
      <c r="C252" s="3681"/>
      <c r="D252" s="3681"/>
      <c r="E252" s="3681"/>
      <c r="F252" s="3582"/>
      <c r="G252" s="3895"/>
      <c r="H252" s="3582"/>
      <c r="I252" s="3582"/>
      <c r="J252" s="3582"/>
      <c r="K252" s="3582"/>
    </row>
    <row r="253" spans="1:11" ht="12.75" customHeight="1">
      <c r="A253" s="3674" t="s">
        <v>4719</v>
      </c>
      <c r="B253" s="2094">
        <v>905</v>
      </c>
      <c r="C253" s="3651"/>
      <c r="D253" s="3651"/>
      <c r="E253" s="3651"/>
      <c r="F253" s="3582"/>
      <c r="G253" s="3895"/>
      <c r="H253" s="3582"/>
      <c r="I253" s="3582"/>
      <c r="J253" s="3582"/>
      <c r="K253" s="3582"/>
    </row>
    <row r="254" spans="1:11" ht="12.75" customHeight="1">
      <c r="A254" s="3675" t="s">
        <v>4702</v>
      </c>
      <c r="B254" s="2095">
        <v>910</v>
      </c>
      <c r="C254" s="3651"/>
      <c r="D254" s="3642"/>
      <c r="E254" s="3642"/>
      <c r="F254" s="3582"/>
      <c r="G254" s="3895"/>
      <c r="H254" s="3582"/>
      <c r="I254" s="3582"/>
      <c r="J254" s="3582"/>
      <c r="K254" s="3582"/>
    </row>
    <row r="255" spans="1:11" ht="12.75" customHeight="1">
      <c r="A255" s="3675" t="s">
        <v>4703</v>
      </c>
      <c r="B255" s="2095">
        <v>915</v>
      </c>
      <c r="C255" s="3651"/>
      <c r="D255" s="3642"/>
      <c r="E255" s="3642"/>
      <c r="F255" s="3582"/>
      <c r="G255" s="3895"/>
      <c r="H255" s="3582"/>
      <c r="I255" s="3582"/>
      <c r="J255" s="3582"/>
      <c r="K255" s="3582"/>
    </row>
    <row r="256" spans="1:11" ht="12.75" customHeight="1">
      <c r="A256" s="3645" t="s">
        <v>5164</v>
      </c>
      <c r="B256" s="3610">
        <v>920</v>
      </c>
      <c r="C256" s="3651"/>
      <c r="D256" s="3683"/>
      <c r="E256" s="3683"/>
      <c r="F256" s="3582"/>
      <c r="G256" s="3895"/>
      <c r="H256" s="3582"/>
      <c r="I256" s="3582"/>
      <c r="J256" s="3582"/>
      <c r="K256" s="3582"/>
    </row>
    <row r="257" spans="1:11" ht="12.75" customHeight="1">
      <c r="A257" s="3676" t="s">
        <v>4704</v>
      </c>
      <c r="B257" s="2095">
        <v>925</v>
      </c>
      <c r="C257" s="3651"/>
      <c r="D257" s="3642"/>
      <c r="E257" s="3642"/>
      <c r="F257" s="3582"/>
      <c r="G257" s="3895"/>
      <c r="H257" s="3582"/>
      <c r="I257" s="3582"/>
      <c r="J257" s="3582"/>
      <c r="K257" s="3582"/>
    </row>
    <row r="258" spans="1:11" ht="12.75" customHeight="1">
      <c r="A258" s="3676" t="s">
        <v>4705</v>
      </c>
      <c r="B258" s="2095">
        <v>930</v>
      </c>
      <c r="C258" s="3651"/>
      <c r="D258" s="3642"/>
      <c r="E258" s="3642"/>
      <c r="F258" s="3582"/>
      <c r="G258" s="3895"/>
      <c r="H258" s="3582"/>
      <c r="I258" s="3582"/>
      <c r="J258" s="3582"/>
      <c r="K258" s="3582"/>
    </row>
    <row r="259" spans="1:11" ht="12.75" customHeight="1">
      <c r="A259" s="3676" t="s">
        <v>4708</v>
      </c>
      <c r="B259" s="2095">
        <v>935</v>
      </c>
      <c r="C259" s="3651"/>
      <c r="D259" s="3642"/>
      <c r="E259" s="3642"/>
      <c r="F259" s="3582"/>
      <c r="G259" s="3895"/>
      <c r="H259" s="3582"/>
      <c r="I259" s="3582"/>
      <c r="J259" s="3582"/>
      <c r="K259" s="3582"/>
    </row>
    <row r="260" spans="1:11" ht="12.75" customHeight="1">
      <c r="A260" s="3676" t="s">
        <v>4931</v>
      </c>
      <c r="B260" s="2095">
        <v>940</v>
      </c>
      <c r="C260" s="3651"/>
      <c r="D260" s="3642"/>
      <c r="E260" s="3642"/>
      <c r="F260" s="3582"/>
      <c r="G260" s="3895"/>
      <c r="H260" s="3582"/>
      <c r="I260" s="3582"/>
      <c r="J260" s="3582"/>
      <c r="K260" s="3582"/>
    </row>
    <row r="261" spans="1:11" ht="12.75" customHeight="1">
      <c r="A261" s="3676" t="s">
        <v>4711</v>
      </c>
      <c r="B261" s="2095">
        <v>945</v>
      </c>
      <c r="C261" s="3651"/>
      <c r="D261" s="3642"/>
      <c r="E261" s="3642"/>
      <c r="F261" s="3582"/>
      <c r="G261" s="3895"/>
      <c r="H261" s="3582"/>
      <c r="I261" s="3582"/>
      <c r="J261" s="3582"/>
      <c r="K261" s="3582"/>
    </row>
    <row r="262" spans="1:11" ht="12.75" customHeight="1">
      <c r="A262" s="3636" t="s">
        <v>611</v>
      </c>
      <c r="B262" s="2095">
        <v>785</v>
      </c>
      <c r="C262" s="3689"/>
      <c r="D262" s="3642"/>
      <c r="E262" s="3642"/>
      <c r="F262" s="3582"/>
      <c r="G262" s="3895"/>
      <c r="H262" s="3582"/>
      <c r="I262" s="3582"/>
      <c r="J262" s="3582"/>
      <c r="K262" s="3582"/>
    </row>
    <row r="263" spans="1:11" ht="12.75" customHeight="1" thickBot="1">
      <c r="A263" s="3655" t="s">
        <v>4737</v>
      </c>
      <c r="B263" s="2095">
        <v>790</v>
      </c>
      <c r="C263" s="3642"/>
      <c r="D263" s="3642"/>
      <c r="E263" s="3642"/>
      <c r="F263" s="3582"/>
      <c r="G263" s="3900"/>
      <c r="H263" s="3582"/>
      <c r="I263" s="3582"/>
      <c r="J263" s="3582"/>
      <c r="K263" s="3582"/>
    </row>
    <row r="264" spans="1:11" ht="12.75" customHeight="1" thickTop="1">
      <c r="A264" s="3603" t="s">
        <v>5258</v>
      </c>
      <c r="B264" s="2096"/>
      <c r="C264" s="3682"/>
      <c r="D264" s="3682"/>
      <c r="E264" s="3682"/>
      <c r="F264" s="3582"/>
      <c r="G264" s="3816"/>
      <c r="H264" s="3582"/>
      <c r="I264" s="3582"/>
      <c r="J264" s="3582"/>
      <c r="K264" s="3582"/>
    </row>
    <row r="265" spans="1:11" ht="12.75" customHeight="1">
      <c r="A265" s="3677" t="s">
        <v>4738</v>
      </c>
      <c r="B265" s="3635">
        <v>795</v>
      </c>
      <c r="C265" s="3651">
        <v>0</v>
      </c>
      <c r="D265" s="3651">
        <v>0</v>
      </c>
      <c r="E265" s="3651">
        <v>0</v>
      </c>
      <c r="F265" s="3582"/>
      <c r="G265" s="3817"/>
      <c r="H265" s="3582"/>
      <c r="I265" s="3582"/>
      <c r="J265" s="3582"/>
      <c r="K265" s="3582"/>
    </row>
    <row r="266" spans="1:11" ht="12.75" customHeight="1">
      <c r="A266" s="3676" t="s">
        <v>4764</v>
      </c>
      <c r="B266" s="3678">
        <v>800</v>
      </c>
      <c r="C266" s="3651">
        <v>0</v>
      </c>
      <c r="D266" s="3651">
        <v>0</v>
      </c>
      <c r="E266" s="3642">
        <v>0</v>
      </c>
      <c r="F266" s="3582"/>
      <c r="G266" s="3817"/>
      <c r="H266" s="3582"/>
      <c r="I266" s="3582"/>
      <c r="J266" s="3582"/>
      <c r="K266" s="3582"/>
    </row>
    <row r="267" spans="1:11" ht="12.75" customHeight="1">
      <c r="A267" s="3676" t="s">
        <v>4739</v>
      </c>
      <c r="B267" s="3678">
        <v>805</v>
      </c>
      <c r="C267" s="3683">
        <v>0</v>
      </c>
      <c r="D267" s="3683">
        <v>0</v>
      </c>
      <c r="E267" s="3642">
        <v>0</v>
      </c>
      <c r="F267" s="3582"/>
      <c r="G267" s="3817"/>
      <c r="H267" s="3582"/>
      <c r="I267" s="3582"/>
      <c r="J267" s="3582"/>
      <c r="K267" s="3582"/>
    </row>
    <row r="268" spans="1:11" ht="12.75" customHeight="1">
      <c r="A268" s="3676" t="s">
        <v>4740</v>
      </c>
      <c r="B268" s="3678">
        <v>807</v>
      </c>
      <c r="C268" s="3642">
        <v>0</v>
      </c>
      <c r="D268" s="3642">
        <v>0</v>
      </c>
      <c r="E268" s="3642">
        <v>0</v>
      </c>
      <c r="F268" s="3582"/>
      <c r="G268" s="3817"/>
      <c r="H268" s="3582"/>
      <c r="I268" s="3582"/>
      <c r="J268" s="3582"/>
      <c r="K268" s="3582"/>
    </row>
    <row r="269" spans="1:11" ht="12.75" customHeight="1">
      <c r="A269" s="3676" t="s">
        <v>4741</v>
      </c>
      <c r="B269" s="3678">
        <v>810</v>
      </c>
      <c r="C269" s="3651">
        <v>0</v>
      </c>
      <c r="D269" s="3651">
        <v>0</v>
      </c>
      <c r="E269" s="3642">
        <v>0</v>
      </c>
      <c r="F269" s="3582"/>
      <c r="G269" s="3817"/>
      <c r="H269" s="3582"/>
      <c r="I269" s="3582"/>
      <c r="J269" s="3582"/>
      <c r="K269" s="3582"/>
    </row>
    <row r="270" spans="1:11" ht="12.75" customHeight="1">
      <c r="A270" s="3676" t="s">
        <v>4742</v>
      </c>
      <c r="B270" s="3678">
        <v>815</v>
      </c>
      <c r="C270" s="3651">
        <v>0</v>
      </c>
      <c r="D270" s="3651">
        <v>0</v>
      </c>
      <c r="E270" s="3642">
        <v>0</v>
      </c>
      <c r="F270" s="3582"/>
      <c r="G270" s="3817"/>
      <c r="H270" s="3582"/>
      <c r="I270" s="3582"/>
      <c r="J270" s="3582"/>
      <c r="K270" s="3582"/>
    </row>
    <row r="271" spans="1:11" ht="12.75" customHeight="1">
      <c r="A271" s="3676" t="s">
        <v>4765</v>
      </c>
      <c r="B271" s="3678">
        <v>823</v>
      </c>
      <c r="C271" s="3642">
        <v>0</v>
      </c>
      <c r="D271" s="3642">
        <v>0</v>
      </c>
      <c r="E271" s="3642">
        <v>0</v>
      </c>
      <c r="F271" s="3582"/>
      <c r="G271" s="3817"/>
      <c r="H271" s="3582"/>
      <c r="I271" s="3582"/>
      <c r="J271" s="3582"/>
      <c r="K271" s="3582"/>
    </row>
    <row r="272" spans="1:11" ht="12.75" customHeight="1">
      <c r="A272" s="3676" t="s">
        <v>4743</v>
      </c>
      <c r="B272" s="3678">
        <v>825</v>
      </c>
      <c r="C272" s="3651">
        <v>0</v>
      </c>
      <c r="D272" s="3651">
        <v>0</v>
      </c>
      <c r="E272" s="3642">
        <v>0</v>
      </c>
      <c r="F272" s="3582"/>
      <c r="G272" s="3817"/>
      <c r="H272" s="3582"/>
      <c r="I272" s="3582"/>
      <c r="J272" s="3582"/>
      <c r="K272" s="3582"/>
    </row>
    <row r="273" spans="1:11" ht="12.75" customHeight="1">
      <c r="A273" s="3676" t="s">
        <v>4744</v>
      </c>
      <c r="B273" s="3678">
        <v>830</v>
      </c>
      <c r="C273" s="3642">
        <v>0</v>
      </c>
      <c r="D273" s="3642">
        <v>0</v>
      </c>
      <c r="E273" s="3642">
        <v>0</v>
      </c>
      <c r="F273" s="3582"/>
      <c r="G273" s="3817"/>
      <c r="H273" s="3582"/>
      <c r="I273" s="3582"/>
      <c r="J273" s="3582"/>
      <c r="K273" s="3582"/>
    </row>
    <row r="274" spans="1:11" ht="12.75" customHeight="1">
      <c r="A274" s="3676" t="s">
        <v>4745</v>
      </c>
      <c r="B274" s="3678">
        <v>835</v>
      </c>
      <c r="C274" s="3642">
        <v>0</v>
      </c>
      <c r="D274" s="3642">
        <v>6500</v>
      </c>
      <c r="E274" s="3642">
        <v>5000</v>
      </c>
      <c r="F274" s="3582"/>
      <c r="G274" s="3817"/>
      <c r="H274" s="3582"/>
      <c r="I274" s="3582"/>
      <c r="J274" s="3582"/>
      <c r="K274" s="3582"/>
    </row>
    <row r="275" spans="1:11" ht="12.75" customHeight="1">
      <c r="A275" s="3676" t="s">
        <v>4746</v>
      </c>
      <c r="B275" s="3678">
        <v>837</v>
      </c>
      <c r="C275" s="3642">
        <v>0</v>
      </c>
      <c r="D275" s="3642">
        <v>0</v>
      </c>
      <c r="E275" s="3642">
        <v>0</v>
      </c>
      <c r="F275" s="3582"/>
      <c r="G275" s="3817"/>
      <c r="H275" s="3582"/>
      <c r="I275" s="3582"/>
      <c r="J275" s="3582"/>
      <c r="K275" s="3582"/>
    </row>
    <row r="276" spans="1:11" ht="12.75" customHeight="1">
      <c r="A276" s="3676" t="s">
        <v>4747</v>
      </c>
      <c r="B276" s="3678">
        <v>840</v>
      </c>
      <c r="C276" s="3642">
        <v>750779</v>
      </c>
      <c r="D276" s="3642">
        <v>825410</v>
      </c>
      <c r="E276" s="3642">
        <v>656957</v>
      </c>
      <c r="F276" s="3582"/>
      <c r="G276" s="3817" t="str">
        <f>IF(E276&gt;=E27,"","&lt;--Transfer amount must equal or be grater than Special Education State Aid (Budget Line 120)")</f>
        <v/>
      </c>
      <c r="H276" s="3582"/>
      <c r="I276" s="3582"/>
      <c r="J276" s="3582"/>
      <c r="K276" s="3582"/>
    </row>
    <row r="277" spans="1:11" ht="12.75" customHeight="1">
      <c r="A277" s="3676" t="s">
        <v>4753</v>
      </c>
      <c r="B277" s="3678">
        <v>850</v>
      </c>
      <c r="C277" s="3642">
        <v>20000</v>
      </c>
      <c r="D277" s="3651">
        <v>27056</v>
      </c>
      <c r="E277" s="3651">
        <v>27056</v>
      </c>
      <c r="F277" s="3582"/>
      <c r="G277" s="3817"/>
      <c r="H277" s="3582"/>
      <c r="I277" s="3582"/>
      <c r="J277" s="3582"/>
      <c r="K277" s="3582"/>
    </row>
    <row r="278" spans="1:11" ht="12.75" customHeight="1">
      <c r="A278" s="3676" t="s">
        <v>4748</v>
      </c>
      <c r="B278" s="3678">
        <v>853</v>
      </c>
      <c r="C278" s="3642">
        <v>0</v>
      </c>
      <c r="D278" s="3651">
        <v>0</v>
      </c>
      <c r="E278" s="3642">
        <v>0</v>
      </c>
      <c r="F278" s="3582"/>
      <c r="G278" s="3817"/>
      <c r="H278" s="3582"/>
      <c r="I278" s="3582"/>
      <c r="J278" s="3582"/>
      <c r="K278" s="3582"/>
    </row>
    <row r="279" spans="1:11" ht="12.75" customHeight="1">
      <c r="A279" s="3676" t="s">
        <v>4749</v>
      </c>
      <c r="B279" s="3678">
        <v>855</v>
      </c>
      <c r="C279" s="3642">
        <v>0</v>
      </c>
      <c r="D279" s="3642">
        <v>0</v>
      </c>
      <c r="E279" s="3642">
        <v>0</v>
      </c>
      <c r="F279" s="3582"/>
      <c r="G279" s="3817"/>
      <c r="H279" s="3582"/>
      <c r="I279" s="3582"/>
      <c r="J279" s="3582"/>
      <c r="K279" s="3582"/>
    </row>
    <row r="280" spans="1:11" ht="12.75" customHeight="1">
      <c r="A280" s="3676" t="s">
        <v>4750</v>
      </c>
      <c r="B280" s="3678">
        <v>885</v>
      </c>
      <c r="C280" s="3651">
        <v>0</v>
      </c>
      <c r="D280" s="3651">
        <v>2675</v>
      </c>
      <c r="E280" s="3683">
        <v>0</v>
      </c>
      <c r="F280" s="3582"/>
      <c r="G280" s="3817"/>
      <c r="H280" s="3582"/>
      <c r="I280" s="3582"/>
      <c r="J280" s="3582"/>
      <c r="K280" s="3582"/>
    </row>
    <row r="281" spans="1:11" ht="25.5" customHeight="1">
      <c r="A281" s="3988" t="s">
        <v>5166</v>
      </c>
      <c r="B281" s="3678">
        <v>889</v>
      </c>
      <c r="C281" s="3689">
        <v>0</v>
      </c>
      <c r="D281" s="3689">
        <v>0</v>
      </c>
      <c r="E281" s="3642">
        <v>0</v>
      </c>
      <c r="F281" s="3582"/>
      <c r="G281" s="3817"/>
      <c r="H281" s="3582"/>
      <c r="I281" s="3582"/>
      <c r="J281" s="3582"/>
      <c r="K281" s="3582"/>
    </row>
    <row r="282" spans="1:11" ht="12.75" customHeight="1">
      <c r="A282" s="3676" t="s">
        <v>4751</v>
      </c>
      <c r="B282" s="2095">
        <v>891</v>
      </c>
      <c r="C282" s="3642">
        <v>0</v>
      </c>
      <c r="D282" s="3642">
        <v>0</v>
      </c>
      <c r="E282" s="3651">
        <v>0</v>
      </c>
      <c r="F282" s="3582"/>
      <c r="G282" s="3817"/>
      <c r="H282" s="3582"/>
      <c r="I282" s="3582"/>
      <c r="J282" s="3582"/>
      <c r="K282" s="3582"/>
    </row>
    <row r="283" spans="1:11" ht="12.75" customHeight="1">
      <c r="A283" s="3646" t="s">
        <v>4752</v>
      </c>
      <c r="B283" s="932">
        <v>893</v>
      </c>
      <c r="C283" s="3638">
        <v>65000</v>
      </c>
      <c r="D283" s="3639">
        <v>65000</v>
      </c>
      <c r="E283" s="3649">
        <v>341656</v>
      </c>
      <c r="F283" s="3582"/>
      <c r="G283" s="3817" t="str">
        <f>IF(E283&gt;='F150'!J175,"","&lt;--Transfer amount must equal or be grater than At-Risk State Aid (Form 150 Table VI)")</f>
        <v/>
      </c>
      <c r="H283" s="3582"/>
      <c r="I283" s="3582"/>
      <c r="J283" s="3582"/>
      <c r="K283" s="3582"/>
    </row>
    <row r="284" spans="1:11" ht="12.75" customHeight="1">
      <c r="A284" s="1198" t="s">
        <v>5153</v>
      </c>
      <c r="B284" s="2578" t="s">
        <v>4906</v>
      </c>
      <c r="C284" s="3656">
        <f>SUM(C48:C283)</f>
        <v>3785807</v>
      </c>
      <c r="D284" s="3656">
        <f>SUM(D48:D283)</f>
        <v>3899399</v>
      </c>
      <c r="E284" s="3656">
        <f>SUM(E48:E283)</f>
        <v>3938451</v>
      </c>
      <c r="F284" s="3582"/>
      <c r="G284" s="3814"/>
      <c r="H284" s="3582"/>
      <c r="I284" s="3582"/>
      <c r="J284" s="3582"/>
      <c r="K284" s="3582"/>
    </row>
    <row r="285" spans="1:11" ht="12.75" customHeight="1">
      <c r="A285" s="4166" t="s">
        <v>4911</v>
      </c>
      <c r="B285" s="1166"/>
      <c r="C285" s="3657"/>
      <c r="D285" s="3657"/>
      <c r="E285" s="3657"/>
      <c r="F285" s="3582"/>
      <c r="G285" s="3815"/>
      <c r="H285" s="3582"/>
      <c r="I285" s="3582"/>
      <c r="J285" s="3582"/>
      <c r="K285" s="3582"/>
    </row>
    <row r="286" spans="1:11" ht="12.75" customHeight="1">
      <c r="A286" s="2864"/>
      <c r="B286" s="1192"/>
      <c r="I286" s="3582"/>
      <c r="J286" s="3582"/>
      <c r="K286" s="3582"/>
    </row>
  </sheetData>
  <dataConsolidate/>
  <mergeCells count="7">
    <mergeCell ref="A35:E35"/>
    <mergeCell ref="A33:E33"/>
    <mergeCell ref="A34:E34"/>
    <mergeCell ref="K31:L31"/>
    <mergeCell ref="J13:L13"/>
    <mergeCell ref="J21:L21"/>
    <mergeCell ref="J27:L27"/>
  </mergeCells>
  <phoneticPr fontId="13" type="noConversion"/>
  <conditionalFormatting sqref="E31">
    <cfRule type="containsText" dxfId="28" priority="6" operator="containsText" text="Ck Expend.">
      <formula>NOT(ISERROR(SEARCH("Ck Expend.",E31)))</formula>
    </cfRule>
  </conditionalFormatting>
  <conditionalFormatting sqref="E25">
    <cfRule type="containsText" dxfId="27" priority="5" operator="containsText" text="Ck Line 175">
      <formula>NOT(ISERROR(SEARCH("Ck Line 175",E25)))</formula>
    </cfRule>
  </conditionalFormatting>
  <conditionalFormatting sqref="J16">
    <cfRule type="expression" dxfId="26" priority="4">
      <formula>$J$16&lt;&gt;0</formula>
    </cfRule>
  </conditionalFormatting>
  <conditionalFormatting sqref="J25:K25">
    <cfRule type="expression" dxfId="25" priority="3">
      <formula>$J$25&lt;0</formula>
    </cfRule>
  </conditionalFormatting>
  <conditionalFormatting sqref="J19">
    <cfRule type="expression" dxfId="24" priority="2">
      <formula>$J$19="Check Line 175"</formula>
    </cfRule>
  </conditionalFormatting>
  <conditionalFormatting sqref="J31:K31">
    <cfRule type="expression" dxfId="23" priority="1">
      <formula>$J$25&lt;0</formula>
    </cfRule>
  </conditionalFormatting>
  <dataValidations count="5">
    <dataValidation type="whole" operator="greaterThanOrEqual" showInputMessage="1" showErrorMessage="1" errorTitle="Invalid Data Entry" error="Please enter a positive number or press the delete key or enter zero." sqref="C280:E283 C20:D23 D279 C129:E133 C178:E185 C239:E247 C224:E224 C237:E237 C211:E221 C209:E209 C201:E206 C199:E199 C187:E187 C169:E175 C48:E49 C72:E73 C86:E87 C102:E104 C250:E251 C265:E278 C253:E263 C167:E167 C164:E165 C123:E127 C112:E117 C89:E94 C80:E83 C77:D77 C78:C79 D75:E79 C75:C76 C63:E68 C58:E61 C51:E55 C26:E26 C14:C18 D14:E17 D18 C96:E100 C106:E110 C226:E234 C120:E121 C150:E162 C189:E196 C9:D9">
      <formula1>0</formula1>
    </dataValidation>
    <dataValidation type="whole" operator="greaterThanOrEqual" showInputMessage="1" showErrorMessage="1" errorTitle="Invalid beginning cash balance" error="Please enter a number or press the delete key or enter zero." sqref="C8">
      <formula1>-1000000000</formula1>
    </dataValidation>
    <dataValidation operator="greaterThanOrEqual" showInputMessage="1" errorTitle="Invalid Data Entry" error="Please enter a positive number or press the delete key or enter zero." sqref="C27:D27"/>
    <dataValidation operator="greaterThanOrEqual" errorTitle="Invalid Data Entry" error="Please enter a positive number or press the delete key or enter zero." sqref="C25:D25"/>
    <dataValidation type="whole" operator="greaterThanOrEqual" showInputMessage="1" showErrorMessage="1" errorTitle="Invalid Data Entry" error="Please enter a positive number or press the delete key or enter a zero." sqref="C136:E137 C139:E147">
      <formula1>0</formula1>
    </dataValidation>
  </dataValidations>
  <hyperlinks>
    <hyperlink ref="G1" location="Contents!F1" display="Return to Contents page"/>
  </hyperlinks>
  <printOptions horizontalCentered="1"/>
  <pageMargins left="0.75" right="0.75" top="0.5" bottom="0.5" header="0.3" footer="0.3"/>
  <pageSetup scale="86" fitToWidth="0" fitToHeight="0" orientation="portrait" blackAndWhite="1" r:id="rId1"/>
  <headerFooter scaleWithDoc="0">
    <oddFooter>&amp;L&amp;"Open Sans Light,Regular"&amp;8&amp;D    &amp;T&amp;C&amp;"Open Sans Light,Regular"&amp;8Page &amp;P&amp;R&amp;"Open Sans Light,Regular"&amp;8&amp;A</oddFooter>
  </headerFooter>
  <rowBreaks count="3" manualBreakCount="3">
    <brk id="61" max="4" man="1"/>
    <brk id="173" max="4" man="1"/>
    <brk id="230" max="4"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4" tint="0.39997558519241921"/>
  </sheetPr>
  <dimension ref="A1:IS226"/>
  <sheetViews>
    <sheetView showGridLines="0" zoomScaleNormal="100" zoomScaleSheetLayoutView="100" workbookViewId="0">
      <pane ySplit="8" topLeftCell="A201" activePane="bottomLeft" state="frozen"/>
      <selection activeCell="B22" sqref="B22"/>
      <selection pane="bottomLeft"/>
    </sheetView>
  </sheetViews>
  <sheetFormatPr defaultColWidth="10.6640625" defaultRowHeight="12.75" customHeight="1"/>
  <cols>
    <col min="1" max="1" width="40.6640625" style="8" customWidth="1"/>
    <col min="2" max="2" width="5.6640625" style="938" customWidth="1"/>
    <col min="3" max="5" width="14.33203125" style="901" customWidth="1"/>
    <col min="6" max="6" width="2.44140625" style="8" customWidth="1"/>
    <col min="7" max="7" width="23.33203125" style="8" bestFit="1" customWidth="1"/>
    <col min="8" max="8" width="20.44140625" style="8" customWidth="1"/>
    <col min="9" max="9" width="18.44140625" style="8" customWidth="1"/>
    <col min="10" max="16384" width="10.6640625" style="8"/>
  </cols>
  <sheetData>
    <row r="1" spans="1:16" ht="12.75" customHeight="1">
      <c r="A1" s="943" t="s">
        <v>809</v>
      </c>
      <c r="B1" s="4252">
        <f>OPEN!$B$4</f>
        <v>237</v>
      </c>
      <c r="C1" s="903"/>
      <c r="D1" s="6102" t="s">
        <v>836</v>
      </c>
      <c r="E1" s="6102"/>
      <c r="F1" s="3"/>
      <c r="G1" s="304" t="s">
        <v>754</v>
      </c>
      <c r="H1" s="3"/>
      <c r="I1" s="3"/>
    </row>
    <row r="2" spans="1:16" ht="12.75" customHeight="1">
      <c r="A2" s="3"/>
      <c r="B2" s="900"/>
      <c r="C2" s="903"/>
      <c r="D2" s="6102" t="s">
        <v>921</v>
      </c>
      <c r="E2" s="6102"/>
      <c r="F2" s="3"/>
      <c r="G2" s="3"/>
      <c r="H2" s="3"/>
      <c r="I2" s="3"/>
    </row>
    <row r="3" spans="1:16" ht="12.75" customHeight="1">
      <c r="A3" s="3"/>
      <c r="B3" s="900"/>
      <c r="C3" s="899"/>
      <c r="D3" s="6102" t="str">
        <f>OpenData!N2</f>
        <v>2021-2022</v>
      </c>
      <c r="E3" s="6102"/>
      <c r="F3" s="3"/>
      <c r="G3" s="3"/>
      <c r="H3" s="3"/>
      <c r="I3" s="3"/>
    </row>
    <row r="4" spans="1:16" ht="12.75" customHeight="1">
      <c r="A4" s="3"/>
      <c r="B4" s="900"/>
      <c r="C4" s="899"/>
      <c r="D4" s="899"/>
      <c r="E4" s="899"/>
      <c r="F4" s="3"/>
      <c r="G4" s="3"/>
      <c r="H4" s="3"/>
      <c r="I4" s="3"/>
    </row>
    <row r="5" spans="1:16" ht="12.75" customHeight="1">
      <c r="A5" s="3"/>
      <c r="B5" s="900"/>
      <c r="C5" s="904" t="s">
        <v>922</v>
      </c>
      <c r="D5" s="904" t="s">
        <v>922</v>
      </c>
      <c r="E5" s="904" t="s">
        <v>922</v>
      </c>
      <c r="F5" s="3"/>
      <c r="G5" s="3"/>
      <c r="H5" s="3"/>
      <c r="I5" s="3"/>
    </row>
    <row r="6" spans="1:16" ht="12.75" customHeight="1">
      <c r="A6" s="928" t="s">
        <v>4770</v>
      </c>
      <c r="B6" s="905" t="s">
        <v>854</v>
      </c>
      <c r="C6" s="906" t="str">
        <f>OpenData!$N$4</f>
        <v>2019-2020</v>
      </c>
      <c r="D6" s="907" t="str">
        <f>OpenData!$O$4</f>
        <v>2020-2021</v>
      </c>
      <c r="E6" s="906" t="str">
        <f>OpenData!$P$4</f>
        <v>2021-2022</v>
      </c>
      <c r="F6" s="3"/>
      <c r="G6" s="3"/>
      <c r="H6" s="3"/>
      <c r="I6" s="3"/>
      <c r="M6" s="9"/>
    </row>
    <row r="7" spans="1:16" ht="12.75" customHeight="1">
      <c r="A7" s="2025" t="s">
        <v>4915</v>
      </c>
      <c r="B7" s="908">
        <v>7</v>
      </c>
      <c r="C7" s="909" t="s">
        <v>893</v>
      </c>
      <c r="D7" s="910" t="s">
        <v>893</v>
      </c>
      <c r="E7" s="909" t="s">
        <v>923</v>
      </c>
      <c r="F7" s="3"/>
      <c r="G7" s="3"/>
      <c r="H7" s="3"/>
      <c r="I7" s="3"/>
      <c r="N7" s="10"/>
      <c r="O7" s="10"/>
      <c r="P7" s="10"/>
    </row>
    <row r="8" spans="1:16" ht="12.75" customHeight="1">
      <c r="B8" s="911" t="s">
        <v>858</v>
      </c>
      <c r="C8" s="912">
        <v>1</v>
      </c>
      <c r="D8" s="913">
        <v>2</v>
      </c>
      <c r="E8" s="912">
        <v>3</v>
      </c>
      <c r="F8" s="3"/>
      <c r="G8" s="3"/>
      <c r="H8" s="3"/>
      <c r="I8" s="3"/>
      <c r="N8" s="10"/>
      <c r="O8" s="10"/>
      <c r="P8" s="10"/>
    </row>
    <row r="9" spans="1:16" s="12" customFormat="1" ht="12.75" customHeight="1">
      <c r="A9" s="2026" t="s">
        <v>924</v>
      </c>
      <c r="B9" s="915">
        <v>1</v>
      </c>
      <c r="C9" s="916">
        <v>0</v>
      </c>
      <c r="D9" s="917">
        <f>C24</f>
        <v>0</v>
      </c>
      <c r="E9" s="918">
        <f>D24</f>
        <v>-17796</v>
      </c>
      <c r="F9" s="15"/>
      <c r="G9" s="15"/>
      <c r="H9" s="15"/>
      <c r="I9" s="15"/>
      <c r="N9" s="13"/>
      <c r="O9" s="13"/>
      <c r="P9" s="13"/>
    </row>
    <row r="10" spans="1:16" s="12" customFormat="1" ht="12.75" customHeight="1">
      <c r="A10" s="3974" t="s">
        <v>4940</v>
      </c>
      <c r="B10" s="1386">
        <v>3</v>
      </c>
      <c r="C10" s="1387"/>
      <c r="D10" s="934"/>
      <c r="E10" s="3039"/>
      <c r="F10" s="15"/>
      <c r="G10" s="15"/>
      <c r="H10" s="15"/>
      <c r="I10" s="15"/>
      <c r="N10" s="13"/>
      <c r="O10" s="13"/>
      <c r="P10" s="13"/>
    </row>
    <row r="11" spans="1:16" s="12" customFormat="1" ht="12.75" customHeight="1">
      <c r="A11" s="3568"/>
      <c r="B11" s="3995"/>
      <c r="C11" s="3995"/>
      <c r="D11" s="3995"/>
      <c r="E11" s="3996"/>
      <c r="F11" s="15"/>
      <c r="G11" s="15"/>
      <c r="H11" s="15"/>
      <c r="I11" s="15"/>
      <c r="N11" s="13"/>
      <c r="O11" s="13"/>
      <c r="P11" s="13"/>
    </row>
    <row r="12" spans="1:16" s="12" customFormat="1" ht="12.75" customHeight="1">
      <c r="A12" s="3992" t="s">
        <v>4766</v>
      </c>
      <c r="B12" s="3993"/>
      <c r="C12" s="3993"/>
      <c r="D12" s="3993"/>
      <c r="E12" s="3994"/>
      <c r="F12" s="15"/>
      <c r="G12" s="15"/>
      <c r="H12" s="15"/>
      <c r="I12" s="15"/>
      <c r="N12" s="13"/>
      <c r="O12" s="13"/>
      <c r="P12" s="13"/>
    </row>
    <row r="13" spans="1:16" s="12" customFormat="1" ht="12.75" customHeight="1">
      <c r="A13" s="3571" t="s">
        <v>4768</v>
      </c>
      <c r="B13" s="3572"/>
      <c r="C13" s="3572"/>
      <c r="D13" s="3572"/>
      <c r="E13" s="3572"/>
      <c r="F13" s="15"/>
      <c r="G13" s="15"/>
      <c r="H13" s="15"/>
      <c r="I13" s="15"/>
      <c r="N13" s="13"/>
      <c r="O13" s="13"/>
      <c r="P13" s="13"/>
    </row>
    <row r="14" spans="1:16" ht="12.75" customHeight="1">
      <c r="A14" s="1017" t="s">
        <v>4787</v>
      </c>
      <c r="B14" s="911">
        <v>10</v>
      </c>
      <c r="C14" s="920">
        <v>78934</v>
      </c>
      <c r="D14" s="919">
        <v>87108</v>
      </c>
      <c r="E14" s="920">
        <v>86846</v>
      </c>
      <c r="F14" s="3"/>
      <c r="G14" s="3"/>
      <c r="H14" s="3"/>
      <c r="I14" s="3"/>
      <c r="N14" s="10"/>
      <c r="O14" s="10"/>
      <c r="P14" s="10"/>
    </row>
    <row r="15" spans="1:16" ht="12.75" customHeight="1">
      <c r="A15" s="1017" t="s">
        <v>4812</v>
      </c>
      <c r="B15" s="911">
        <v>15</v>
      </c>
      <c r="C15" s="916">
        <v>16915</v>
      </c>
      <c r="D15" s="921">
        <v>14710</v>
      </c>
      <c r="E15" s="916">
        <v>13741</v>
      </c>
      <c r="F15" s="3"/>
      <c r="G15" s="3"/>
      <c r="H15" s="3"/>
      <c r="I15" s="3"/>
      <c r="M15" s="9"/>
    </row>
    <row r="16" spans="1:16" ht="12.75" customHeight="1">
      <c r="A16" s="1018" t="s">
        <v>4813</v>
      </c>
      <c r="B16" s="915">
        <v>22</v>
      </c>
      <c r="C16" s="916">
        <v>12367</v>
      </c>
      <c r="D16" s="916">
        <v>13619</v>
      </c>
      <c r="E16" s="920">
        <v>14129</v>
      </c>
      <c r="F16" s="3"/>
      <c r="G16" s="3"/>
      <c r="H16" s="3"/>
      <c r="I16" s="3"/>
      <c r="N16" s="14"/>
      <c r="O16" s="14"/>
      <c r="P16" s="14"/>
    </row>
    <row r="17" spans="1:253" ht="12.75" customHeight="1">
      <c r="A17" s="1019" t="s">
        <v>683</v>
      </c>
      <c r="B17" s="3830">
        <v>60</v>
      </c>
      <c r="C17" s="922"/>
      <c r="D17" s="920"/>
      <c r="E17" s="923"/>
      <c r="F17" s="3"/>
      <c r="G17" s="3"/>
      <c r="H17" s="3"/>
      <c r="I17" s="3"/>
      <c r="N17" s="14"/>
      <c r="O17" s="14"/>
      <c r="P17" s="14"/>
    </row>
    <row r="18" spans="1:253" ht="12.75" customHeight="1">
      <c r="A18" s="1020" t="s">
        <v>4826</v>
      </c>
      <c r="B18" s="3831">
        <v>67</v>
      </c>
      <c r="C18" s="5930"/>
      <c r="D18" s="924">
        <v>41298</v>
      </c>
      <c r="E18" s="925">
        <v>24297</v>
      </c>
      <c r="F18" s="3"/>
      <c r="G18" s="3"/>
      <c r="H18" s="3"/>
      <c r="I18" s="3"/>
      <c r="N18" s="14"/>
      <c r="O18" s="14"/>
      <c r="P18" s="14"/>
    </row>
    <row r="19" spans="1:253" ht="12.75" customHeight="1">
      <c r="A19" s="1020" t="s">
        <v>4919</v>
      </c>
      <c r="B19" s="3829">
        <v>68</v>
      </c>
      <c r="C19" s="4626"/>
      <c r="D19" s="2055"/>
      <c r="E19" s="925">
        <v>292000</v>
      </c>
      <c r="F19" s="3"/>
      <c r="G19" s="3"/>
      <c r="H19" s="3"/>
      <c r="I19" s="3"/>
      <c r="N19" s="14"/>
      <c r="O19" s="14"/>
      <c r="P19" s="14"/>
    </row>
    <row r="20" spans="1:253" ht="12.75" customHeight="1">
      <c r="A20" s="1020" t="s">
        <v>4991</v>
      </c>
      <c r="B20" s="3829">
        <v>70</v>
      </c>
      <c r="C20" s="4626"/>
      <c r="D20" s="3901"/>
      <c r="E20" s="925"/>
      <c r="F20" s="3"/>
      <c r="G20" s="3"/>
      <c r="H20" s="3"/>
      <c r="I20" s="3"/>
      <c r="N20" s="14"/>
      <c r="O20" s="14"/>
      <c r="P20" s="14"/>
    </row>
    <row r="21" spans="1:253" ht="12.75" customHeight="1">
      <c r="A21" s="1021" t="s">
        <v>1017</v>
      </c>
      <c r="B21" s="3830">
        <v>75</v>
      </c>
      <c r="C21" s="1388"/>
      <c r="D21" s="4565">
        <v>277779</v>
      </c>
      <c r="E21" s="920"/>
      <c r="F21" s="3"/>
      <c r="G21" s="3"/>
      <c r="H21" s="3"/>
      <c r="I21" s="3"/>
    </row>
    <row r="22" spans="1:253" s="12" customFormat="1" ht="12.75" customHeight="1">
      <c r="A22" s="1022" t="s">
        <v>933</v>
      </c>
      <c r="B22" s="915">
        <v>170</v>
      </c>
      <c r="C22" s="918">
        <f>SUM(C9:C21)</f>
        <v>108216</v>
      </c>
      <c r="D22" s="917">
        <f>SUM(D9:D21)</f>
        <v>434514</v>
      </c>
      <c r="E22" s="918">
        <f>SUM(E9:E21)</f>
        <v>413217</v>
      </c>
      <c r="F22" s="15"/>
      <c r="G22" s="15"/>
      <c r="H22" s="16"/>
      <c r="I22" s="17"/>
    </row>
    <row r="23" spans="1:253" s="12" customFormat="1" ht="12.75" customHeight="1">
      <c r="A23" s="926" t="s">
        <v>934</v>
      </c>
      <c r="B23" s="915">
        <v>175</v>
      </c>
      <c r="C23" s="918">
        <f>C219</f>
        <v>108216</v>
      </c>
      <c r="D23" s="917">
        <f>D219</f>
        <v>452310</v>
      </c>
      <c r="E23" s="918">
        <f>E219</f>
        <v>413217</v>
      </c>
      <c r="F23" s="15"/>
      <c r="G23" s="15"/>
      <c r="H23" s="16"/>
      <c r="I23" s="17"/>
    </row>
    <row r="24" spans="1:253" s="12" customFormat="1" ht="12.75" customHeight="1">
      <c r="A24" s="926" t="s">
        <v>935</v>
      </c>
      <c r="B24" s="915">
        <v>190</v>
      </c>
      <c r="C24" s="918">
        <f>C22-C23</f>
        <v>0</v>
      </c>
      <c r="D24" s="917">
        <f>D22-D23</f>
        <v>-17796</v>
      </c>
      <c r="E24" s="918">
        <f>IF(E22&lt;E23,"ERROR",E22-E23)</f>
        <v>0</v>
      </c>
      <c r="F24" s="15"/>
      <c r="G24" s="321" t="str">
        <f>IF(E24="ERROR","Expenditures must be less than or equal to the Resources Available","")</f>
        <v/>
      </c>
      <c r="H24" s="18"/>
      <c r="I24" s="15"/>
      <c r="J24" s="15"/>
      <c r="K24" s="15"/>
    </row>
    <row r="25" spans="1:253" ht="24" customHeight="1">
      <c r="A25" s="6103" t="s">
        <v>4937</v>
      </c>
      <c r="B25" s="6103"/>
      <c r="C25" s="6103"/>
      <c r="D25" s="6103"/>
      <c r="E25" s="6103"/>
      <c r="F25" s="3"/>
      <c r="G25" s="3"/>
      <c r="H25" s="3"/>
      <c r="I25" s="3"/>
      <c r="J25" s="3"/>
      <c r="K25" s="3"/>
    </row>
    <row r="26" spans="1:253" ht="26.25" customHeight="1">
      <c r="A26" s="6104" t="s">
        <v>4938</v>
      </c>
      <c r="B26" s="6104"/>
      <c r="C26" s="6104"/>
      <c r="D26" s="6104"/>
      <c r="E26" s="6104"/>
      <c r="F26" s="3"/>
      <c r="G26" s="3"/>
      <c r="H26" s="3"/>
      <c r="I26" s="3"/>
      <c r="J26" s="3"/>
      <c r="K26" s="3"/>
    </row>
    <row r="27" spans="1:253" ht="27" customHeight="1">
      <c r="A27" s="6104" t="s">
        <v>4939</v>
      </c>
      <c r="B27" s="6104"/>
      <c r="C27" s="6104"/>
      <c r="D27" s="6104"/>
      <c r="E27" s="6104"/>
      <c r="F27" s="3"/>
      <c r="G27" s="3"/>
      <c r="H27" s="3"/>
      <c r="I27" s="3"/>
      <c r="J27" s="3"/>
      <c r="K27" s="3"/>
    </row>
    <row r="28" spans="1:253" ht="12.75" customHeight="1">
      <c r="A28" s="3921"/>
      <c r="B28" s="3921"/>
      <c r="C28" s="3921"/>
      <c r="D28" s="3921"/>
      <c r="E28" s="3921"/>
      <c r="F28" s="3"/>
      <c r="G28" s="3"/>
      <c r="H28" s="3"/>
      <c r="I28" s="3"/>
      <c r="J28" s="3"/>
      <c r="K28" s="3"/>
    </row>
    <row r="29" spans="1:253" ht="12.75" customHeight="1">
      <c r="A29" s="942" t="s">
        <v>835</v>
      </c>
      <c r="B29" s="4252">
        <f>OPEN!$B$4</f>
        <v>237</v>
      </c>
      <c r="D29" s="6102" t="s">
        <v>836</v>
      </c>
      <c r="E29" s="6102"/>
      <c r="F29" s="3"/>
      <c r="G29" s="4"/>
      <c r="H29" s="4"/>
      <c r="I29" s="20"/>
      <c r="J29" s="20"/>
      <c r="M29" s="6"/>
      <c r="N29" s="3"/>
      <c r="O29" s="4"/>
      <c r="P29" s="4"/>
      <c r="Q29" s="20"/>
      <c r="R29" s="20"/>
      <c r="U29" s="6"/>
      <c r="V29" s="3"/>
      <c r="W29" s="4"/>
      <c r="X29" s="4"/>
      <c r="Y29" s="20"/>
      <c r="Z29" s="20"/>
      <c r="AC29" s="6"/>
      <c r="AD29" s="3"/>
      <c r="AE29" s="4"/>
      <c r="AF29" s="4"/>
      <c r="AG29" s="20"/>
      <c r="AH29" s="20"/>
      <c r="AK29" s="6"/>
      <c r="AL29" s="3"/>
      <c r="AM29" s="4"/>
      <c r="AN29" s="4"/>
      <c r="AO29" s="20"/>
      <c r="AP29" s="20"/>
      <c r="AS29" s="6"/>
      <c r="AT29" s="3"/>
      <c r="AU29" s="4"/>
      <c r="AV29" s="4"/>
      <c r="AW29" s="20"/>
      <c r="AX29" s="20"/>
      <c r="BA29" s="6"/>
      <c r="BB29" s="3"/>
      <c r="BC29" s="4"/>
      <c r="BD29" s="4"/>
      <c r="BE29" s="20"/>
      <c r="BF29" s="20"/>
      <c r="BI29" s="6"/>
      <c r="BJ29" s="3"/>
      <c r="BK29" s="4"/>
      <c r="BL29" s="4"/>
      <c r="BM29" s="20"/>
      <c r="BN29" s="20"/>
      <c r="BQ29" s="6"/>
      <c r="BR29" s="3"/>
      <c r="BS29" s="4"/>
      <c r="BT29" s="4"/>
      <c r="BU29" s="20"/>
      <c r="BV29" s="20"/>
      <c r="BY29" s="6"/>
      <c r="BZ29" s="3"/>
      <c r="CA29" s="4"/>
      <c r="CB29" s="4"/>
      <c r="CC29" s="20"/>
      <c r="CD29" s="20"/>
      <c r="CG29" s="6"/>
      <c r="CH29" s="3"/>
      <c r="CI29" s="4"/>
      <c r="CJ29" s="4"/>
      <c r="CK29" s="20"/>
      <c r="CL29" s="20"/>
      <c r="CO29" s="6"/>
      <c r="CP29" s="3"/>
      <c r="CQ29" s="4"/>
      <c r="CR29" s="4"/>
      <c r="CS29" s="20"/>
      <c r="CT29" s="20"/>
      <c r="CW29" s="6"/>
      <c r="CX29" s="3"/>
      <c r="CY29" s="4"/>
      <c r="CZ29" s="4"/>
      <c r="DA29" s="20"/>
      <c r="DB29" s="20"/>
      <c r="DE29" s="6"/>
      <c r="DF29" s="3"/>
      <c r="DG29" s="4"/>
      <c r="DH29" s="4"/>
      <c r="DI29" s="20"/>
      <c r="DJ29" s="20"/>
      <c r="DM29" s="6"/>
      <c r="DN29" s="3"/>
      <c r="DO29" s="4"/>
      <c r="DP29" s="4"/>
      <c r="DQ29" s="20"/>
      <c r="DR29" s="20"/>
      <c r="DU29" s="6"/>
      <c r="DV29" s="3"/>
      <c r="DW29" s="4"/>
      <c r="DX29" s="4"/>
      <c r="DY29" s="20"/>
      <c r="DZ29" s="20"/>
      <c r="EC29" s="6"/>
      <c r="ED29" s="3"/>
      <c r="EE29" s="4"/>
      <c r="EF29" s="4"/>
      <c r="EG29" s="20"/>
      <c r="EH29" s="20"/>
      <c r="EK29" s="6"/>
      <c r="EL29" s="3"/>
      <c r="EM29" s="4"/>
      <c r="EN29" s="4"/>
      <c r="EO29" s="20"/>
      <c r="EP29" s="20"/>
      <c r="ES29" s="6"/>
      <c r="ET29" s="3"/>
      <c r="EU29" s="4"/>
      <c r="EV29" s="4"/>
      <c r="EW29" s="20"/>
      <c r="EX29" s="20"/>
      <c r="FA29" s="6"/>
      <c r="FB29" s="3"/>
      <c r="FC29" s="4"/>
      <c r="FD29" s="4"/>
      <c r="FE29" s="20"/>
      <c r="FF29" s="20"/>
      <c r="FI29" s="6"/>
      <c r="FJ29" s="3"/>
      <c r="FK29" s="4"/>
      <c r="FL29" s="4"/>
      <c r="FM29" s="20"/>
      <c r="FN29" s="20"/>
      <c r="FQ29" s="6"/>
      <c r="FR29" s="3"/>
      <c r="FS29" s="4"/>
      <c r="FT29" s="4"/>
      <c r="FU29" s="20"/>
      <c r="FV29" s="20"/>
      <c r="FY29" s="6"/>
      <c r="FZ29" s="3"/>
      <c r="GA29" s="4"/>
      <c r="GB29" s="4"/>
      <c r="GC29" s="20"/>
      <c r="GD29" s="20"/>
      <c r="GG29" s="6"/>
      <c r="GH29" s="3"/>
      <c r="GI29" s="4"/>
      <c r="GJ29" s="4"/>
      <c r="GK29" s="20"/>
      <c r="GL29" s="20"/>
      <c r="GO29" s="6"/>
      <c r="GP29" s="3"/>
      <c r="GQ29" s="4"/>
      <c r="GR29" s="4"/>
      <c r="GS29" s="20"/>
      <c r="GT29" s="20"/>
      <c r="GW29" s="6"/>
      <c r="GX29" s="3"/>
      <c r="GY29" s="4"/>
      <c r="GZ29" s="4"/>
      <c r="HA29" s="20"/>
      <c r="HB29" s="20"/>
      <c r="HE29" s="6"/>
      <c r="HF29" s="3"/>
      <c r="HG29" s="4"/>
      <c r="HH29" s="4"/>
      <c r="HI29" s="20"/>
      <c r="HJ29" s="20"/>
      <c r="HM29" s="6"/>
      <c r="HN29" s="3"/>
      <c r="HO29" s="4"/>
      <c r="HP29" s="4"/>
      <c r="HQ29" s="20"/>
      <c r="HR29" s="20"/>
      <c r="HU29" s="6"/>
      <c r="HV29" s="3"/>
      <c r="HW29" s="4"/>
      <c r="HX29" s="4"/>
      <c r="HY29" s="20"/>
      <c r="HZ29" s="20"/>
      <c r="IC29" s="6"/>
      <c r="ID29" s="3"/>
      <c r="IE29" s="4"/>
      <c r="IF29" s="4"/>
      <c r="IG29" s="20"/>
      <c r="IH29" s="20"/>
      <c r="IK29" s="6"/>
      <c r="IL29" s="3"/>
      <c r="IM29" s="4"/>
      <c r="IN29" s="4"/>
      <c r="IO29" s="20"/>
      <c r="IP29" s="20"/>
      <c r="IS29" s="6"/>
    </row>
    <row r="30" spans="1:253" ht="12.75" customHeight="1">
      <c r="A30" s="899"/>
      <c r="B30" s="900"/>
      <c r="C30" s="903"/>
      <c r="D30" s="6102" t="s">
        <v>921</v>
      </c>
      <c r="E30" s="6102"/>
      <c r="F30" s="3"/>
      <c r="G30" s="4"/>
      <c r="H30" s="4"/>
      <c r="I30" s="7"/>
      <c r="J30" s="7"/>
      <c r="M30" s="6"/>
      <c r="N30" s="3"/>
      <c r="O30" s="4"/>
      <c r="P30" s="4"/>
      <c r="Q30" s="7"/>
      <c r="R30" s="7"/>
      <c r="U30" s="6"/>
      <c r="V30" s="3"/>
      <c r="W30" s="4"/>
      <c r="X30" s="4"/>
      <c r="Y30" s="7"/>
      <c r="Z30" s="7"/>
      <c r="AC30" s="6"/>
      <c r="AD30" s="3"/>
      <c r="AE30" s="4"/>
      <c r="AF30" s="4"/>
      <c r="AG30" s="7"/>
      <c r="AH30" s="7"/>
      <c r="AK30" s="6"/>
      <c r="AL30" s="3"/>
      <c r="AM30" s="4"/>
      <c r="AN30" s="4"/>
      <c r="AO30" s="7"/>
      <c r="AP30" s="7"/>
      <c r="AS30" s="6"/>
      <c r="AT30" s="3"/>
      <c r="AU30" s="4"/>
      <c r="AV30" s="4"/>
      <c r="AW30" s="7"/>
      <c r="AX30" s="7"/>
      <c r="BA30" s="6"/>
      <c r="BB30" s="3"/>
      <c r="BC30" s="4"/>
      <c r="BD30" s="4"/>
      <c r="BE30" s="7"/>
      <c r="BF30" s="7"/>
      <c r="BI30" s="6"/>
      <c r="BJ30" s="3"/>
      <c r="BK30" s="4"/>
      <c r="BL30" s="4"/>
      <c r="BM30" s="7"/>
      <c r="BN30" s="7"/>
      <c r="BQ30" s="6"/>
      <c r="BR30" s="3"/>
      <c r="BS30" s="4"/>
      <c r="BT30" s="4"/>
      <c r="BU30" s="7"/>
      <c r="BV30" s="7"/>
      <c r="BY30" s="6"/>
      <c r="BZ30" s="3"/>
      <c r="CA30" s="4"/>
      <c r="CB30" s="4"/>
      <c r="CC30" s="7"/>
      <c r="CD30" s="7"/>
      <c r="CG30" s="6"/>
      <c r="CH30" s="3"/>
      <c r="CI30" s="4"/>
      <c r="CJ30" s="4"/>
      <c r="CK30" s="7"/>
      <c r="CL30" s="7"/>
      <c r="CO30" s="6"/>
      <c r="CP30" s="3"/>
      <c r="CQ30" s="4"/>
      <c r="CR30" s="4"/>
      <c r="CS30" s="7"/>
      <c r="CT30" s="7"/>
      <c r="CW30" s="6"/>
      <c r="CX30" s="3"/>
      <c r="CY30" s="4"/>
      <c r="CZ30" s="4"/>
      <c r="DA30" s="7"/>
      <c r="DB30" s="7"/>
      <c r="DE30" s="6"/>
      <c r="DF30" s="3"/>
      <c r="DG30" s="4"/>
      <c r="DH30" s="4"/>
      <c r="DI30" s="7"/>
      <c r="DJ30" s="7"/>
      <c r="DM30" s="6"/>
      <c r="DN30" s="3"/>
      <c r="DO30" s="4"/>
      <c r="DP30" s="4"/>
      <c r="DQ30" s="7"/>
      <c r="DR30" s="7"/>
      <c r="DU30" s="6"/>
      <c r="DV30" s="3"/>
      <c r="DW30" s="4"/>
      <c r="DX30" s="4"/>
      <c r="DY30" s="7"/>
      <c r="DZ30" s="7"/>
      <c r="EC30" s="6"/>
      <c r="ED30" s="3"/>
      <c r="EE30" s="4"/>
      <c r="EF30" s="4"/>
      <c r="EG30" s="7"/>
      <c r="EH30" s="7"/>
      <c r="EK30" s="6"/>
      <c r="EL30" s="3"/>
      <c r="EM30" s="4"/>
      <c r="EN30" s="4"/>
      <c r="EO30" s="7"/>
      <c r="EP30" s="7"/>
      <c r="ES30" s="6"/>
      <c r="ET30" s="3"/>
      <c r="EU30" s="4"/>
      <c r="EV30" s="4"/>
      <c r="EW30" s="7"/>
      <c r="EX30" s="7"/>
      <c r="FA30" s="6"/>
      <c r="FB30" s="3"/>
      <c r="FC30" s="4"/>
      <c r="FD30" s="4"/>
      <c r="FE30" s="7"/>
      <c r="FF30" s="7"/>
      <c r="FI30" s="6"/>
      <c r="FJ30" s="3"/>
      <c r="FK30" s="4"/>
      <c r="FL30" s="4"/>
      <c r="FM30" s="7"/>
      <c r="FN30" s="7"/>
      <c r="FQ30" s="6"/>
      <c r="FR30" s="3"/>
      <c r="FS30" s="4"/>
      <c r="FT30" s="4"/>
      <c r="FU30" s="7"/>
      <c r="FV30" s="7"/>
      <c r="FY30" s="6"/>
      <c r="FZ30" s="3"/>
      <c r="GA30" s="4"/>
      <c r="GB30" s="4"/>
      <c r="GC30" s="7"/>
      <c r="GD30" s="7"/>
      <c r="GG30" s="6"/>
      <c r="GH30" s="3"/>
      <c r="GI30" s="4"/>
      <c r="GJ30" s="4"/>
      <c r="GK30" s="7"/>
      <c r="GL30" s="7"/>
      <c r="GO30" s="6"/>
      <c r="GP30" s="3"/>
      <c r="GQ30" s="4"/>
      <c r="GR30" s="4"/>
      <c r="GS30" s="7"/>
      <c r="GT30" s="7"/>
      <c r="GW30" s="6"/>
      <c r="GX30" s="3"/>
      <c r="GY30" s="4"/>
      <c r="GZ30" s="4"/>
      <c r="HA30" s="7"/>
      <c r="HB30" s="7"/>
      <c r="HE30" s="6"/>
      <c r="HF30" s="3"/>
      <c r="HG30" s="4"/>
      <c r="HH30" s="4"/>
      <c r="HI30" s="7"/>
      <c r="HJ30" s="7"/>
      <c r="HM30" s="6"/>
      <c r="HN30" s="3"/>
      <c r="HO30" s="4"/>
      <c r="HP30" s="4"/>
      <c r="HQ30" s="7"/>
      <c r="HR30" s="7"/>
      <c r="HU30" s="6"/>
      <c r="HV30" s="3"/>
      <c r="HW30" s="4"/>
      <c r="HX30" s="4"/>
      <c r="HY30" s="7"/>
      <c r="HZ30" s="7"/>
      <c r="IC30" s="6"/>
      <c r="ID30" s="3"/>
      <c r="IE30" s="4"/>
      <c r="IF30" s="4"/>
      <c r="IG30" s="7"/>
      <c r="IH30" s="7"/>
      <c r="IK30" s="6"/>
      <c r="IL30" s="3"/>
      <c r="IM30" s="4"/>
      <c r="IN30" s="4"/>
      <c r="IO30" s="7"/>
      <c r="IP30" s="7"/>
      <c r="IS30" s="6"/>
    </row>
    <row r="31" spans="1:253" ht="12.75" customHeight="1">
      <c r="A31" s="899"/>
      <c r="B31" s="900"/>
      <c r="C31" s="899"/>
      <c r="D31" s="6102" t="str">
        <f>D3</f>
        <v>2021-2022</v>
      </c>
      <c r="E31" s="6102"/>
      <c r="F31" s="3"/>
      <c r="G31" s="4"/>
      <c r="H31" s="4"/>
      <c r="I31" s="3"/>
      <c r="J31" s="3"/>
      <c r="K31" s="6"/>
      <c r="L31" s="6"/>
      <c r="M31" s="6"/>
      <c r="N31" s="3"/>
      <c r="O31" s="4"/>
      <c r="P31" s="4"/>
      <c r="Q31" s="3"/>
      <c r="R31" s="3"/>
      <c r="S31" s="6"/>
      <c r="T31" s="6"/>
      <c r="U31" s="6"/>
      <c r="V31" s="3"/>
      <c r="W31" s="4"/>
      <c r="X31" s="4"/>
      <c r="Y31" s="3"/>
      <c r="Z31" s="3"/>
      <c r="AA31" s="6"/>
      <c r="AB31" s="6"/>
      <c r="AC31" s="6"/>
      <c r="AD31" s="3"/>
      <c r="AE31" s="4"/>
      <c r="AF31" s="4"/>
      <c r="AG31" s="3"/>
      <c r="AH31" s="3"/>
      <c r="AI31" s="6"/>
      <c r="AJ31" s="6"/>
      <c r="AK31" s="6"/>
      <c r="AL31" s="3"/>
      <c r="AM31" s="4"/>
      <c r="AN31" s="4"/>
      <c r="AO31" s="3"/>
      <c r="AP31" s="3"/>
      <c r="AQ31" s="6"/>
      <c r="AR31" s="6"/>
      <c r="AS31" s="6"/>
      <c r="AT31" s="3"/>
      <c r="AU31" s="4"/>
      <c r="AV31" s="4"/>
      <c r="AW31" s="3"/>
      <c r="AX31" s="3"/>
      <c r="AY31" s="6"/>
      <c r="AZ31" s="6"/>
      <c r="BA31" s="6"/>
      <c r="BB31" s="3"/>
      <c r="BC31" s="4"/>
      <c r="BD31" s="4"/>
      <c r="BE31" s="3"/>
      <c r="BF31" s="3"/>
      <c r="BG31" s="6"/>
      <c r="BH31" s="6"/>
      <c r="BI31" s="6"/>
      <c r="BJ31" s="3"/>
      <c r="BK31" s="4"/>
      <c r="BL31" s="4"/>
      <c r="BM31" s="3"/>
      <c r="BN31" s="3"/>
      <c r="BO31" s="6"/>
      <c r="BP31" s="6"/>
      <c r="BQ31" s="6"/>
      <c r="BR31" s="3"/>
      <c r="BS31" s="4"/>
      <c r="BT31" s="4"/>
      <c r="BU31" s="3"/>
      <c r="BV31" s="3"/>
      <c r="BW31" s="6"/>
      <c r="BX31" s="6"/>
      <c r="BY31" s="6"/>
      <c r="BZ31" s="3"/>
      <c r="CA31" s="4"/>
      <c r="CB31" s="4"/>
      <c r="CC31" s="3"/>
      <c r="CD31" s="3"/>
      <c r="CE31" s="6"/>
      <c r="CF31" s="6"/>
      <c r="CG31" s="6"/>
      <c r="CH31" s="3"/>
      <c r="CI31" s="4"/>
      <c r="CJ31" s="4"/>
      <c r="CK31" s="3"/>
      <c r="CL31" s="3"/>
      <c r="CM31" s="6"/>
      <c r="CN31" s="6"/>
      <c r="CO31" s="6"/>
      <c r="CP31" s="3"/>
      <c r="CQ31" s="4"/>
      <c r="CR31" s="4"/>
      <c r="CS31" s="3"/>
      <c r="CT31" s="3"/>
      <c r="CU31" s="6"/>
      <c r="CV31" s="6"/>
      <c r="CW31" s="6"/>
      <c r="CX31" s="3"/>
      <c r="CY31" s="4"/>
      <c r="CZ31" s="4"/>
      <c r="DA31" s="3"/>
      <c r="DB31" s="3"/>
      <c r="DC31" s="6"/>
      <c r="DD31" s="6"/>
      <c r="DE31" s="6"/>
      <c r="DF31" s="3"/>
      <c r="DG31" s="4"/>
      <c r="DH31" s="4"/>
      <c r="DI31" s="3"/>
      <c r="DJ31" s="3"/>
      <c r="DK31" s="6"/>
      <c r="DL31" s="6"/>
      <c r="DM31" s="6"/>
      <c r="DN31" s="3"/>
      <c r="DO31" s="4"/>
      <c r="DP31" s="4"/>
      <c r="DQ31" s="3"/>
      <c r="DR31" s="3"/>
      <c r="DS31" s="6"/>
      <c r="DT31" s="6"/>
      <c r="DU31" s="6"/>
      <c r="DV31" s="3"/>
      <c r="DW31" s="4"/>
      <c r="DX31" s="4"/>
      <c r="DY31" s="3"/>
      <c r="DZ31" s="3"/>
      <c r="EA31" s="6"/>
      <c r="EB31" s="6"/>
      <c r="EC31" s="6"/>
      <c r="ED31" s="3"/>
      <c r="EE31" s="4"/>
      <c r="EF31" s="4"/>
      <c r="EG31" s="3"/>
      <c r="EH31" s="3"/>
      <c r="EI31" s="6"/>
      <c r="EJ31" s="6"/>
      <c r="EK31" s="6"/>
      <c r="EL31" s="3"/>
      <c r="EM31" s="4"/>
      <c r="EN31" s="4"/>
      <c r="EO31" s="3"/>
      <c r="EP31" s="3"/>
      <c r="EQ31" s="6"/>
      <c r="ER31" s="6"/>
      <c r="ES31" s="6"/>
      <c r="ET31" s="3"/>
      <c r="EU31" s="4"/>
      <c r="EV31" s="4"/>
      <c r="EW31" s="3"/>
      <c r="EX31" s="3"/>
      <c r="EY31" s="6"/>
      <c r="EZ31" s="6"/>
      <c r="FA31" s="6"/>
      <c r="FB31" s="3"/>
      <c r="FC31" s="4"/>
      <c r="FD31" s="4"/>
      <c r="FE31" s="3"/>
      <c r="FF31" s="3"/>
      <c r="FG31" s="6"/>
      <c r="FH31" s="6"/>
      <c r="FI31" s="6"/>
      <c r="FJ31" s="3"/>
      <c r="FK31" s="4"/>
      <c r="FL31" s="4"/>
      <c r="FM31" s="3"/>
      <c r="FN31" s="3"/>
      <c r="FO31" s="6"/>
      <c r="FP31" s="6"/>
      <c r="FQ31" s="6"/>
      <c r="FR31" s="3"/>
      <c r="FS31" s="4"/>
      <c r="FT31" s="4"/>
      <c r="FU31" s="3"/>
      <c r="FV31" s="3"/>
      <c r="FW31" s="6"/>
      <c r="FX31" s="6"/>
      <c r="FY31" s="6"/>
      <c r="FZ31" s="3"/>
      <c r="GA31" s="4"/>
      <c r="GB31" s="4"/>
      <c r="GC31" s="3"/>
      <c r="GD31" s="3"/>
      <c r="GE31" s="6"/>
      <c r="GF31" s="6"/>
      <c r="GG31" s="6"/>
      <c r="GH31" s="3"/>
      <c r="GI31" s="4"/>
      <c r="GJ31" s="4"/>
      <c r="GK31" s="3"/>
      <c r="GL31" s="3"/>
      <c r="GM31" s="6"/>
      <c r="GN31" s="6"/>
      <c r="GO31" s="6"/>
      <c r="GP31" s="3"/>
      <c r="GQ31" s="4"/>
      <c r="GR31" s="4"/>
      <c r="GS31" s="3"/>
      <c r="GT31" s="3"/>
      <c r="GU31" s="6"/>
      <c r="GV31" s="6"/>
      <c r="GW31" s="6"/>
      <c r="GX31" s="3"/>
      <c r="GY31" s="4"/>
      <c r="GZ31" s="4"/>
      <c r="HA31" s="3"/>
      <c r="HB31" s="3"/>
      <c r="HC31" s="6"/>
      <c r="HD31" s="6"/>
      <c r="HE31" s="6"/>
      <c r="HF31" s="3"/>
      <c r="HG31" s="4"/>
      <c r="HH31" s="4"/>
      <c r="HI31" s="3"/>
      <c r="HJ31" s="3"/>
      <c r="HK31" s="6"/>
      <c r="HL31" s="6"/>
      <c r="HM31" s="6"/>
      <c r="HN31" s="3"/>
      <c r="HO31" s="4"/>
      <c r="HP31" s="4"/>
      <c r="HQ31" s="3"/>
      <c r="HR31" s="3"/>
      <c r="HS31" s="6"/>
      <c r="HT31" s="6"/>
      <c r="HU31" s="6"/>
      <c r="HV31" s="3"/>
      <c r="HW31" s="4"/>
      <c r="HX31" s="4"/>
      <c r="HY31" s="3"/>
      <c r="HZ31" s="3"/>
      <c r="IA31" s="6"/>
      <c r="IB31" s="6"/>
      <c r="IC31" s="6"/>
      <c r="ID31" s="3"/>
      <c r="IE31" s="4"/>
      <c r="IF31" s="4"/>
      <c r="IG31" s="3"/>
      <c r="IH31" s="3"/>
      <c r="II31" s="6"/>
      <c r="IJ31" s="6"/>
      <c r="IK31" s="6"/>
      <c r="IL31" s="3"/>
      <c r="IM31" s="4"/>
      <c r="IN31" s="4"/>
      <c r="IO31" s="3"/>
      <c r="IP31" s="3"/>
      <c r="IQ31" s="6"/>
      <c r="IR31" s="6"/>
      <c r="IS31" s="6"/>
    </row>
    <row r="32" spans="1:253" ht="12.75" customHeight="1">
      <c r="A32" s="899"/>
      <c r="B32" s="900"/>
      <c r="C32" s="899"/>
      <c r="D32" s="899"/>
      <c r="E32" s="899"/>
      <c r="F32" s="3"/>
      <c r="G32" s="4"/>
      <c r="H32" s="4"/>
      <c r="I32" s="3"/>
      <c r="J32" s="3"/>
      <c r="K32" s="3"/>
      <c r="L32" s="3"/>
      <c r="M32" s="3"/>
      <c r="N32" s="3"/>
      <c r="O32" s="4"/>
      <c r="P32" s="4"/>
      <c r="Q32" s="3"/>
      <c r="R32" s="3"/>
      <c r="S32" s="3"/>
      <c r="T32" s="3"/>
      <c r="U32" s="3"/>
      <c r="V32" s="3"/>
      <c r="W32" s="4"/>
      <c r="X32" s="4"/>
      <c r="Y32" s="3"/>
      <c r="Z32" s="3"/>
      <c r="AA32" s="3"/>
      <c r="AB32" s="3"/>
      <c r="AC32" s="3"/>
      <c r="AD32" s="3"/>
      <c r="AE32" s="4"/>
      <c r="AF32" s="4"/>
      <c r="AG32" s="3"/>
      <c r="AH32" s="3"/>
      <c r="AI32" s="3"/>
      <c r="AJ32" s="3"/>
      <c r="AK32" s="3"/>
      <c r="AL32" s="3"/>
      <c r="AM32" s="4"/>
      <c r="AN32" s="4"/>
      <c r="AO32" s="3"/>
      <c r="AP32" s="3"/>
      <c r="AQ32" s="3"/>
      <c r="AR32" s="3"/>
      <c r="AS32" s="3"/>
      <c r="AT32" s="3"/>
      <c r="AU32" s="4"/>
      <c r="AV32" s="4"/>
      <c r="AW32" s="3"/>
      <c r="AX32" s="3"/>
      <c r="AY32" s="3"/>
      <c r="AZ32" s="3"/>
      <c r="BA32" s="3"/>
      <c r="BB32" s="3"/>
      <c r="BC32" s="4"/>
      <c r="BD32" s="4"/>
      <c r="BE32" s="3"/>
      <c r="BF32" s="3"/>
      <c r="BG32" s="3"/>
      <c r="BH32" s="3"/>
      <c r="BI32" s="3"/>
      <c r="BJ32" s="3"/>
      <c r="BK32" s="4"/>
      <c r="BL32" s="4"/>
      <c r="BM32" s="3"/>
      <c r="BN32" s="3"/>
      <c r="BO32" s="3"/>
      <c r="BP32" s="3"/>
      <c r="BQ32" s="3"/>
      <c r="BR32" s="3"/>
      <c r="BS32" s="4"/>
      <c r="BT32" s="4"/>
      <c r="BU32" s="3"/>
      <c r="BV32" s="3"/>
      <c r="BW32" s="3"/>
      <c r="BX32" s="3"/>
      <c r="BY32" s="3"/>
      <c r="BZ32" s="3"/>
      <c r="CA32" s="4"/>
      <c r="CB32" s="4"/>
      <c r="CC32" s="3"/>
      <c r="CD32" s="3"/>
      <c r="CE32" s="3"/>
      <c r="CF32" s="3"/>
      <c r="CG32" s="3"/>
      <c r="CH32" s="3"/>
      <c r="CI32" s="4"/>
      <c r="CJ32" s="4"/>
      <c r="CK32" s="3"/>
      <c r="CL32" s="3"/>
      <c r="CM32" s="3"/>
      <c r="CN32" s="3"/>
      <c r="CO32" s="3"/>
      <c r="CP32" s="3"/>
      <c r="CQ32" s="4"/>
      <c r="CR32" s="4"/>
      <c r="CS32" s="3"/>
      <c r="CT32" s="3"/>
      <c r="CU32" s="3"/>
      <c r="CV32" s="3"/>
      <c r="CW32" s="3"/>
      <c r="CX32" s="3"/>
      <c r="CY32" s="4"/>
      <c r="CZ32" s="4"/>
      <c r="DA32" s="3"/>
      <c r="DB32" s="3"/>
      <c r="DC32" s="3"/>
      <c r="DD32" s="3"/>
      <c r="DE32" s="3"/>
      <c r="DF32" s="3"/>
      <c r="DG32" s="4"/>
      <c r="DH32" s="4"/>
      <c r="DI32" s="3"/>
      <c r="DJ32" s="3"/>
      <c r="DK32" s="3"/>
      <c r="DL32" s="3"/>
      <c r="DM32" s="3"/>
      <c r="DN32" s="3"/>
      <c r="DO32" s="4"/>
      <c r="DP32" s="4"/>
      <c r="DQ32" s="3"/>
      <c r="DR32" s="3"/>
      <c r="DS32" s="3"/>
      <c r="DT32" s="3"/>
      <c r="DU32" s="3"/>
      <c r="DV32" s="3"/>
      <c r="DW32" s="4"/>
      <c r="DX32" s="4"/>
      <c r="DY32" s="3"/>
      <c r="DZ32" s="3"/>
      <c r="EA32" s="3"/>
      <c r="EB32" s="3"/>
      <c r="EC32" s="3"/>
      <c r="ED32" s="3"/>
      <c r="EE32" s="4"/>
      <c r="EF32" s="4"/>
      <c r="EG32" s="3"/>
      <c r="EH32" s="3"/>
      <c r="EI32" s="3"/>
      <c r="EJ32" s="3"/>
      <c r="EK32" s="3"/>
      <c r="EL32" s="3"/>
      <c r="EM32" s="4"/>
      <c r="EN32" s="4"/>
      <c r="EO32" s="3"/>
      <c r="EP32" s="3"/>
      <c r="EQ32" s="3"/>
      <c r="ER32" s="3"/>
      <c r="ES32" s="3"/>
      <c r="ET32" s="3"/>
      <c r="EU32" s="4"/>
      <c r="EV32" s="4"/>
      <c r="EW32" s="3"/>
      <c r="EX32" s="3"/>
      <c r="EY32" s="3"/>
      <c r="EZ32" s="3"/>
      <c r="FA32" s="3"/>
      <c r="FB32" s="3"/>
      <c r="FC32" s="4"/>
      <c r="FD32" s="4"/>
      <c r="FE32" s="3"/>
      <c r="FF32" s="3"/>
      <c r="FG32" s="3"/>
      <c r="FH32" s="3"/>
      <c r="FI32" s="3"/>
      <c r="FJ32" s="3"/>
      <c r="FK32" s="4"/>
      <c r="FL32" s="4"/>
      <c r="FM32" s="3"/>
      <c r="FN32" s="3"/>
      <c r="FO32" s="3"/>
      <c r="FP32" s="3"/>
      <c r="FQ32" s="3"/>
      <c r="FR32" s="3"/>
      <c r="FS32" s="4"/>
      <c r="FT32" s="4"/>
      <c r="FU32" s="3"/>
      <c r="FV32" s="3"/>
      <c r="FW32" s="3"/>
      <c r="FX32" s="3"/>
      <c r="FY32" s="3"/>
      <c r="FZ32" s="3"/>
      <c r="GA32" s="4"/>
      <c r="GB32" s="4"/>
      <c r="GC32" s="3"/>
      <c r="GD32" s="3"/>
      <c r="GE32" s="3"/>
      <c r="GF32" s="3"/>
      <c r="GG32" s="3"/>
      <c r="GH32" s="3"/>
      <c r="GI32" s="4"/>
      <c r="GJ32" s="4"/>
      <c r="GK32" s="3"/>
      <c r="GL32" s="3"/>
      <c r="GM32" s="3"/>
      <c r="GN32" s="3"/>
      <c r="GO32" s="3"/>
      <c r="GP32" s="3"/>
      <c r="GQ32" s="4"/>
      <c r="GR32" s="4"/>
      <c r="GS32" s="3"/>
      <c r="GT32" s="3"/>
      <c r="GU32" s="3"/>
      <c r="GV32" s="3"/>
      <c r="GW32" s="3"/>
      <c r="GX32" s="3"/>
      <c r="GY32" s="4"/>
      <c r="GZ32" s="4"/>
      <c r="HA32" s="3"/>
      <c r="HB32" s="3"/>
      <c r="HC32" s="3"/>
      <c r="HD32" s="3"/>
      <c r="HE32" s="3"/>
      <c r="HF32" s="3"/>
      <c r="HG32" s="4"/>
      <c r="HH32" s="4"/>
      <c r="HI32" s="3"/>
      <c r="HJ32" s="3"/>
      <c r="HK32" s="3"/>
      <c r="HL32" s="3"/>
      <c r="HM32" s="3"/>
      <c r="HN32" s="3"/>
      <c r="HO32" s="4"/>
      <c r="HP32" s="4"/>
      <c r="HQ32" s="3"/>
      <c r="HR32" s="3"/>
      <c r="HS32" s="3"/>
      <c r="HT32" s="3"/>
      <c r="HU32" s="3"/>
      <c r="HV32" s="3"/>
      <c r="HW32" s="4"/>
      <c r="HX32" s="4"/>
      <c r="HY32" s="3"/>
      <c r="HZ32" s="3"/>
      <c r="IA32" s="3"/>
      <c r="IB32" s="3"/>
      <c r="IC32" s="3"/>
      <c r="ID32" s="3"/>
      <c r="IE32" s="4"/>
      <c r="IF32" s="4"/>
      <c r="IG32" s="3"/>
      <c r="IH32" s="3"/>
      <c r="II32" s="3"/>
      <c r="IJ32" s="3"/>
      <c r="IK32" s="3"/>
      <c r="IL32" s="3"/>
      <c r="IM32" s="4"/>
      <c r="IN32" s="4"/>
      <c r="IO32" s="3"/>
      <c r="IP32" s="3"/>
      <c r="IQ32" s="3"/>
      <c r="IR32" s="3"/>
      <c r="IS32" s="3"/>
    </row>
    <row r="33" spans="1:9" ht="12.75" customHeight="1">
      <c r="A33" s="899"/>
      <c r="B33" s="900"/>
      <c r="C33" s="904" t="s">
        <v>922</v>
      </c>
      <c r="D33" s="904" t="s">
        <v>922</v>
      </c>
      <c r="E33" s="904" t="s">
        <v>922</v>
      </c>
      <c r="F33" s="3"/>
      <c r="G33" s="3"/>
      <c r="H33" s="3"/>
      <c r="I33" s="3"/>
    </row>
    <row r="34" spans="1:9" ht="12.75" customHeight="1">
      <c r="A34" s="928" t="str">
        <f>A6</f>
        <v>FEDERAL FUNDS</v>
      </c>
      <c r="B34" s="905" t="s">
        <v>854</v>
      </c>
      <c r="C34" s="906" t="str">
        <f>C$6</f>
        <v>2019-2020</v>
      </c>
      <c r="D34" s="906" t="str">
        <f>D$6</f>
        <v>2020-2021</v>
      </c>
      <c r="E34" s="906" t="str">
        <f>E$6</f>
        <v>2021-2022</v>
      </c>
      <c r="F34" s="3"/>
      <c r="G34" s="3"/>
      <c r="H34" s="3"/>
      <c r="I34" s="3"/>
    </row>
    <row r="35" spans="1:9" ht="12.75" customHeight="1">
      <c r="A35" s="1398" t="str">
        <f>A7</f>
        <v>(Monies Not Included in Other Funds)</v>
      </c>
      <c r="B35" s="908">
        <v>7</v>
      </c>
      <c r="C35" s="909" t="s">
        <v>893</v>
      </c>
      <c r="D35" s="910" t="s">
        <v>893</v>
      </c>
      <c r="E35" s="909" t="s">
        <v>1018</v>
      </c>
      <c r="F35" s="3"/>
      <c r="G35" s="3"/>
      <c r="H35" s="3"/>
      <c r="I35" s="3"/>
    </row>
    <row r="36" spans="1:9" ht="12.75" customHeight="1">
      <c r="A36" s="910"/>
      <c r="B36" s="3989" t="s">
        <v>858</v>
      </c>
      <c r="C36" s="1394">
        <v>1</v>
      </c>
      <c r="D36" s="3981">
        <v>2</v>
      </c>
      <c r="E36" s="1394">
        <v>3</v>
      </c>
      <c r="F36" s="3"/>
      <c r="G36" s="3"/>
      <c r="H36" s="3"/>
      <c r="I36" s="3"/>
    </row>
    <row r="37" spans="1:9" ht="12.75" customHeight="1">
      <c r="A37" s="3990"/>
      <c r="B37" s="3991"/>
      <c r="C37" s="3984"/>
      <c r="D37" s="3984"/>
      <c r="E37" s="3985"/>
      <c r="F37" s="3"/>
      <c r="G37" s="3"/>
      <c r="H37" s="3"/>
      <c r="I37" s="3"/>
    </row>
    <row r="38" spans="1:9" ht="12.75" customHeight="1">
      <c r="A38" s="3992" t="s">
        <v>60</v>
      </c>
      <c r="B38" s="3993"/>
      <c r="C38" s="3993"/>
      <c r="D38" s="3993"/>
      <c r="E38" s="3994"/>
      <c r="F38" s="3"/>
      <c r="G38" s="3"/>
      <c r="H38" s="3"/>
      <c r="I38" s="3"/>
    </row>
    <row r="39" spans="1:9" ht="12.75" customHeight="1">
      <c r="A39" s="3044" t="s">
        <v>940</v>
      </c>
      <c r="B39" s="3055"/>
      <c r="C39" s="3055"/>
      <c r="D39" s="3055"/>
      <c r="E39" s="3055"/>
      <c r="F39" s="3"/>
      <c r="G39" s="3"/>
      <c r="H39" s="3"/>
      <c r="I39" s="3"/>
    </row>
    <row r="40" spans="1:9" ht="12.75" customHeight="1">
      <c r="A40" s="3044" t="s">
        <v>941</v>
      </c>
      <c r="B40" s="3055"/>
      <c r="C40" s="3055"/>
      <c r="D40" s="3055"/>
      <c r="E40" s="3055"/>
      <c r="F40" s="3"/>
      <c r="G40" s="3"/>
      <c r="H40" s="3"/>
      <c r="I40" s="3"/>
    </row>
    <row r="41" spans="1:9" ht="12.75" customHeight="1">
      <c r="A41" s="3047" t="s">
        <v>942</v>
      </c>
      <c r="B41" s="3056">
        <v>210</v>
      </c>
      <c r="C41" s="1388">
        <v>43347</v>
      </c>
      <c r="D41" s="1388">
        <v>43355</v>
      </c>
      <c r="E41" s="1388">
        <v>43355</v>
      </c>
      <c r="F41" s="3"/>
      <c r="G41" s="3"/>
      <c r="H41" s="3"/>
      <c r="I41" s="3"/>
    </row>
    <row r="42" spans="1:9" ht="12.75" customHeight="1">
      <c r="A42" s="3048" t="s">
        <v>943</v>
      </c>
      <c r="B42" s="2019">
        <v>215</v>
      </c>
      <c r="C42" s="2055">
        <v>44936</v>
      </c>
      <c r="D42" s="2055">
        <v>47519</v>
      </c>
      <c r="E42" s="2055">
        <v>47519</v>
      </c>
      <c r="F42" s="3"/>
      <c r="G42" s="3"/>
      <c r="H42" s="3"/>
      <c r="I42" s="3"/>
    </row>
    <row r="43" spans="1:9" ht="12.75" customHeight="1">
      <c r="A43" s="2281" t="s">
        <v>944</v>
      </c>
      <c r="B43" s="1396"/>
      <c r="C43" s="1396"/>
      <c r="D43" s="1396"/>
      <c r="E43" s="1396"/>
      <c r="F43" s="3"/>
      <c r="G43" s="3"/>
      <c r="H43" s="3"/>
      <c r="I43" s="3"/>
    </row>
    <row r="44" spans="1:9" ht="12.75" customHeight="1">
      <c r="A44" s="3047" t="s">
        <v>945</v>
      </c>
      <c r="B44" s="3056">
        <v>220</v>
      </c>
      <c r="C44" s="1388"/>
      <c r="D44" s="1388"/>
      <c r="E44" s="1388"/>
      <c r="F44" s="3"/>
      <c r="G44" s="3"/>
      <c r="H44" s="3"/>
      <c r="I44" s="3"/>
    </row>
    <row r="45" spans="1:9" ht="12.75" customHeight="1">
      <c r="A45" s="3048" t="s">
        <v>946</v>
      </c>
      <c r="B45" s="2019">
        <v>225</v>
      </c>
      <c r="C45" s="2055">
        <v>6590</v>
      </c>
      <c r="D45" s="2055">
        <v>6304</v>
      </c>
      <c r="E45" s="2055">
        <v>6304</v>
      </c>
      <c r="F45" s="3"/>
      <c r="G45" s="3"/>
      <c r="H45" s="3"/>
      <c r="I45" s="3"/>
    </row>
    <row r="46" spans="1:9" ht="12.75" customHeight="1">
      <c r="A46" s="3048" t="s">
        <v>947</v>
      </c>
      <c r="B46" s="2019">
        <v>230</v>
      </c>
      <c r="C46" s="2055">
        <v>579</v>
      </c>
      <c r="D46" s="2055">
        <v>834</v>
      </c>
      <c r="E46" s="2055">
        <v>835</v>
      </c>
      <c r="F46" s="3"/>
      <c r="G46" s="3"/>
      <c r="H46" s="3"/>
      <c r="I46" s="3"/>
    </row>
    <row r="47" spans="1:9" ht="12.75" customHeight="1">
      <c r="A47" s="2279" t="s">
        <v>4818</v>
      </c>
      <c r="B47" s="3056">
        <v>235</v>
      </c>
      <c r="C47" s="1387"/>
      <c r="D47" s="1387"/>
      <c r="E47" s="1387"/>
      <c r="F47" s="3"/>
      <c r="G47" s="3"/>
      <c r="H47" s="3"/>
      <c r="I47" s="3"/>
    </row>
    <row r="48" spans="1:9" ht="12.75" customHeight="1">
      <c r="A48" s="3049" t="s">
        <v>632</v>
      </c>
      <c r="B48" s="3057">
        <v>237</v>
      </c>
      <c r="C48" s="1387"/>
      <c r="D48" s="1387"/>
      <c r="E48" s="1387"/>
      <c r="F48" s="3"/>
      <c r="G48" s="3"/>
      <c r="H48" s="3"/>
      <c r="I48" s="3"/>
    </row>
    <row r="49" spans="1:9" ht="12.75" customHeight="1">
      <c r="A49" s="2281" t="s">
        <v>950</v>
      </c>
      <c r="B49" s="1396"/>
      <c r="C49" s="1396"/>
      <c r="D49" s="1396"/>
      <c r="E49" s="1396"/>
      <c r="F49" s="3"/>
      <c r="G49" s="3"/>
      <c r="H49" s="3"/>
      <c r="I49" s="3"/>
    </row>
    <row r="50" spans="1:9" ht="12.75" customHeight="1">
      <c r="A50" s="3044" t="s">
        <v>951</v>
      </c>
      <c r="B50" s="3055"/>
      <c r="C50" s="3055"/>
      <c r="D50" s="3055"/>
      <c r="E50" s="3055"/>
      <c r="F50" s="3"/>
      <c r="G50" s="3"/>
      <c r="H50" s="3"/>
      <c r="I50" s="3"/>
    </row>
    <row r="51" spans="1:9" ht="12.75" customHeight="1">
      <c r="A51" s="3047" t="s">
        <v>952</v>
      </c>
      <c r="B51" s="3056">
        <v>240</v>
      </c>
      <c r="C51" s="1388"/>
      <c r="D51" s="1388"/>
      <c r="E51" s="1388"/>
      <c r="F51" s="3"/>
      <c r="G51" s="3"/>
      <c r="H51" s="3"/>
      <c r="I51" s="3"/>
    </row>
    <row r="52" spans="1:9" ht="12.75" customHeight="1">
      <c r="A52" s="2281" t="s">
        <v>953</v>
      </c>
      <c r="B52" s="3058">
        <v>245</v>
      </c>
      <c r="C52" s="1387"/>
      <c r="D52" s="1387"/>
      <c r="E52" s="1387"/>
      <c r="F52" s="3"/>
      <c r="G52" s="3"/>
      <c r="H52" s="3"/>
      <c r="I52" s="3"/>
    </row>
    <row r="53" spans="1:9" ht="12.75" customHeight="1">
      <c r="A53" s="3048" t="s">
        <v>682</v>
      </c>
      <c r="B53" s="2019">
        <v>250</v>
      </c>
      <c r="C53" s="2055"/>
      <c r="D53" s="2055"/>
      <c r="E53" s="2055"/>
      <c r="F53" s="3"/>
      <c r="G53" s="3"/>
      <c r="H53" s="3"/>
      <c r="I53" s="3"/>
    </row>
    <row r="54" spans="1:9" ht="12.75" customHeight="1">
      <c r="A54" s="3048" t="s">
        <v>954</v>
      </c>
      <c r="B54" s="2019">
        <v>255</v>
      </c>
      <c r="C54" s="2055"/>
      <c r="D54" s="2055">
        <v>331985</v>
      </c>
      <c r="E54" s="2055">
        <v>309275</v>
      </c>
      <c r="F54" s="3"/>
      <c r="H54" s="3"/>
      <c r="I54" s="3"/>
    </row>
    <row r="55" spans="1:9" ht="12.75" customHeight="1">
      <c r="A55" s="2281" t="s">
        <v>955</v>
      </c>
      <c r="B55" s="1396"/>
      <c r="C55" s="1396"/>
      <c r="D55" s="1396"/>
      <c r="E55" s="1396"/>
      <c r="F55" s="3"/>
      <c r="G55" s="3"/>
      <c r="H55" s="3"/>
      <c r="I55" s="3"/>
    </row>
    <row r="56" spans="1:9" ht="12.75" customHeight="1">
      <c r="A56" s="3047" t="s">
        <v>956</v>
      </c>
      <c r="B56" s="3056">
        <v>260</v>
      </c>
      <c r="C56" s="1388">
        <v>297</v>
      </c>
      <c r="D56" s="1388">
        <v>655</v>
      </c>
      <c r="E56" s="1388">
        <v>160</v>
      </c>
      <c r="F56" s="3"/>
      <c r="G56" s="3"/>
      <c r="H56" s="3"/>
      <c r="I56" s="3"/>
    </row>
    <row r="57" spans="1:9" ht="12.75" customHeight="1">
      <c r="A57" s="3048" t="s">
        <v>957</v>
      </c>
      <c r="B57" s="2019">
        <v>265</v>
      </c>
      <c r="C57" s="2055"/>
      <c r="D57" s="2055"/>
      <c r="E57" s="2055"/>
      <c r="F57" s="3"/>
      <c r="G57" s="3"/>
      <c r="H57" s="3"/>
      <c r="I57" s="3"/>
    </row>
    <row r="58" spans="1:9" ht="12.75" customHeight="1">
      <c r="A58" s="3050" t="s">
        <v>936</v>
      </c>
      <c r="B58" s="3059">
        <v>267</v>
      </c>
      <c r="C58" s="2055"/>
      <c r="D58" s="2055">
        <v>4889</v>
      </c>
      <c r="E58" s="2055"/>
      <c r="F58" s="3"/>
      <c r="G58" s="3"/>
      <c r="H58" s="3"/>
      <c r="I58" s="3"/>
    </row>
    <row r="59" spans="1:9" ht="12.75" customHeight="1">
      <c r="A59" s="3048" t="s">
        <v>958</v>
      </c>
      <c r="B59" s="2019">
        <v>270</v>
      </c>
      <c r="C59" s="2055"/>
      <c r="D59" s="2055"/>
      <c r="E59" s="2055"/>
      <c r="F59" s="3"/>
      <c r="G59" s="3"/>
      <c r="H59" s="3"/>
      <c r="I59" s="3"/>
    </row>
    <row r="60" spans="1:9" ht="12.75" customHeight="1">
      <c r="A60" s="3047" t="s">
        <v>959</v>
      </c>
      <c r="B60" s="3056">
        <v>275</v>
      </c>
      <c r="C60" s="1388"/>
      <c r="D60" s="1388"/>
      <c r="E60" s="1388"/>
      <c r="F60" s="3"/>
      <c r="G60" s="3"/>
      <c r="H60" s="3"/>
      <c r="I60" s="3"/>
    </row>
    <row r="61" spans="1:9" ht="12.75" customHeight="1">
      <c r="A61" s="3048" t="s">
        <v>960</v>
      </c>
      <c r="B61" s="2019">
        <v>280</v>
      </c>
      <c r="C61" s="2055"/>
      <c r="D61" s="2055"/>
      <c r="E61" s="2055"/>
      <c r="F61" s="3"/>
      <c r="G61" s="3"/>
      <c r="H61" s="3"/>
      <c r="I61" s="3"/>
    </row>
    <row r="62" spans="1:9" ht="12.75" customHeight="1">
      <c r="A62" s="2281" t="s">
        <v>961</v>
      </c>
      <c r="B62" s="1396"/>
      <c r="C62" s="1396"/>
      <c r="D62" s="1396"/>
      <c r="E62" s="1396"/>
      <c r="F62" s="3"/>
      <c r="G62" s="3"/>
      <c r="H62" s="3"/>
      <c r="I62" s="3"/>
    </row>
    <row r="63" spans="1:9" ht="12.75" customHeight="1">
      <c r="A63" s="3044" t="s">
        <v>962</v>
      </c>
      <c r="B63" s="3055"/>
      <c r="C63" s="3055"/>
      <c r="D63" s="3055"/>
      <c r="E63" s="3055"/>
      <c r="F63" s="3"/>
      <c r="G63" s="3"/>
      <c r="H63" s="3"/>
      <c r="I63" s="3"/>
    </row>
    <row r="64" spans="1:9" ht="12.75" customHeight="1">
      <c r="A64" s="3044" t="s">
        <v>941</v>
      </c>
      <c r="B64" s="3055"/>
      <c r="C64" s="3055"/>
      <c r="D64" s="3055"/>
      <c r="E64" s="3055"/>
      <c r="F64" s="3"/>
      <c r="G64" s="3"/>
      <c r="H64" s="3"/>
      <c r="I64" s="3"/>
    </row>
    <row r="65" spans="1:9" ht="12.75" customHeight="1">
      <c r="A65" s="3047" t="s">
        <v>942</v>
      </c>
      <c r="B65" s="3056">
        <v>285</v>
      </c>
      <c r="C65" s="1388"/>
      <c r="D65" s="1388"/>
      <c r="E65" s="1388"/>
      <c r="F65" s="3"/>
      <c r="G65" s="3"/>
      <c r="H65" s="3"/>
      <c r="I65" s="3"/>
    </row>
    <row r="66" spans="1:9" ht="12.75" customHeight="1">
      <c r="A66" s="3048" t="s">
        <v>943</v>
      </c>
      <c r="B66" s="2019">
        <v>290</v>
      </c>
      <c r="C66" s="2055"/>
      <c r="D66" s="2055"/>
      <c r="E66" s="2055"/>
      <c r="F66" s="3"/>
      <c r="G66" s="3"/>
      <c r="H66" s="3"/>
      <c r="I66" s="3"/>
    </row>
    <row r="67" spans="1:9" ht="12.75" customHeight="1">
      <c r="A67" s="2281" t="s">
        <v>944</v>
      </c>
      <c r="B67" s="1396"/>
      <c r="C67" s="1396"/>
      <c r="D67" s="1396"/>
      <c r="E67" s="1396"/>
      <c r="F67" s="3"/>
      <c r="G67" s="3"/>
      <c r="H67" s="3"/>
      <c r="I67" s="3"/>
    </row>
    <row r="68" spans="1:9" ht="12.75" customHeight="1">
      <c r="A68" s="3047" t="s">
        <v>945</v>
      </c>
      <c r="B68" s="3056">
        <v>295</v>
      </c>
      <c r="C68" s="1388"/>
      <c r="D68" s="1388"/>
      <c r="E68" s="1388"/>
      <c r="F68" s="3"/>
      <c r="G68" s="3"/>
      <c r="H68" s="3"/>
      <c r="I68" s="3"/>
    </row>
    <row r="69" spans="1:9" ht="12.75" customHeight="1">
      <c r="A69" s="3047" t="s">
        <v>946</v>
      </c>
      <c r="B69" s="3056">
        <v>300</v>
      </c>
      <c r="C69" s="1388"/>
      <c r="D69" s="1388"/>
      <c r="E69" s="1388"/>
      <c r="F69" s="3"/>
      <c r="G69" s="3"/>
      <c r="H69" s="3"/>
      <c r="I69" s="3"/>
    </row>
    <row r="70" spans="1:9" ht="12.75" customHeight="1">
      <c r="A70" s="3048" t="s">
        <v>947</v>
      </c>
      <c r="B70" s="2019">
        <v>305</v>
      </c>
      <c r="C70" s="2055"/>
      <c r="D70" s="2055"/>
      <c r="E70" s="2055"/>
      <c r="F70" s="3"/>
      <c r="G70" s="3"/>
      <c r="H70" s="3"/>
      <c r="I70" s="3"/>
    </row>
    <row r="71" spans="1:9" ht="12.75" customHeight="1">
      <c r="A71" s="2279" t="s">
        <v>4818</v>
      </c>
      <c r="B71" s="3056">
        <v>310</v>
      </c>
      <c r="C71" s="1387">
        <v>10367</v>
      </c>
      <c r="D71" s="1387">
        <v>11000</v>
      </c>
      <c r="E71" s="1387"/>
      <c r="F71" s="3"/>
      <c r="G71" s="3"/>
      <c r="H71" s="3"/>
      <c r="I71" s="3"/>
    </row>
    <row r="72" spans="1:9" ht="12.75" customHeight="1">
      <c r="A72" s="3049" t="s">
        <v>632</v>
      </c>
      <c r="B72" s="3060">
        <v>313</v>
      </c>
      <c r="C72" s="1387"/>
      <c r="D72" s="1387"/>
      <c r="E72" s="1387"/>
      <c r="F72" s="3"/>
      <c r="G72" s="3"/>
      <c r="H72" s="3"/>
      <c r="I72" s="3"/>
    </row>
    <row r="73" spans="1:9" ht="12.75" customHeight="1">
      <c r="A73" s="3048" t="s">
        <v>950</v>
      </c>
      <c r="B73" s="2019">
        <v>315</v>
      </c>
      <c r="C73" s="2055"/>
      <c r="D73" s="2055"/>
      <c r="E73" s="2055"/>
      <c r="F73" s="3"/>
      <c r="G73" s="3"/>
      <c r="H73" s="3"/>
      <c r="I73" s="3"/>
    </row>
    <row r="74" spans="1:9" ht="12.75" customHeight="1">
      <c r="A74" s="3047" t="s">
        <v>955</v>
      </c>
      <c r="B74" s="3056">
        <v>320</v>
      </c>
      <c r="C74" s="1388"/>
      <c r="D74" s="1388"/>
      <c r="E74" s="1388"/>
      <c r="F74" s="3"/>
      <c r="G74" s="3"/>
      <c r="H74" s="3"/>
      <c r="I74" s="3"/>
    </row>
    <row r="75" spans="1:9" ht="12.75" customHeight="1">
      <c r="A75" s="2281" t="s">
        <v>959</v>
      </c>
      <c r="B75" s="3058">
        <v>325</v>
      </c>
      <c r="C75" s="1387"/>
      <c r="D75" s="1387"/>
      <c r="E75" s="1387"/>
      <c r="F75" s="3"/>
      <c r="G75" s="3"/>
      <c r="H75" s="3"/>
      <c r="I75" s="3"/>
    </row>
    <row r="76" spans="1:9" ht="12.75" customHeight="1">
      <c r="A76" s="3048" t="s">
        <v>960</v>
      </c>
      <c r="B76" s="2019">
        <v>330</v>
      </c>
      <c r="C76" s="2055"/>
      <c r="D76" s="2055"/>
      <c r="E76" s="2055"/>
      <c r="F76" s="3"/>
      <c r="G76" s="3"/>
      <c r="H76" s="3"/>
      <c r="I76" s="3"/>
    </row>
    <row r="77" spans="1:9" ht="12.75" customHeight="1">
      <c r="A77" s="2281" t="s">
        <v>963</v>
      </c>
      <c r="B77" s="1396"/>
      <c r="C77" s="1396"/>
      <c r="D77" s="1396"/>
      <c r="E77" s="1396"/>
      <c r="F77" s="3"/>
      <c r="G77" s="3"/>
      <c r="H77" s="3"/>
      <c r="I77" s="3"/>
    </row>
    <row r="78" spans="1:9" ht="12.75" customHeight="1">
      <c r="A78" s="3044" t="s">
        <v>941</v>
      </c>
      <c r="B78" s="3055"/>
      <c r="C78" s="3055"/>
      <c r="D78" s="3055"/>
      <c r="E78" s="3055"/>
      <c r="F78" s="3"/>
      <c r="G78" s="3"/>
      <c r="H78" s="3"/>
      <c r="I78" s="3"/>
    </row>
    <row r="79" spans="1:9" ht="12.75" customHeight="1">
      <c r="A79" s="3047" t="s">
        <v>942</v>
      </c>
      <c r="B79" s="3056">
        <v>335</v>
      </c>
      <c r="C79" s="1388"/>
      <c r="D79" s="1388"/>
      <c r="E79" s="1388"/>
      <c r="F79" s="3"/>
      <c r="G79" s="3"/>
      <c r="H79" s="3"/>
      <c r="I79" s="3"/>
    </row>
    <row r="80" spans="1:9" ht="12.75" customHeight="1">
      <c r="A80" s="3048" t="s">
        <v>943</v>
      </c>
      <c r="B80" s="2019">
        <v>340</v>
      </c>
      <c r="C80" s="2055"/>
      <c r="D80" s="2055"/>
      <c r="E80" s="2055"/>
      <c r="F80" s="3"/>
      <c r="G80" s="3"/>
      <c r="H80" s="3"/>
      <c r="I80" s="3"/>
    </row>
    <row r="81" spans="1:9" ht="12.75" customHeight="1">
      <c r="A81" s="2281" t="s">
        <v>944</v>
      </c>
      <c r="B81" s="1396"/>
      <c r="C81" s="1396"/>
      <c r="D81" s="1396"/>
      <c r="E81" s="1396"/>
      <c r="F81" s="3"/>
      <c r="G81" s="3"/>
      <c r="H81" s="3"/>
      <c r="I81" s="3"/>
    </row>
    <row r="82" spans="1:9" ht="12.75" customHeight="1">
      <c r="A82" s="3047" t="s">
        <v>945</v>
      </c>
      <c r="B82" s="3056">
        <v>345</v>
      </c>
      <c r="C82" s="1388"/>
      <c r="D82" s="1388"/>
      <c r="E82" s="1388"/>
      <c r="F82" s="3"/>
      <c r="G82" s="3"/>
      <c r="H82" s="3"/>
      <c r="I82" s="3"/>
    </row>
    <row r="83" spans="1:9" ht="12.75" customHeight="1">
      <c r="A83" s="3048" t="s">
        <v>946</v>
      </c>
      <c r="B83" s="2019">
        <v>350</v>
      </c>
      <c r="C83" s="2055"/>
      <c r="D83" s="2055"/>
      <c r="E83" s="2055"/>
      <c r="F83" s="3"/>
      <c r="G83" s="3"/>
      <c r="H83" s="3"/>
      <c r="I83" s="3"/>
    </row>
    <row r="84" spans="1:9" ht="12.75" customHeight="1">
      <c r="A84" s="3048" t="s">
        <v>947</v>
      </c>
      <c r="B84" s="2019">
        <v>355</v>
      </c>
      <c r="C84" s="2055"/>
      <c r="D84" s="2055"/>
      <c r="E84" s="2055"/>
      <c r="F84" s="3"/>
      <c r="G84" s="3"/>
      <c r="H84" s="3"/>
      <c r="I84" s="3"/>
    </row>
    <row r="85" spans="1:9" ht="12.75" customHeight="1">
      <c r="A85" s="3569" t="s">
        <v>4818</v>
      </c>
      <c r="B85" s="3056">
        <v>360</v>
      </c>
      <c r="C85" s="1388"/>
      <c r="D85" s="1388">
        <v>2619</v>
      </c>
      <c r="E85" s="1388">
        <v>2619</v>
      </c>
      <c r="F85" s="3"/>
      <c r="G85" s="3"/>
      <c r="H85" s="3"/>
      <c r="I85" s="3"/>
    </row>
    <row r="86" spans="1:9" ht="12.75" customHeight="1">
      <c r="A86" s="3051" t="s">
        <v>632</v>
      </c>
      <c r="B86" s="3060">
        <v>363</v>
      </c>
      <c r="C86" s="1388"/>
      <c r="D86" s="1388"/>
      <c r="E86" s="1388"/>
      <c r="F86" s="3"/>
      <c r="G86" s="3"/>
      <c r="H86" s="3"/>
      <c r="I86" s="3"/>
    </row>
    <row r="87" spans="1:9" ht="12.75" customHeight="1">
      <c r="A87" s="3048" t="s">
        <v>950</v>
      </c>
      <c r="B87" s="2019">
        <v>365</v>
      </c>
      <c r="C87" s="2055"/>
      <c r="D87" s="2055"/>
      <c r="E87" s="2055"/>
      <c r="F87" s="3"/>
      <c r="G87" s="3"/>
      <c r="H87" s="3"/>
      <c r="I87" s="3"/>
    </row>
    <row r="88" spans="1:9" ht="12.75" customHeight="1">
      <c r="A88" s="2281" t="s">
        <v>955</v>
      </c>
      <c r="B88" s="1396"/>
      <c r="C88" s="1396"/>
      <c r="D88" s="1396"/>
      <c r="E88" s="1396"/>
      <c r="F88" s="3"/>
      <c r="G88" s="3"/>
      <c r="H88" s="3"/>
      <c r="I88" s="3"/>
    </row>
    <row r="89" spans="1:9" ht="12.75" customHeight="1">
      <c r="A89" s="3569" t="s">
        <v>5150</v>
      </c>
      <c r="B89" s="3056">
        <v>370</v>
      </c>
      <c r="C89" s="1388"/>
      <c r="D89" s="1388"/>
      <c r="E89" s="1388"/>
      <c r="F89" s="3"/>
      <c r="G89" s="3"/>
      <c r="H89" s="3"/>
      <c r="I89" s="3"/>
    </row>
    <row r="90" spans="1:9" ht="12.75" customHeight="1">
      <c r="A90" s="3047" t="s">
        <v>685</v>
      </c>
      <c r="B90" s="3056">
        <v>375</v>
      </c>
      <c r="C90" s="1388"/>
      <c r="D90" s="1388"/>
      <c r="E90" s="1388"/>
      <c r="F90" s="3"/>
      <c r="G90" s="3"/>
      <c r="H90" s="3"/>
      <c r="I90" s="3"/>
    </row>
    <row r="91" spans="1:9" ht="12.75" customHeight="1">
      <c r="A91" s="3048" t="s">
        <v>958</v>
      </c>
      <c r="B91" s="2019">
        <v>380</v>
      </c>
      <c r="C91" s="2055"/>
      <c r="D91" s="2055"/>
      <c r="E91" s="2055"/>
      <c r="F91" s="3"/>
      <c r="G91" s="3"/>
      <c r="H91" s="3"/>
      <c r="I91" s="3"/>
    </row>
    <row r="92" spans="1:9" ht="12.75" customHeight="1">
      <c r="A92" s="3048" t="s">
        <v>959</v>
      </c>
      <c r="B92" s="2019">
        <v>385</v>
      </c>
      <c r="C92" s="2055"/>
      <c r="D92" s="2055"/>
      <c r="E92" s="2055"/>
      <c r="F92" s="3"/>
      <c r="G92" s="3"/>
      <c r="H92" s="3"/>
      <c r="I92" s="3"/>
    </row>
    <row r="93" spans="1:9" ht="12.75" customHeight="1">
      <c r="A93" s="3048" t="s">
        <v>960</v>
      </c>
      <c r="B93" s="2019">
        <v>390</v>
      </c>
      <c r="C93" s="2055"/>
      <c r="D93" s="2055"/>
      <c r="E93" s="2055"/>
      <c r="F93" s="3"/>
      <c r="G93" s="3"/>
      <c r="H93" s="3"/>
      <c r="I93" s="3"/>
    </row>
    <row r="94" spans="1:9" ht="12.75" customHeight="1">
      <c r="A94" s="2281" t="s">
        <v>967</v>
      </c>
      <c r="B94" s="1396"/>
      <c r="C94" s="1396"/>
      <c r="D94" s="1396"/>
      <c r="E94" s="1396"/>
      <c r="F94" s="3"/>
      <c r="G94" s="3"/>
      <c r="H94" s="3"/>
      <c r="I94" s="3"/>
    </row>
    <row r="95" spans="1:9" ht="12.75" customHeight="1">
      <c r="A95" s="3044" t="s">
        <v>941</v>
      </c>
      <c r="B95" s="3055"/>
      <c r="C95" s="3055"/>
      <c r="D95" s="3055"/>
      <c r="E95" s="3055"/>
      <c r="F95" s="3"/>
      <c r="G95" s="3"/>
      <c r="H95" s="3"/>
      <c r="I95" s="3"/>
    </row>
    <row r="96" spans="1:9" ht="12.75" customHeight="1">
      <c r="A96" s="3047" t="s">
        <v>942</v>
      </c>
      <c r="B96" s="3056">
        <v>395</v>
      </c>
      <c r="C96" s="1388"/>
      <c r="D96" s="1388"/>
      <c r="E96" s="1388"/>
      <c r="F96" s="3"/>
      <c r="G96" s="3"/>
      <c r="H96" s="3"/>
      <c r="I96" s="3"/>
    </row>
    <row r="97" spans="1:9" ht="12.75" customHeight="1">
      <c r="A97" s="3048" t="s">
        <v>943</v>
      </c>
      <c r="B97" s="2019">
        <v>400</v>
      </c>
      <c r="C97" s="2055"/>
      <c r="D97" s="2055"/>
      <c r="E97" s="2055"/>
      <c r="F97" s="3"/>
      <c r="G97" s="3"/>
      <c r="H97" s="3"/>
      <c r="I97" s="3"/>
    </row>
    <row r="98" spans="1:9" ht="12.75" customHeight="1">
      <c r="A98" s="2281" t="s">
        <v>944</v>
      </c>
      <c r="B98" s="1396"/>
      <c r="C98" s="1396"/>
      <c r="D98" s="1396"/>
      <c r="E98" s="1396"/>
      <c r="F98" s="3"/>
      <c r="G98" s="3"/>
      <c r="H98" s="3"/>
      <c r="I98" s="3"/>
    </row>
    <row r="99" spans="1:9" ht="12.75" customHeight="1">
      <c r="A99" s="3047" t="s">
        <v>945</v>
      </c>
      <c r="B99" s="3056">
        <v>405</v>
      </c>
      <c r="C99" s="1388"/>
      <c r="D99" s="1388"/>
      <c r="E99" s="1388"/>
      <c r="F99" s="3"/>
      <c r="G99" s="3"/>
      <c r="H99" s="3"/>
      <c r="I99" s="3"/>
    </row>
    <row r="100" spans="1:9" ht="12.75" customHeight="1">
      <c r="A100" s="3048" t="s">
        <v>946</v>
      </c>
      <c r="B100" s="2019">
        <v>410</v>
      </c>
      <c r="C100" s="2055"/>
      <c r="D100" s="2055"/>
      <c r="E100" s="2055"/>
      <c r="F100" s="3"/>
      <c r="G100" s="3"/>
      <c r="H100" s="3"/>
      <c r="I100" s="3"/>
    </row>
    <row r="101" spans="1:9" ht="12.75" customHeight="1">
      <c r="A101" s="3048" t="s">
        <v>947</v>
      </c>
      <c r="B101" s="2019">
        <v>415</v>
      </c>
      <c r="C101" s="2055"/>
      <c r="D101" s="2055"/>
      <c r="E101" s="2055"/>
      <c r="F101" s="3"/>
      <c r="G101" s="3"/>
      <c r="H101" s="3"/>
      <c r="I101" s="3"/>
    </row>
    <row r="102" spans="1:9" ht="12.75" customHeight="1">
      <c r="A102" s="3569" t="s">
        <v>4818</v>
      </c>
      <c r="B102" s="3056">
        <v>420</v>
      </c>
      <c r="C102" s="1388"/>
      <c r="D102" s="1388"/>
      <c r="E102" s="1388"/>
      <c r="F102" s="3"/>
      <c r="G102" s="3"/>
      <c r="H102" s="3"/>
      <c r="I102" s="3"/>
    </row>
    <row r="103" spans="1:9" ht="12.75" customHeight="1">
      <c r="A103" s="3048" t="s">
        <v>968</v>
      </c>
      <c r="B103" s="2019">
        <v>425</v>
      </c>
      <c r="C103" s="2055"/>
      <c r="D103" s="2055"/>
      <c r="E103" s="2055"/>
      <c r="F103" s="3"/>
      <c r="G103" s="3"/>
      <c r="H103" s="3"/>
      <c r="I103" s="3"/>
    </row>
    <row r="104" spans="1:9" ht="12.75" customHeight="1">
      <c r="A104" s="2281" t="s">
        <v>950</v>
      </c>
      <c r="B104" s="1396"/>
      <c r="C104" s="1396"/>
      <c r="D104" s="1396"/>
      <c r="E104" s="1396"/>
      <c r="F104" s="3"/>
      <c r="G104" s="3"/>
      <c r="H104" s="3"/>
      <c r="I104" s="3"/>
    </row>
    <row r="105" spans="1:9" ht="12.75" customHeight="1">
      <c r="A105" s="3047" t="s">
        <v>969</v>
      </c>
      <c r="B105" s="3056">
        <v>430</v>
      </c>
      <c r="C105" s="1388"/>
      <c r="D105" s="1388"/>
      <c r="E105" s="1388"/>
      <c r="F105" s="3"/>
      <c r="G105" s="3"/>
      <c r="H105" s="3"/>
      <c r="I105" s="3"/>
    </row>
    <row r="106" spans="1:9" ht="12.75" customHeight="1">
      <c r="A106" s="1990" t="s">
        <v>4819</v>
      </c>
      <c r="B106" s="2019">
        <v>435</v>
      </c>
      <c r="C106" s="1388"/>
      <c r="D106" s="1388"/>
      <c r="E106" s="1388"/>
      <c r="F106" s="3"/>
      <c r="G106" s="3"/>
      <c r="H106" s="3"/>
      <c r="I106" s="3"/>
    </row>
    <row r="107" spans="1:9" ht="12.75" customHeight="1">
      <c r="A107" s="3048" t="s">
        <v>954</v>
      </c>
      <c r="B107" s="2019">
        <v>440</v>
      </c>
      <c r="C107" s="2055"/>
      <c r="D107" s="2055"/>
      <c r="E107" s="2055"/>
      <c r="F107" s="3"/>
      <c r="G107" s="3"/>
      <c r="H107" s="3"/>
      <c r="I107" s="3"/>
    </row>
    <row r="108" spans="1:9" ht="12.75" customHeight="1">
      <c r="A108" s="3048" t="s">
        <v>955</v>
      </c>
      <c r="B108" s="2019">
        <v>445</v>
      </c>
      <c r="C108" s="2055"/>
      <c r="D108" s="2055"/>
      <c r="E108" s="2055"/>
      <c r="F108" s="3"/>
      <c r="G108" s="3"/>
      <c r="H108" s="3"/>
      <c r="I108" s="3"/>
    </row>
    <row r="109" spans="1:9" ht="12.75" customHeight="1">
      <c r="A109" s="3048" t="s">
        <v>959</v>
      </c>
      <c r="B109" s="2019">
        <v>450</v>
      </c>
      <c r="C109" s="2055"/>
      <c r="D109" s="2055"/>
      <c r="E109" s="2055"/>
      <c r="F109" s="3"/>
      <c r="G109" s="3"/>
      <c r="H109" s="3"/>
      <c r="I109" s="3"/>
    </row>
    <row r="110" spans="1:9" ht="12.75" customHeight="1">
      <c r="A110" s="3048" t="s">
        <v>960</v>
      </c>
      <c r="B110" s="2019">
        <v>455</v>
      </c>
      <c r="C110" s="2055"/>
      <c r="D110" s="2055"/>
      <c r="E110" s="2055"/>
      <c r="F110" s="3"/>
      <c r="G110" s="3"/>
      <c r="H110" s="3"/>
      <c r="I110" s="3"/>
    </row>
    <row r="111" spans="1:9" ht="12.75" customHeight="1">
      <c r="A111" s="2281" t="s">
        <v>970</v>
      </c>
      <c r="B111" s="1396"/>
      <c r="C111" s="1396"/>
      <c r="D111" s="1396"/>
      <c r="E111" s="1396"/>
      <c r="F111" s="3"/>
      <c r="G111" s="3"/>
      <c r="H111" s="3"/>
      <c r="I111" s="3"/>
    </row>
    <row r="112" spans="1:9" ht="12.75" customHeight="1">
      <c r="A112" s="3044" t="s">
        <v>941</v>
      </c>
      <c r="B112" s="3055"/>
      <c r="C112" s="3055"/>
      <c r="D112" s="3055"/>
      <c r="E112" s="3055"/>
      <c r="F112" s="3"/>
      <c r="G112" s="3"/>
      <c r="H112" s="3"/>
      <c r="I112" s="3"/>
    </row>
    <row r="113" spans="1:9" ht="12.75" customHeight="1">
      <c r="A113" s="3047" t="s">
        <v>942</v>
      </c>
      <c r="B113" s="3056">
        <v>460</v>
      </c>
      <c r="C113" s="1388"/>
      <c r="D113" s="1388"/>
      <c r="E113" s="1388"/>
      <c r="F113" s="3"/>
      <c r="G113" s="3"/>
      <c r="H113" s="3"/>
      <c r="I113" s="3"/>
    </row>
    <row r="114" spans="1:9" ht="12.75" customHeight="1">
      <c r="A114" s="3048" t="s">
        <v>943</v>
      </c>
      <c r="B114" s="2019">
        <v>465</v>
      </c>
      <c r="C114" s="2055">
        <v>2100</v>
      </c>
      <c r="D114" s="2055">
        <v>3150</v>
      </c>
      <c r="E114" s="2055">
        <v>3150</v>
      </c>
      <c r="F114" s="3"/>
      <c r="G114" s="3"/>
      <c r="H114" s="3"/>
      <c r="I114" s="3"/>
    </row>
    <row r="115" spans="1:9" ht="12.75" customHeight="1">
      <c r="A115" s="2281" t="s">
        <v>944</v>
      </c>
      <c r="B115" s="1396"/>
      <c r="C115" s="1396"/>
      <c r="D115" s="1396"/>
      <c r="E115" s="1396"/>
      <c r="F115" s="3"/>
      <c r="G115" s="3"/>
      <c r="H115" s="3"/>
      <c r="I115" s="3"/>
    </row>
    <row r="116" spans="1:9" ht="12.75" customHeight="1">
      <c r="A116" s="3047" t="s">
        <v>945</v>
      </c>
      <c r="B116" s="3056">
        <v>470</v>
      </c>
      <c r="C116" s="1388"/>
      <c r="D116" s="1388"/>
      <c r="E116" s="1388"/>
      <c r="F116" s="3"/>
      <c r="G116" s="3"/>
      <c r="H116" s="3"/>
      <c r="I116" s="3"/>
    </row>
    <row r="117" spans="1:9" ht="12.75" customHeight="1">
      <c r="A117" s="3048" t="s">
        <v>946</v>
      </c>
      <c r="B117" s="2019">
        <v>475</v>
      </c>
      <c r="C117" s="2055"/>
      <c r="D117" s="2055"/>
      <c r="E117" s="2055"/>
      <c r="F117" s="3"/>
      <c r="G117" s="3"/>
      <c r="H117" s="3"/>
      <c r="I117" s="3"/>
    </row>
    <row r="118" spans="1:9" ht="12.75" customHeight="1">
      <c r="A118" s="3048" t="s">
        <v>947</v>
      </c>
      <c r="B118" s="2019">
        <v>480</v>
      </c>
      <c r="C118" s="2055"/>
      <c r="D118" s="2055"/>
      <c r="E118" s="2055"/>
      <c r="F118" s="3"/>
      <c r="G118" s="3"/>
      <c r="H118" s="3"/>
      <c r="I118" s="3"/>
    </row>
    <row r="119" spans="1:9" ht="12.75" customHeight="1">
      <c r="A119" s="3569" t="s">
        <v>4818</v>
      </c>
      <c r="B119" s="3056">
        <v>485</v>
      </c>
      <c r="C119" s="1388"/>
      <c r="D119" s="1388"/>
      <c r="E119" s="1388"/>
      <c r="F119" s="3"/>
      <c r="G119" s="3"/>
      <c r="H119" s="3"/>
      <c r="I119" s="3"/>
    </row>
    <row r="120" spans="1:9" ht="12.75" customHeight="1">
      <c r="A120" s="3048" t="s">
        <v>968</v>
      </c>
      <c r="B120" s="2019">
        <v>490</v>
      </c>
      <c r="C120" s="2055"/>
      <c r="D120" s="2055"/>
      <c r="E120" s="2055"/>
      <c r="F120" s="3"/>
      <c r="G120" s="3"/>
      <c r="H120" s="3"/>
      <c r="I120" s="3"/>
    </row>
    <row r="121" spans="1:9" ht="12.75" customHeight="1">
      <c r="A121" s="2281" t="s">
        <v>950</v>
      </c>
      <c r="B121" s="1396"/>
      <c r="C121" s="1396"/>
      <c r="D121" s="1396"/>
      <c r="E121" s="1396"/>
      <c r="F121" s="3"/>
      <c r="G121" s="3"/>
      <c r="H121" s="3"/>
      <c r="I121" s="3"/>
    </row>
    <row r="122" spans="1:9" ht="12.75" customHeight="1">
      <c r="A122" s="3569" t="s">
        <v>4819</v>
      </c>
      <c r="B122" s="3056">
        <v>495</v>
      </c>
      <c r="C122" s="1388"/>
      <c r="D122" s="1388"/>
      <c r="E122" s="1388"/>
      <c r="F122" s="3"/>
      <c r="G122" s="3"/>
      <c r="H122" s="3"/>
      <c r="I122" s="3"/>
    </row>
    <row r="123" spans="1:9" ht="12.75" customHeight="1">
      <c r="A123" s="3048" t="s">
        <v>954</v>
      </c>
      <c r="B123" s="2019">
        <v>500</v>
      </c>
      <c r="C123" s="2055"/>
      <c r="D123" s="2055"/>
      <c r="E123" s="2055"/>
      <c r="F123" s="3"/>
      <c r="G123" s="3"/>
      <c r="H123" s="3"/>
      <c r="I123" s="3"/>
    </row>
    <row r="124" spans="1:9" ht="12.75" customHeight="1">
      <c r="A124" s="3048" t="s">
        <v>955</v>
      </c>
      <c r="B124" s="2019">
        <v>505</v>
      </c>
      <c r="C124" s="2055"/>
      <c r="D124" s="2055"/>
      <c r="E124" s="2055"/>
      <c r="F124" s="3"/>
      <c r="G124" s="3"/>
      <c r="H124" s="3"/>
      <c r="I124" s="3"/>
    </row>
    <row r="125" spans="1:9" ht="12.75" customHeight="1">
      <c r="A125" s="3048" t="s">
        <v>959</v>
      </c>
      <c r="B125" s="2019">
        <v>510</v>
      </c>
      <c r="C125" s="2055"/>
      <c r="D125" s="2055"/>
      <c r="E125" s="2055"/>
      <c r="F125" s="3"/>
      <c r="G125" s="3"/>
      <c r="H125" s="3"/>
      <c r="I125" s="3"/>
    </row>
    <row r="126" spans="1:9" ht="12.75" customHeight="1">
      <c r="A126" s="3048" t="s">
        <v>960</v>
      </c>
      <c r="B126" s="2019">
        <v>515</v>
      </c>
      <c r="C126" s="2055"/>
      <c r="D126" s="2055"/>
      <c r="E126" s="2055"/>
      <c r="F126" s="3"/>
      <c r="G126" s="3"/>
      <c r="H126" s="3"/>
      <c r="I126" s="3"/>
    </row>
    <row r="127" spans="1:9" ht="12.75" customHeight="1">
      <c r="A127" s="2068" t="s">
        <v>1320</v>
      </c>
      <c r="B127" s="2092"/>
      <c r="C127" s="2092"/>
      <c r="D127" s="2092"/>
      <c r="E127" s="2092"/>
      <c r="F127" s="3"/>
      <c r="G127" s="3"/>
      <c r="H127" s="3"/>
      <c r="I127" s="3"/>
    </row>
    <row r="128" spans="1:9" ht="12.75" customHeight="1">
      <c r="A128" s="2069" t="s">
        <v>1144</v>
      </c>
      <c r="B128" s="2093"/>
      <c r="C128" s="2093"/>
      <c r="D128" s="2093"/>
      <c r="E128" s="2093"/>
      <c r="F128" s="3"/>
      <c r="G128" s="3"/>
      <c r="H128" s="3"/>
      <c r="I128" s="3"/>
    </row>
    <row r="129" spans="1:9" ht="12.75" customHeight="1">
      <c r="A129" s="2074" t="s">
        <v>1321</v>
      </c>
      <c r="B129" s="2094">
        <v>680</v>
      </c>
      <c r="C129" s="3214"/>
      <c r="D129" s="3214"/>
      <c r="E129" s="3215"/>
      <c r="F129" s="3"/>
      <c r="G129" s="3"/>
      <c r="H129" s="3"/>
      <c r="I129" s="3"/>
    </row>
    <row r="130" spans="1:9" ht="12.75" customHeight="1">
      <c r="A130" s="2075" t="s">
        <v>1308</v>
      </c>
      <c r="B130" s="2095">
        <v>685</v>
      </c>
      <c r="C130" s="3216"/>
      <c r="D130" s="3216"/>
      <c r="E130" s="3216"/>
      <c r="F130" s="3"/>
      <c r="G130" s="3"/>
      <c r="H130" s="3"/>
      <c r="I130" s="3"/>
    </row>
    <row r="131" spans="1:9" ht="12.75" customHeight="1">
      <c r="A131" s="2068" t="s">
        <v>794</v>
      </c>
      <c r="B131" s="2092"/>
      <c r="C131" s="2092"/>
      <c r="D131" s="2092"/>
      <c r="E131" s="2092"/>
      <c r="F131" s="3"/>
      <c r="G131" s="3"/>
      <c r="H131" s="3"/>
      <c r="I131" s="3"/>
    </row>
    <row r="132" spans="1:9" ht="12.75" customHeight="1">
      <c r="A132" s="2074" t="s">
        <v>1323</v>
      </c>
      <c r="B132" s="2096">
        <v>690</v>
      </c>
      <c r="C132" s="3214"/>
      <c r="D132" s="3214"/>
      <c r="E132" s="3214"/>
      <c r="F132" s="3"/>
      <c r="G132" s="3"/>
      <c r="H132" s="3"/>
      <c r="I132" s="3"/>
    </row>
    <row r="133" spans="1:9" ht="12.75" customHeight="1">
      <c r="A133" s="2075" t="s">
        <v>1322</v>
      </c>
      <c r="B133" s="2095">
        <v>695</v>
      </c>
      <c r="C133" s="3216"/>
      <c r="D133" s="3216"/>
      <c r="E133" s="3216"/>
      <c r="F133" s="3"/>
      <c r="G133" s="3"/>
      <c r="H133" s="3"/>
      <c r="I133" s="3"/>
    </row>
    <row r="134" spans="1:9" ht="12.75" customHeight="1">
      <c r="A134" s="2075" t="s">
        <v>1324</v>
      </c>
      <c r="B134" s="2095">
        <v>700</v>
      </c>
      <c r="C134" s="3216"/>
      <c r="D134" s="3216"/>
      <c r="E134" s="3216"/>
      <c r="F134" s="3"/>
      <c r="G134" s="3"/>
      <c r="H134" s="3"/>
      <c r="I134" s="3"/>
    </row>
    <row r="135" spans="1:9" ht="12.75" customHeight="1">
      <c r="A135" s="2075" t="s">
        <v>4818</v>
      </c>
      <c r="B135" s="2095">
        <v>705</v>
      </c>
      <c r="C135" s="3216"/>
      <c r="D135" s="3216"/>
      <c r="E135" s="3216"/>
      <c r="F135" s="3"/>
      <c r="G135" s="3"/>
      <c r="H135" s="3"/>
      <c r="I135" s="3"/>
    </row>
    <row r="136" spans="1:9" ht="12.75" customHeight="1">
      <c r="A136" s="2075" t="s">
        <v>632</v>
      </c>
      <c r="B136" s="2095">
        <v>710</v>
      </c>
      <c r="C136" s="3216"/>
      <c r="D136" s="3216"/>
      <c r="E136" s="3216"/>
      <c r="F136" s="3"/>
      <c r="G136" s="3"/>
      <c r="H136" s="3"/>
      <c r="I136" s="3"/>
    </row>
    <row r="137" spans="1:9" ht="12.75" customHeight="1">
      <c r="A137" s="2075" t="s">
        <v>610</v>
      </c>
      <c r="B137" s="2095">
        <v>715</v>
      </c>
      <c r="C137" s="3216"/>
      <c r="D137" s="3216"/>
      <c r="E137" s="3216"/>
      <c r="F137" s="3"/>
      <c r="G137" s="3"/>
      <c r="H137" s="3"/>
      <c r="I137" s="3"/>
    </row>
    <row r="138" spans="1:9" ht="12.75" customHeight="1">
      <c r="A138" s="2075" t="s">
        <v>1313</v>
      </c>
      <c r="B138" s="2095">
        <v>720</v>
      </c>
      <c r="C138" s="3216"/>
      <c r="D138" s="3216"/>
      <c r="E138" s="3216"/>
      <c r="F138" s="3"/>
      <c r="G138" s="3"/>
      <c r="H138" s="3"/>
      <c r="I138" s="3"/>
    </row>
    <row r="139" spans="1:9" ht="12.75" customHeight="1">
      <c r="A139" s="2075" t="s">
        <v>1314</v>
      </c>
      <c r="B139" s="2095">
        <v>725</v>
      </c>
      <c r="C139" s="3216"/>
      <c r="D139" s="3216"/>
      <c r="E139" s="3216"/>
      <c r="F139" s="3"/>
      <c r="G139" s="3"/>
      <c r="H139" s="3"/>
      <c r="I139" s="3"/>
    </row>
    <row r="140" spans="1:9" ht="12.75" customHeight="1">
      <c r="A140" s="2075" t="s">
        <v>793</v>
      </c>
      <c r="B140" s="2095">
        <v>730</v>
      </c>
      <c r="C140" s="3215"/>
      <c r="D140" s="3215"/>
      <c r="E140" s="3216"/>
      <c r="F140" s="3"/>
      <c r="G140" s="3"/>
      <c r="H140" s="3"/>
      <c r="I140" s="3"/>
    </row>
    <row r="141" spans="1:9" ht="12.75" customHeight="1">
      <c r="A141" s="3042" t="s">
        <v>971</v>
      </c>
      <c r="B141" s="3061"/>
      <c r="C141" s="3061"/>
      <c r="D141" s="3061"/>
      <c r="E141" s="3061"/>
      <c r="F141" s="3"/>
      <c r="G141" s="3"/>
      <c r="H141" s="3"/>
      <c r="I141" s="3"/>
    </row>
    <row r="142" spans="1:9" ht="12.75" customHeight="1">
      <c r="A142" s="3043" t="s">
        <v>972</v>
      </c>
      <c r="B142" s="3062"/>
      <c r="C142" s="3062"/>
      <c r="D142" s="3062"/>
      <c r="E142" s="3062"/>
      <c r="F142" s="3"/>
      <c r="G142" s="3"/>
      <c r="H142" s="3"/>
      <c r="I142" s="3"/>
    </row>
    <row r="143" spans="1:9" ht="12.75" customHeight="1">
      <c r="A143" s="3052" t="s">
        <v>943</v>
      </c>
      <c r="B143" s="3056">
        <v>520</v>
      </c>
      <c r="C143" s="1388"/>
      <c r="D143" s="1388"/>
      <c r="E143" s="1388"/>
      <c r="F143" s="3"/>
      <c r="G143" s="3"/>
      <c r="H143" s="3"/>
      <c r="I143" s="3"/>
    </row>
    <row r="144" spans="1:9" ht="12.75" customHeight="1">
      <c r="A144" s="3042" t="s">
        <v>973</v>
      </c>
      <c r="B144" s="3061"/>
      <c r="C144" s="3061"/>
      <c r="D144" s="3061"/>
      <c r="E144" s="3061"/>
      <c r="F144" s="3"/>
      <c r="G144" s="3"/>
      <c r="H144" s="3"/>
      <c r="I144" s="3"/>
    </row>
    <row r="145" spans="1:9" ht="12.75" customHeight="1">
      <c r="A145" s="3052" t="s">
        <v>974</v>
      </c>
      <c r="B145" s="3056">
        <v>525</v>
      </c>
      <c r="C145" s="1388"/>
      <c r="D145" s="1388"/>
      <c r="E145" s="1388"/>
      <c r="F145" s="3"/>
      <c r="G145" s="3"/>
      <c r="H145" s="3"/>
      <c r="I145" s="3"/>
    </row>
    <row r="146" spans="1:9" ht="12.75" customHeight="1">
      <c r="A146" s="3053" t="s">
        <v>977</v>
      </c>
      <c r="B146" s="2019">
        <v>530</v>
      </c>
      <c r="C146" s="2055"/>
      <c r="D146" s="2055"/>
      <c r="E146" s="2055"/>
      <c r="F146" s="3"/>
      <c r="G146" s="3"/>
      <c r="H146" s="3"/>
      <c r="I146" s="3"/>
    </row>
    <row r="147" spans="1:9" ht="12.75" customHeight="1">
      <c r="A147" s="3053" t="s">
        <v>978</v>
      </c>
      <c r="B147" s="2019">
        <v>535</v>
      </c>
      <c r="C147" s="2055"/>
      <c r="D147" s="2055"/>
      <c r="E147" s="2055"/>
      <c r="F147" s="3"/>
      <c r="G147" s="3"/>
      <c r="H147" s="3"/>
      <c r="I147" s="3"/>
    </row>
    <row r="148" spans="1:9" ht="12.75" customHeight="1">
      <c r="A148" s="3054" t="s">
        <v>4818</v>
      </c>
      <c r="B148" s="3056">
        <v>540</v>
      </c>
      <c r="C148" s="1388"/>
      <c r="D148" s="1388"/>
      <c r="E148" s="1388"/>
      <c r="F148" s="3"/>
      <c r="G148" s="3"/>
      <c r="H148" s="3"/>
      <c r="I148" s="3"/>
    </row>
    <row r="149" spans="1:9" ht="12.75" customHeight="1">
      <c r="A149" s="3042" t="s">
        <v>979</v>
      </c>
      <c r="B149" s="3061"/>
      <c r="C149" s="3061"/>
      <c r="D149" s="3061"/>
      <c r="E149" s="3061"/>
      <c r="F149" s="3"/>
      <c r="G149" s="3"/>
      <c r="H149" s="3"/>
      <c r="I149" s="3"/>
    </row>
    <row r="150" spans="1:9" ht="12.75" customHeight="1">
      <c r="A150" s="3052" t="s">
        <v>980</v>
      </c>
      <c r="B150" s="3056">
        <v>545</v>
      </c>
      <c r="C150" s="1388"/>
      <c r="D150" s="1388"/>
      <c r="E150" s="1388"/>
      <c r="F150" s="3"/>
      <c r="G150" s="3"/>
      <c r="H150" s="3"/>
      <c r="I150" s="3"/>
    </row>
    <row r="151" spans="1:9" ht="12.75" customHeight="1">
      <c r="A151" s="3053" t="s">
        <v>981</v>
      </c>
      <c r="B151" s="2019">
        <v>550</v>
      </c>
      <c r="C151" s="2055"/>
      <c r="D151" s="2055"/>
      <c r="E151" s="2055"/>
      <c r="F151" s="3"/>
      <c r="G151" s="3"/>
      <c r="H151" s="3"/>
      <c r="I151" s="3"/>
    </row>
    <row r="152" spans="1:9" ht="12.75" customHeight="1">
      <c r="A152" s="3053" t="s">
        <v>982</v>
      </c>
      <c r="B152" s="2019">
        <v>555</v>
      </c>
      <c r="C152" s="2055"/>
      <c r="D152" s="2055"/>
      <c r="E152" s="2055"/>
      <c r="F152" s="3"/>
      <c r="G152" s="3"/>
      <c r="H152" s="3"/>
      <c r="I152" s="3"/>
    </row>
    <row r="153" spans="1:9" ht="12.75" customHeight="1">
      <c r="A153" s="3053" t="s">
        <v>983</v>
      </c>
      <c r="B153" s="2019">
        <v>560</v>
      </c>
      <c r="C153" s="2055"/>
      <c r="D153" s="2055"/>
      <c r="E153" s="2055"/>
      <c r="F153" s="3"/>
      <c r="G153" s="3"/>
      <c r="H153" s="3"/>
      <c r="I153" s="3"/>
    </row>
    <row r="154" spans="1:9" ht="12.75" customHeight="1">
      <c r="A154" s="3053" t="s">
        <v>984</v>
      </c>
      <c r="B154" s="2019">
        <v>565</v>
      </c>
      <c r="C154" s="2055"/>
      <c r="D154" s="2055"/>
      <c r="E154" s="2055"/>
      <c r="F154" s="3"/>
      <c r="G154" s="3"/>
      <c r="H154" s="3"/>
      <c r="I154" s="3"/>
    </row>
    <row r="155" spans="1:9" ht="12.75" customHeight="1">
      <c r="A155" s="3053" t="s">
        <v>985</v>
      </c>
      <c r="B155" s="2019">
        <v>570</v>
      </c>
      <c r="C155" s="2055"/>
      <c r="D155" s="2055"/>
      <c r="E155" s="2055"/>
      <c r="F155" s="3"/>
      <c r="G155" s="3"/>
      <c r="H155" s="3"/>
      <c r="I155" s="3"/>
    </row>
    <row r="156" spans="1:9" ht="12.75" customHeight="1">
      <c r="A156" s="3042" t="s">
        <v>986</v>
      </c>
      <c r="B156" s="3061"/>
      <c r="C156" s="3061"/>
      <c r="D156" s="3061"/>
      <c r="E156" s="3061"/>
      <c r="F156" s="3"/>
      <c r="G156" s="3"/>
      <c r="H156" s="3"/>
      <c r="I156" s="3"/>
    </row>
    <row r="157" spans="1:9" ht="12.75" customHeight="1">
      <c r="A157" s="3052" t="s">
        <v>987</v>
      </c>
      <c r="B157" s="3056">
        <v>575</v>
      </c>
      <c r="C157" s="1388"/>
      <c r="D157" s="1388"/>
      <c r="E157" s="1388"/>
      <c r="F157" s="3"/>
      <c r="G157" s="3"/>
      <c r="H157" s="3"/>
      <c r="I157" s="3"/>
    </row>
    <row r="158" spans="1:9" ht="12.75" customHeight="1">
      <c r="A158" s="3053" t="s">
        <v>988</v>
      </c>
      <c r="B158" s="2019">
        <v>580</v>
      </c>
      <c r="C158" s="2055"/>
      <c r="D158" s="2055"/>
      <c r="E158" s="2055"/>
      <c r="F158" s="3"/>
      <c r="G158" s="3"/>
      <c r="H158" s="3"/>
      <c r="I158" s="3"/>
    </row>
    <row r="159" spans="1:9" ht="12.75" customHeight="1">
      <c r="A159" s="3042" t="s">
        <v>989</v>
      </c>
      <c r="B159" s="3061"/>
      <c r="C159" s="3061"/>
      <c r="D159" s="3061"/>
      <c r="E159" s="3061"/>
      <c r="F159" s="3"/>
      <c r="G159" s="3"/>
      <c r="H159" s="3"/>
      <c r="I159" s="3"/>
    </row>
    <row r="160" spans="1:9" ht="12.75" customHeight="1">
      <c r="A160" s="3052" t="s">
        <v>990</v>
      </c>
      <c r="B160" s="3056">
        <v>585</v>
      </c>
      <c r="C160" s="1388"/>
      <c r="D160" s="1388"/>
      <c r="E160" s="1388"/>
      <c r="F160" s="3"/>
      <c r="G160" s="3"/>
      <c r="H160" s="3"/>
      <c r="I160" s="3"/>
    </row>
    <row r="161" spans="1:9" ht="12.75" customHeight="1">
      <c r="A161" s="3042" t="s">
        <v>991</v>
      </c>
      <c r="B161" s="3061"/>
      <c r="C161" s="3061"/>
      <c r="D161" s="3061"/>
      <c r="E161" s="3061"/>
      <c r="F161" s="3"/>
      <c r="G161" s="3"/>
      <c r="H161" s="3"/>
      <c r="I161" s="3"/>
    </row>
    <row r="162" spans="1:9" ht="12.75" customHeight="1">
      <c r="A162" s="3052" t="s">
        <v>992</v>
      </c>
      <c r="B162" s="3056">
        <v>590</v>
      </c>
      <c r="C162" s="1388"/>
      <c r="D162" s="1388"/>
      <c r="E162" s="1388"/>
      <c r="F162" s="3"/>
      <c r="G162" s="3"/>
      <c r="H162" s="3"/>
      <c r="I162" s="3"/>
    </row>
    <row r="163" spans="1:9" ht="12.75" customHeight="1">
      <c r="A163" s="3053" t="s">
        <v>993</v>
      </c>
      <c r="B163" s="2019">
        <v>595</v>
      </c>
      <c r="C163" s="2055"/>
      <c r="D163" s="2055"/>
      <c r="E163" s="2055"/>
      <c r="F163" s="3"/>
      <c r="G163" s="3"/>
      <c r="H163" s="3"/>
      <c r="I163" s="3"/>
    </row>
    <row r="164" spans="1:9" ht="12.75" customHeight="1">
      <c r="A164" s="4497" t="s">
        <v>51</v>
      </c>
      <c r="B164" s="2019">
        <v>600</v>
      </c>
      <c r="C164" s="2055"/>
      <c r="D164" s="2055"/>
      <c r="E164" s="2055"/>
      <c r="F164" s="3"/>
      <c r="G164" s="3"/>
      <c r="H164" s="3"/>
      <c r="I164" s="3"/>
    </row>
    <row r="165" spans="1:9" s="19" customFormat="1" ht="12.75" customHeight="1">
      <c r="A165" s="3053" t="s">
        <v>995</v>
      </c>
      <c r="B165" s="2019">
        <v>605</v>
      </c>
      <c r="C165" s="2055"/>
      <c r="D165" s="2055"/>
      <c r="E165" s="2055"/>
      <c r="F165" s="7"/>
      <c r="G165" s="7"/>
      <c r="H165" s="7"/>
      <c r="I165" s="7"/>
    </row>
    <row r="166" spans="1:9" s="19" customFormat="1" ht="12.75" customHeight="1">
      <c r="A166" s="3053" t="s">
        <v>996</v>
      </c>
      <c r="B166" s="2019">
        <v>610</v>
      </c>
      <c r="C166" s="2055"/>
      <c r="D166" s="2055"/>
      <c r="E166" s="2055"/>
      <c r="F166" s="7"/>
      <c r="G166" s="7"/>
      <c r="H166" s="7"/>
      <c r="I166" s="7"/>
    </row>
    <row r="167" spans="1:9" s="19" customFormat="1" ht="12.75" customHeight="1">
      <c r="A167" s="3053" t="s">
        <v>997</v>
      </c>
      <c r="B167" s="2019">
        <v>615</v>
      </c>
      <c r="C167" s="2055"/>
      <c r="D167" s="2055"/>
      <c r="E167" s="2055"/>
      <c r="F167" s="7"/>
      <c r="G167" s="7"/>
      <c r="H167" s="7"/>
      <c r="I167" s="7"/>
    </row>
    <row r="168" spans="1:9" s="19" customFormat="1" ht="12.75" customHeight="1">
      <c r="A168" s="3053" t="s">
        <v>998</v>
      </c>
      <c r="B168" s="2019">
        <v>620</v>
      </c>
      <c r="C168" s="2055"/>
      <c r="D168" s="2055"/>
      <c r="E168" s="2055"/>
      <c r="F168" s="7"/>
      <c r="G168" s="7"/>
      <c r="H168" s="7"/>
      <c r="I168" s="7"/>
    </row>
    <row r="169" spans="1:9" s="19" customFormat="1" ht="12.75" customHeight="1">
      <c r="A169" s="3042" t="s">
        <v>1027</v>
      </c>
      <c r="B169" s="3061"/>
      <c r="C169" s="3061"/>
      <c r="D169" s="3061"/>
      <c r="E169" s="3061"/>
      <c r="F169" s="7"/>
      <c r="G169" s="7"/>
      <c r="H169" s="7"/>
      <c r="I169" s="7"/>
    </row>
    <row r="170" spans="1:9" s="19" customFormat="1" ht="12.75" customHeight="1">
      <c r="A170" s="3043" t="s">
        <v>689</v>
      </c>
      <c r="B170" s="3062"/>
      <c r="C170" s="3062"/>
      <c r="D170" s="3062"/>
      <c r="E170" s="3062"/>
      <c r="F170" s="7"/>
      <c r="G170" s="7"/>
      <c r="H170" s="7"/>
      <c r="I170" s="7"/>
    </row>
    <row r="171" spans="1:9" s="19" customFormat="1" ht="12.75" customHeight="1">
      <c r="A171" s="3043" t="s">
        <v>972</v>
      </c>
      <c r="B171" s="3062"/>
      <c r="C171" s="3062"/>
      <c r="D171" s="3062"/>
      <c r="E171" s="3062"/>
      <c r="F171" s="7"/>
      <c r="G171" s="7"/>
      <c r="H171" s="7"/>
      <c r="I171" s="7"/>
    </row>
    <row r="172" spans="1:9" s="19" customFormat="1" ht="12.75" customHeight="1">
      <c r="A172" s="3052" t="s">
        <v>1028</v>
      </c>
      <c r="B172" s="3060">
        <v>625</v>
      </c>
      <c r="C172" s="1388"/>
      <c r="D172" s="1388"/>
      <c r="E172" s="1388"/>
      <c r="F172" s="7"/>
      <c r="G172" s="7"/>
      <c r="H172" s="7"/>
      <c r="I172" s="7"/>
    </row>
    <row r="173" spans="1:9" s="19" customFormat="1" ht="12.75" customHeight="1">
      <c r="A173" s="3042" t="s">
        <v>973</v>
      </c>
      <c r="B173" s="3061"/>
      <c r="C173" s="3061"/>
      <c r="D173" s="3061"/>
      <c r="E173" s="3061"/>
      <c r="F173" s="7"/>
      <c r="G173" s="7"/>
      <c r="H173" s="7"/>
      <c r="I173" s="7"/>
    </row>
    <row r="174" spans="1:9" s="19" customFormat="1" ht="12.75" customHeight="1">
      <c r="A174" s="3052" t="s">
        <v>1029</v>
      </c>
      <c r="B174" s="3060">
        <v>630</v>
      </c>
      <c r="C174" s="1388"/>
      <c r="D174" s="1388"/>
      <c r="E174" s="1388"/>
      <c r="F174" s="7"/>
      <c r="G174" s="7"/>
      <c r="H174" s="7"/>
      <c r="I174" s="7"/>
    </row>
    <row r="175" spans="1:9" s="19" customFormat="1" ht="12.75" customHeight="1">
      <c r="A175" s="3271" t="s">
        <v>977</v>
      </c>
      <c r="B175" s="3057">
        <v>635</v>
      </c>
      <c r="C175" s="3063"/>
      <c r="D175" s="3063"/>
      <c r="E175" s="3063"/>
      <c r="F175" s="7"/>
      <c r="G175" s="7"/>
      <c r="H175" s="7"/>
      <c r="I175" s="7"/>
    </row>
    <row r="176" spans="1:9" s="19" customFormat="1" ht="12.75" customHeight="1">
      <c r="A176" s="3270" t="s">
        <v>978</v>
      </c>
      <c r="B176" s="3064">
        <v>640</v>
      </c>
      <c r="C176" s="1387"/>
      <c r="D176" s="1387"/>
      <c r="E176" s="1387"/>
      <c r="F176" s="7"/>
      <c r="G176" s="7"/>
      <c r="H176" s="7"/>
      <c r="I176" s="7"/>
    </row>
    <row r="177" spans="1:9" s="19" customFormat="1" ht="12.75" customHeight="1">
      <c r="A177" s="3270" t="s">
        <v>1030</v>
      </c>
      <c r="B177" s="3064">
        <v>645</v>
      </c>
      <c r="C177" s="1387"/>
      <c r="D177" s="1387"/>
      <c r="E177" s="1387"/>
      <c r="F177" s="7"/>
      <c r="G177" s="7"/>
      <c r="H177" s="7"/>
      <c r="I177" s="7"/>
    </row>
    <row r="178" spans="1:9" s="19" customFormat="1" ht="12.75" customHeight="1">
      <c r="A178" s="3042" t="s">
        <v>986</v>
      </c>
      <c r="B178" s="3061"/>
      <c r="C178" s="3061"/>
      <c r="D178" s="3061"/>
      <c r="E178" s="3061"/>
      <c r="F178" s="7"/>
      <c r="G178" s="7"/>
      <c r="H178" s="7"/>
      <c r="I178" s="7"/>
    </row>
    <row r="179" spans="1:9" s="19" customFormat="1" ht="12.75" customHeight="1">
      <c r="A179" s="3052" t="s">
        <v>1031</v>
      </c>
      <c r="B179" s="3060">
        <v>650</v>
      </c>
      <c r="C179" s="1388"/>
      <c r="D179" s="1388"/>
      <c r="E179" s="1388"/>
      <c r="F179" s="7"/>
      <c r="G179" s="7"/>
      <c r="H179" s="7"/>
      <c r="I179" s="7"/>
    </row>
    <row r="180" spans="1:9" s="19" customFormat="1" ht="12.75" customHeight="1">
      <c r="A180" s="3271" t="s">
        <v>1032</v>
      </c>
      <c r="B180" s="3057">
        <v>655</v>
      </c>
      <c r="C180" s="3063"/>
      <c r="D180" s="3063"/>
      <c r="E180" s="3063"/>
      <c r="F180" s="7"/>
      <c r="G180" s="7"/>
      <c r="H180" s="7"/>
      <c r="I180" s="7"/>
    </row>
    <row r="181" spans="1:9" s="19" customFormat="1" ht="12.75" customHeight="1">
      <c r="A181" s="3270" t="s">
        <v>987</v>
      </c>
      <c r="B181" s="3064">
        <v>660</v>
      </c>
      <c r="C181" s="1387"/>
      <c r="D181" s="1387"/>
      <c r="E181" s="1387"/>
      <c r="F181" s="7"/>
      <c r="G181" s="7"/>
      <c r="H181" s="7"/>
      <c r="I181" s="7"/>
    </row>
    <row r="182" spans="1:9" s="19" customFormat="1" ht="12.75" customHeight="1">
      <c r="A182" s="3270" t="s">
        <v>1033</v>
      </c>
      <c r="B182" s="3064">
        <v>665</v>
      </c>
      <c r="C182" s="1387"/>
      <c r="D182" s="1387"/>
      <c r="E182" s="1387"/>
      <c r="F182" s="7"/>
      <c r="G182" s="7"/>
      <c r="H182" s="7"/>
      <c r="I182" s="7"/>
    </row>
    <row r="183" spans="1:9" s="19" customFormat="1" ht="12.75" customHeight="1">
      <c r="A183" s="3270" t="s">
        <v>1034</v>
      </c>
      <c r="B183" s="3064">
        <v>670</v>
      </c>
      <c r="C183" s="1387"/>
      <c r="D183" s="1387"/>
      <c r="E183" s="1387"/>
      <c r="F183" s="7"/>
      <c r="G183" s="7"/>
      <c r="H183" s="7"/>
      <c r="I183" s="7"/>
    </row>
    <row r="184" spans="1:9" s="19" customFormat="1" ht="12.75" customHeight="1">
      <c r="A184" s="3053" t="s">
        <v>998</v>
      </c>
      <c r="B184" s="3059">
        <v>675</v>
      </c>
      <c r="C184" s="1387"/>
      <c r="D184" s="2055"/>
      <c r="E184" s="2055"/>
      <c r="F184" s="7"/>
      <c r="G184" s="7"/>
      <c r="H184" s="7"/>
      <c r="I184" s="7"/>
    </row>
    <row r="185" spans="1:9" ht="12.75" customHeight="1">
      <c r="A185" s="3040" t="s">
        <v>1326</v>
      </c>
      <c r="B185" s="3065"/>
      <c r="C185" s="3065"/>
      <c r="D185" s="3065"/>
      <c r="E185" s="3065"/>
      <c r="F185" s="3"/>
      <c r="G185" s="3"/>
      <c r="H185" s="3"/>
      <c r="I185" s="3"/>
    </row>
    <row r="186" spans="1:9" ht="12.75" customHeight="1">
      <c r="A186" s="3043" t="s">
        <v>972</v>
      </c>
      <c r="B186" s="3062"/>
      <c r="C186" s="3062"/>
      <c r="D186" s="3062"/>
      <c r="E186" s="3062"/>
      <c r="F186" s="3"/>
      <c r="G186" s="3"/>
      <c r="H186" s="3"/>
      <c r="I186" s="3"/>
    </row>
    <row r="187" spans="1:9" ht="12.75" customHeight="1">
      <c r="A187" s="3052" t="s">
        <v>999</v>
      </c>
      <c r="B187" s="3060">
        <v>805</v>
      </c>
      <c r="C187" s="3570"/>
      <c r="D187" s="1388"/>
      <c r="E187" s="1388"/>
      <c r="F187" s="3"/>
      <c r="G187" s="3"/>
      <c r="H187" s="3"/>
      <c r="I187" s="3"/>
    </row>
    <row r="188" spans="1:9" ht="12.75" customHeight="1">
      <c r="A188" s="3053" t="s">
        <v>943</v>
      </c>
      <c r="B188" s="3059">
        <v>810</v>
      </c>
      <c r="C188" s="3570"/>
      <c r="D188" s="2055"/>
      <c r="E188" s="2055"/>
      <c r="F188" s="3"/>
      <c r="G188" s="3"/>
      <c r="H188" s="3"/>
      <c r="I188" s="3"/>
    </row>
    <row r="189" spans="1:9" ht="12.75" customHeight="1">
      <c r="A189" s="3042" t="s">
        <v>973</v>
      </c>
      <c r="B189" s="3061"/>
      <c r="C189" s="3061"/>
      <c r="D189" s="3061"/>
      <c r="E189" s="3061"/>
      <c r="F189" s="3"/>
      <c r="G189" s="3"/>
      <c r="H189" s="3"/>
      <c r="I189" s="3"/>
    </row>
    <row r="190" spans="1:9" ht="12.75" customHeight="1">
      <c r="A190" s="3052" t="s">
        <v>1000</v>
      </c>
      <c r="B190" s="3060">
        <v>815</v>
      </c>
      <c r="C190" s="3570"/>
      <c r="D190" s="1388"/>
      <c r="E190" s="1388"/>
      <c r="F190" s="3"/>
      <c r="G190" s="3"/>
      <c r="H190" s="3"/>
      <c r="I190" s="3"/>
    </row>
    <row r="191" spans="1:9" ht="12.75" customHeight="1">
      <c r="A191" s="3053" t="s">
        <v>977</v>
      </c>
      <c r="B191" s="3059">
        <v>820</v>
      </c>
      <c r="C191" s="3570"/>
      <c r="D191" s="2055"/>
      <c r="E191" s="2055"/>
      <c r="F191" s="3"/>
      <c r="G191" s="3"/>
      <c r="H191" s="3"/>
      <c r="I191" s="3"/>
    </row>
    <row r="192" spans="1:9" ht="12.75" customHeight="1">
      <c r="A192" s="3053" t="s">
        <v>978</v>
      </c>
      <c r="B192" s="3059">
        <v>825</v>
      </c>
      <c r="C192" s="3570"/>
      <c r="D192" s="2055"/>
      <c r="E192" s="2055"/>
      <c r="F192" s="3"/>
      <c r="G192" s="3"/>
      <c r="H192" s="3"/>
      <c r="I192" s="3"/>
    </row>
    <row r="193" spans="1:9" ht="12.75" customHeight="1">
      <c r="A193" s="2279" t="s">
        <v>4818</v>
      </c>
      <c r="B193" s="3064">
        <v>830</v>
      </c>
      <c r="C193" s="3570"/>
      <c r="D193" s="1387"/>
      <c r="E193" s="1387"/>
      <c r="F193" s="3"/>
      <c r="G193" s="3"/>
      <c r="H193" s="3"/>
      <c r="I193" s="3"/>
    </row>
    <row r="194" spans="1:9" ht="12.75" customHeight="1">
      <c r="A194" s="3053" t="s">
        <v>979</v>
      </c>
      <c r="B194" s="3059">
        <v>835</v>
      </c>
      <c r="C194" s="3570"/>
      <c r="D194" s="2055"/>
      <c r="E194" s="2055"/>
      <c r="F194" s="3"/>
      <c r="G194" s="3"/>
      <c r="H194" s="3"/>
      <c r="I194" s="3"/>
    </row>
    <row r="195" spans="1:9" ht="12.75" customHeight="1">
      <c r="A195" s="3053" t="s">
        <v>986</v>
      </c>
      <c r="B195" s="3059">
        <v>840</v>
      </c>
      <c r="C195" s="3570"/>
      <c r="D195" s="2055"/>
      <c r="E195" s="2055"/>
      <c r="F195" s="3"/>
      <c r="G195" s="3"/>
      <c r="H195" s="3"/>
      <c r="I195" s="3"/>
    </row>
    <row r="196" spans="1:9" ht="12.75" customHeight="1">
      <c r="A196" s="3053" t="s">
        <v>989</v>
      </c>
      <c r="B196" s="3059">
        <v>845</v>
      </c>
      <c r="C196" s="3570"/>
      <c r="D196" s="2055"/>
      <c r="E196" s="2055"/>
      <c r="F196" s="3"/>
      <c r="G196" s="3"/>
      <c r="H196" s="3"/>
      <c r="I196" s="3"/>
    </row>
    <row r="197" spans="1:9" ht="12.75" customHeight="1">
      <c r="A197" s="3053" t="s">
        <v>997</v>
      </c>
      <c r="B197" s="3059">
        <v>850</v>
      </c>
      <c r="C197" s="3570"/>
      <c r="D197" s="2055"/>
      <c r="E197" s="2055"/>
      <c r="F197" s="3"/>
      <c r="G197" s="3"/>
      <c r="H197" s="3"/>
      <c r="I197" s="3"/>
    </row>
    <row r="198" spans="1:9" ht="12.75" customHeight="1">
      <c r="A198" s="3270" t="s">
        <v>998</v>
      </c>
      <c r="B198" s="3064">
        <v>855</v>
      </c>
      <c r="C198" s="3570"/>
      <c r="D198" s="1387"/>
      <c r="E198" s="1387"/>
      <c r="F198" s="3"/>
      <c r="G198" s="3"/>
      <c r="H198" s="3"/>
      <c r="I198" s="3"/>
    </row>
    <row r="199" spans="1:9" ht="12.75" customHeight="1">
      <c r="A199" s="3042" t="s">
        <v>1035</v>
      </c>
      <c r="B199" s="3061"/>
      <c r="C199" s="3061"/>
      <c r="D199" s="3061"/>
      <c r="E199" s="3061"/>
      <c r="F199" s="3"/>
      <c r="G199" s="3"/>
      <c r="H199" s="3"/>
      <c r="I199" s="3"/>
    </row>
    <row r="200" spans="1:9" ht="12.75" customHeight="1">
      <c r="A200" s="3043" t="s">
        <v>1036</v>
      </c>
      <c r="B200" s="3062"/>
      <c r="C200" s="3062"/>
      <c r="D200" s="3062"/>
      <c r="E200" s="3062"/>
      <c r="F200" s="3"/>
      <c r="G200" s="3"/>
      <c r="H200" s="3"/>
      <c r="I200" s="3"/>
    </row>
    <row r="201" spans="1:9" ht="12.75" customHeight="1">
      <c r="A201" s="3043" t="s">
        <v>972</v>
      </c>
      <c r="B201" s="3062"/>
      <c r="C201" s="3062"/>
      <c r="D201" s="3062"/>
      <c r="E201" s="3062"/>
      <c r="F201" s="3"/>
      <c r="G201" s="3"/>
      <c r="H201" s="3"/>
      <c r="I201" s="3"/>
    </row>
    <row r="202" spans="1:9" ht="12.75" customHeight="1">
      <c r="A202" s="3052" t="s">
        <v>999</v>
      </c>
      <c r="B202" s="3060">
        <v>735</v>
      </c>
      <c r="C202" s="1388"/>
      <c r="D202" s="1388"/>
      <c r="E202" s="1388"/>
      <c r="F202" s="3"/>
      <c r="G202" s="3"/>
      <c r="H202" s="3"/>
      <c r="I202" s="3"/>
    </row>
    <row r="203" spans="1:9" ht="12.75" customHeight="1">
      <c r="A203" s="3271" t="s">
        <v>943</v>
      </c>
      <c r="B203" s="3057">
        <v>740</v>
      </c>
      <c r="C203" s="3063"/>
      <c r="D203" s="3063"/>
      <c r="E203" s="3063"/>
      <c r="F203" s="3"/>
      <c r="G203" s="3"/>
      <c r="H203" s="3"/>
      <c r="I203" s="3"/>
    </row>
    <row r="204" spans="1:9" ht="12.75" customHeight="1">
      <c r="A204" s="3042" t="s">
        <v>973</v>
      </c>
      <c r="B204" s="3061"/>
      <c r="C204" s="3061"/>
      <c r="D204" s="3061"/>
      <c r="E204" s="3061"/>
      <c r="F204" s="3"/>
      <c r="G204" s="3"/>
      <c r="H204" s="3"/>
      <c r="I204" s="3"/>
    </row>
    <row r="205" spans="1:9" ht="12.75" customHeight="1">
      <c r="A205" s="3052" t="s">
        <v>1000</v>
      </c>
      <c r="B205" s="3060">
        <v>745</v>
      </c>
      <c r="C205" s="1388"/>
      <c r="D205" s="1388"/>
      <c r="E205" s="1388"/>
      <c r="F205" s="3"/>
      <c r="G205" s="3"/>
      <c r="H205" s="3"/>
      <c r="I205" s="3"/>
    </row>
    <row r="206" spans="1:9" ht="12.75" customHeight="1">
      <c r="A206" s="3052" t="s">
        <v>977</v>
      </c>
      <c r="B206" s="3060">
        <v>750</v>
      </c>
      <c r="C206" s="1388"/>
      <c r="D206" s="1388"/>
      <c r="E206" s="1388"/>
      <c r="F206" s="3"/>
      <c r="G206" s="3"/>
      <c r="H206" s="3"/>
      <c r="I206" s="3"/>
    </row>
    <row r="207" spans="1:9" ht="12.75" customHeight="1">
      <c r="A207" s="3270" t="s">
        <v>978</v>
      </c>
      <c r="B207" s="3064">
        <v>755</v>
      </c>
      <c r="C207" s="1387"/>
      <c r="D207" s="1387"/>
      <c r="E207" s="1387"/>
      <c r="F207" s="3"/>
      <c r="G207" s="3"/>
      <c r="H207" s="3"/>
      <c r="I207" s="3"/>
    </row>
    <row r="208" spans="1:9" ht="12.75" customHeight="1">
      <c r="A208" s="3042" t="s">
        <v>986</v>
      </c>
      <c r="B208" s="3061"/>
      <c r="C208" s="3061"/>
      <c r="D208" s="3061"/>
      <c r="E208" s="3061"/>
      <c r="F208" s="3"/>
      <c r="G208" s="3"/>
      <c r="H208" s="3"/>
      <c r="I208" s="3"/>
    </row>
    <row r="209" spans="1:9" ht="12.75" customHeight="1">
      <c r="A209" s="3052" t="s">
        <v>1037</v>
      </c>
      <c r="B209" s="3060">
        <v>760</v>
      </c>
      <c r="C209" s="1388"/>
      <c r="D209" s="1388"/>
      <c r="E209" s="1388"/>
      <c r="F209" s="3"/>
      <c r="G209" s="3"/>
      <c r="H209" s="3"/>
      <c r="I209" s="3"/>
    </row>
    <row r="210" spans="1:9" ht="12.75" customHeight="1">
      <c r="A210" s="3052" t="s">
        <v>1038</v>
      </c>
      <c r="B210" s="3060">
        <v>765</v>
      </c>
      <c r="C210" s="1388"/>
      <c r="D210" s="1388"/>
      <c r="E210" s="1388"/>
      <c r="F210" s="3"/>
      <c r="G210" s="3"/>
      <c r="H210" s="3"/>
      <c r="I210" s="3"/>
    </row>
    <row r="211" spans="1:9" ht="12.75" customHeight="1">
      <c r="A211" s="3270" t="s">
        <v>1039</v>
      </c>
      <c r="B211" s="3064">
        <v>770</v>
      </c>
      <c r="C211" s="1387"/>
      <c r="D211" s="1387"/>
      <c r="E211" s="1387"/>
      <c r="F211" s="3"/>
      <c r="G211" s="3"/>
      <c r="H211" s="3"/>
      <c r="I211" s="3"/>
    </row>
    <row r="212" spans="1:9" ht="12.75" customHeight="1">
      <c r="A212" s="3042" t="s">
        <v>989</v>
      </c>
      <c r="B212" s="3061"/>
      <c r="C212" s="3061"/>
      <c r="D212" s="3061"/>
      <c r="E212" s="3061"/>
      <c r="F212" s="3"/>
      <c r="G212" s="3"/>
      <c r="H212" s="3"/>
      <c r="I212" s="3"/>
    </row>
    <row r="213" spans="1:9" ht="12.75" customHeight="1">
      <c r="A213" s="3052" t="s">
        <v>1040</v>
      </c>
      <c r="B213" s="3060">
        <v>775</v>
      </c>
      <c r="C213" s="1388"/>
      <c r="D213" s="1388"/>
      <c r="E213" s="1388"/>
      <c r="F213" s="3"/>
      <c r="G213" s="3"/>
      <c r="H213" s="3"/>
      <c r="I213" s="3"/>
    </row>
    <row r="214" spans="1:9" ht="12.75" customHeight="1">
      <c r="A214" s="3052" t="s">
        <v>1041</v>
      </c>
      <c r="B214" s="3060">
        <v>780</v>
      </c>
      <c r="C214" s="1388"/>
      <c r="D214" s="1388"/>
      <c r="E214" s="1388"/>
      <c r="F214" s="3"/>
      <c r="G214" s="3"/>
      <c r="H214" s="3"/>
      <c r="I214" s="3"/>
    </row>
    <row r="215" spans="1:9" ht="12.75" customHeight="1">
      <c r="A215" s="933" t="s">
        <v>997</v>
      </c>
      <c r="B215" s="931">
        <v>785</v>
      </c>
      <c r="C215" s="916"/>
      <c r="D215" s="921"/>
      <c r="E215" s="916"/>
      <c r="F215" s="3"/>
      <c r="G215" s="3"/>
      <c r="H215" s="3"/>
      <c r="I215" s="3"/>
    </row>
    <row r="216" spans="1:9" ht="12.75" customHeight="1">
      <c r="A216" s="933" t="s">
        <v>998</v>
      </c>
      <c r="B216" s="931">
        <v>790</v>
      </c>
      <c r="C216" s="916"/>
      <c r="D216" s="921"/>
      <c r="E216" s="916"/>
      <c r="F216" s="3"/>
      <c r="G216" s="3"/>
      <c r="H216" s="3"/>
      <c r="I216" s="3"/>
    </row>
    <row r="217" spans="1:9" ht="12.75" customHeight="1">
      <c r="A217" s="933" t="s">
        <v>1001</v>
      </c>
      <c r="B217" s="915">
        <v>795</v>
      </c>
      <c r="C217" s="916"/>
      <c r="D217" s="921"/>
      <c r="E217" s="916"/>
      <c r="F217" s="3"/>
      <c r="G217" s="3"/>
      <c r="H217" s="3"/>
      <c r="I217" s="3"/>
    </row>
    <row r="218" spans="1:9" ht="12.75" customHeight="1">
      <c r="A218" s="3892" t="s">
        <v>1002</v>
      </c>
      <c r="B218" s="915">
        <v>800</v>
      </c>
      <c r="C218" s="929"/>
      <c r="D218" s="930"/>
      <c r="E218" s="929"/>
      <c r="F218" s="3"/>
      <c r="G218" s="3"/>
      <c r="H218" s="3"/>
      <c r="I218" s="3"/>
    </row>
    <row r="219" spans="1:9" ht="12.75" customHeight="1">
      <c r="A219" s="1541" t="s">
        <v>5161</v>
      </c>
      <c r="B219" s="2578" t="s">
        <v>4906</v>
      </c>
      <c r="C219" s="918">
        <f>SUM(C41:C218)</f>
        <v>108216</v>
      </c>
      <c r="D219" s="918">
        <f>SUM(D41:D218)</f>
        <v>452310</v>
      </c>
      <c r="E219" s="918">
        <f>SUM(E41:E218)</f>
        <v>413217</v>
      </c>
      <c r="F219" s="3"/>
      <c r="G219" s="3"/>
      <c r="H219" s="3"/>
      <c r="I219" s="3"/>
    </row>
    <row r="220" spans="1:9" ht="12.75" customHeight="1">
      <c r="A220" s="6101" t="s">
        <v>4911</v>
      </c>
      <c r="B220" s="6101"/>
      <c r="C220" s="6101"/>
      <c r="D220" s="6101"/>
      <c r="E220" s="6101"/>
      <c r="F220" s="3"/>
      <c r="G220" s="3"/>
      <c r="H220" s="3"/>
      <c r="I220" s="3"/>
    </row>
    <row r="221" spans="1:9" ht="12.75" customHeight="1">
      <c r="A221" s="4629"/>
      <c r="B221" s="4629"/>
      <c r="C221" s="4629"/>
      <c r="D221" s="4629"/>
      <c r="E221" s="4629"/>
      <c r="F221" s="3"/>
      <c r="G221" s="3"/>
      <c r="H221" s="3"/>
      <c r="I221" s="3"/>
    </row>
    <row r="222" spans="1:9" ht="12.75" customHeight="1">
      <c r="A222" s="4629"/>
      <c r="B222" s="4629"/>
      <c r="C222" s="4629"/>
      <c r="D222" s="4629"/>
      <c r="E222" s="4629"/>
      <c r="F222" s="3"/>
      <c r="G222" s="3"/>
      <c r="H222" s="3"/>
      <c r="I222" s="3"/>
    </row>
    <row r="223" spans="1:9" ht="12.75" customHeight="1">
      <c r="A223" s="4629"/>
      <c r="B223" s="4629"/>
      <c r="C223" s="4629"/>
      <c r="D223" s="4629"/>
      <c r="E223" s="4629"/>
      <c r="F223" s="3"/>
      <c r="G223" s="3"/>
      <c r="H223" s="3"/>
      <c r="I223" s="3"/>
    </row>
    <row r="224" spans="1:9" ht="12.75" customHeight="1">
      <c r="A224" s="4629"/>
      <c r="B224" s="4629"/>
      <c r="C224" s="4629"/>
      <c r="D224" s="4629"/>
      <c r="E224" s="4629"/>
      <c r="F224" s="3"/>
      <c r="G224" s="3"/>
      <c r="H224" s="3"/>
      <c r="I224" s="3"/>
    </row>
    <row r="225" spans="1:9" ht="12.75" customHeight="1">
      <c r="A225" s="4629"/>
      <c r="B225" s="4629"/>
      <c r="C225" s="4629"/>
      <c r="D225" s="4629"/>
      <c r="E225" s="4629"/>
      <c r="F225" s="3"/>
      <c r="G225" s="3"/>
      <c r="H225" s="3"/>
      <c r="I225" s="3"/>
    </row>
    <row r="226" spans="1:9" ht="12.75" customHeight="1">
      <c r="A226" s="2864"/>
      <c r="B226" s="1513"/>
      <c r="C226" s="899"/>
      <c r="D226" s="899"/>
      <c r="E226" s="899"/>
      <c r="F226" s="3"/>
      <c r="G226" s="3"/>
      <c r="H226" s="3"/>
      <c r="I226" s="3"/>
    </row>
  </sheetData>
  <sheetProtection algorithmName="SHA-512" hashValue="EKE+e+xkfSM8F7JzGxd2bGLcIhwWF9kBzbPra2X0YpbaA6Zyl/CBNJSFUHKI/WyUAZNhhCI36KgIC7ENP4W3JA==" saltValue="aJS/e+dp3zQRKvpJb+PxGQ==" spinCount="100000" sheet="1" objects="1" scenarios="1"/>
  <mergeCells count="10">
    <mergeCell ref="A220:E220"/>
    <mergeCell ref="D30:E30"/>
    <mergeCell ref="D31:E31"/>
    <mergeCell ref="D1:E1"/>
    <mergeCell ref="D2:E2"/>
    <mergeCell ref="D3:E3"/>
    <mergeCell ref="D29:E29"/>
    <mergeCell ref="A25:E25"/>
    <mergeCell ref="A26:E26"/>
    <mergeCell ref="A27:E27"/>
  </mergeCells>
  <phoneticPr fontId="0" type="noConversion"/>
  <dataValidations count="3">
    <dataValidation type="whole" operator="greaterThanOrEqual" showInputMessage="1" showErrorMessage="1" errorTitle="Invalid Data Entry" error="Please enter a positive number or press the delete key or enter zero." sqref="C44:E48 C51:E54 C56:E61 C105:E110 C65:E66 C82:E87 C162:E168 C10:E10 C160:E160 C157:E158 C68:C69 D68:E72 C71:C72 C70:E70 C73:E76 C89:E93 C187:E188 C122:E126 C150:E155 C113:E114 C96:E97 C79:E80 C41:E42 C145:E148 C116:E120 C190:E198 C99:E103 C213:E218 C209:E211 C205:E207 C202:E203 C179:E184 C174:E177 C172:E172 C143:E143 C14:C17 E14:E21 D14:D19 C21:D21">
      <formula1>0</formula1>
    </dataValidation>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a zero." sqref="C129:E130 C132:E140">
      <formula1>0</formula1>
    </dataValidation>
  </dataValidations>
  <hyperlinks>
    <hyperlink ref="G1" location="Contents!F1" display="Return to Contents page"/>
  </hyperlinks>
  <printOptions horizontalCentered="1"/>
  <pageMargins left="0.75" right="0.75" top="0.5" bottom="0.5" header="0.3" footer="0.3"/>
  <pageSetup scale="86" fitToHeight="0" orientation="portrait" blackAndWhite="1" r:id="rId1"/>
  <headerFooter scaleWithDoc="0">
    <oddFooter>&amp;L&amp;"Open Sans Light,Regular"&amp;8&amp;D    &amp;T&amp;C&amp;"Open Sans Light,Regular"&amp;8Page &amp;P&amp;R&amp;"Open Sans Light,Regular"&amp;8&amp;A</oddFooter>
  </headerFooter>
  <rowBreaks count="2" manualBreakCount="2">
    <brk id="61" max="4" man="1"/>
    <brk id="172" max="4"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4" tint="0.39997558519241921"/>
  </sheetPr>
  <dimension ref="A1:Z293"/>
  <sheetViews>
    <sheetView showGridLines="0" zoomScaleNormal="100" zoomScaleSheetLayoutView="100" workbookViewId="0">
      <pane ySplit="8" topLeftCell="A18" activePane="bottomLeft" state="frozen"/>
      <selection activeCell="B22" sqref="B22"/>
      <selection pane="bottomLeft" activeCell="E33" sqref="E33"/>
    </sheetView>
  </sheetViews>
  <sheetFormatPr defaultColWidth="10.6640625" defaultRowHeight="12.75" customHeight="1"/>
  <cols>
    <col min="1" max="1" width="40.6640625" style="34" customWidth="1"/>
    <col min="2" max="2" width="5.6640625" style="1535" customWidth="1"/>
    <col min="3" max="5" width="14.33203125" style="1536" customWidth="1"/>
    <col min="6" max="6" width="2.33203125" style="34" customWidth="1"/>
    <col min="7" max="7" width="32.6640625" style="670" customWidth="1"/>
    <col min="8" max="8" width="14.44140625" style="670" customWidth="1"/>
    <col min="9" max="9" width="19.6640625" style="670" customWidth="1"/>
    <col min="10" max="10" width="11.33203125" style="670" customWidth="1"/>
    <col min="11" max="11" width="10.6640625" style="670"/>
    <col min="12" max="12" width="7.33203125" style="670" customWidth="1"/>
    <col min="13" max="13" width="10.6640625" style="670"/>
    <col min="14" max="14" width="5.44140625" style="670" customWidth="1"/>
    <col min="15" max="26" width="10.6640625" style="670"/>
    <col min="27" max="16384" width="10.6640625" style="24"/>
  </cols>
  <sheetData>
    <row r="1" spans="1:19" ht="12.75" customHeight="1">
      <c r="A1" s="1514" t="s">
        <v>809</v>
      </c>
      <c r="B1" s="1046">
        <f>OPEN!$B$4</f>
        <v>237</v>
      </c>
      <c r="C1" s="1512"/>
      <c r="D1" s="6105" t="s">
        <v>836</v>
      </c>
      <c r="E1" s="6105"/>
      <c r="F1" s="22"/>
      <c r="G1" s="304" t="s">
        <v>754</v>
      </c>
      <c r="H1" s="22"/>
      <c r="I1" s="22"/>
      <c r="J1" s="22"/>
      <c r="K1" s="22"/>
      <c r="L1" s="22"/>
      <c r="M1" s="22"/>
      <c r="N1" s="22"/>
      <c r="O1" s="22"/>
      <c r="P1" s="22"/>
      <c r="Q1" s="22"/>
      <c r="R1" s="22"/>
      <c r="S1" s="22"/>
    </row>
    <row r="2" spans="1:19" ht="12.75" customHeight="1">
      <c r="A2" s="1512"/>
      <c r="B2" s="1513"/>
      <c r="C2" s="1512"/>
      <c r="D2" s="6105" t="s">
        <v>921</v>
      </c>
      <c r="E2" s="6105"/>
      <c r="F2" s="22"/>
      <c r="G2" s="22"/>
      <c r="H2" s="22"/>
      <c r="I2" s="22"/>
      <c r="J2" s="22"/>
      <c r="K2" s="22"/>
      <c r="L2" s="22"/>
      <c r="M2" s="22"/>
      <c r="N2" s="22"/>
      <c r="O2" s="22"/>
      <c r="P2" s="22"/>
      <c r="Q2" s="22"/>
      <c r="R2" s="22"/>
      <c r="S2" s="22"/>
    </row>
    <row r="3" spans="1:19" ht="12.75" customHeight="1">
      <c r="A3" s="1512"/>
      <c r="B3" s="1513"/>
      <c r="C3" s="1512"/>
      <c r="D3" s="1512"/>
      <c r="E3" s="1514" t="str">
        <f>OpenData!N2</f>
        <v>2021-2022</v>
      </c>
      <c r="F3" s="22"/>
      <c r="G3" s="22"/>
      <c r="H3" s="22"/>
      <c r="I3" s="22"/>
      <c r="J3" s="22"/>
      <c r="K3" s="22"/>
      <c r="L3" s="22"/>
      <c r="M3" s="22"/>
      <c r="N3" s="22"/>
      <c r="O3" s="22"/>
      <c r="P3" s="22"/>
      <c r="Q3" s="22"/>
      <c r="R3" s="22"/>
      <c r="S3" s="22"/>
    </row>
    <row r="4" spans="1:19" ht="12.75" customHeight="1">
      <c r="A4" s="1512"/>
      <c r="B4" s="1513"/>
      <c r="C4" s="1512"/>
      <c r="D4" s="1512"/>
      <c r="E4" s="1512"/>
      <c r="F4" s="22"/>
      <c r="G4" s="22"/>
      <c r="H4" s="22"/>
      <c r="I4" s="22"/>
      <c r="J4" s="22"/>
      <c r="K4" s="22"/>
      <c r="L4" s="22"/>
      <c r="M4" s="22"/>
      <c r="N4" s="22"/>
      <c r="O4" s="22"/>
      <c r="P4" s="22"/>
      <c r="Q4" s="22"/>
      <c r="R4" s="22"/>
      <c r="S4" s="22"/>
    </row>
    <row r="5" spans="1:19" ht="12.75" customHeight="1">
      <c r="A5" s="1512"/>
      <c r="B5" s="1513"/>
      <c r="C5" s="1515" t="s">
        <v>922</v>
      </c>
      <c r="D5" s="1515" t="s">
        <v>922</v>
      </c>
      <c r="E5" s="1515" t="s">
        <v>922</v>
      </c>
      <c r="F5" s="22"/>
      <c r="G5" s="22"/>
      <c r="H5" s="22"/>
      <c r="I5" s="22"/>
      <c r="J5" s="22"/>
      <c r="K5" s="22"/>
      <c r="L5" s="22"/>
      <c r="M5" s="22"/>
      <c r="N5" s="22"/>
      <c r="O5" s="22"/>
      <c r="P5" s="22"/>
      <c r="Q5" s="22"/>
      <c r="R5" s="22"/>
      <c r="S5" s="22"/>
    </row>
    <row r="6" spans="1:19" ht="12.75" customHeight="1">
      <c r="A6" s="1537" t="s">
        <v>1042</v>
      </c>
      <c r="B6" s="1516" t="s">
        <v>854</v>
      </c>
      <c r="C6" s="1517" t="str">
        <f>OpenData!N4</f>
        <v>2019-2020</v>
      </c>
      <c r="D6" s="1517" t="str">
        <f>OpenData!O4</f>
        <v>2020-2021</v>
      </c>
      <c r="E6" s="1517" t="str">
        <f>OpenData!P4</f>
        <v>2021-2022</v>
      </c>
      <c r="F6" s="22"/>
      <c r="G6" s="22"/>
      <c r="H6" s="22"/>
      <c r="I6" s="22"/>
      <c r="J6" s="22"/>
      <c r="K6" s="22"/>
      <c r="L6" s="22"/>
      <c r="M6" s="22"/>
      <c r="N6" s="25"/>
      <c r="O6" s="22"/>
      <c r="P6" s="22"/>
      <c r="Q6" s="22"/>
      <c r="R6" s="22"/>
      <c r="S6" s="22"/>
    </row>
    <row r="7" spans="1:19" ht="12.75" customHeight="1">
      <c r="A7" s="1515" t="s">
        <v>4811</v>
      </c>
      <c r="B7" s="1518">
        <v>8</v>
      </c>
      <c r="C7" s="1519" t="s">
        <v>893</v>
      </c>
      <c r="D7" s="1519" t="s">
        <v>893</v>
      </c>
      <c r="E7" s="1519" t="s">
        <v>923</v>
      </c>
      <c r="F7" s="22"/>
      <c r="G7" s="22"/>
      <c r="H7" s="22"/>
      <c r="I7" s="22"/>
      <c r="J7" s="22"/>
      <c r="K7" s="22"/>
      <c r="L7" s="22"/>
      <c r="M7" s="22"/>
      <c r="N7" s="22"/>
      <c r="O7" s="26"/>
      <c r="P7" s="26"/>
      <c r="Q7" s="26"/>
      <c r="R7" s="22"/>
      <c r="S7" s="22"/>
    </row>
    <row r="8" spans="1:19" ht="12.75" customHeight="1">
      <c r="B8" s="1520" t="s">
        <v>858</v>
      </c>
      <c r="C8" s="1521">
        <v>1</v>
      </c>
      <c r="D8" s="1521">
        <v>2</v>
      </c>
      <c r="E8" s="1521">
        <v>3</v>
      </c>
      <c r="F8" s="22"/>
      <c r="G8" s="22"/>
      <c r="H8" s="22"/>
      <c r="I8" s="22"/>
      <c r="J8" s="22"/>
      <c r="K8" s="22"/>
      <c r="L8" s="22"/>
      <c r="M8" s="22"/>
      <c r="N8" s="22"/>
      <c r="O8" s="26"/>
      <c r="P8" s="26"/>
      <c r="Q8" s="26"/>
      <c r="R8" s="22"/>
      <c r="S8" s="22"/>
    </row>
    <row r="9" spans="1:19" ht="12.75" customHeight="1">
      <c r="A9" s="2027" t="s">
        <v>1043</v>
      </c>
      <c r="B9" s="1522">
        <v>1</v>
      </c>
      <c r="C9" s="1523">
        <v>149731</v>
      </c>
      <c r="D9" s="1524">
        <f>C38</f>
        <v>141872</v>
      </c>
      <c r="E9" s="1525">
        <f>D38</f>
        <v>156025</v>
      </c>
      <c r="F9" s="22"/>
      <c r="G9" s="22"/>
      <c r="H9" s="22"/>
      <c r="I9" s="22"/>
      <c r="J9" s="22"/>
      <c r="K9" s="22"/>
      <c r="L9" s="22"/>
      <c r="M9" s="22"/>
      <c r="N9" s="22"/>
      <c r="O9" s="26"/>
      <c r="P9" s="26"/>
      <c r="Q9" s="26"/>
      <c r="R9" s="22"/>
      <c r="S9" s="22"/>
    </row>
    <row r="10" spans="1:19" ht="12.75" customHeight="1">
      <c r="A10" s="3974" t="s">
        <v>4940</v>
      </c>
      <c r="B10" s="1526">
        <v>3</v>
      </c>
      <c r="C10" s="1527"/>
      <c r="D10" s="1528"/>
      <c r="E10" s="3552"/>
      <c r="F10" s="22"/>
      <c r="G10" s="22"/>
      <c r="H10" s="22"/>
      <c r="I10" s="22"/>
      <c r="J10" s="22"/>
      <c r="K10" s="22"/>
      <c r="L10" s="22"/>
      <c r="M10" s="22"/>
      <c r="N10" s="22"/>
      <c r="O10" s="26"/>
      <c r="P10" s="26"/>
      <c r="Q10" s="26"/>
      <c r="R10" s="22"/>
      <c r="S10" s="22"/>
    </row>
    <row r="11" spans="1:19" ht="12.75" customHeight="1">
      <c r="A11" s="2058"/>
      <c r="B11" s="2059"/>
      <c r="C11" s="2059"/>
      <c r="D11" s="2059"/>
      <c r="E11" s="4490"/>
      <c r="F11" s="22"/>
      <c r="G11" s="22"/>
      <c r="H11" s="22"/>
      <c r="I11" s="22"/>
      <c r="J11" s="22"/>
      <c r="K11" s="22"/>
      <c r="L11" s="22"/>
      <c r="M11" s="22"/>
      <c r="N11" s="22"/>
      <c r="O11" s="26"/>
      <c r="P11" s="26"/>
      <c r="Q11" s="26"/>
      <c r="R11" s="22"/>
      <c r="S11" s="22"/>
    </row>
    <row r="12" spans="1:19" ht="12.75" customHeight="1">
      <c r="A12" s="4487" t="s">
        <v>4767</v>
      </c>
      <c r="B12" s="4488"/>
      <c r="C12" s="4488"/>
      <c r="D12" s="4488"/>
      <c r="E12" s="4489"/>
      <c r="F12" s="22"/>
      <c r="G12" s="22"/>
      <c r="H12" s="22"/>
      <c r="I12" s="22"/>
      <c r="J12" s="22"/>
      <c r="K12" s="22"/>
      <c r="L12" s="22"/>
      <c r="M12" s="22"/>
      <c r="N12" s="22"/>
      <c r="O12" s="26"/>
      <c r="P12" s="26"/>
      <c r="Q12" s="26"/>
      <c r="R12" s="22"/>
      <c r="S12" s="22"/>
    </row>
    <row r="13" spans="1:19" ht="12.75" customHeight="1">
      <c r="A13" s="2057" t="s">
        <v>1044</v>
      </c>
      <c r="B13" s="2060"/>
      <c r="C13" s="2060"/>
      <c r="D13" s="2060"/>
      <c r="E13" s="2060"/>
      <c r="F13" s="22"/>
      <c r="G13" s="22"/>
      <c r="H13" s="22"/>
      <c r="I13" s="22"/>
      <c r="J13" s="22"/>
      <c r="K13" s="22"/>
      <c r="L13" s="22"/>
      <c r="M13" s="22"/>
      <c r="N13" s="22"/>
      <c r="O13" s="26"/>
      <c r="P13" s="26"/>
      <c r="Q13" s="26"/>
      <c r="R13" s="22"/>
      <c r="S13" s="22"/>
    </row>
    <row r="14" spans="1:19" ht="12.75" customHeight="1">
      <c r="A14" s="2057" t="s">
        <v>1045</v>
      </c>
      <c r="B14" s="2060"/>
      <c r="C14" s="2060"/>
      <c r="D14" s="2060"/>
      <c r="E14" s="2060"/>
      <c r="F14" s="22"/>
      <c r="G14" s="611"/>
      <c r="H14" s="297"/>
      <c r="I14" s="22"/>
      <c r="J14" s="22"/>
      <c r="K14" s="22"/>
      <c r="L14" s="22"/>
      <c r="M14" s="22"/>
      <c r="N14" s="22"/>
      <c r="O14" s="22"/>
      <c r="P14" s="22"/>
      <c r="Q14" s="22"/>
      <c r="R14" s="22"/>
      <c r="S14" s="22"/>
    </row>
    <row r="15" spans="1:19" ht="12.75" customHeight="1">
      <c r="A15" s="2070" t="str">
        <f>OpenData!N8</f>
        <v xml:space="preserve">    2018 $</v>
      </c>
      <c r="B15" s="2114">
        <v>10</v>
      </c>
      <c r="C15" s="3553"/>
      <c r="D15" s="3893"/>
      <c r="E15" s="3557"/>
      <c r="F15" s="22"/>
      <c r="G15" s="22"/>
      <c r="H15" s="22"/>
      <c r="I15" s="22"/>
      <c r="J15" s="22"/>
      <c r="K15" s="22"/>
      <c r="L15" s="22"/>
      <c r="M15" s="22"/>
      <c r="N15" s="25"/>
      <c r="O15" s="22"/>
      <c r="P15" s="22"/>
      <c r="Q15" s="22"/>
      <c r="R15" s="22"/>
      <c r="S15" s="22"/>
    </row>
    <row r="16" spans="1:19" ht="12.75" customHeight="1">
      <c r="A16" s="2070" t="str">
        <f>OpenData!N9</f>
        <v xml:space="preserve">    2019 $</v>
      </c>
      <c r="B16" s="2099">
        <v>15</v>
      </c>
      <c r="C16" s="2049">
        <v>930733</v>
      </c>
      <c r="D16" s="3553">
        <v>30295</v>
      </c>
      <c r="E16" s="3557"/>
      <c r="F16" s="22"/>
      <c r="G16" s="291"/>
      <c r="H16" s="22"/>
      <c r="I16" s="22"/>
      <c r="J16" s="22"/>
      <c r="K16" s="22"/>
      <c r="L16" s="22"/>
      <c r="M16" s="22"/>
      <c r="N16" s="22"/>
      <c r="O16" s="28"/>
      <c r="P16" s="28"/>
      <c r="Q16" s="28"/>
      <c r="R16" s="22"/>
      <c r="S16" s="22"/>
    </row>
    <row r="17" spans="1:19" ht="12.75" customHeight="1">
      <c r="A17" s="2070" t="str">
        <f>OpenData!N10</f>
        <v xml:space="preserve">    2020 $</v>
      </c>
      <c r="B17" s="2351">
        <v>20</v>
      </c>
      <c r="C17" s="3552"/>
      <c r="D17" s="3551">
        <f>'C04'!E12</f>
        <v>951975</v>
      </c>
      <c r="E17" s="3550">
        <f>G17</f>
        <v>9872</v>
      </c>
      <c r="F17" s="22"/>
      <c r="G17" s="291">
        <f>IF(ISERROR('F110'!$G$33),0,('F110'!$G$33))</f>
        <v>9872</v>
      </c>
      <c r="H17" s="22"/>
      <c r="I17" s="22"/>
      <c r="J17" s="22"/>
      <c r="K17" s="22"/>
      <c r="L17" s="22"/>
      <c r="M17" s="22"/>
      <c r="N17" s="22"/>
      <c r="O17" s="28"/>
      <c r="P17" s="28"/>
      <c r="Q17" s="28"/>
      <c r="R17" s="22"/>
      <c r="S17" s="22"/>
    </row>
    <row r="18" spans="1:19" ht="12.75" customHeight="1">
      <c r="A18" s="2071" t="s">
        <v>1046</v>
      </c>
      <c r="B18" s="2351">
        <v>25</v>
      </c>
      <c r="C18" s="3553">
        <v>10774</v>
      </c>
      <c r="D18" s="3553">
        <v>16121</v>
      </c>
      <c r="E18" s="3552">
        <f>G18</f>
        <v>14881</v>
      </c>
      <c r="F18" s="22"/>
      <c r="G18" s="291">
        <f>IF(ISERROR('F110'!$G$37*0.667),0,('F110'!$G$37*0.667))</f>
        <v>14881</v>
      </c>
      <c r="H18" s="22"/>
      <c r="I18" s="22"/>
      <c r="J18" s="22"/>
      <c r="K18" s="22"/>
      <c r="L18" s="22"/>
      <c r="M18" s="22"/>
      <c r="N18" s="22"/>
      <c r="O18" s="28"/>
      <c r="P18" s="28"/>
      <c r="Q18" s="28"/>
      <c r="R18" s="22"/>
      <c r="S18" s="22"/>
    </row>
    <row r="19" spans="1:19" ht="12.75" customHeight="1">
      <c r="A19" s="2072" t="s">
        <v>938</v>
      </c>
      <c r="B19" s="2109">
        <v>47</v>
      </c>
      <c r="C19" s="2049"/>
      <c r="D19" s="3553"/>
      <c r="E19" s="3552"/>
      <c r="F19" s="22"/>
      <c r="G19" s="291"/>
      <c r="H19" s="22"/>
      <c r="I19" s="22"/>
      <c r="J19" s="22"/>
      <c r="K19" s="22"/>
      <c r="L19" s="22"/>
      <c r="M19" s="22"/>
      <c r="N19" s="22"/>
      <c r="O19" s="28"/>
      <c r="P19" s="28"/>
      <c r="Q19" s="28"/>
      <c r="R19" s="22"/>
      <c r="S19" s="22"/>
    </row>
    <row r="20" spans="1:19" ht="12.75" customHeight="1">
      <c r="A20" s="2072" t="s">
        <v>939</v>
      </c>
      <c r="B20" s="2109">
        <v>60</v>
      </c>
      <c r="C20" s="2049">
        <v>1550</v>
      </c>
      <c r="D20" s="2049">
        <v>131</v>
      </c>
      <c r="E20" s="3893"/>
      <c r="F20" s="22"/>
      <c r="G20" s="291"/>
      <c r="H20" s="22"/>
      <c r="I20" s="22"/>
      <c r="J20" s="22"/>
      <c r="K20" s="22"/>
      <c r="L20" s="22"/>
      <c r="M20" s="22"/>
      <c r="N20" s="22"/>
      <c r="O20" s="28"/>
      <c r="P20" s="28"/>
      <c r="Q20" s="28"/>
      <c r="R20" s="22"/>
      <c r="S20" s="22"/>
    </row>
    <row r="21" spans="1:19" ht="12.75" customHeight="1">
      <c r="A21" s="2072" t="s">
        <v>1290</v>
      </c>
      <c r="B21" s="2109">
        <v>65</v>
      </c>
      <c r="C21" s="3554"/>
      <c r="D21" s="2049"/>
      <c r="E21" s="3555"/>
      <c r="F21" s="22"/>
      <c r="G21" s="291"/>
      <c r="H21" s="22"/>
      <c r="I21" s="22"/>
      <c r="J21" s="22"/>
      <c r="K21" s="22"/>
      <c r="L21" s="22"/>
      <c r="M21" s="22"/>
      <c r="N21" s="22"/>
      <c r="O21" s="28"/>
      <c r="P21" s="28"/>
      <c r="Q21" s="28"/>
      <c r="R21" s="22"/>
      <c r="S21" s="22"/>
    </row>
    <row r="22" spans="1:19" ht="12.75" customHeight="1">
      <c r="A22" s="2058" t="s">
        <v>1048</v>
      </c>
      <c r="B22" s="1538"/>
      <c r="C22" s="1538"/>
      <c r="D22" s="1538"/>
      <c r="E22" s="1538"/>
      <c r="F22" s="22"/>
      <c r="G22" s="21"/>
      <c r="H22" s="21" t="s">
        <v>4461</v>
      </c>
      <c r="I22" s="22"/>
      <c r="J22" s="22"/>
      <c r="K22" s="22"/>
      <c r="L22" s="22"/>
      <c r="M22" s="22"/>
      <c r="N22" s="22"/>
      <c r="O22" s="28"/>
      <c r="P22" s="28"/>
      <c r="Q22" s="28"/>
      <c r="R22" s="22"/>
      <c r="S22" s="22"/>
    </row>
    <row r="23" spans="1:19" ht="12.75" customHeight="1">
      <c r="A23" s="2111" t="s">
        <v>243</v>
      </c>
      <c r="B23" s="2352">
        <v>70</v>
      </c>
      <c r="C23" s="3553">
        <v>58626</v>
      </c>
      <c r="D23" s="3553">
        <v>64451</v>
      </c>
      <c r="E23" s="3550">
        <f>G23+H23</f>
        <v>42802</v>
      </c>
      <c r="F23" s="22"/>
      <c r="G23" s="27">
        <f>IF(ISERROR('F194'!$H$75+'F194'!$H$18),0,('F194'!$H$75+'F194'!$H$18))</f>
        <v>33229</v>
      </c>
      <c r="H23" s="27">
        <f>IF(ISERROR('F194'!$P$75+'F194'!$P$18),0,('F194'!$P$75+'F194'!$P$18))</f>
        <v>9573</v>
      </c>
      <c r="I23" s="22"/>
      <c r="J23" s="22"/>
      <c r="K23" s="22"/>
      <c r="L23" s="22"/>
      <c r="M23" s="22"/>
      <c r="N23" s="22"/>
      <c r="O23" s="22"/>
      <c r="P23" s="22"/>
      <c r="Q23" s="22"/>
      <c r="R23" s="22"/>
      <c r="S23" s="22"/>
    </row>
    <row r="24" spans="1:19" ht="12.75" customHeight="1">
      <c r="A24" s="2111" t="s">
        <v>1050</v>
      </c>
      <c r="B24" s="2352">
        <v>75</v>
      </c>
      <c r="C24" s="3554">
        <v>1329</v>
      </c>
      <c r="D24" s="3554">
        <v>1598</v>
      </c>
      <c r="E24" s="3550">
        <f>G24</f>
        <v>898</v>
      </c>
      <c r="F24" s="671"/>
      <c r="G24" s="27">
        <f>IF(ISERROR('F194'!$L$18+'F194'!$L$75),0,('F194'!$L$18+'F194'!$L$75))</f>
        <v>898</v>
      </c>
      <c r="H24" s="22"/>
      <c r="I24" s="22"/>
      <c r="J24" s="22"/>
      <c r="K24" s="22"/>
      <c r="L24" s="22"/>
      <c r="M24" s="22"/>
      <c r="N24" s="22"/>
      <c r="O24" s="28"/>
      <c r="P24" s="28"/>
      <c r="Q24" s="28"/>
      <c r="R24" s="22"/>
      <c r="S24" s="22"/>
    </row>
    <row r="25" spans="1:19" ht="12.75" customHeight="1">
      <c r="A25" s="2111" t="s">
        <v>1374</v>
      </c>
      <c r="B25" s="2107">
        <v>77</v>
      </c>
      <c r="C25" s="3556"/>
      <c r="D25" s="3556">
        <v>4522</v>
      </c>
      <c r="E25" s="3551">
        <f>G25</f>
        <v>2940</v>
      </c>
      <c r="F25" s="671"/>
      <c r="G25" s="279">
        <f>IF(ISERROR('F194'!$R$75+'F194'!$R$18),0,('F194'!$R$75+'F194'!$R$18))</f>
        <v>2940</v>
      </c>
      <c r="H25" s="22"/>
      <c r="I25" s="672"/>
      <c r="J25" s="22"/>
      <c r="K25" s="22"/>
      <c r="L25" s="22"/>
      <c r="M25" s="22"/>
      <c r="N25" s="22"/>
      <c r="O25" s="28"/>
      <c r="P25" s="28"/>
      <c r="Q25" s="28"/>
      <c r="R25" s="22"/>
      <c r="S25" s="22"/>
    </row>
    <row r="26" spans="1:19" ht="12.75" customHeight="1">
      <c r="A26" s="2111" t="s">
        <v>1385</v>
      </c>
      <c r="B26" s="2099">
        <v>85</v>
      </c>
      <c r="C26" s="3554"/>
      <c r="D26" s="3553"/>
      <c r="E26" s="3557">
        <f>G26</f>
        <v>0</v>
      </c>
      <c r="F26" s="22"/>
      <c r="G26" s="27">
        <f>IF(ISERROR('F194'!N75+'F194'!$N$18),0,('F194'!N75+'F194'!$N$18))</f>
        <v>0</v>
      </c>
      <c r="H26" s="22"/>
      <c r="I26" s="614" t="s">
        <v>4415</v>
      </c>
      <c r="J26" s="614"/>
      <c r="K26" s="614"/>
      <c r="L26" s="614"/>
      <c r="M26" s="614"/>
      <c r="N26" s="622" t="str">
        <f>IF(AND(N273="YES",N287="YES"),"YES","NO")</f>
        <v>YES</v>
      </c>
      <c r="O26" s="672" t="str">
        <f>IF(N26="NO","Check transfers on bottom of fund.","")</f>
        <v/>
      </c>
      <c r="P26" s="22"/>
      <c r="Q26" s="22"/>
      <c r="R26" s="22"/>
      <c r="S26" s="22"/>
    </row>
    <row r="27" spans="1:19" ht="12.75" customHeight="1">
      <c r="A27" s="2058" t="s">
        <v>1051</v>
      </c>
      <c r="B27" s="1538"/>
      <c r="C27" s="1538"/>
      <c r="D27" s="1538"/>
      <c r="E27" s="1538"/>
      <c r="F27" s="22"/>
      <c r="G27" s="22"/>
      <c r="H27" s="22"/>
      <c r="I27" s="22"/>
      <c r="J27" s="22"/>
      <c r="K27" s="22"/>
      <c r="L27" s="22"/>
      <c r="M27" s="22"/>
      <c r="N27" s="22"/>
      <c r="O27" s="22"/>
      <c r="P27" s="22"/>
      <c r="Q27" s="22"/>
      <c r="R27" s="22"/>
      <c r="S27" s="22"/>
    </row>
    <row r="28" spans="1:19" ht="12.75" customHeight="1">
      <c r="A28" s="2070" t="s">
        <v>1052</v>
      </c>
      <c r="B28" s="2352">
        <v>95</v>
      </c>
      <c r="C28" s="3558">
        <f>VLOOKUP(B1,DATA!A4:BE289,51,FALSE)</f>
        <v>284349</v>
      </c>
      <c r="D28" s="3558">
        <f>VLOOKUP(B1,DATA!A4:BE289,18,FALSE)</f>
        <v>247585</v>
      </c>
      <c r="E28" s="3550">
        <f>'F239'!I17</f>
        <v>199366</v>
      </c>
      <c r="F28" s="22"/>
      <c r="G28" s="475"/>
      <c r="H28" s="672"/>
      <c r="I28" s="22"/>
      <c r="J28" s="22"/>
      <c r="K28" s="22"/>
      <c r="L28" s="22"/>
      <c r="M28" s="22"/>
      <c r="N28" s="22"/>
      <c r="O28" s="22"/>
      <c r="P28" s="22"/>
      <c r="Q28" s="22"/>
      <c r="R28" s="22"/>
      <c r="S28" s="22"/>
    </row>
    <row r="29" spans="1:19" ht="12.75" customHeight="1">
      <c r="A29" s="2058" t="s">
        <v>1319</v>
      </c>
      <c r="B29" s="1538"/>
      <c r="C29" s="1538"/>
      <c r="D29" s="1538"/>
      <c r="E29" s="1538"/>
      <c r="F29" s="22"/>
      <c r="G29" s="576"/>
      <c r="H29" s="672"/>
      <c r="I29" s="22"/>
      <c r="J29" s="22"/>
      <c r="K29" s="22"/>
      <c r="L29" s="22"/>
      <c r="M29" s="22"/>
      <c r="N29" s="22"/>
      <c r="O29" s="22"/>
      <c r="P29" s="22"/>
      <c r="Q29" s="22"/>
      <c r="R29" s="22"/>
      <c r="S29" s="22"/>
    </row>
    <row r="30" spans="1:19" ht="12.75" customHeight="1">
      <c r="A30" s="2070" t="s">
        <v>41</v>
      </c>
      <c r="B30" s="2107">
        <v>145</v>
      </c>
      <c r="C30" s="3558">
        <f>'C053'!C244</f>
        <v>0</v>
      </c>
      <c r="D30" s="3558">
        <f>'C053'!D244</f>
        <v>0</v>
      </c>
      <c r="E30" s="3558">
        <f>'C053'!E244</f>
        <v>0</v>
      </c>
      <c r="F30" s="22"/>
      <c r="G30" s="22"/>
      <c r="H30" s="22"/>
      <c r="I30" s="617" t="s">
        <v>930</v>
      </c>
      <c r="J30" s="614"/>
      <c r="K30" s="614"/>
      <c r="L30" s="614"/>
      <c r="M30" s="614"/>
      <c r="N30" s="614"/>
      <c r="O30" s="22"/>
      <c r="P30" s="22"/>
      <c r="Q30" s="22"/>
      <c r="R30" s="22"/>
      <c r="S30" s="22"/>
    </row>
    <row r="31" spans="1:19" ht="12.75" customHeight="1">
      <c r="A31" s="2112" t="s">
        <v>1053</v>
      </c>
      <c r="B31" s="2107">
        <v>170</v>
      </c>
      <c r="C31" s="3558">
        <f>SUM(C9:C30)</f>
        <v>1437092</v>
      </c>
      <c r="D31" s="3558">
        <f>SUM(D9:D30)</f>
        <v>1458550</v>
      </c>
      <c r="E31" s="3550">
        <f>SUM(E9:E30)</f>
        <v>426784</v>
      </c>
      <c r="F31" s="22"/>
      <c r="G31" s="22"/>
      <c r="H31" s="22"/>
      <c r="I31" s="612"/>
      <c r="J31" s="614"/>
      <c r="K31" s="614"/>
      <c r="L31" s="614"/>
      <c r="M31" s="614"/>
      <c r="N31" s="614"/>
      <c r="O31" s="22"/>
      <c r="P31" s="22"/>
      <c r="Q31" s="22"/>
      <c r="R31" s="22"/>
      <c r="S31" s="22"/>
    </row>
    <row r="32" spans="1:19" ht="12.75" customHeight="1">
      <c r="A32" s="2071" t="s">
        <v>1054</v>
      </c>
      <c r="B32" s="2099">
        <v>175</v>
      </c>
      <c r="C32" s="3552">
        <f>C288</f>
        <v>1295220</v>
      </c>
      <c r="D32" s="3552">
        <f>D288</f>
        <v>1302525</v>
      </c>
      <c r="E32" s="3559">
        <f>IF(AND(I32=I33,N273="YES",N287="YES"),I32,"Expend. &lt;&gt; LOB")</f>
        <v>1299650</v>
      </c>
      <c r="F32" s="22"/>
      <c r="G32" s="473"/>
      <c r="H32" s="474"/>
      <c r="I32" s="613">
        <f>'F155'!$N$23</f>
        <v>1299650</v>
      </c>
      <c r="J32" s="614" t="s">
        <v>4560</v>
      </c>
      <c r="K32" s="614"/>
      <c r="L32" s="614"/>
      <c r="M32" s="614"/>
      <c r="N32" s="614"/>
      <c r="O32" s="22"/>
      <c r="P32" s="22"/>
      <c r="Q32" s="22"/>
      <c r="R32" s="22"/>
      <c r="S32" s="22"/>
    </row>
    <row r="33" spans="1:19" ht="12.75" customHeight="1">
      <c r="A33" s="2070" t="s">
        <v>1055</v>
      </c>
      <c r="B33" s="2099">
        <v>195</v>
      </c>
      <c r="C33" s="4635"/>
      <c r="D33" s="4636"/>
      <c r="E33" s="3551">
        <f>IF(E32="Expend. &lt;&gt; LOB",0,IF((E32-E31)&lt;=0,0,E32-E31))</f>
        <v>872866</v>
      </c>
      <c r="F33" s="22"/>
      <c r="G33" s="27"/>
      <c r="H33" s="28"/>
      <c r="I33" s="615">
        <f>E288</f>
        <v>1299650</v>
      </c>
      <c r="J33" s="614" t="s">
        <v>4443</v>
      </c>
      <c r="K33" s="614"/>
      <c r="L33" s="614"/>
      <c r="M33" s="614"/>
      <c r="N33" s="614"/>
      <c r="O33" s="22"/>
      <c r="P33" s="22"/>
      <c r="Q33" s="22"/>
      <c r="R33" s="22"/>
      <c r="S33" s="22"/>
    </row>
    <row r="34" spans="1:19" ht="12.75" customHeight="1" thickBot="1">
      <c r="A34" s="2071" t="s">
        <v>4817</v>
      </c>
      <c r="B34" s="2099">
        <v>196</v>
      </c>
      <c r="C34" s="4618"/>
      <c r="D34" s="3911"/>
      <c r="E34" s="3560">
        <f>IF(ISERROR('F110'!$I$44),0,('F110'!$I$44))</f>
        <v>88</v>
      </c>
      <c r="F34" s="22" t="s">
        <v>886</v>
      </c>
      <c r="G34" s="29"/>
      <c r="H34" s="22"/>
      <c r="I34" s="616">
        <f>I32-I33</f>
        <v>0</v>
      </c>
      <c r="J34" s="614" t="s">
        <v>8</v>
      </c>
      <c r="K34" s="614"/>
      <c r="L34" s="614"/>
      <c r="M34" s="614"/>
      <c r="N34" s="614"/>
      <c r="O34" s="22"/>
      <c r="P34" s="22"/>
      <c r="Q34" s="22"/>
      <c r="R34" s="22"/>
      <c r="S34" s="22"/>
    </row>
    <row r="35" spans="1:19" ht="12.75" customHeight="1" thickTop="1">
      <c r="A35" s="2071" t="str">
        <f>"TOTAL "&amp;OpenData!Q5&amp;" TAX REQUIRED (195÷196)"</f>
        <v>TOTAL 2021 TAX REQUIRED (195÷196)</v>
      </c>
      <c r="B35" s="2099">
        <v>197</v>
      </c>
      <c r="C35" s="4618"/>
      <c r="D35" s="3911"/>
      <c r="E35" s="2018">
        <f>IF(ISERROR(E33/E34*100),"ERROR",(E33/E34*100))</f>
        <v>991893</v>
      </c>
      <c r="F35" s="22"/>
      <c r="G35" s="27"/>
      <c r="H35" s="22"/>
      <c r="I35" s="22"/>
      <c r="J35" s="22"/>
      <c r="K35" s="22"/>
      <c r="L35" s="22"/>
      <c r="M35" s="22"/>
      <c r="N35" s="22"/>
      <c r="O35" s="22"/>
      <c r="P35" s="22"/>
      <c r="Q35" s="22"/>
      <c r="R35" s="22"/>
      <c r="S35" s="22"/>
    </row>
    <row r="36" spans="1:19" ht="12.75" customHeight="1">
      <c r="A36" s="2071" t="s">
        <v>1065</v>
      </c>
      <c r="B36" s="2099">
        <v>200</v>
      </c>
      <c r="C36" s="4618"/>
      <c r="D36" s="3911"/>
      <c r="E36" s="1525">
        <f>IF(ISERROR('C01'!$E$97*E35/100),0,('C01'!$E$97*E35/100))</f>
        <v>29757</v>
      </c>
      <c r="G36" s="291"/>
      <c r="H36" s="298"/>
      <c r="I36" s="22"/>
      <c r="J36" s="22"/>
      <c r="K36" s="22"/>
      <c r="L36" s="22"/>
      <c r="M36" s="22"/>
      <c r="N36" s="22"/>
      <c r="O36" s="22"/>
      <c r="P36" s="22"/>
      <c r="Q36" s="22"/>
      <c r="R36" s="22"/>
      <c r="S36" s="22"/>
    </row>
    <row r="37" spans="1:19" ht="25.5" customHeight="1">
      <c r="A37" s="4485" t="str">
        <f>"AMOUNT OF "&amp;OpenData!Q5&amp;" TAX TO BE LEVIED 
(Line 197 + Line 200)"</f>
        <v>AMOUNT OF 2021 TAX TO BE LEVIED 
(Line 197 + Line 200)</v>
      </c>
      <c r="B37" s="3877">
        <v>205</v>
      </c>
      <c r="C37" s="4638"/>
      <c r="D37" s="4639"/>
      <c r="E37" s="3906">
        <f>IF(ISERROR(E35+E36),"ERROR",SUM(E35+E36))</f>
        <v>1021650</v>
      </c>
      <c r="F37" s="22"/>
      <c r="G37" s="673"/>
      <c r="H37" s="22"/>
      <c r="I37" s="22"/>
      <c r="J37" s="22"/>
      <c r="K37" s="22"/>
      <c r="L37" s="22"/>
      <c r="M37" s="22"/>
      <c r="N37" s="22"/>
      <c r="O37" s="22"/>
      <c r="P37" s="22"/>
      <c r="Q37" s="22"/>
      <c r="R37" s="22"/>
      <c r="S37" s="22"/>
    </row>
    <row r="38" spans="1:19" ht="12.75" customHeight="1">
      <c r="A38" s="2071" t="s">
        <v>935</v>
      </c>
      <c r="B38" s="2087">
        <v>207</v>
      </c>
      <c r="C38" s="2113">
        <f>C31-C32</f>
        <v>141872</v>
      </c>
      <c r="D38" s="1529">
        <f>SUM(D31-D32)</f>
        <v>156025</v>
      </c>
      <c r="E38" s="2774" t="s">
        <v>4905</v>
      </c>
      <c r="F38" s="22"/>
      <c r="G38" s="589" t="s">
        <v>5005</v>
      </c>
      <c r="H38" s="338">
        <f>IF(ISERROR(E37/OPEN!A15*1000),"See errors below",(E37/OPEN!A15*1000))</f>
        <v>20.036999999999999</v>
      </c>
      <c r="I38" s="283"/>
      <c r="J38" s="22"/>
      <c r="K38" s="22"/>
      <c r="L38" s="22"/>
      <c r="M38" s="22"/>
      <c r="N38" s="22"/>
      <c r="O38" s="22"/>
      <c r="P38" s="22"/>
      <c r="Q38" s="22"/>
      <c r="R38" s="22"/>
      <c r="S38" s="22"/>
    </row>
    <row r="39" spans="1:19" ht="12.75" customHeight="1">
      <c r="A39" s="6106" t="s">
        <v>5158</v>
      </c>
      <c r="B39" s="6107"/>
      <c r="C39" s="6107"/>
      <c r="D39" s="6107"/>
      <c r="E39" s="6107"/>
      <c r="F39" s="22"/>
      <c r="G39" s="339" t="str">
        <f>OpenData!N40</f>
        <v/>
      </c>
      <c r="H39" s="283"/>
      <c r="I39" s="283"/>
      <c r="J39" s="22"/>
      <c r="K39" s="22"/>
      <c r="L39" s="22"/>
      <c r="M39" s="22"/>
      <c r="N39" s="22"/>
      <c r="O39" s="22"/>
      <c r="P39" s="22"/>
      <c r="Q39" s="22"/>
      <c r="R39" s="22"/>
      <c r="S39" s="22"/>
    </row>
    <row r="40" spans="1:19" ht="12.75" customHeight="1">
      <c r="A40" s="4486"/>
      <c r="B40" s="1530"/>
      <c r="C40" s="1530"/>
      <c r="D40" s="1530"/>
      <c r="E40" s="1530"/>
      <c r="F40" s="22"/>
      <c r="G40" s="339"/>
      <c r="H40" s="283"/>
      <c r="I40" s="283"/>
      <c r="J40" s="22"/>
      <c r="K40" s="22"/>
      <c r="L40" s="22"/>
      <c r="M40" s="22"/>
      <c r="N40" s="22"/>
      <c r="O40" s="22"/>
      <c r="P40" s="22"/>
      <c r="Q40" s="22"/>
      <c r="R40" s="22"/>
      <c r="S40" s="22"/>
    </row>
    <row r="41" spans="1:19" ht="12.75" customHeight="1">
      <c r="A41" s="1514" t="str">
        <f>A1</f>
        <v>USD #</v>
      </c>
      <c r="B41" s="1046">
        <f>B1</f>
        <v>237</v>
      </c>
      <c r="C41" s="1530"/>
      <c r="D41" s="6105" t="str">
        <f>D1</f>
        <v>STATE OF KANSAS</v>
      </c>
      <c r="E41" s="6105"/>
      <c r="F41" s="22"/>
      <c r="G41" s="339"/>
      <c r="H41" s="283"/>
      <c r="I41" s="283"/>
      <c r="J41" s="22"/>
      <c r="K41" s="22"/>
      <c r="L41" s="22"/>
      <c r="M41" s="22"/>
      <c r="N41" s="22"/>
      <c r="O41" s="22"/>
      <c r="P41" s="22"/>
      <c r="Q41" s="22"/>
      <c r="R41" s="22"/>
      <c r="S41" s="22"/>
    </row>
    <row r="42" spans="1:19" ht="12.75" customHeight="1">
      <c r="A42" s="1530"/>
      <c r="B42" s="1530"/>
      <c r="C42" s="1530"/>
      <c r="D42" s="6105" t="str">
        <f>D2</f>
        <v>Budget Form USD-E</v>
      </c>
      <c r="E42" s="6105" t="str">
        <f>D2</f>
        <v>Budget Form USD-E</v>
      </c>
      <c r="F42" s="22"/>
      <c r="G42" s="339"/>
      <c r="H42" s="283"/>
      <c r="I42" s="283"/>
      <c r="J42" s="22"/>
      <c r="K42" s="22"/>
      <c r="L42" s="22"/>
      <c r="M42" s="22"/>
      <c r="N42" s="22"/>
      <c r="O42" s="22"/>
      <c r="P42" s="22"/>
      <c r="Q42" s="22"/>
      <c r="R42" s="22"/>
      <c r="S42" s="22"/>
    </row>
    <row r="43" spans="1:19" ht="12.75" customHeight="1">
      <c r="A43" s="1530"/>
      <c r="B43" s="1530"/>
      <c r="C43" s="1530"/>
      <c r="D43" s="1530"/>
      <c r="E43" s="1514" t="str">
        <f>E3</f>
        <v>2021-2022</v>
      </c>
      <c r="F43" s="22"/>
      <c r="G43" s="339"/>
      <c r="H43" s="283"/>
      <c r="I43" s="283"/>
      <c r="J43" s="22"/>
      <c r="K43" s="22"/>
      <c r="L43" s="22"/>
      <c r="M43" s="22"/>
      <c r="N43" s="22"/>
      <c r="O43" s="22"/>
      <c r="P43" s="22"/>
      <c r="Q43" s="22"/>
      <c r="R43" s="22"/>
      <c r="S43" s="22"/>
    </row>
    <row r="44" spans="1:19" ht="12.75" customHeight="1">
      <c r="A44" s="1512"/>
      <c r="B44" s="1512"/>
      <c r="C44" s="1512"/>
      <c r="D44" s="1512"/>
      <c r="E44" s="1512"/>
      <c r="F44" s="22"/>
      <c r="H44" s="283"/>
      <c r="I44" s="283"/>
      <c r="J44" s="22"/>
      <c r="K44" s="22"/>
      <c r="L44" s="22"/>
      <c r="M44" s="22"/>
      <c r="N44" s="22"/>
      <c r="O44" s="22"/>
      <c r="P44" s="22"/>
      <c r="Q44" s="22"/>
      <c r="R44" s="22"/>
      <c r="S44" s="22"/>
    </row>
    <row r="45" spans="1:19" ht="12.75" customHeight="1">
      <c r="A45" s="1512"/>
      <c r="B45" s="1513"/>
      <c r="C45" s="1515" t="s">
        <v>922</v>
      </c>
      <c r="D45" s="1515" t="s">
        <v>922</v>
      </c>
      <c r="E45" s="1515" t="s">
        <v>922</v>
      </c>
      <c r="F45" s="22"/>
      <c r="G45" s="22"/>
      <c r="H45" s="22"/>
      <c r="I45" s="22"/>
      <c r="J45" s="22"/>
      <c r="K45" s="22"/>
      <c r="L45" s="22"/>
      <c r="M45" s="22"/>
      <c r="N45" s="22"/>
      <c r="O45" s="22"/>
      <c r="P45" s="22"/>
      <c r="Q45" s="22"/>
      <c r="R45" s="22"/>
      <c r="S45" s="22"/>
    </row>
    <row r="46" spans="1:19" ht="12.75" customHeight="1">
      <c r="A46" s="1537" t="str">
        <f>A6</f>
        <v>SUPPLEMENTAL GENERAL</v>
      </c>
      <c r="B46" s="1516" t="s">
        <v>854</v>
      </c>
      <c r="C46" s="1517" t="str">
        <f>C6</f>
        <v>2019-2020</v>
      </c>
      <c r="D46" s="1517" t="str">
        <f>D6</f>
        <v>2020-2021</v>
      </c>
      <c r="E46" s="1517" t="str">
        <f>E6</f>
        <v>2021-2022</v>
      </c>
      <c r="F46" s="22"/>
      <c r="G46" s="22"/>
      <c r="H46" s="22"/>
      <c r="I46" s="22"/>
      <c r="J46" s="22"/>
      <c r="K46" s="22"/>
      <c r="L46" s="22"/>
      <c r="M46" s="22"/>
      <c r="N46" s="22"/>
      <c r="O46" s="22"/>
      <c r="P46" s="22"/>
      <c r="Q46" s="22"/>
      <c r="R46" s="22"/>
      <c r="S46" s="22"/>
    </row>
    <row r="47" spans="1:19" ht="12.75" customHeight="1" thickBot="1">
      <c r="A47" s="1515" t="str">
        <f>A7</f>
        <v>(Local Option)</v>
      </c>
      <c r="B47" s="1518">
        <v>8</v>
      </c>
      <c r="C47" s="1519" t="s">
        <v>893</v>
      </c>
      <c r="D47" s="1519" t="s">
        <v>893</v>
      </c>
      <c r="E47" s="1519" t="s">
        <v>923</v>
      </c>
      <c r="F47" s="22"/>
      <c r="G47" s="22"/>
      <c r="H47" s="22"/>
      <c r="I47" s="22"/>
      <c r="J47" s="22"/>
      <c r="K47" s="22"/>
      <c r="L47" s="22"/>
      <c r="M47" s="22"/>
      <c r="N47" s="22"/>
      <c r="O47" s="22"/>
      <c r="P47" s="22"/>
      <c r="Q47" s="22"/>
      <c r="R47" s="22"/>
      <c r="S47" s="22"/>
    </row>
    <row r="48" spans="1:19" ht="12.75" customHeight="1" thickTop="1">
      <c r="A48" s="4492"/>
      <c r="B48" s="1540" t="s">
        <v>858</v>
      </c>
      <c r="C48" s="1539">
        <v>1</v>
      </c>
      <c r="D48" s="1539">
        <v>2</v>
      </c>
      <c r="E48" s="1539">
        <v>3</v>
      </c>
      <c r="F48" s="22"/>
      <c r="G48" s="3839" t="s">
        <v>4697</v>
      </c>
      <c r="H48" s="22"/>
      <c r="I48" s="22"/>
      <c r="J48" s="22"/>
      <c r="K48" s="22"/>
      <c r="L48" s="22"/>
      <c r="M48" s="22"/>
      <c r="N48" s="22"/>
      <c r="O48" s="22"/>
      <c r="P48" s="22"/>
      <c r="Q48" s="22"/>
      <c r="R48" s="22"/>
      <c r="S48" s="22"/>
    </row>
    <row r="49" spans="1:19" ht="12.75" customHeight="1">
      <c r="A49" s="4493"/>
      <c r="B49" s="4494"/>
      <c r="C49" s="4495"/>
      <c r="D49" s="4495"/>
      <c r="E49" s="4496"/>
      <c r="F49" s="22"/>
      <c r="G49" s="4491"/>
      <c r="H49" s="22"/>
      <c r="I49" s="22"/>
      <c r="J49" s="22"/>
      <c r="K49" s="22"/>
      <c r="L49" s="22"/>
      <c r="M49" s="22"/>
      <c r="N49" s="22"/>
      <c r="O49" s="22"/>
      <c r="P49" s="22"/>
      <c r="Q49" s="22"/>
      <c r="R49" s="22"/>
      <c r="S49" s="22"/>
    </row>
    <row r="50" spans="1:19" ht="12.75" customHeight="1">
      <c r="A50" s="4487" t="s">
        <v>60</v>
      </c>
      <c r="B50" s="4488"/>
      <c r="C50" s="4488"/>
      <c r="D50" s="4488"/>
      <c r="E50" s="4489"/>
      <c r="F50" s="22"/>
      <c r="G50" s="3916"/>
      <c r="H50" s="22"/>
      <c r="I50" s="22"/>
      <c r="J50" s="22"/>
      <c r="K50" s="22"/>
      <c r="L50" s="22"/>
      <c r="M50" s="22"/>
      <c r="N50" s="22"/>
      <c r="O50" s="22"/>
      <c r="P50" s="22"/>
      <c r="Q50" s="22"/>
      <c r="R50" s="22"/>
      <c r="S50" s="22"/>
    </row>
    <row r="51" spans="1:19" ht="12.75" customHeight="1">
      <c r="A51" s="2057" t="s">
        <v>940</v>
      </c>
      <c r="B51" s="2060"/>
      <c r="C51" s="2060"/>
      <c r="D51" s="2060"/>
      <c r="E51" s="2060"/>
      <c r="F51" s="22"/>
      <c r="G51" s="3916"/>
      <c r="H51" s="22"/>
      <c r="I51" s="22"/>
      <c r="J51" s="22"/>
      <c r="K51" s="22"/>
      <c r="L51" s="22"/>
      <c r="M51" s="22"/>
      <c r="N51" s="22"/>
      <c r="O51" s="22"/>
      <c r="P51" s="22"/>
      <c r="Q51" s="22"/>
      <c r="R51" s="22"/>
      <c r="S51" s="22"/>
    </row>
    <row r="52" spans="1:19" ht="12.75" customHeight="1">
      <c r="A52" s="2057" t="s">
        <v>941</v>
      </c>
      <c r="B52" s="2060"/>
      <c r="C52" s="2060"/>
      <c r="D52" s="2060"/>
      <c r="E52" s="2060"/>
      <c r="F52" s="22"/>
      <c r="G52" s="3916"/>
      <c r="H52" s="22"/>
      <c r="I52" s="22"/>
      <c r="J52" s="22"/>
      <c r="K52" s="22"/>
      <c r="L52" s="22"/>
      <c r="M52" s="22"/>
      <c r="N52" s="22"/>
      <c r="O52" s="22"/>
      <c r="P52" s="22"/>
      <c r="Q52" s="22"/>
      <c r="R52" s="22"/>
      <c r="S52" s="22"/>
    </row>
    <row r="53" spans="1:19" ht="12.75" customHeight="1">
      <c r="A53" s="2070" t="s">
        <v>942</v>
      </c>
      <c r="B53" s="2086">
        <v>210</v>
      </c>
      <c r="C53" s="3553">
        <v>195000</v>
      </c>
      <c r="D53" s="3553">
        <v>146000</v>
      </c>
      <c r="E53" s="3553">
        <v>156321</v>
      </c>
      <c r="F53" s="22"/>
      <c r="G53" s="3916"/>
      <c r="H53" s="22"/>
      <c r="I53" s="22"/>
      <c r="J53" s="22"/>
      <c r="K53" s="22"/>
      <c r="L53" s="22"/>
      <c r="M53" s="22"/>
      <c r="N53" s="22"/>
      <c r="O53" s="22"/>
      <c r="P53" s="22"/>
      <c r="Q53" s="22"/>
      <c r="R53" s="22"/>
      <c r="S53" s="22"/>
    </row>
    <row r="54" spans="1:19" ht="12.75" customHeight="1">
      <c r="A54" s="2071" t="s">
        <v>943</v>
      </c>
      <c r="B54" s="2087">
        <v>215</v>
      </c>
      <c r="C54" s="2049"/>
      <c r="D54" s="2049"/>
      <c r="E54" s="2049"/>
      <c r="F54" s="22"/>
      <c r="G54" s="3916"/>
      <c r="H54" s="22"/>
      <c r="I54" s="22"/>
      <c r="J54" s="22"/>
      <c r="K54" s="22"/>
      <c r="L54" s="22"/>
      <c r="M54" s="22"/>
      <c r="N54" s="22"/>
      <c r="O54" s="22"/>
      <c r="P54" s="22"/>
      <c r="Q54" s="22"/>
      <c r="R54" s="22"/>
      <c r="S54" s="22"/>
    </row>
    <row r="55" spans="1:19" ht="12.75" customHeight="1">
      <c r="A55" s="2058" t="s">
        <v>944</v>
      </c>
      <c r="B55" s="1538"/>
      <c r="C55" s="1538"/>
      <c r="D55" s="1538"/>
      <c r="E55" s="1538"/>
      <c r="F55" s="22"/>
      <c r="G55" s="3916"/>
      <c r="H55" s="22"/>
      <c r="I55" s="22"/>
      <c r="J55" s="22"/>
      <c r="K55" s="22"/>
      <c r="L55" s="22"/>
      <c r="M55" s="22"/>
      <c r="N55" s="22"/>
      <c r="O55" s="22"/>
      <c r="P55" s="22"/>
      <c r="Q55" s="22"/>
      <c r="R55" s="22"/>
      <c r="S55" s="22"/>
    </row>
    <row r="56" spans="1:19" ht="12.75" customHeight="1">
      <c r="A56" s="2070" t="s">
        <v>945</v>
      </c>
      <c r="B56" s="2086">
        <v>220</v>
      </c>
      <c r="C56" s="3553">
        <v>255240</v>
      </c>
      <c r="D56" s="3553">
        <v>321192</v>
      </c>
      <c r="E56" s="3553">
        <v>249192</v>
      </c>
      <c r="F56" s="22"/>
      <c r="G56" s="3916"/>
      <c r="H56" s="22"/>
      <c r="I56" s="22"/>
      <c r="J56" s="22"/>
      <c r="K56" s="22"/>
      <c r="L56" s="22"/>
      <c r="M56" s="22"/>
      <c r="N56" s="22"/>
      <c r="O56" s="22"/>
      <c r="P56" s="22"/>
      <c r="Q56" s="22"/>
      <c r="R56" s="22"/>
      <c r="S56" s="22"/>
    </row>
    <row r="57" spans="1:19" ht="12.75" customHeight="1">
      <c r="A57" s="2071" t="s">
        <v>946</v>
      </c>
      <c r="B57" s="2087">
        <v>225</v>
      </c>
      <c r="C57" s="2049"/>
      <c r="D57" s="2049"/>
      <c r="E57" s="2049"/>
      <c r="F57" s="22"/>
      <c r="G57" s="3916"/>
      <c r="H57" s="22"/>
      <c r="I57" s="22"/>
      <c r="J57" s="22"/>
      <c r="K57" s="22"/>
      <c r="L57" s="22"/>
      <c r="M57" s="22"/>
      <c r="N57" s="22"/>
      <c r="O57" s="22"/>
      <c r="P57" s="22"/>
      <c r="Q57" s="22"/>
      <c r="R57" s="22"/>
      <c r="S57" s="22"/>
    </row>
    <row r="58" spans="1:19" ht="12.75" customHeight="1">
      <c r="A58" s="2071" t="s">
        <v>947</v>
      </c>
      <c r="B58" s="2087">
        <v>230</v>
      </c>
      <c r="C58" s="2049"/>
      <c r="D58" s="2049"/>
      <c r="E58" s="2049"/>
      <c r="F58" s="22"/>
      <c r="G58" s="3916"/>
      <c r="H58" s="22"/>
      <c r="I58" s="22"/>
      <c r="J58" s="22"/>
      <c r="K58" s="22"/>
      <c r="L58" s="22"/>
      <c r="M58" s="22"/>
      <c r="N58" s="22"/>
      <c r="O58" s="22"/>
      <c r="P58" s="22"/>
      <c r="Q58" s="22"/>
      <c r="R58" s="22"/>
      <c r="S58" s="22"/>
    </row>
    <row r="59" spans="1:19" ht="12.75" customHeight="1">
      <c r="A59" s="2058" t="s">
        <v>4818</v>
      </c>
      <c r="B59" s="2088">
        <v>235</v>
      </c>
      <c r="C59" s="3565">
        <v>49699</v>
      </c>
      <c r="D59" s="3565">
        <v>61087</v>
      </c>
      <c r="E59" s="3565">
        <v>49382</v>
      </c>
      <c r="F59" s="22"/>
      <c r="G59" s="3916"/>
      <c r="H59" s="22"/>
      <c r="I59" s="22"/>
      <c r="J59" s="22"/>
      <c r="K59" s="22"/>
      <c r="L59" s="22"/>
      <c r="M59" s="22"/>
      <c r="N59" s="22"/>
      <c r="O59" s="22"/>
      <c r="P59" s="22"/>
      <c r="Q59" s="22"/>
      <c r="R59" s="22"/>
      <c r="S59" s="22"/>
    </row>
    <row r="60" spans="1:19" ht="12.75" customHeight="1">
      <c r="A60" s="2072" t="s">
        <v>632</v>
      </c>
      <c r="B60" s="2089">
        <v>237</v>
      </c>
      <c r="C60" s="3565"/>
      <c r="D60" s="3565"/>
      <c r="E60" s="3565"/>
      <c r="F60" s="22"/>
      <c r="G60" s="3916"/>
      <c r="H60" s="22"/>
      <c r="I60" s="22"/>
      <c r="J60" s="22"/>
      <c r="K60" s="22"/>
      <c r="L60" s="22"/>
      <c r="M60" s="22"/>
      <c r="N60" s="22"/>
      <c r="O60" s="22"/>
      <c r="P60" s="22"/>
      <c r="Q60" s="22"/>
      <c r="R60" s="22"/>
      <c r="S60" s="22"/>
    </row>
    <row r="61" spans="1:19" ht="12.75" customHeight="1">
      <c r="A61" s="2058" t="s">
        <v>950</v>
      </c>
      <c r="B61" s="1538"/>
      <c r="C61" s="1538"/>
      <c r="D61" s="1538"/>
      <c r="E61" s="1538"/>
      <c r="F61" s="22"/>
      <c r="G61" s="3916"/>
      <c r="H61" s="22"/>
      <c r="I61" s="22"/>
      <c r="J61" s="22"/>
      <c r="K61" s="22"/>
      <c r="L61" s="22"/>
      <c r="M61" s="22"/>
      <c r="N61" s="22"/>
      <c r="O61" s="22"/>
      <c r="P61" s="22"/>
      <c r="Q61" s="22"/>
      <c r="R61" s="22"/>
      <c r="S61" s="22"/>
    </row>
    <row r="62" spans="1:19" ht="12.75" customHeight="1">
      <c r="A62" s="2057" t="s">
        <v>951</v>
      </c>
      <c r="B62" s="2060"/>
      <c r="C62" s="2060"/>
      <c r="D62" s="2060"/>
      <c r="E62" s="2060"/>
      <c r="F62" s="22"/>
      <c r="G62" s="3916"/>
      <c r="H62" s="22"/>
      <c r="I62" s="22"/>
      <c r="J62" s="22"/>
      <c r="K62" s="22"/>
      <c r="L62" s="22"/>
      <c r="M62" s="22"/>
      <c r="N62" s="22"/>
      <c r="O62" s="22"/>
      <c r="P62" s="22"/>
      <c r="Q62" s="22"/>
      <c r="R62" s="22"/>
      <c r="S62" s="22"/>
    </row>
    <row r="63" spans="1:19" ht="12.75" customHeight="1">
      <c r="A63" s="2070" t="s">
        <v>952</v>
      </c>
      <c r="B63" s="2086">
        <v>240</v>
      </c>
      <c r="C63" s="3553"/>
      <c r="D63" s="3553"/>
      <c r="E63" s="3553"/>
      <c r="F63" s="22"/>
      <c r="G63" s="3916"/>
      <c r="H63" s="22"/>
      <c r="I63" s="22"/>
      <c r="J63" s="22"/>
      <c r="K63" s="22"/>
      <c r="L63" s="22"/>
      <c r="M63" s="22"/>
      <c r="N63" s="22"/>
      <c r="O63" s="22"/>
      <c r="P63" s="22"/>
      <c r="Q63" s="22"/>
      <c r="R63" s="22"/>
      <c r="S63" s="22"/>
    </row>
    <row r="64" spans="1:19" ht="12.75" customHeight="1">
      <c r="A64" s="2071" t="s">
        <v>953</v>
      </c>
      <c r="B64" s="2087">
        <v>245</v>
      </c>
      <c r="C64" s="2049"/>
      <c r="D64" s="2049"/>
      <c r="E64" s="2049"/>
      <c r="F64" s="22"/>
      <c r="G64" s="3916"/>
      <c r="H64" s="22"/>
      <c r="I64" s="22"/>
      <c r="J64" s="22"/>
      <c r="K64" s="22"/>
      <c r="L64" s="22"/>
      <c r="M64" s="22"/>
      <c r="N64" s="22"/>
      <c r="O64" s="22"/>
      <c r="P64" s="22"/>
      <c r="Q64" s="22"/>
      <c r="R64" s="22"/>
      <c r="S64" s="22"/>
    </row>
    <row r="65" spans="1:26" ht="12.75" customHeight="1">
      <c r="A65" s="2071" t="s">
        <v>682</v>
      </c>
      <c r="B65" s="2087">
        <v>250</v>
      </c>
      <c r="C65" s="2049"/>
      <c r="D65" s="2049"/>
      <c r="E65" s="2049"/>
      <c r="F65" s="22"/>
      <c r="G65" s="3916"/>
      <c r="H65" s="22"/>
      <c r="I65" s="22"/>
      <c r="J65" s="22"/>
      <c r="K65" s="22"/>
      <c r="L65" s="22"/>
      <c r="M65" s="22"/>
      <c r="N65" s="22"/>
      <c r="O65" s="22"/>
      <c r="P65" s="22"/>
      <c r="Q65" s="22"/>
      <c r="R65" s="22"/>
      <c r="S65" s="22"/>
    </row>
    <row r="66" spans="1:26" ht="12.75" customHeight="1">
      <c r="A66" s="2071" t="s">
        <v>954</v>
      </c>
      <c r="B66" s="2087">
        <v>255</v>
      </c>
      <c r="C66" s="2049"/>
      <c r="D66" s="2049"/>
      <c r="E66" s="2049"/>
      <c r="F66" s="22"/>
      <c r="G66" s="3916"/>
      <c r="H66" s="22"/>
      <c r="I66" s="22"/>
      <c r="J66" s="22"/>
      <c r="K66" s="22"/>
      <c r="L66" s="22"/>
      <c r="M66" s="22"/>
      <c r="N66" s="22"/>
      <c r="O66" s="22"/>
      <c r="P66" s="22"/>
      <c r="Q66" s="22"/>
      <c r="R66" s="22"/>
      <c r="S66" s="22"/>
    </row>
    <row r="67" spans="1:26" s="23" customFormat="1" ht="12.75" customHeight="1">
      <c r="A67" s="2058" t="s">
        <v>955</v>
      </c>
      <c r="B67" s="1538"/>
      <c r="C67" s="1538"/>
      <c r="D67" s="1538"/>
      <c r="E67" s="1538"/>
      <c r="F67" s="22"/>
      <c r="G67" s="3916"/>
      <c r="H67" s="22"/>
      <c r="I67" s="22"/>
      <c r="J67" s="22"/>
      <c r="K67" s="22"/>
      <c r="L67" s="22"/>
      <c r="M67" s="22"/>
      <c r="N67" s="22"/>
      <c r="O67" s="22"/>
      <c r="P67" s="22"/>
      <c r="Q67" s="22"/>
      <c r="R67" s="22"/>
      <c r="S67" s="22"/>
      <c r="T67" s="22"/>
      <c r="U67" s="22"/>
      <c r="V67" s="22"/>
      <c r="W67" s="22"/>
      <c r="X67" s="22"/>
      <c r="Y67" s="22"/>
      <c r="Z67" s="22"/>
    </row>
    <row r="68" spans="1:26" s="23" customFormat="1" ht="12.75" customHeight="1">
      <c r="A68" s="2070" t="s">
        <v>956</v>
      </c>
      <c r="B68" s="2086">
        <v>260</v>
      </c>
      <c r="C68" s="3553"/>
      <c r="D68" s="3553"/>
      <c r="E68" s="3553"/>
      <c r="F68" s="22"/>
      <c r="G68" s="3916"/>
      <c r="H68" s="22"/>
      <c r="I68" s="22"/>
      <c r="J68" s="22"/>
      <c r="K68" s="22"/>
      <c r="L68" s="22"/>
      <c r="M68" s="22"/>
      <c r="N68" s="22"/>
      <c r="O68" s="22"/>
      <c r="P68" s="22"/>
      <c r="Q68" s="22"/>
      <c r="R68" s="22"/>
      <c r="S68" s="22"/>
      <c r="T68" s="22"/>
      <c r="U68" s="22"/>
      <c r="V68" s="22"/>
      <c r="W68" s="22"/>
      <c r="X68" s="22"/>
      <c r="Y68" s="22"/>
      <c r="Z68" s="22"/>
    </row>
    <row r="69" spans="1:26" s="23" customFormat="1" ht="12.75" customHeight="1">
      <c r="A69" s="2071" t="s">
        <v>957</v>
      </c>
      <c r="B69" s="2087">
        <v>265</v>
      </c>
      <c r="C69" s="2049"/>
      <c r="D69" s="2049"/>
      <c r="E69" s="2049"/>
      <c r="F69" s="22"/>
      <c r="G69" s="3916"/>
      <c r="H69" s="22"/>
      <c r="I69" s="22"/>
      <c r="J69" s="22"/>
      <c r="K69" s="22"/>
      <c r="L69" s="22"/>
      <c r="M69" s="22"/>
      <c r="N69" s="22"/>
      <c r="O69" s="22"/>
      <c r="P69" s="22"/>
      <c r="Q69" s="22"/>
      <c r="R69" s="22"/>
      <c r="S69" s="22"/>
      <c r="T69" s="22"/>
      <c r="U69" s="22"/>
      <c r="V69" s="22"/>
      <c r="W69" s="22"/>
      <c r="X69" s="22"/>
      <c r="Y69" s="22"/>
      <c r="Z69" s="22"/>
    </row>
    <row r="70" spans="1:26" s="23" customFormat="1" ht="12.75" customHeight="1">
      <c r="A70" s="2073" t="s">
        <v>936</v>
      </c>
      <c r="B70" s="2090">
        <v>267</v>
      </c>
      <c r="C70" s="2049"/>
      <c r="D70" s="2049"/>
      <c r="E70" s="2049"/>
      <c r="F70" s="22"/>
      <c r="G70" s="3916"/>
      <c r="H70" s="22"/>
      <c r="I70" s="22"/>
      <c r="J70" s="22"/>
      <c r="K70" s="22"/>
      <c r="L70" s="22"/>
      <c r="M70" s="22"/>
      <c r="N70" s="22"/>
      <c r="O70" s="22"/>
      <c r="P70" s="22"/>
      <c r="Q70" s="22"/>
      <c r="R70" s="22"/>
      <c r="S70" s="22"/>
      <c r="T70" s="22"/>
      <c r="U70" s="22"/>
      <c r="V70" s="22"/>
      <c r="W70" s="22"/>
      <c r="X70" s="22"/>
      <c r="Y70" s="22"/>
      <c r="Z70" s="22"/>
    </row>
    <row r="71" spans="1:26" s="23" customFormat="1" ht="12.75" customHeight="1">
      <c r="A71" s="2071" t="s">
        <v>958</v>
      </c>
      <c r="B71" s="2087">
        <v>270</v>
      </c>
      <c r="C71" s="2049"/>
      <c r="D71" s="2049"/>
      <c r="E71" s="2049"/>
      <c r="F71" s="22"/>
      <c r="G71" s="3916"/>
      <c r="H71" s="22"/>
      <c r="I71" s="22"/>
      <c r="J71" s="22"/>
      <c r="K71" s="22"/>
      <c r="L71" s="22"/>
      <c r="M71" s="22"/>
      <c r="N71" s="22"/>
      <c r="O71" s="22"/>
      <c r="P71" s="22"/>
      <c r="Q71" s="22"/>
      <c r="R71" s="22"/>
      <c r="S71" s="22"/>
      <c r="T71" s="22"/>
      <c r="U71" s="22"/>
      <c r="V71" s="22"/>
      <c r="W71" s="22"/>
      <c r="X71" s="22"/>
      <c r="Y71" s="22"/>
      <c r="Z71" s="22"/>
    </row>
    <row r="72" spans="1:26" s="23" customFormat="1" ht="12.75" customHeight="1">
      <c r="A72" s="2070" t="s">
        <v>959</v>
      </c>
      <c r="B72" s="2086">
        <v>275</v>
      </c>
      <c r="C72" s="3553"/>
      <c r="D72" s="3553"/>
      <c r="E72" s="3553"/>
      <c r="F72" s="22"/>
      <c r="G72" s="3916"/>
      <c r="H72" s="22"/>
      <c r="I72" s="22"/>
      <c r="J72" s="22"/>
      <c r="K72" s="22"/>
      <c r="L72" s="22"/>
      <c r="M72" s="22"/>
      <c r="N72" s="22"/>
      <c r="O72" s="22"/>
      <c r="P72" s="22"/>
      <c r="Q72" s="22"/>
      <c r="R72" s="22"/>
      <c r="S72" s="22"/>
      <c r="T72" s="22"/>
      <c r="U72" s="22"/>
      <c r="V72" s="22"/>
      <c r="W72" s="22"/>
      <c r="X72" s="22"/>
      <c r="Y72" s="22"/>
      <c r="Z72" s="22"/>
    </row>
    <row r="73" spans="1:26" s="23" customFormat="1" ht="12.75" customHeight="1">
      <c r="A73" s="2071" t="s">
        <v>960</v>
      </c>
      <c r="B73" s="2087">
        <v>280</v>
      </c>
      <c r="C73" s="2049"/>
      <c r="D73" s="2049"/>
      <c r="E73" s="2049"/>
      <c r="F73" s="22"/>
      <c r="G73" s="3916"/>
      <c r="H73" s="22"/>
      <c r="I73" s="22"/>
      <c r="J73" s="22"/>
      <c r="K73" s="22"/>
      <c r="L73" s="22"/>
      <c r="M73" s="22"/>
      <c r="N73" s="22"/>
      <c r="O73" s="22"/>
      <c r="P73" s="22"/>
      <c r="Q73" s="22"/>
      <c r="R73" s="22"/>
      <c r="S73" s="22"/>
      <c r="T73" s="22"/>
      <c r="U73" s="22"/>
      <c r="V73" s="22"/>
      <c r="W73" s="22"/>
      <c r="X73" s="22"/>
      <c r="Y73" s="22"/>
      <c r="Z73" s="22"/>
    </row>
    <row r="74" spans="1:26" s="23" customFormat="1" ht="12.75" customHeight="1">
      <c r="A74" s="2058" t="s">
        <v>961</v>
      </c>
      <c r="B74" s="1538"/>
      <c r="C74" s="1538"/>
      <c r="D74" s="1538"/>
      <c r="E74" s="1538"/>
      <c r="F74" s="22"/>
      <c r="G74" s="3916"/>
      <c r="H74" s="22"/>
      <c r="I74" s="22"/>
      <c r="J74" s="22"/>
      <c r="K74" s="22"/>
      <c r="L74" s="22"/>
      <c r="M74" s="22"/>
      <c r="N74" s="22"/>
      <c r="O74" s="22"/>
      <c r="P74" s="22"/>
      <c r="Q74" s="22"/>
      <c r="R74" s="22"/>
      <c r="S74" s="22"/>
      <c r="T74" s="22"/>
      <c r="U74" s="22"/>
      <c r="V74" s="22"/>
      <c r="W74" s="22"/>
      <c r="X74" s="22"/>
      <c r="Y74" s="22"/>
      <c r="Z74" s="22"/>
    </row>
    <row r="75" spans="1:26" s="23" customFormat="1" ht="12.75" customHeight="1">
      <c r="A75" s="2057" t="s">
        <v>962</v>
      </c>
      <c r="B75" s="2060"/>
      <c r="C75" s="2060"/>
      <c r="D75" s="2060"/>
      <c r="E75" s="2060"/>
      <c r="F75" s="22"/>
      <c r="G75" s="3916"/>
      <c r="H75" s="22"/>
      <c r="I75" s="22"/>
      <c r="J75" s="22"/>
      <c r="K75" s="22"/>
      <c r="L75" s="22"/>
      <c r="M75" s="22"/>
      <c r="N75" s="22"/>
      <c r="O75" s="22"/>
      <c r="P75" s="22"/>
      <c r="Q75" s="22"/>
      <c r="R75" s="22"/>
      <c r="S75" s="22"/>
      <c r="T75" s="22"/>
      <c r="U75" s="22"/>
      <c r="V75" s="22"/>
      <c r="W75" s="22"/>
      <c r="X75" s="22"/>
      <c r="Y75" s="22"/>
      <c r="Z75" s="22"/>
    </row>
    <row r="76" spans="1:26" s="23" customFormat="1" ht="12.75" customHeight="1">
      <c r="A76" s="2057" t="s">
        <v>941</v>
      </c>
      <c r="B76" s="2060"/>
      <c r="C76" s="2060"/>
      <c r="D76" s="2060"/>
      <c r="E76" s="2060"/>
      <c r="F76" s="22"/>
      <c r="G76" s="3916"/>
      <c r="H76" s="22"/>
      <c r="I76" s="22"/>
      <c r="J76" s="22"/>
      <c r="K76" s="22"/>
      <c r="L76" s="22"/>
      <c r="M76" s="22"/>
      <c r="N76" s="22"/>
      <c r="O76" s="22"/>
      <c r="P76" s="22"/>
      <c r="Q76" s="22"/>
      <c r="R76" s="22"/>
      <c r="S76" s="22"/>
      <c r="T76" s="22"/>
      <c r="U76" s="22"/>
      <c r="V76" s="22"/>
      <c r="W76" s="22"/>
      <c r="X76" s="22"/>
      <c r="Y76" s="22"/>
      <c r="Z76" s="22"/>
    </row>
    <row r="77" spans="1:26" s="23" customFormat="1" ht="12.75" customHeight="1">
      <c r="A77" s="2070" t="s">
        <v>942</v>
      </c>
      <c r="B77" s="2086">
        <v>285</v>
      </c>
      <c r="C77" s="3553"/>
      <c r="D77" s="3553"/>
      <c r="E77" s="3553"/>
      <c r="F77" s="22"/>
      <c r="G77" s="3916"/>
      <c r="H77" s="22"/>
      <c r="I77" s="22"/>
      <c r="J77" s="22"/>
      <c r="K77" s="22"/>
      <c r="L77" s="22"/>
      <c r="M77" s="22"/>
      <c r="N77" s="22"/>
      <c r="O77" s="22"/>
      <c r="P77" s="22"/>
      <c r="Q77" s="22"/>
      <c r="R77" s="22"/>
      <c r="S77" s="22"/>
      <c r="T77" s="22"/>
      <c r="U77" s="22"/>
      <c r="V77" s="22"/>
      <c r="W77" s="22"/>
      <c r="X77" s="22"/>
      <c r="Y77" s="22"/>
      <c r="Z77" s="22"/>
    </row>
    <row r="78" spans="1:26" s="23" customFormat="1" ht="12.75" customHeight="1">
      <c r="A78" s="2071" t="s">
        <v>1066</v>
      </c>
      <c r="B78" s="2087">
        <v>290</v>
      </c>
      <c r="C78" s="2049"/>
      <c r="D78" s="2049"/>
      <c r="E78" s="2049"/>
      <c r="F78" s="22"/>
      <c r="G78" s="3916"/>
      <c r="H78" s="22"/>
      <c r="I78" s="22"/>
      <c r="J78" s="22"/>
      <c r="K78" s="22"/>
      <c r="L78" s="22"/>
      <c r="M78" s="22"/>
      <c r="N78" s="22"/>
      <c r="O78" s="22"/>
      <c r="P78" s="22"/>
      <c r="Q78" s="22"/>
      <c r="R78" s="22"/>
      <c r="S78" s="22"/>
      <c r="T78" s="22"/>
      <c r="U78" s="22"/>
      <c r="V78" s="22"/>
      <c r="W78" s="22"/>
      <c r="X78" s="22"/>
      <c r="Y78" s="22"/>
      <c r="Z78" s="22"/>
    </row>
    <row r="79" spans="1:26" s="23" customFormat="1" ht="12.75" customHeight="1">
      <c r="A79" s="2058" t="s">
        <v>944</v>
      </c>
      <c r="B79" s="1538"/>
      <c r="C79" s="1538"/>
      <c r="D79" s="1538"/>
      <c r="E79" s="1538"/>
      <c r="F79" s="22"/>
      <c r="G79" s="3916"/>
      <c r="H79" s="22"/>
      <c r="I79" s="22"/>
      <c r="J79" s="22"/>
      <c r="K79" s="22"/>
      <c r="L79" s="22"/>
      <c r="M79" s="22"/>
      <c r="N79" s="22"/>
      <c r="O79" s="22"/>
      <c r="P79" s="22"/>
      <c r="Q79" s="22"/>
      <c r="R79" s="22"/>
      <c r="S79" s="22"/>
      <c r="T79" s="22"/>
      <c r="U79" s="22"/>
      <c r="V79" s="22"/>
      <c r="W79" s="22"/>
      <c r="X79" s="22"/>
      <c r="Y79" s="22"/>
      <c r="Z79" s="22"/>
    </row>
    <row r="80" spans="1:26" s="23" customFormat="1" ht="12.75" customHeight="1">
      <c r="A80" s="2070" t="s">
        <v>945</v>
      </c>
      <c r="B80" s="2086">
        <v>295</v>
      </c>
      <c r="C80" s="3553"/>
      <c r="D80" s="3553"/>
      <c r="E80" s="3553"/>
      <c r="F80" s="22"/>
      <c r="G80" s="3916"/>
      <c r="H80" s="22"/>
      <c r="I80" s="22"/>
      <c r="J80" s="22"/>
      <c r="K80" s="22"/>
      <c r="L80" s="22"/>
      <c r="M80" s="22"/>
      <c r="N80" s="22"/>
      <c r="O80" s="22"/>
      <c r="P80" s="22"/>
      <c r="Q80" s="22"/>
      <c r="R80" s="22"/>
      <c r="S80" s="22"/>
      <c r="T80" s="22"/>
      <c r="U80" s="22"/>
      <c r="V80" s="22"/>
      <c r="W80" s="22"/>
      <c r="X80" s="22"/>
      <c r="Y80" s="22"/>
      <c r="Z80" s="22"/>
    </row>
    <row r="81" spans="1:26" s="23" customFormat="1" ht="12.75" customHeight="1">
      <c r="A81" s="2070" t="s">
        <v>946</v>
      </c>
      <c r="B81" s="2086">
        <v>300</v>
      </c>
      <c r="C81" s="3553"/>
      <c r="D81" s="3553"/>
      <c r="E81" s="3553"/>
      <c r="F81" s="22"/>
      <c r="G81" s="3916"/>
      <c r="H81" s="22"/>
      <c r="I81" s="22"/>
      <c r="J81" s="22"/>
      <c r="K81" s="22"/>
      <c r="L81" s="22"/>
      <c r="M81" s="22"/>
      <c r="N81" s="22"/>
      <c r="O81" s="22"/>
      <c r="P81" s="22"/>
      <c r="Q81" s="22"/>
      <c r="R81" s="22"/>
      <c r="S81" s="22"/>
      <c r="T81" s="22"/>
      <c r="U81" s="22"/>
      <c r="V81" s="22"/>
      <c r="W81" s="22"/>
      <c r="X81" s="22"/>
      <c r="Y81" s="22"/>
      <c r="Z81" s="22"/>
    </row>
    <row r="82" spans="1:26" s="23" customFormat="1" ht="12.75" customHeight="1">
      <c r="A82" s="2071" t="s">
        <v>947</v>
      </c>
      <c r="B82" s="2087">
        <v>305</v>
      </c>
      <c r="C82" s="2049"/>
      <c r="D82" s="2049"/>
      <c r="E82" s="2049"/>
      <c r="F82" s="22"/>
      <c r="G82" s="3916"/>
      <c r="H82" s="22"/>
      <c r="I82" s="22"/>
      <c r="J82" s="22"/>
      <c r="K82" s="22"/>
      <c r="L82" s="22"/>
      <c r="M82" s="22"/>
      <c r="N82" s="22"/>
      <c r="O82" s="22"/>
      <c r="P82" s="22"/>
      <c r="Q82" s="22"/>
      <c r="R82" s="22"/>
      <c r="S82" s="22"/>
      <c r="T82" s="22"/>
      <c r="U82" s="22"/>
      <c r="V82" s="22"/>
      <c r="W82" s="22"/>
      <c r="X82" s="22"/>
      <c r="Y82" s="22"/>
      <c r="Z82" s="22"/>
    </row>
    <row r="83" spans="1:26" s="23" customFormat="1" ht="12.75" customHeight="1">
      <c r="A83" s="2058" t="s">
        <v>4818</v>
      </c>
      <c r="B83" s="2088">
        <v>310</v>
      </c>
      <c r="C83" s="3565"/>
      <c r="D83" s="3565"/>
      <c r="E83" s="3565"/>
      <c r="F83" s="22"/>
      <c r="G83" s="3916"/>
      <c r="H83" s="22"/>
      <c r="I83" s="22"/>
      <c r="J83" s="22"/>
      <c r="K83" s="22"/>
      <c r="L83" s="22"/>
      <c r="M83" s="22"/>
      <c r="N83" s="22"/>
      <c r="O83" s="22"/>
      <c r="P83" s="22"/>
      <c r="Q83" s="22"/>
      <c r="R83" s="22"/>
      <c r="S83" s="22"/>
      <c r="T83" s="22"/>
      <c r="U83" s="22"/>
      <c r="V83" s="22"/>
      <c r="W83" s="22"/>
      <c r="X83" s="22"/>
      <c r="Y83" s="22"/>
      <c r="Z83" s="22"/>
    </row>
    <row r="84" spans="1:26" s="23" customFormat="1" ht="12.75" customHeight="1">
      <c r="A84" s="2072" t="s">
        <v>968</v>
      </c>
      <c r="B84" s="2089">
        <v>313</v>
      </c>
      <c r="C84" s="3565"/>
      <c r="D84" s="3565"/>
      <c r="E84" s="3565"/>
      <c r="F84" s="22"/>
      <c r="G84" s="3916"/>
      <c r="H84" s="22"/>
      <c r="I84" s="22"/>
      <c r="J84" s="22"/>
      <c r="K84" s="22"/>
      <c r="L84" s="22"/>
      <c r="M84" s="22"/>
      <c r="N84" s="22"/>
      <c r="O84" s="22"/>
      <c r="P84" s="22"/>
      <c r="Q84" s="22"/>
      <c r="R84" s="22"/>
      <c r="S84" s="22"/>
      <c r="T84" s="22"/>
      <c r="U84" s="22"/>
      <c r="V84" s="22"/>
      <c r="W84" s="22"/>
      <c r="X84" s="22"/>
      <c r="Y84" s="22"/>
      <c r="Z84" s="22"/>
    </row>
    <row r="85" spans="1:26" s="23" customFormat="1" ht="12.75" customHeight="1">
      <c r="A85" s="2071" t="s">
        <v>950</v>
      </c>
      <c r="B85" s="2087">
        <v>315</v>
      </c>
      <c r="C85" s="2049"/>
      <c r="D85" s="2049"/>
      <c r="E85" s="2049"/>
      <c r="F85" s="22"/>
      <c r="G85" s="3916"/>
      <c r="H85" s="22"/>
      <c r="I85" s="22"/>
      <c r="J85" s="22"/>
      <c r="K85" s="22"/>
      <c r="L85" s="22"/>
      <c r="M85" s="22"/>
      <c r="N85" s="22"/>
      <c r="O85" s="22"/>
      <c r="P85" s="22"/>
      <c r="Q85" s="22"/>
      <c r="R85" s="22"/>
      <c r="S85" s="22"/>
      <c r="T85" s="22"/>
      <c r="U85" s="22"/>
      <c r="V85" s="22"/>
      <c r="W85" s="22"/>
      <c r="X85" s="22"/>
      <c r="Y85" s="22"/>
      <c r="Z85" s="22"/>
    </row>
    <row r="86" spans="1:26" s="23" customFormat="1" ht="12.75" customHeight="1">
      <c r="A86" s="2070" t="s">
        <v>955</v>
      </c>
      <c r="B86" s="2086">
        <v>320</v>
      </c>
      <c r="C86" s="3553"/>
      <c r="D86" s="3553"/>
      <c r="E86" s="3553"/>
      <c r="F86" s="22"/>
      <c r="G86" s="3916"/>
      <c r="H86" s="22"/>
      <c r="I86" s="22"/>
      <c r="J86" s="22"/>
      <c r="K86" s="22"/>
      <c r="L86" s="22"/>
      <c r="M86" s="22"/>
      <c r="N86" s="22"/>
      <c r="O86" s="22"/>
      <c r="P86" s="22"/>
      <c r="Q86" s="22"/>
      <c r="R86" s="22"/>
      <c r="S86" s="22"/>
      <c r="T86" s="22"/>
      <c r="U86" s="22"/>
      <c r="V86" s="22"/>
      <c r="W86" s="22"/>
      <c r="X86" s="22"/>
      <c r="Y86" s="22"/>
      <c r="Z86" s="22"/>
    </row>
    <row r="87" spans="1:26" s="23" customFormat="1" ht="12.75" customHeight="1">
      <c r="A87" s="2058" t="s">
        <v>959</v>
      </c>
      <c r="B87" s="2088">
        <v>325</v>
      </c>
      <c r="C87" s="3565"/>
      <c r="D87" s="3565"/>
      <c r="E87" s="3565"/>
      <c r="F87" s="22"/>
      <c r="G87" s="3916"/>
      <c r="H87" s="22"/>
      <c r="I87" s="22"/>
      <c r="J87" s="22"/>
      <c r="K87" s="22"/>
      <c r="L87" s="22"/>
      <c r="M87" s="22"/>
      <c r="N87" s="22"/>
      <c r="O87" s="22"/>
      <c r="P87" s="22"/>
      <c r="Q87" s="22"/>
      <c r="R87" s="22"/>
      <c r="S87" s="22"/>
      <c r="T87" s="22"/>
      <c r="U87" s="22"/>
      <c r="V87" s="22"/>
      <c r="W87" s="22"/>
      <c r="X87" s="22"/>
      <c r="Y87" s="22"/>
      <c r="Z87" s="22"/>
    </row>
    <row r="88" spans="1:26" s="23" customFormat="1" ht="12.75" customHeight="1">
      <c r="A88" s="2071" t="s">
        <v>960</v>
      </c>
      <c r="B88" s="2087">
        <v>330</v>
      </c>
      <c r="C88" s="2049"/>
      <c r="D88" s="2049"/>
      <c r="E88" s="2049"/>
      <c r="F88" s="22"/>
      <c r="G88" s="3916"/>
      <c r="H88" s="22"/>
      <c r="I88" s="22"/>
      <c r="J88" s="22"/>
      <c r="K88" s="22"/>
      <c r="L88" s="22"/>
      <c r="M88" s="22"/>
      <c r="N88" s="22"/>
      <c r="O88" s="22"/>
      <c r="P88" s="22"/>
      <c r="Q88" s="22"/>
      <c r="R88" s="22"/>
      <c r="S88" s="22"/>
      <c r="T88" s="22"/>
      <c r="U88" s="22"/>
      <c r="V88" s="22"/>
      <c r="W88" s="22"/>
      <c r="X88" s="22"/>
      <c r="Y88" s="22"/>
      <c r="Z88" s="22"/>
    </row>
    <row r="89" spans="1:26" s="23" customFormat="1" ht="12.75" customHeight="1">
      <c r="A89" s="2058" t="s">
        <v>963</v>
      </c>
      <c r="B89" s="1538"/>
      <c r="C89" s="1538"/>
      <c r="D89" s="1538"/>
      <c r="E89" s="1538"/>
      <c r="F89" s="22"/>
      <c r="G89" s="3916"/>
      <c r="H89" s="22"/>
      <c r="I89" s="22"/>
      <c r="J89" s="22"/>
      <c r="K89" s="22"/>
      <c r="L89" s="22"/>
      <c r="M89" s="22"/>
      <c r="N89" s="22"/>
      <c r="O89" s="22"/>
      <c r="P89" s="22"/>
      <c r="Q89" s="22"/>
      <c r="R89" s="22"/>
      <c r="S89" s="22"/>
      <c r="T89" s="22"/>
      <c r="U89" s="22"/>
      <c r="V89" s="22"/>
      <c r="W89" s="22"/>
      <c r="X89" s="22"/>
      <c r="Y89" s="22"/>
      <c r="Z89" s="22"/>
    </row>
    <row r="90" spans="1:26" ht="12.75" customHeight="1">
      <c r="A90" s="2057" t="s">
        <v>941</v>
      </c>
      <c r="B90" s="2060"/>
      <c r="C90" s="2060"/>
      <c r="D90" s="2060"/>
      <c r="E90" s="2060"/>
      <c r="F90" s="22"/>
      <c r="G90" s="3916"/>
      <c r="H90" s="22"/>
      <c r="I90" s="22"/>
      <c r="J90" s="22"/>
      <c r="K90" s="22"/>
      <c r="L90" s="22"/>
      <c r="M90" s="22"/>
      <c r="N90" s="22"/>
      <c r="O90" s="22"/>
      <c r="P90" s="22"/>
      <c r="Q90" s="22"/>
      <c r="R90" s="22"/>
      <c r="S90" s="22"/>
    </row>
    <row r="91" spans="1:26" ht="12.75" customHeight="1">
      <c r="A91" s="2070" t="s">
        <v>942</v>
      </c>
      <c r="B91" s="2086">
        <v>335</v>
      </c>
      <c r="C91" s="3553">
        <v>18698</v>
      </c>
      <c r="D91" s="3553">
        <v>23315</v>
      </c>
      <c r="E91" s="3553">
        <v>23315</v>
      </c>
      <c r="F91" s="22"/>
      <c r="G91" s="3916"/>
      <c r="H91" s="22"/>
      <c r="I91" s="22"/>
      <c r="J91" s="22"/>
      <c r="K91" s="22"/>
      <c r="L91" s="22"/>
      <c r="M91" s="22"/>
      <c r="N91" s="22"/>
      <c r="O91" s="22"/>
      <c r="P91" s="22"/>
      <c r="Q91" s="22"/>
      <c r="R91" s="22"/>
      <c r="S91" s="22"/>
    </row>
    <row r="92" spans="1:26" ht="12.75" customHeight="1">
      <c r="A92" s="2071" t="s">
        <v>943</v>
      </c>
      <c r="B92" s="2087">
        <v>340</v>
      </c>
      <c r="C92" s="2049"/>
      <c r="D92" s="2049"/>
      <c r="E92" s="2049"/>
      <c r="F92" s="22"/>
      <c r="G92" s="3916"/>
      <c r="H92" s="22"/>
      <c r="I92" s="22"/>
      <c r="J92" s="22"/>
      <c r="K92" s="22"/>
      <c r="L92" s="22"/>
      <c r="M92" s="22"/>
      <c r="N92" s="22"/>
      <c r="O92" s="22"/>
      <c r="P92" s="22"/>
      <c r="Q92" s="22"/>
      <c r="R92" s="22"/>
      <c r="S92" s="22"/>
    </row>
    <row r="93" spans="1:26" ht="12.75" customHeight="1">
      <c r="A93" s="2058" t="s">
        <v>944</v>
      </c>
      <c r="B93" s="1538"/>
      <c r="C93" s="1538"/>
      <c r="D93" s="1538"/>
      <c r="E93" s="1538"/>
      <c r="F93" s="22"/>
      <c r="G93" s="3916"/>
      <c r="H93" s="22"/>
      <c r="I93" s="22"/>
      <c r="J93" s="22"/>
      <c r="K93" s="22"/>
      <c r="L93" s="22"/>
      <c r="M93" s="22"/>
      <c r="N93" s="22"/>
      <c r="O93" s="22"/>
      <c r="P93" s="22"/>
      <c r="Q93" s="22"/>
      <c r="R93" s="22"/>
      <c r="S93" s="22"/>
    </row>
    <row r="94" spans="1:26" ht="12.75" customHeight="1">
      <c r="A94" s="2070" t="s">
        <v>945</v>
      </c>
      <c r="B94" s="2086">
        <v>345</v>
      </c>
      <c r="C94" s="3553"/>
      <c r="D94" s="3553"/>
      <c r="E94" s="3553"/>
      <c r="F94" s="22"/>
      <c r="G94" s="3916"/>
      <c r="H94" s="22"/>
      <c r="I94" s="22"/>
      <c r="J94" s="22"/>
      <c r="K94" s="22"/>
      <c r="L94" s="22"/>
      <c r="M94" s="22"/>
      <c r="N94" s="22"/>
      <c r="O94" s="22"/>
      <c r="P94" s="22"/>
      <c r="Q94" s="22"/>
      <c r="R94" s="22"/>
      <c r="S94" s="22"/>
    </row>
    <row r="95" spans="1:26" ht="12.75" customHeight="1">
      <c r="A95" s="2071" t="s">
        <v>946</v>
      </c>
      <c r="B95" s="2087">
        <v>350</v>
      </c>
      <c r="C95" s="2049">
        <v>1290</v>
      </c>
      <c r="D95" s="2049">
        <v>1542</v>
      </c>
      <c r="E95" s="2049">
        <v>1542</v>
      </c>
      <c r="F95" s="22"/>
      <c r="G95" s="3916"/>
      <c r="H95" s="22"/>
      <c r="I95" s="22"/>
      <c r="J95" s="22"/>
      <c r="K95" s="22"/>
      <c r="L95" s="22"/>
      <c r="M95" s="22"/>
      <c r="N95" s="22"/>
      <c r="O95" s="22"/>
      <c r="P95" s="22"/>
      <c r="Q95" s="22"/>
      <c r="R95" s="22"/>
      <c r="S95" s="22"/>
    </row>
    <row r="96" spans="1:26" ht="12.75" customHeight="1">
      <c r="A96" s="2071" t="s">
        <v>947</v>
      </c>
      <c r="B96" s="2087">
        <v>355</v>
      </c>
      <c r="C96" s="2049"/>
      <c r="D96" s="2049"/>
      <c r="E96" s="2049"/>
      <c r="F96" s="22"/>
      <c r="G96" s="3916"/>
      <c r="H96" s="22"/>
      <c r="I96" s="22"/>
      <c r="J96" s="22"/>
      <c r="K96" s="22"/>
      <c r="L96" s="22"/>
      <c r="M96" s="22"/>
      <c r="N96" s="22"/>
      <c r="O96" s="22"/>
      <c r="P96" s="22"/>
      <c r="Q96" s="22"/>
      <c r="R96" s="22"/>
      <c r="S96" s="22"/>
    </row>
    <row r="97" spans="1:19" ht="12.75" customHeight="1">
      <c r="A97" s="2058" t="s">
        <v>4818</v>
      </c>
      <c r="B97" s="2088">
        <v>360</v>
      </c>
      <c r="C97" s="3565"/>
      <c r="D97" s="3565"/>
      <c r="E97" s="3565"/>
      <c r="F97" s="22"/>
      <c r="G97" s="3916"/>
      <c r="H97" s="22"/>
      <c r="I97" s="22"/>
      <c r="J97" s="22"/>
      <c r="K97" s="22"/>
      <c r="L97" s="22"/>
      <c r="M97" s="22"/>
      <c r="N97" s="22"/>
      <c r="O97" s="22"/>
      <c r="P97" s="22"/>
      <c r="Q97" s="22"/>
      <c r="R97" s="22"/>
      <c r="S97" s="22"/>
    </row>
    <row r="98" spans="1:19" ht="12.75" customHeight="1">
      <c r="A98" s="2072" t="s">
        <v>968</v>
      </c>
      <c r="B98" s="2089">
        <v>363</v>
      </c>
      <c r="C98" s="3565"/>
      <c r="D98" s="3565"/>
      <c r="E98" s="3565"/>
      <c r="F98" s="22"/>
      <c r="G98" s="3916"/>
      <c r="H98" s="22"/>
      <c r="I98" s="22"/>
      <c r="J98" s="22"/>
      <c r="K98" s="22"/>
      <c r="L98" s="22"/>
      <c r="M98" s="22"/>
      <c r="N98" s="22"/>
      <c r="O98" s="22"/>
      <c r="P98" s="22"/>
      <c r="Q98" s="22"/>
      <c r="R98" s="22"/>
      <c r="S98" s="22"/>
    </row>
    <row r="99" spans="1:19" ht="12.75" customHeight="1">
      <c r="A99" s="2071" t="s">
        <v>950</v>
      </c>
      <c r="B99" s="2087">
        <v>365</v>
      </c>
      <c r="C99" s="2049"/>
      <c r="D99" s="2049"/>
      <c r="E99" s="2049"/>
      <c r="F99" s="22"/>
      <c r="G99" s="3916"/>
      <c r="H99" s="22"/>
      <c r="I99" s="22"/>
      <c r="J99" s="22"/>
      <c r="K99" s="22"/>
      <c r="L99" s="22"/>
      <c r="M99" s="22"/>
      <c r="N99" s="22"/>
      <c r="O99" s="22"/>
      <c r="P99" s="22"/>
      <c r="Q99" s="22"/>
      <c r="R99" s="22"/>
      <c r="S99" s="22"/>
    </row>
    <row r="100" spans="1:19" ht="12.75" customHeight="1">
      <c r="A100" s="2058" t="s">
        <v>955</v>
      </c>
      <c r="B100" s="1538"/>
      <c r="C100" s="1538"/>
      <c r="D100" s="1538"/>
      <c r="E100" s="1538"/>
      <c r="F100" s="22"/>
      <c r="G100" s="3916"/>
      <c r="H100" s="22"/>
      <c r="I100" s="22"/>
      <c r="J100" s="22"/>
      <c r="K100" s="22"/>
      <c r="L100" s="22"/>
      <c r="M100" s="22"/>
      <c r="N100" s="22"/>
      <c r="O100" s="22"/>
      <c r="P100" s="22"/>
      <c r="Q100" s="22"/>
      <c r="R100" s="22"/>
      <c r="S100" s="22"/>
    </row>
    <row r="101" spans="1:19" ht="12.75" customHeight="1">
      <c r="A101" s="2057" t="s">
        <v>5150</v>
      </c>
      <c r="B101" s="2091">
        <v>370</v>
      </c>
      <c r="C101" s="3554"/>
      <c r="D101" s="3554"/>
      <c r="E101" s="3554"/>
      <c r="F101" s="22"/>
      <c r="G101" s="3916"/>
      <c r="H101" s="22"/>
      <c r="I101" s="22"/>
      <c r="J101" s="22"/>
      <c r="K101" s="22"/>
      <c r="L101" s="22"/>
      <c r="M101" s="22"/>
      <c r="N101" s="22"/>
      <c r="O101" s="22"/>
      <c r="P101" s="22"/>
      <c r="Q101" s="22"/>
      <c r="R101" s="22"/>
      <c r="S101" s="22"/>
    </row>
    <row r="102" spans="1:19" ht="12.75" customHeight="1">
      <c r="A102" s="2058" t="s">
        <v>690</v>
      </c>
      <c r="B102" s="2088">
        <v>375</v>
      </c>
      <c r="C102" s="3565">
        <v>2548</v>
      </c>
      <c r="D102" s="3565">
        <v>6348</v>
      </c>
      <c r="E102" s="3565">
        <v>6348</v>
      </c>
      <c r="F102" s="22"/>
      <c r="G102" s="3916"/>
      <c r="H102" s="22"/>
      <c r="I102" s="22"/>
      <c r="J102" s="22"/>
      <c r="K102" s="22"/>
      <c r="L102" s="22"/>
      <c r="M102" s="22"/>
      <c r="N102" s="22"/>
      <c r="O102" s="22"/>
      <c r="P102" s="22"/>
      <c r="Q102" s="22"/>
      <c r="R102" s="22"/>
      <c r="S102" s="22"/>
    </row>
    <row r="103" spans="1:19" ht="12.75" customHeight="1">
      <c r="A103" s="2071" t="s">
        <v>958</v>
      </c>
      <c r="B103" s="2087">
        <v>380</v>
      </c>
      <c r="C103" s="2049"/>
      <c r="D103" s="2049"/>
      <c r="E103" s="2049"/>
      <c r="F103" s="22"/>
      <c r="G103" s="3916"/>
      <c r="H103" s="22"/>
      <c r="I103" s="22"/>
      <c r="J103" s="22"/>
      <c r="K103" s="22"/>
      <c r="L103" s="22"/>
      <c r="M103" s="22"/>
      <c r="N103" s="22"/>
      <c r="O103" s="22"/>
      <c r="P103" s="22"/>
      <c r="Q103" s="22"/>
      <c r="R103" s="22"/>
      <c r="S103" s="22"/>
    </row>
    <row r="104" spans="1:19" ht="12.75" customHeight="1">
      <c r="A104" s="2071" t="s">
        <v>959</v>
      </c>
      <c r="B104" s="2087">
        <v>385</v>
      </c>
      <c r="C104" s="2049">
        <v>46104</v>
      </c>
      <c r="D104" s="2049">
        <v>54444</v>
      </c>
      <c r="E104" s="2049">
        <v>52994</v>
      </c>
      <c r="F104" s="22"/>
      <c r="G104" s="3916"/>
      <c r="H104" s="22"/>
      <c r="I104" s="22"/>
      <c r="J104" s="22"/>
      <c r="K104" s="22"/>
      <c r="L104" s="22"/>
      <c r="M104" s="22"/>
      <c r="N104" s="22"/>
      <c r="O104" s="22"/>
      <c r="P104" s="22"/>
      <c r="Q104" s="22"/>
      <c r="R104" s="22"/>
      <c r="S104" s="22"/>
    </row>
    <row r="105" spans="1:19" ht="12.75" customHeight="1">
      <c r="A105" s="2071" t="s">
        <v>960</v>
      </c>
      <c r="B105" s="2087">
        <v>390</v>
      </c>
      <c r="C105" s="2049"/>
      <c r="D105" s="2049"/>
      <c r="E105" s="2049"/>
      <c r="F105" s="22"/>
      <c r="G105" s="3916"/>
      <c r="H105" s="22"/>
      <c r="I105" s="22"/>
      <c r="J105" s="22"/>
      <c r="K105" s="22"/>
      <c r="L105" s="22"/>
      <c r="M105" s="22"/>
      <c r="N105" s="22"/>
      <c r="O105" s="22"/>
      <c r="P105" s="22"/>
      <c r="Q105" s="22"/>
      <c r="R105" s="22"/>
      <c r="S105" s="22"/>
    </row>
    <row r="106" spans="1:19" ht="12.75" customHeight="1">
      <c r="A106" s="2058" t="s">
        <v>967</v>
      </c>
      <c r="B106" s="1538"/>
      <c r="C106" s="1538"/>
      <c r="D106" s="1538"/>
      <c r="E106" s="1538"/>
      <c r="F106" s="22"/>
      <c r="G106" s="3916"/>
      <c r="H106" s="22"/>
      <c r="I106" s="22"/>
      <c r="J106" s="22"/>
      <c r="K106" s="22"/>
      <c r="L106" s="22"/>
      <c r="M106" s="22"/>
      <c r="N106" s="22"/>
      <c r="O106" s="22"/>
      <c r="P106" s="22"/>
      <c r="Q106" s="22"/>
      <c r="R106" s="22"/>
      <c r="S106" s="22"/>
    </row>
    <row r="107" spans="1:19" ht="12.75" customHeight="1">
      <c r="A107" s="2057" t="s">
        <v>941</v>
      </c>
      <c r="B107" s="2060"/>
      <c r="C107" s="2060"/>
      <c r="D107" s="2060"/>
      <c r="E107" s="2060"/>
      <c r="F107" s="22"/>
      <c r="G107" s="3916"/>
      <c r="H107" s="22"/>
      <c r="I107" s="22"/>
      <c r="J107" s="22"/>
      <c r="K107" s="22"/>
      <c r="L107" s="22"/>
      <c r="M107" s="22"/>
      <c r="N107" s="22"/>
      <c r="O107" s="22"/>
      <c r="P107" s="22"/>
      <c r="Q107" s="22"/>
      <c r="R107" s="22"/>
      <c r="S107" s="22"/>
    </row>
    <row r="108" spans="1:19" ht="12.75" customHeight="1">
      <c r="A108" s="2070" t="s">
        <v>942</v>
      </c>
      <c r="B108" s="2086">
        <v>395</v>
      </c>
      <c r="C108" s="3553"/>
      <c r="D108" s="3553"/>
      <c r="E108" s="3553"/>
      <c r="F108" s="22"/>
      <c r="G108" s="3916"/>
      <c r="H108" s="22"/>
      <c r="I108" s="22"/>
      <c r="J108" s="22"/>
      <c r="K108" s="22"/>
      <c r="L108" s="22"/>
      <c r="M108" s="22"/>
      <c r="N108" s="22"/>
      <c r="O108" s="22"/>
      <c r="P108" s="22"/>
      <c r="Q108" s="22"/>
      <c r="R108" s="22"/>
      <c r="S108" s="22"/>
    </row>
    <row r="109" spans="1:19" ht="12.75" customHeight="1">
      <c r="A109" s="2071" t="s">
        <v>943</v>
      </c>
      <c r="B109" s="2087">
        <v>400</v>
      </c>
      <c r="C109" s="2049"/>
      <c r="D109" s="2049"/>
      <c r="E109" s="2049"/>
      <c r="F109" s="22"/>
      <c r="G109" s="3916"/>
      <c r="H109" s="22"/>
      <c r="I109" s="22"/>
      <c r="J109" s="22"/>
      <c r="K109" s="22"/>
      <c r="L109" s="22"/>
      <c r="M109" s="22"/>
      <c r="N109" s="22"/>
      <c r="O109" s="22"/>
      <c r="P109" s="22"/>
      <c r="Q109" s="22"/>
      <c r="R109" s="22"/>
      <c r="S109" s="22"/>
    </row>
    <row r="110" spans="1:19" ht="12.75" customHeight="1">
      <c r="A110" s="2058" t="s">
        <v>944</v>
      </c>
      <c r="B110" s="1538"/>
      <c r="C110" s="1538"/>
      <c r="D110" s="1538"/>
      <c r="E110" s="1538"/>
      <c r="F110" s="22"/>
      <c r="G110" s="3916"/>
      <c r="H110" s="22"/>
      <c r="I110" s="22"/>
      <c r="J110" s="22"/>
      <c r="K110" s="22"/>
      <c r="L110" s="22"/>
      <c r="M110" s="22"/>
      <c r="N110" s="22"/>
      <c r="O110" s="22"/>
      <c r="P110" s="22"/>
      <c r="Q110" s="22"/>
      <c r="R110" s="22"/>
      <c r="S110" s="22"/>
    </row>
    <row r="111" spans="1:19" ht="12.75" customHeight="1">
      <c r="A111" s="2070" t="s">
        <v>945</v>
      </c>
      <c r="B111" s="2086">
        <v>405</v>
      </c>
      <c r="C111" s="3553"/>
      <c r="D111" s="3553"/>
      <c r="E111" s="3553"/>
      <c r="F111" s="22"/>
      <c r="G111" s="3916"/>
      <c r="H111" s="22"/>
      <c r="I111" s="22"/>
      <c r="J111" s="22"/>
      <c r="K111" s="22"/>
      <c r="L111" s="22"/>
      <c r="M111" s="22"/>
      <c r="N111" s="22"/>
      <c r="O111" s="22"/>
      <c r="P111" s="22"/>
      <c r="Q111" s="22"/>
      <c r="R111" s="22"/>
      <c r="S111" s="22"/>
    </row>
    <row r="112" spans="1:19" ht="12.75" customHeight="1">
      <c r="A112" s="2071" t="s">
        <v>946</v>
      </c>
      <c r="B112" s="2087">
        <v>410</v>
      </c>
      <c r="C112" s="2049"/>
      <c r="D112" s="2049"/>
      <c r="E112" s="2049"/>
      <c r="F112" s="22"/>
      <c r="G112" s="3916"/>
      <c r="H112" s="22"/>
      <c r="I112" s="22"/>
      <c r="J112" s="22"/>
      <c r="K112" s="22"/>
      <c r="L112" s="22"/>
      <c r="M112" s="22"/>
      <c r="N112" s="22"/>
      <c r="O112" s="22"/>
      <c r="P112" s="22"/>
      <c r="Q112" s="22"/>
      <c r="R112" s="22"/>
      <c r="S112" s="22"/>
    </row>
    <row r="113" spans="1:26" ht="12.75" customHeight="1">
      <c r="A113" s="2071" t="s">
        <v>947</v>
      </c>
      <c r="B113" s="2087">
        <v>415</v>
      </c>
      <c r="C113" s="2049"/>
      <c r="D113" s="2049"/>
      <c r="E113" s="2049"/>
      <c r="F113" s="22"/>
      <c r="G113" s="3916"/>
      <c r="H113" s="22"/>
      <c r="I113" s="22"/>
      <c r="J113" s="22"/>
      <c r="K113" s="22"/>
      <c r="L113" s="22"/>
      <c r="M113" s="22"/>
      <c r="N113" s="22"/>
      <c r="O113" s="22"/>
      <c r="P113" s="22"/>
      <c r="Q113" s="22"/>
      <c r="R113" s="22"/>
      <c r="S113" s="22"/>
    </row>
    <row r="114" spans="1:26" ht="12.75" customHeight="1">
      <c r="A114" s="2058" t="s">
        <v>4818</v>
      </c>
      <c r="B114" s="2088">
        <v>420</v>
      </c>
      <c r="C114" s="3565">
        <v>5607</v>
      </c>
      <c r="D114" s="3565">
        <v>4850</v>
      </c>
      <c r="E114" s="3565">
        <v>4850</v>
      </c>
      <c r="F114" s="22"/>
      <c r="G114" s="3916"/>
      <c r="H114" s="22"/>
      <c r="I114" s="22"/>
      <c r="J114" s="22"/>
      <c r="K114" s="22"/>
      <c r="L114" s="22"/>
      <c r="M114" s="22"/>
      <c r="N114" s="22"/>
      <c r="O114" s="22"/>
      <c r="P114" s="22"/>
      <c r="Q114" s="22"/>
      <c r="R114" s="22"/>
      <c r="S114" s="22"/>
    </row>
    <row r="115" spans="1:26" ht="12.75" customHeight="1">
      <c r="A115" s="2071" t="s">
        <v>968</v>
      </c>
      <c r="B115" s="2087">
        <v>425</v>
      </c>
      <c r="C115" s="2049"/>
      <c r="D115" s="2049"/>
      <c r="E115" s="2049"/>
      <c r="F115" s="22"/>
      <c r="G115" s="3916"/>
      <c r="H115" s="22"/>
      <c r="I115" s="22"/>
      <c r="J115" s="22"/>
      <c r="K115" s="22"/>
      <c r="L115" s="22"/>
      <c r="M115" s="22"/>
      <c r="N115" s="22"/>
      <c r="O115" s="22"/>
      <c r="P115" s="22"/>
      <c r="Q115" s="22"/>
      <c r="R115" s="22"/>
      <c r="S115" s="22"/>
    </row>
    <row r="116" spans="1:26" s="23" customFormat="1" ht="12.75" customHeight="1">
      <c r="A116" s="2058" t="s">
        <v>950</v>
      </c>
      <c r="B116" s="1538"/>
      <c r="C116" s="1538"/>
      <c r="D116" s="1538"/>
      <c r="E116" s="1538"/>
      <c r="F116" s="22"/>
      <c r="G116" s="3916"/>
      <c r="H116" s="22"/>
      <c r="I116" s="22"/>
      <c r="J116" s="22"/>
      <c r="K116" s="22"/>
      <c r="L116" s="22"/>
      <c r="M116" s="22"/>
      <c r="N116" s="22"/>
      <c r="O116" s="22"/>
      <c r="P116" s="22"/>
      <c r="Q116" s="22"/>
      <c r="R116" s="22"/>
      <c r="S116" s="22"/>
      <c r="T116" s="22"/>
      <c r="U116" s="22"/>
      <c r="V116" s="22"/>
      <c r="W116" s="22"/>
      <c r="X116" s="22"/>
      <c r="Y116" s="22"/>
      <c r="Z116" s="22"/>
    </row>
    <row r="117" spans="1:26" s="23" customFormat="1" ht="12.75" customHeight="1">
      <c r="A117" s="2070" t="s">
        <v>969</v>
      </c>
      <c r="B117" s="2086">
        <v>430</v>
      </c>
      <c r="C117" s="3553"/>
      <c r="D117" s="3553"/>
      <c r="E117" s="3553"/>
      <c r="F117" s="22"/>
      <c r="G117" s="3916"/>
      <c r="H117" s="22"/>
      <c r="I117" s="22"/>
      <c r="J117" s="22"/>
      <c r="K117" s="22"/>
      <c r="L117" s="22"/>
      <c r="M117" s="22"/>
      <c r="N117" s="22"/>
      <c r="O117" s="22"/>
      <c r="P117" s="22"/>
      <c r="Q117" s="22"/>
      <c r="R117" s="22"/>
      <c r="S117" s="22"/>
      <c r="T117" s="22"/>
      <c r="U117" s="22"/>
      <c r="V117" s="22"/>
      <c r="W117" s="22"/>
      <c r="X117" s="22"/>
      <c r="Y117" s="22"/>
      <c r="Z117" s="22"/>
    </row>
    <row r="118" spans="1:26" s="23" customFormat="1" ht="12.75" customHeight="1">
      <c r="A118" s="2058" t="s">
        <v>4819</v>
      </c>
      <c r="B118" s="2088">
        <v>435</v>
      </c>
      <c r="C118" s="3565"/>
      <c r="D118" s="3565"/>
      <c r="E118" s="3565"/>
      <c r="F118" s="22"/>
      <c r="G118" s="3916"/>
      <c r="H118" s="22"/>
      <c r="I118" s="22"/>
      <c r="J118" s="22"/>
      <c r="K118" s="22"/>
      <c r="L118" s="22"/>
      <c r="M118" s="22"/>
      <c r="N118" s="22"/>
      <c r="O118" s="22"/>
      <c r="P118" s="22"/>
      <c r="Q118" s="22"/>
      <c r="R118" s="22"/>
      <c r="S118" s="22"/>
      <c r="T118" s="22"/>
      <c r="U118" s="22"/>
      <c r="V118" s="22"/>
      <c r="W118" s="22"/>
      <c r="X118" s="22"/>
      <c r="Y118" s="22"/>
      <c r="Z118" s="22"/>
    </row>
    <row r="119" spans="1:26" s="23" customFormat="1" ht="12.75" customHeight="1">
      <c r="A119" s="2071" t="s">
        <v>954</v>
      </c>
      <c r="B119" s="2087">
        <v>440</v>
      </c>
      <c r="C119" s="2049"/>
      <c r="D119" s="2049"/>
      <c r="E119" s="2049"/>
      <c r="F119" s="22"/>
      <c r="G119" s="3916"/>
      <c r="H119" s="22"/>
      <c r="I119" s="22"/>
      <c r="J119" s="22"/>
      <c r="K119" s="22"/>
      <c r="L119" s="22"/>
      <c r="M119" s="22"/>
      <c r="N119" s="22"/>
      <c r="O119" s="22"/>
      <c r="P119" s="22"/>
      <c r="Q119" s="22"/>
      <c r="R119" s="22"/>
      <c r="S119" s="22"/>
      <c r="T119" s="22"/>
      <c r="U119" s="22"/>
      <c r="V119" s="22"/>
      <c r="W119" s="22"/>
      <c r="X119" s="22"/>
      <c r="Y119" s="22"/>
      <c r="Z119" s="22"/>
    </row>
    <row r="120" spans="1:26" s="23" customFormat="1" ht="12.75" customHeight="1">
      <c r="A120" s="2071" t="s">
        <v>955</v>
      </c>
      <c r="B120" s="2087">
        <v>445</v>
      </c>
      <c r="C120" s="2049"/>
      <c r="D120" s="2049"/>
      <c r="E120" s="2049"/>
      <c r="F120" s="22"/>
      <c r="G120" s="3916"/>
      <c r="H120" s="22"/>
      <c r="I120" s="22"/>
      <c r="J120" s="22"/>
      <c r="K120" s="22"/>
      <c r="L120" s="22"/>
      <c r="M120" s="22"/>
      <c r="N120" s="22"/>
      <c r="O120" s="22"/>
      <c r="P120" s="22"/>
      <c r="Q120" s="22"/>
      <c r="R120" s="22"/>
      <c r="S120" s="22"/>
      <c r="T120" s="22"/>
      <c r="U120" s="22"/>
      <c r="V120" s="22"/>
      <c r="W120" s="22"/>
      <c r="X120" s="22"/>
      <c r="Y120" s="22"/>
      <c r="Z120" s="22"/>
    </row>
    <row r="121" spans="1:26" s="23" customFormat="1" ht="12.75" customHeight="1">
      <c r="A121" s="2071" t="s">
        <v>959</v>
      </c>
      <c r="B121" s="2087">
        <v>450</v>
      </c>
      <c r="C121" s="2049"/>
      <c r="D121" s="2049"/>
      <c r="E121" s="2049"/>
      <c r="F121" s="22"/>
      <c r="G121" s="3916"/>
      <c r="H121" s="22"/>
      <c r="I121" s="22"/>
      <c r="J121" s="22"/>
      <c r="K121" s="22"/>
      <c r="L121" s="22"/>
      <c r="M121" s="22"/>
      <c r="N121" s="22"/>
      <c r="O121" s="22"/>
      <c r="P121" s="22"/>
      <c r="Q121" s="22"/>
      <c r="R121" s="22"/>
      <c r="S121" s="22"/>
      <c r="T121" s="22"/>
      <c r="U121" s="22"/>
      <c r="V121" s="22"/>
      <c r="W121" s="22"/>
      <c r="X121" s="22"/>
      <c r="Y121" s="22"/>
      <c r="Z121" s="22"/>
    </row>
    <row r="122" spans="1:26" s="23" customFormat="1" ht="12.75" customHeight="1">
      <c r="A122" s="2071" t="s">
        <v>960</v>
      </c>
      <c r="B122" s="2087">
        <v>455</v>
      </c>
      <c r="C122" s="2049"/>
      <c r="D122" s="2049"/>
      <c r="E122" s="2049"/>
      <c r="F122" s="22"/>
      <c r="G122" s="3916"/>
      <c r="H122" s="22"/>
      <c r="I122" s="22"/>
      <c r="J122" s="22"/>
      <c r="K122" s="22"/>
      <c r="L122" s="22"/>
      <c r="M122" s="22"/>
      <c r="N122" s="22"/>
      <c r="O122" s="22"/>
      <c r="P122" s="22"/>
      <c r="Q122" s="22"/>
      <c r="R122" s="22"/>
      <c r="S122" s="22"/>
      <c r="T122" s="22"/>
      <c r="U122" s="22"/>
      <c r="V122" s="22"/>
      <c r="W122" s="22"/>
      <c r="X122" s="22"/>
      <c r="Y122" s="22"/>
      <c r="Z122" s="22"/>
    </row>
    <row r="123" spans="1:26" s="23" customFormat="1" ht="12.75" customHeight="1">
      <c r="A123" s="2058" t="s">
        <v>970</v>
      </c>
      <c r="B123" s="1538"/>
      <c r="C123" s="1538"/>
      <c r="D123" s="1538"/>
      <c r="E123" s="1538"/>
      <c r="F123" s="22"/>
      <c r="G123" s="3916"/>
      <c r="H123" s="22"/>
      <c r="I123" s="22"/>
      <c r="J123" s="22"/>
      <c r="K123" s="22"/>
      <c r="L123" s="22"/>
      <c r="M123" s="22"/>
      <c r="N123" s="22"/>
      <c r="O123" s="22"/>
      <c r="P123" s="22"/>
      <c r="Q123" s="22"/>
      <c r="R123" s="22"/>
      <c r="S123" s="22"/>
      <c r="T123" s="22"/>
      <c r="U123" s="22"/>
      <c r="V123" s="22"/>
      <c r="W123" s="22"/>
      <c r="X123" s="22"/>
      <c r="Y123" s="22"/>
      <c r="Z123" s="22"/>
    </row>
    <row r="124" spans="1:26" s="23" customFormat="1" ht="12.75" customHeight="1">
      <c r="A124" s="2057" t="s">
        <v>941</v>
      </c>
      <c r="B124" s="2060"/>
      <c r="C124" s="2060"/>
      <c r="D124" s="2060"/>
      <c r="E124" s="2060"/>
      <c r="F124" s="22"/>
      <c r="G124" s="3916"/>
      <c r="H124" s="22"/>
      <c r="I124" s="22"/>
      <c r="J124" s="22"/>
      <c r="K124" s="22"/>
      <c r="L124" s="22"/>
      <c r="M124" s="22"/>
      <c r="N124" s="22"/>
      <c r="O124" s="22"/>
      <c r="P124" s="22"/>
      <c r="Q124" s="22"/>
      <c r="R124" s="22"/>
      <c r="S124" s="22"/>
      <c r="T124" s="22"/>
      <c r="U124" s="22"/>
      <c r="V124" s="22"/>
      <c r="W124" s="22"/>
      <c r="X124" s="22"/>
      <c r="Y124" s="22"/>
      <c r="Z124" s="22"/>
    </row>
    <row r="125" spans="1:26" s="23" customFormat="1" ht="12.75" customHeight="1">
      <c r="A125" s="2070" t="s">
        <v>942</v>
      </c>
      <c r="B125" s="2086">
        <v>460</v>
      </c>
      <c r="C125" s="3553"/>
      <c r="D125" s="3553"/>
      <c r="E125" s="3553"/>
      <c r="F125" s="22"/>
      <c r="G125" s="3916"/>
      <c r="H125" s="22"/>
      <c r="I125" s="22"/>
      <c r="J125" s="22"/>
      <c r="K125" s="22"/>
      <c r="L125" s="22"/>
      <c r="M125" s="22"/>
      <c r="N125" s="22"/>
      <c r="O125" s="22"/>
      <c r="P125" s="22"/>
      <c r="Q125" s="22"/>
      <c r="R125" s="22"/>
      <c r="S125" s="22"/>
      <c r="T125" s="22"/>
      <c r="U125" s="22"/>
      <c r="V125" s="22"/>
      <c r="W125" s="22"/>
      <c r="X125" s="22"/>
      <c r="Y125" s="22"/>
      <c r="Z125" s="22"/>
    </row>
    <row r="126" spans="1:26" s="23" customFormat="1" ht="12.75" customHeight="1">
      <c r="A126" s="2071" t="s">
        <v>1066</v>
      </c>
      <c r="B126" s="2087">
        <v>465</v>
      </c>
      <c r="C126" s="2049"/>
      <c r="D126" s="2049"/>
      <c r="E126" s="2049"/>
      <c r="F126" s="22"/>
      <c r="G126" s="3916"/>
      <c r="H126" s="22"/>
      <c r="I126" s="22"/>
      <c r="J126" s="22"/>
      <c r="K126" s="22"/>
      <c r="L126" s="22"/>
      <c r="M126" s="22"/>
      <c r="N126" s="22"/>
      <c r="O126" s="22"/>
      <c r="P126" s="22"/>
      <c r="Q126" s="22"/>
      <c r="R126" s="22"/>
      <c r="S126" s="22"/>
      <c r="T126" s="22"/>
      <c r="U126" s="22"/>
      <c r="V126" s="22"/>
      <c r="W126" s="22"/>
      <c r="X126" s="22"/>
      <c r="Y126" s="22"/>
      <c r="Z126" s="22"/>
    </row>
    <row r="127" spans="1:26" s="23" customFormat="1" ht="12.75" customHeight="1">
      <c r="A127" s="2058" t="s">
        <v>944</v>
      </c>
      <c r="B127" s="1538"/>
      <c r="C127" s="1538"/>
      <c r="D127" s="1538"/>
      <c r="E127" s="1538"/>
      <c r="F127" s="22"/>
      <c r="G127" s="3916"/>
      <c r="H127" s="22"/>
      <c r="I127" s="22"/>
      <c r="J127" s="22"/>
      <c r="K127" s="22"/>
      <c r="L127" s="22"/>
      <c r="M127" s="22"/>
      <c r="N127" s="22"/>
      <c r="O127" s="22"/>
      <c r="P127" s="22"/>
      <c r="Q127" s="22"/>
      <c r="R127" s="22"/>
      <c r="S127" s="22"/>
      <c r="T127" s="22"/>
      <c r="U127" s="22"/>
      <c r="V127" s="22"/>
      <c r="W127" s="22"/>
      <c r="X127" s="22"/>
      <c r="Y127" s="22"/>
      <c r="Z127" s="22"/>
    </row>
    <row r="128" spans="1:26" s="23" customFormat="1" ht="12.75" customHeight="1">
      <c r="A128" s="2070" t="s">
        <v>945</v>
      </c>
      <c r="B128" s="2086">
        <v>470</v>
      </c>
      <c r="C128" s="3553"/>
      <c r="D128" s="3553"/>
      <c r="E128" s="3553"/>
      <c r="F128" s="22"/>
      <c r="G128" s="3916"/>
      <c r="H128" s="22"/>
      <c r="I128" s="22"/>
      <c r="J128" s="22"/>
      <c r="K128" s="22"/>
      <c r="L128" s="22"/>
      <c r="M128" s="22"/>
      <c r="N128" s="22"/>
      <c r="O128" s="22"/>
      <c r="P128" s="22"/>
      <c r="Q128" s="22"/>
      <c r="R128" s="22"/>
      <c r="S128" s="22"/>
      <c r="T128" s="22"/>
      <c r="U128" s="22"/>
      <c r="V128" s="22"/>
      <c r="W128" s="22"/>
      <c r="X128" s="22"/>
      <c r="Y128" s="22"/>
      <c r="Z128" s="22"/>
    </row>
    <row r="129" spans="1:26" s="23" customFormat="1" ht="12.75" customHeight="1">
      <c r="A129" s="2071" t="s">
        <v>946</v>
      </c>
      <c r="B129" s="2087">
        <v>475</v>
      </c>
      <c r="C129" s="2049"/>
      <c r="D129" s="2049"/>
      <c r="E129" s="2049"/>
      <c r="F129" s="22"/>
      <c r="G129" s="3916"/>
      <c r="H129" s="22"/>
      <c r="I129" s="22"/>
      <c r="J129" s="22"/>
      <c r="K129" s="22"/>
      <c r="L129" s="22"/>
      <c r="M129" s="22"/>
      <c r="N129" s="22"/>
      <c r="O129" s="22"/>
      <c r="P129" s="22"/>
      <c r="Q129" s="22"/>
      <c r="R129" s="22"/>
      <c r="S129" s="22"/>
      <c r="T129" s="22"/>
      <c r="U129" s="22"/>
      <c r="V129" s="22"/>
      <c r="W129" s="22"/>
      <c r="X129" s="22"/>
      <c r="Y129" s="22"/>
      <c r="Z129" s="22"/>
    </row>
    <row r="130" spans="1:26" s="23" customFormat="1" ht="12.75" customHeight="1">
      <c r="A130" s="2071" t="s">
        <v>947</v>
      </c>
      <c r="B130" s="2087">
        <v>480</v>
      </c>
      <c r="C130" s="2049"/>
      <c r="D130" s="2049"/>
      <c r="E130" s="2049"/>
      <c r="F130" s="22"/>
      <c r="G130" s="3916"/>
      <c r="H130" s="22"/>
      <c r="I130" s="22"/>
      <c r="J130" s="22"/>
      <c r="K130" s="22"/>
      <c r="L130" s="22"/>
      <c r="M130" s="22"/>
      <c r="N130" s="22"/>
      <c r="O130" s="22"/>
      <c r="P130" s="22"/>
      <c r="Q130" s="22"/>
      <c r="R130" s="22"/>
      <c r="S130" s="22"/>
      <c r="T130" s="22"/>
      <c r="U130" s="22"/>
      <c r="V130" s="22"/>
      <c r="W130" s="22"/>
      <c r="X130" s="22"/>
      <c r="Y130" s="22"/>
      <c r="Z130" s="22"/>
    </row>
    <row r="131" spans="1:26" s="23" customFormat="1" ht="12.75" customHeight="1">
      <c r="A131" s="2058" t="s">
        <v>4818</v>
      </c>
      <c r="B131" s="2088">
        <v>485</v>
      </c>
      <c r="C131" s="3565"/>
      <c r="D131" s="3565"/>
      <c r="E131" s="3565"/>
      <c r="F131" s="22"/>
      <c r="G131" s="3916"/>
      <c r="H131" s="22"/>
      <c r="I131" s="22"/>
      <c r="J131" s="22"/>
      <c r="K131" s="22"/>
      <c r="L131" s="22"/>
      <c r="M131" s="22"/>
      <c r="N131" s="22"/>
      <c r="O131" s="22"/>
      <c r="P131" s="22"/>
      <c r="Q131" s="22"/>
      <c r="R131" s="22"/>
      <c r="S131" s="22"/>
      <c r="T131" s="22"/>
      <c r="U131" s="22"/>
      <c r="V131" s="22"/>
      <c r="W131" s="22"/>
      <c r="X131" s="22"/>
      <c r="Y131" s="22"/>
      <c r="Z131" s="22"/>
    </row>
    <row r="132" spans="1:26" s="23" customFormat="1" ht="12.75" customHeight="1">
      <c r="A132" s="2071" t="s">
        <v>968</v>
      </c>
      <c r="B132" s="2087">
        <v>490</v>
      </c>
      <c r="C132" s="2049"/>
      <c r="D132" s="2049"/>
      <c r="E132" s="2049"/>
      <c r="F132" s="22"/>
      <c r="G132" s="3916"/>
      <c r="H132" s="22"/>
      <c r="I132" s="22"/>
      <c r="J132" s="22"/>
      <c r="K132" s="22"/>
      <c r="L132" s="22"/>
      <c r="M132" s="22"/>
      <c r="N132" s="22"/>
      <c r="O132" s="22"/>
      <c r="P132" s="22"/>
      <c r="Q132" s="22"/>
      <c r="R132" s="22"/>
      <c r="S132" s="22"/>
      <c r="T132" s="22"/>
      <c r="U132" s="22"/>
      <c r="V132" s="22"/>
      <c r="W132" s="22"/>
      <c r="X132" s="22"/>
      <c r="Y132" s="22"/>
      <c r="Z132" s="22"/>
    </row>
    <row r="133" spans="1:26" s="23" customFormat="1" ht="12.75" customHeight="1">
      <c r="A133" s="2058" t="s">
        <v>950</v>
      </c>
      <c r="B133" s="1538"/>
      <c r="C133" s="1538"/>
      <c r="D133" s="1538"/>
      <c r="E133" s="1538"/>
      <c r="F133" s="22"/>
      <c r="G133" s="3916"/>
      <c r="H133" s="22"/>
      <c r="I133" s="22"/>
      <c r="J133" s="22"/>
      <c r="K133" s="22"/>
      <c r="L133" s="22"/>
      <c r="M133" s="22"/>
      <c r="N133" s="22"/>
      <c r="O133" s="22"/>
      <c r="P133" s="22"/>
      <c r="Q133" s="22"/>
      <c r="R133" s="22"/>
      <c r="S133" s="22"/>
      <c r="T133" s="22"/>
      <c r="U133" s="22"/>
      <c r="V133" s="22"/>
      <c r="W133" s="22"/>
      <c r="X133" s="22"/>
      <c r="Y133" s="22"/>
      <c r="Z133" s="22"/>
    </row>
    <row r="134" spans="1:26" s="23" customFormat="1" ht="12.75" customHeight="1">
      <c r="A134" s="2057" t="s">
        <v>4819</v>
      </c>
      <c r="B134" s="2091">
        <v>495</v>
      </c>
      <c r="C134" s="3554"/>
      <c r="D134" s="3554"/>
      <c r="E134" s="3554"/>
      <c r="F134" s="22"/>
      <c r="G134" s="3916"/>
      <c r="H134" s="22"/>
      <c r="I134" s="22"/>
      <c r="J134" s="22"/>
      <c r="K134" s="22"/>
      <c r="L134" s="22"/>
      <c r="M134" s="22"/>
      <c r="N134" s="22"/>
      <c r="O134" s="22"/>
      <c r="P134" s="22"/>
      <c r="Q134" s="22"/>
      <c r="R134" s="22"/>
      <c r="S134" s="22"/>
      <c r="T134" s="22"/>
      <c r="U134" s="22"/>
      <c r="V134" s="22"/>
      <c r="W134" s="22"/>
      <c r="X134" s="22"/>
      <c r="Y134" s="22"/>
      <c r="Z134" s="22"/>
    </row>
    <row r="135" spans="1:26" s="23" customFormat="1" ht="12.75" customHeight="1">
      <c r="A135" s="2071" t="s">
        <v>954</v>
      </c>
      <c r="B135" s="2087">
        <v>500</v>
      </c>
      <c r="C135" s="2049"/>
      <c r="D135" s="2049"/>
      <c r="E135" s="2049"/>
      <c r="F135" s="22"/>
      <c r="G135" s="3916"/>
      <c r="H135" s="22"/>
      <c r="I135" s="22"/>
      <c r="J135" s="22"/>
      <c r="K135" s="22"/>
      <c r="L135" s="22"/>
      <c r="M135" s="22"/>
      <c r="N135" s="22"/>
      <c r="O135" s="22"/>
      <c r="P135" s="22"/>
      <c r="Q135" s="22"/>
      <c r="R135" s="22"/>
      <c r="S135" s="22"/>
      <c r="T135" s="22"/>
      <c r="U135" s="22"/>
      <c r="V135" s="22"/>
      <c r="W135" s="22"/>
      <c r="X135" s="22"/>
      <c r="Y135" s="22"/>
      <c r="Z135" s="22"/>
    </row>
    <row r="136" spans="1:26" s="23" customFormat="1" ht="12.75" customHeight="1">
      <c r="A136" s="2071" t="s">
        <v>955</v>
      </c>
      <c r="B136" s="2087">
        <v>505</v>
      </c>
      <c r="C136" s="2049"/>
      <c r="D136" s="2049"/>
      <c r="E136" s="2049"/>
      <c r="F136" s="22"/>
      <c r="G136" s="3916"/>
      <c r="H136" s="22"/>
      <c r="I136" s="22"/>
      <c r="J136" s="22"/>
      <c r="K136" s="22"/>
      <c r="L136" s="22"/>
      <c r="M136" s="22"/>
      <c r="N136" s="22"/>
      <c r="O136" s="22"/>
      <c r="P136" s="22"/>
      <c r="Q136" s="22"/>
      <c r="R136" s="22"/>
      <c r="S136" s="22"/>
      <c r="T136" s="22"/>
      <c r="U136" s="22"/>
      <c r="V136" s="22"/>
      <c r="W136" s="22"/>
      <c r="X136" s="22"/>
      <c r="Y136" s="22"/>
      <c r="Z136" s="22"/>
    </row>
    <row r="137" spans="1:26" ht="12.75" customHeight="1">
      <c r="A137" s="2071" t="s">
        <v>959</v>
      </c>
      <c r="B137" s="2087">
        <v>510</v>
      </c>
      <c r="C137" s="2049"/>
      <c r="D137" s="2049"/>
      <c r="E137" s="2049"/>
      <c r="F137" s="22"/>
      <c r="G137" s="3916"/>
      <c r="H137" s="22"/>
      <c r="I137" s="22"/>
      <c r="J137" s="22"/>
      <c r="K137" s="22"/>
      <c r="L137" s="22"/>
      <c r="M137" s="22"/>
      <c r="N137" s="22"/>
      <c r="O137" s="22"/>
      <c r="P137" s="22"/>
      <c r="Q137" s="22"/>
      <c r="R137" s="22"/>
      <c r="S137" s="22"/>
    </row>
    <row r="138" spans="1:26" ht="12.75" customHeight="1">
      <c r="A138" s="2071" t="s">
        <v>960</v>
      </c>
      <c r="B138" s="2087">
        <v>515</v>
      </c>
      <c r="C138" s="3565"/>
      <c r="D138" s="3565"/>
      <c r="E138" s="2049"/>
      <c r="F138" s="22"/>
      <c r="G138" s="3916"/>
      <c r="H138" s="22"/>
      <c r="I138" s="22"/>
      <c r="J138" s="22"/>
      <c r="K138" s="22"/>
      <c r="L138" s="22"/>
      <c r="M138" s="22"/>
      <c r="N138" s="22"/>
      <c r="O138" s="22"/>
      <c r="P138" s="22"/>
      <c r="Q138" s="22"/>
      <c r="R138" s="22"/>
      <c r="S138" s="22"/>
    </row>
    <row r="139" spans="1:26" ht="12.75" customHeight="1">
      <c r="A139" s="2068" t="s">
        <v>1320</v>
      </c>
      <c r="B139" s="2092"/>
      <c r="C139" s="2092"/>
      <c r="D139" s="2092"/>
      <c r="E139" s="2092"/>
      <c r="F139" s="22"/>
      <c r="G139" s="3916"/>
      <c r="H139" s="22"/>
      <c r="I139" s="22"/>
      <c r="J139" s="22"/>
      <c r="K139" s="22"/>
      <c r="L139" s="22"/>
      <c r="M139" s="22"/>
      <c r="N139" s="22"/>
      <c r="O139" s="22"/>
      <c r="P139" s="22"/>
      <c r="Q139" s="22"/>
      <c r="R139" s="22"/>
      <c r="S139" s="22"/>
    </row>
    <row r="140" spans="1:26" ht="12.75" customHeight="1">
      <c r="A140" s="2069" t="s">
        <v>1144</v>
      </c>
      <c r="B140" s="2093"/>
      <c r="C140" s="2093"/>
      <c r="D140" s="2093"/>
      <c r="E140" s="2093"/>
      <c r="F140" s="22"/>
      <c r="G140" s="3916"/>
      <c r="H140" s="22"/>
      <c r="I140" s="22"/>
      <c r="J140" s="22"/>
      <c r="K140" s="22"/>
      <c r="L140" s="22"/>
      <c r="M140" s="22"/>
      <c r="N140" s="22"/>
      <c r="O140" s="22"/>
      <c r="P140" s="22"/>
      <c r="Q140" s="22"/>
      <c r="R140" s="22"/>
      <c r="S140" s="22"/>
    </row>
    <row r="141" spans="1:26" ht="12.75" customHeight="1">
      <c r="A141" s="2074" t="s">
        <v>1321</v>
      </c>
      <c r="B141" s="2094">
        <v>730</v>
      </c>
      <c r="C141" s="3214"/>
      <c r="D141" s="3214"/>
      <c r="E141" s="3215"/>
      <c r="F141" s="22"/>
      <c r="G141" s="3916"/>
      <c r="H141" s="22"/>
      <c r="I141" s="22"/>
      <c r="J141" s="22"/>
      <c r="K141" s="22"/>
      <c r="L141" s="22"/>
      <c r="M141" s="22"/>
      <c r="N141" s="22"/>
      <c r="O141" s="22"/>
      <c r="P141" s="22"/>
      <c r="Q141" s="22"/>
      <c r="R141" s="22"/>
      <c r="S141" s="22"/>
    </row>
    <row r="142" spans="1:26" ht="12.75" customHeight="1">
      <c r="A142" s="2075" t="s">
        <v>1308</v>
      </c>
      <c r="B142" s="2095">
        <v>735</v>
      </c>
      <c r="C142" s="3216"/>
      <c r="D142" s="3216"/>
      <c r="E142" s="3216"/>
      <c r="F142" s="22"/>
      <c r="G142" s="3916"/>
      <c r="H142" s="22"/>
      <c r="I142" s="22"/>
      <c r="J142" s="22"/>
      <c r="K142" s="22"/>
      <c r="L142" s="22"/>
      <c r="M142" s="22"/>
      <c r="N142" s="22"/>
      <c r="O142" s="22"/>
      <c r="P142" s="22"/>
      <c r="Q142" s="22"/>
      <c r="R142" s="22"/>
      <c r="S142" s="22"/>
    </row>
    <row r="143" spans="1:26" ht="12.75" customHeight="1">
      <c r="A143" s="2068" t="s">
        <v>794</v>
      </c>
      <c r="B143" s="2092"/>
      <c r="C143" s="2092"/>
      <c r="D143" s="2092"/>
      <c r="E143" s="2092"/>
      <c r="F143" s="22"/>
      <c r="G143" s="3916"/>
      <c r="H143" s="22"/>
      <c r="I143" s="22"/>
      <c r="J143" s="22"/>
      <c r="K143" s="22"/>
      <c r="L143" s="22"/>
      <c r="M143" s="22"/>
      <c r="N143" s="22"/>
      <c r="O143" s="22"/>
      <c r="P143" s="22"/>
      <c r="Q143" s="22"/>
      <c r="R143" s="22"/>
      <c r="S143" s="22"/>
    </row>
    <row r="144" spans="1:26" ht="12.75" customHeight="1">
      <c r="A144" s="2074" t="s">
        <v>1323</v>
      </c>
      <c r="B144" s="2096">
        <v>740</v>
      </c>
      <c r="C144" s="3214"/>
      <c r="D144" s="3214"/>
      <c r="E144" s="3214"/>
      <c r="F144" s="22"/>
      <c r="G144" s="3916"/>
      <c r="H144" s="22"/>
      <c r="I144" s="22"/>
      <c r="J144" s="22"/>
      <c r="K144" s="22"/>
      <c r="L144" s="22"/>
      <c r="M144" s="22"/>
      <c r="N144" s="22"/>
      <c r="O144" s="22"/>
      <c r="P144" s="22"/>
      <c r="Q144" s="22"/>
      <c r="R144" s="22"/>
      <c r="S144" s="22"/>
    </row>
    <row r="145" spans="1:19" ht="12.75" customHeight="1">
      <c r="A145" s="2075" t="s">
        <v>1322</v>
      </c>
      <c r="B145" s="2095">
        <v>745</v>
      </c>
      <c r="C145" s="3216"/>
      <c r="D145" s="3216"/>
      <c r="E145" s="3216"/>
      <c r="F145" s="22"/>
      <c r="G145" s="3916"/>
      <c r="H145" s="22"/>
      <c r="I145" s="22"/>
      <c r="J145" s="22"/>
      <c r="K145" s="22"/>
      <c r="L145" s="22"/>
      <c r="M145" s="22"/>
      <c r="N145" s="22"/>
      <c r="O145" s="22"/>
      <c r="P145" s="22"/>
      <c r="Q145" s="22"/>
      <c r="R145" s="22"/>
      <c r="S145" s="22"/>
    </row>
    <row r="146" spans="1:19" ht="12.75" customHeight="1">
      <c r="A146" s="2075" t="s">
        <v>1324</v>
      </c>
      <c r="B146" s="2095">
        <v>750</v>
      </c>
      <c r="C146" s="3216"/>
      <c r="D146" s="3216"/>
      <c r="E146" s="3216"/>
      <c r="F146" s="22"/>
      <c r="G146" s="3916"/>
      <c r="H146" s="22"/>
      <c r="I146" s="22"/>
      <c r="J146" s="22"/>
      <c r="K146" s="22"/>
      <c r="L146" s="22"/>
      <c r="M146" s="22"/>
      <c r="N146" s="22"/>
      <c r="O146" s="22"/>
      <c r="P146" s="22"/>
      <c r="Q146" s="22"/>
      <c r="R146" s="22"/>
      <c r="S146" s="22"/>
    </row>
    <row r="147" spans="1:19" ht="12.75" customHeight="1">
      <c r="A147" s="2058" t="s">
        <v>4818</v>
      </c>
      <c r="B147" s="2095">
        <v>755</v>
      </c>
      <c r="C147" s="3216"/>
      <c r="D147" s="3216"/>
      <c r="E147" s="3216"/>
      <c r="F147" s="22"/>
      <c r="G147" s="3916"/>
      <c r="H147" s="22"/>
      <c r="I147" s="22"/>
      <c r="J147" s="22"/>
      <c r="K147" s="22"/>
      <c r="L147" s="22"/>
      <c r="M147" s="22"/>
      <c r="N147" s="22"/>
      <c r="O147" s="22"/>
      <c r="P147" s="22"/>
      <c r="Q147" s="22"/>
      <c r="R147" s="22"/>
      <c r="S147" s="22"/>
    </row>
    <row r="148" spans="1:19" ht="12.75" customHeight="1">
      <c r="A148" s="2075" t="s">
        <v>632</v>
      </c>
      <c r="B148" s="2095">
        <v>760</v>
      </c>
      <c r="C148" s="3216"/>
      <c r="D148" s="3216"/>
      <c r="E148" s="3216"/>
      <c r="F148" s="22"/>
      <c r="G148" s="3916"/>
      <c r="H148" s="22"/>
      <c r="I148" s="22"/>
      <c r="J148" s="22"/>
      <c r="K148" s="22"/>
      <c r="L148" s="22"/>
      <c r="M148" s="22"/>
      <c r="N148" s="22"/>
      <c r="O148" s="22"/>
      <c r="P148" s="22"/>
      <c r="Q148" s="22"/>
      <c r="R148" s="22"/>
      <c r="S148" s="22"/>
    </row>
    <row r="149" spans="1:19" ht="12.75" customHeight="1">
      <c r="A149" s="2075" t="s">
        <v>610</v>
      </c>
      <c r="B149" s="2095">
        <v>765</v>
      </c>
      <c r="C149" s="3216"/>
      <c r="D149" s="3216"/>
      <c r="E149" s="3216"/>
      <c r="F149" s="22"/>
      <c r="G149" s="3916"/>
      <c r="H149" s="22"/>
      <c r="I149" s="22"/>
      <c r="J149" s="22"/>
      <c r="K149" s="22"/>
      <c r="L149" s="22"/>
      <c r="M149" s="22"/>
      <c r="N149" s="22"/>
      <c r="O149" s="22"/>
      <c r="P149" s="22"/>
      <c r="Q149" s="22"/>
      <c r="R149" s="22"/>
      <c r="S149" s="22"/>
    </row>
    <row r="150" spans="1:19" ht="12.75" customHeight="1">
      <c r="A150" s="2075" t="s">
        <v>1313</v>
      </c>
      <c r="B150" s="2095">
        <v>770</v>
      </c>
      <c r="C150" s="3216"/>
      <c r="D150" s="3216"/>
      <c r="E150" s="3216"/>
      <c r="F150" s="22"/>
      <c r="G150" s="3916"/>
      <c r="H150" s="22"/>
      <c r="I150" s="22"/>
      <c r="J150" s="22"/>
      <c r="K150" s="22"/>
      <c r="L150" s="22"/>
      <c r="M150" s="22"/>
      <c r="N150" s="22"/>
      <c r="O150" s="22"/>
      <c r="P150" s="22"/>
      <c r="Q150" s="22"/>
      <c r="R150" s="22"/>
      <c r="S150" s="22"/>
    </row>
    <row r="151" spans="1:19" ht="12.75" customHeight="1">
      <c r="A151" s="2075" t="s">
        <v>1314</v>
      </c>
      <c r="B151" s="2095">
        <v>775</v>
      </c>
      <c r="C151" s="3216"/>
      <c r="D151" s="3216"/>
      <c r="E151" s="3216"/>
      <c r="F151" s="22"/>
      <c r="G151" s="3916"/>
      <c r="H151" s="22"/>
      <c r="I151" s="22"/>
      <c r="J151" s="22"/>
      <c r="K151" s="22"/>
      <c r="L151" s="22"/>
      <c r="M151" s="22"/>
      <c r="N151" s="22"/>
      <c r="O151" s="22"/>
      <c r="P151" s="22"/>
      <c r="Q151" s="22"/>
      <c r="R151" s="22"/>
      <c r="S151" s="22"/>
    </row>
    <row r="152" spans="1:19" ht="12.75" customHeight="1">
      <c r="A152" s="2075" t="s">
        <v>793</v>
      </c>
      <c r="B152" s="2096">
        <v>780</v>
      </c>
      <c r="C152" s="3215"/>
      <c r="D152" s="3215"/>
      <c r="E152" s="3214"/>
      <c r="F152" s="22"/>
      <c r="G152" s="3916"/>
      <c r="H152" s="22"/>
      <c r="I152" s="22"/>
      <c r="J152" s="22"/>
      <c r="K152" s="22"/>
      <c r="L152" s="22"/>
      <c r="M152" s="22"/>
      <c r="N152" s="22"/>
      <c r="O152" s="22"/>
      <c r="P152" s="22"/>
      <c r="Q152" s="22"/>
      <c r="R152" s="22"/>
      <c r="S152" s="22"/>
    </row>
    <row r="153" spans="1:19" ht="12.75" customHeight="1">
      <c r="A153" s="2061" t="s">
        <v>971</v>
      </c>
      <c r="B153" s="2097"/>
      <c r="C153" s="2097"/>
      <c r="D153" s="2097"/>
      <c r="E153" s="2097"/>
      <c r="F153" s="22"/>
      <c r="G153" s="3916"/>
      <c r="H153" s="22"/>
      <c r="I153" s="22"/>
      <c r="J153" s="22"/>
      <c r="K153" s="22"/>
      <c r="L153" s="22"/>
      <c r="M153" s="22"/>
      <c r="N153" s="22"/>
      <c r="O153" s="22"/>
      <c r="P153" s="22"/>
      <c r="Q153" s="22"/>
      <c r="R153" s="22"/>
      <c r="S153" s="22"/>
    </row>
    <row r="154" spans="1:19" ht="12.75" customHeight="1">
      <c r="A154" s="2062" t="s">
        <v>972</v>
      </c>
      <c r="B154" s="2098"/>
      <c r="C154" s="2098"/>
      <c r="D154" s="2098"/>
      <c r="E154" s="2098"/>
      <c r="F154" s="22"/>
      <c r="G154" s="3916"/>
      <c r="H154" s="22"/>
      <c r="I154" s="22"/>
      <c r="J154" s="22"/>
      <c r="K154" s="22"/>
      <c r="L154" s="22"/>
      <c r="M154" s="22"/>
      <c r="N154" s="22"/>
      <c r="O154" s="22"/>
      <c r="P154" s="22"/>
      <c r="Q154" s="22"/>
      <c r="R154" s="22"/>
      <c r="S154" s="22"/>
    </row>
    <row r="155" spans="1:19" ht="12.75" customHeight="1">
      <c r="A155" s="2076" t="s">
        <v>1066</v>
      </c>
      <c r="B155" s="3273">
        <v>520</v>
      </c>
      <c r="C155" s="3553"/>
      <c r="D155" s="3553"/>
      <c r="E155" s="3553"/>
      <c r="F155" s="22"/>
      <c r="G155" s="3916"/>
      <c r="H155" s="22"/>
      <c r="I155" s="22"/>
      <c r="J155" s="22"/>
      <c r="K155" s="22"/>
      <c r="L155" s="22"/>
      <c r="M155" s="22"/>
      <c r="N155" s="22"/>
      <c r="O155" s="22"/>
      <c r="P155" s="22"/>
      <c r="Q155" s="22"/>
      <c r="R155" s="22"/>
      <c r="S155" s="22"/>
    </row>
    <row r="156" spans="1:19" ht="12.75" customHeight="1">
      <c r="A156" s="2061" t="s">
        <v>973</v>
      </c>
      <c r="B156" s="2097"/>
      <c r="C156" s="2097"/>
      <c r="D156" s="2097"/>
      <c r="E156" s="2097"/>
      <c r="F156" s="22"/>
      <c r="G156" s="3916"/>
      <c r="H156" s="22"/>
      <c r="I156" s="22"/>
      <c r="J156" s="22"/>
      <c r="K156" s="22"/>
      <c r="L156" s="22"/>
      <c r="M156" s="22"/>
      <c r="N156" s="22"/>
      <c r="O156" s="22"/>
      <c r="P156" s="22"/>
      <c r="Q156" s="22"/>
      <c r="R156" s="22"/>
      <c r="S156" s="22"/>
    </row>
    <row r="157" spans="1:19" ht="12.75" customHeight="1">
      <c r="A157" s="2076" t="s">
        <v>974</v>
      </c>
      <c r="B157" s="3273">
        <v>525</v>
      </c>
      <c r="C157" s="3553"/>
      <c r="D157" s="3553"/>
      <c r="E157" s="3553"/>
      <c r="F157" s="22"/>
      <c r="G157" s="3916"/>
      <c r="H157" s="22"/>
      <c r="I157" s="22"/>
      <c r="J157" s="22"/>
      <c r="K157" s="22"/>
      <c r="L157" s="22"/>
      <c r="M157" s="22"/>
      <c r="N157" s="22"/>
      <c r="O157" s="22"/>
      <c r="P157" s="22"/>
      <c r="Q157" s="22"/>
      <c r="R157" s="22"/>
      <c r="S157" s="22"/>
    </row>
    <row r="158" spans="1:19" ht="12.75" customHeight="1">
      <c r="A158" s="2077" t="s">
        <v>977</v>
      </c>
      <c r="B158" s="2099">
        <v>530</v>
      </c>
      <c r="C158" s="2049"/>
      <c r="D158" s="2049"/>
      <c r="E158" s="2049"/>
      <c r="F158" s="22"/>
      <c r="G158" s="3916"/>
      <c r="H158" s="22"/>
      <c r="I158" s="22"/>
      <c r="J158" s="22"/>
      <c r="K158" s="22"/>
      <c r="L158" s="22"/>
      <c r="M158" s="22"/>
      <c r="N158" s="22"/>
      <c r="O158" s="22"/>
      <c r="P158" s="22"/>
      <c r="Q158" s="22"/>
      <c r="R158" s="22"/>
      <c r="S158" s="22"/>
    </row>
    <row r="159" spans="1:19" ht="12.75" customHeight="1">
      <c r="A159" s="2077" t="s">
        <v>978</v>
      </c>
      <c r="B159" s="2099">
        <v>535</v>
      </c>
      <c r="C159" s="2049"/>
      <c r="D159" s="2049"/>
      <c r="E159" s="2049"/>
      <c r="F159" s="22"/>
      <c r="G159" s="3916"/>
      <c r="H159" s="22"/>
      <c r="I159" s="22"/>
      <c r="J159" s="22"/>
      <c r="K159" s="22"/>
      <c r="L159" s="22"/>
      <c r="M159" s="22"/>
      <c r="N159" s="22"/>
      <c r="O159" s="22"/>
      <c r="P159" s="22"/>
      <c r="Q159" s="22"/>
      <c r="R159" s="22"/>
      <c r="S159" s="22"/>
    </row>
    <row r="160" spans="1:19" ht="12.75" customHeight="1">
      <c r="A160" s="2058" t="s">
        <v>4818</v>
      </c>
      <c r="B160" s="3272">
        <v>540</v>
      </c>
      <c r="C160" s="3565"/>
      <c r="D160" s="3565"/>
      <c r="E160" s="3565"/>
      <c r="F160" s="22"/>
      <c r="G160" s="3916"/>
      <c r="H160" s="22"/>
      <c r="I160" s="22"/>
      <c r="J160" s="22"/>
      <c r="K160" s="22"/>
      <c r="L160" s="22"/>
      <c r="M160" s="22"/>
      <c r="N160" s="22"/>
      <c r="O160" s="22"/>
      <c r="P160" s="22"/>
      <c r="Q160" s="22"/>
      <c r="R160" s="22"/>
      <c r="S160" s="22"/>
    </row>
    <row r="161" spans="1:26" ht="12.75" customHeight="1">
      <c r="A161" s="2061" t="s">
        <v>979</v>
      </c>
      <c r="B161" s="2097"/>
      <c r="C161" s="2097"/>
      <c r="D161" s="2097"/>
      <c r="E161" s="2097"/>
      <c r="F161" s="22"/>
      <c r="G161" s="3916"/>
      <c r="H161" s="22"/>
      <c r="I161" s="22"/>
      <c r="J161" s="22"/>
      <c r="K161" s="22"/>
      <c r="L161" s="22"/>
      <c r="M161" s="22"/>
      <c r="N161" s="22"/>
      <c r="O161" s="22"/>
      <c r="P161" s="22"/>
      <c r="Q161" s="22"/>
      <c r="R161" s="22"/>
      <c r="S161" s="22"/>
    </row>
    <row r="162" spans="1:26" ht="12.75" customHeight="1">
      <c r="A162" s="2076" t="s">
        <v>980</v>
      </c>
      <c r="B162" s="3273">
        <v>545</v>
      </c>
      <c r="C162" s="3553">
        <v>19690</v>
      </c>
      <c r="D162" s="3553">
        <v>21381</v>
      </c>
      <c r="E162" s="3553">
        <v>21381</v>
      </c>
      <c r="F162" s="22"/>
      <c r="G162" s="3916"/>
      <c r="H162" s="22"/>
      <c r="I162" s="22"/>
      <c r="J162" s="22"/>
      <c r="K162" s="22"/>
      <c r="L162" s="22"/>
      <c r="M162" s="22"/>
      <c r="N162" s="22"/>
      <c r="O162" s="22"/>
      <c r="P162" s="22"/>
      <c r="Q162" s="22"/>
      <c r="R162" s="22"/>
      <c r="S162" s="22"/>
    </row>
    <row r="163" spans="1:26" ht="12.75" customHeight="1">
      <c r="A163" s="2077" t="s">
        <v>981</v>
      </c>
      <c r="B163" s="2099">
        <v>550</v>
      </c>
      <c r="C163" s="2049"/>
      <c r="D163" s="2049"/>
      <c r="E163" s="2049"/>
      <c r="F163" s="22"/>
      <c r="G163" s="3916"/>
      <c r="H163" s="22"/>
      <c r="I163" s="22"/>
      <c r="J163" s="22"/>
      <c r="K163" s="22"/>
      <c r="L163" s="22"/>
      <c r="M163" s="22"/>
      <c r="N163" s="22"/>
      <c r="O163" s="22"/>
      <c r="P163" s="22"/>
      <c r="Q163" s="22"/>
      <c r="R163" s="22"/>
      <c r="S163" s="22"/>
    </row>
    <row r="164" spans="1:26" ht="12.75" customHeight="1">
      <c r="A164" s="2077" t="s">
        <v>982</v>
      </c>
      <c r="B164" s="2099">
        <v>555</v>
      </c>
      <c r="C164" s="2049"/>
      <c r="D164" s="2049"/>
      <c r="E164" s="2049"/>
      <c r="F164" s="22"/>
      <c r="G164" s="3916"/>
      <c r="H164" s="22"/>
      <c r="I164" s="22"/>
      <c r="J164" s="22"/>
      <c r="K164" s="22"/>
      <c r="L164" s="22"/>
      <c r="M164" s="22"/>
      <c r="N164" s="22"/>
      <c r="O164" s="22"/>
      <c r="P164" s="22"/>
      <c r="Q164" s="22"/>
      <c r="R164" s="22"/>
      <c r="S164" s="22"/>
    </row>
    <row r="165" spans="1:26" ht="12.75" customHeight="1">
      <c r="A165" s="2077" t="s">
        <v>983</v>
      </c>
      <c r="B165" s="2099">
        <v>560</v>
      </c>
      <c r="C165" s="2049"/>
      <c r="D165" s="2049"/>
      <c r="E165" s="2049"/>
      <c r="F165" s="22"/>
      <c r="G165" s="3916"/>
      <c r="H165" s="22"/>
      <c r="I165" s="22"/>
      <c r="J165" s="22"/>
      <c r="K165" s="22"/>
      <c r="L165" s="22"/>
      <c r="M165" s="22"/>
      <c r="N165" s="22"/>
      <c r="O165" s="22"/>
      <c r="P165" s="22"/>
      <c r="Q165" s="22"/>
      <c r="R165" s="22"/>
      <c r="S165" s="22"/>
    </row>
    <row r="166" spans="1:26" ht="12.75" customHeight="1">
      <c r="A166" s="2077" t="s">
        <v>984</v>
      </c>
      <c r="B166" s="2099">
        <v>565</v>
      </c>
      <c r="C166" s="2049"/>
      <c r="D166" s="2049"/>
      <c r="E166" s="2049"/>
      <c r="F166" s="22"/>
      <c r="G166" s="3916"/>
      <c r="H166" s="22"/>
      <c r="I166" s="22"/>
      <c r="J166" s="22"/>
      <c r="K166" s="22"/>
      <c r="L166" s="22"/>
      <c r="M166" s="22"/>
      <c r="N166" s="22"/>
      <c r="O166" s="22"/>
      <c r="P166" s="22"/>
      <c r="Q166" s="22"/>
      <c r="R166" s="22"/>
      <c r="S166" s="22"/>
    </row>
    <row r="167" spans="1:26" ht="12.75" customHeight="1">
      <c r="A167" s="2077" t="s">
        <v>985</v>
      </c>
      <c r="B167" s="2099">
        <v>570</v>
      </c>
      <c r="C167" s="2049">
        <v>920</v>
      </c>
      <c r="D167" s="2049">
        <v>920</v>
      </c>
      <c r="E167" s="2049">
        <v>920</v>
      </c>
      <c r="F167" s="22"/>
      <c r="G167" s="3916"/>
      <c r="H167" s="22"/>
      <c r="I167" s="22"/>
      <c r="J167" s="22"/>
      <c r="K167" s="22"/>
      <c r="L167" s="22"/>
      <c r="M167" s="22"/>
      <c r="N167" s="22"/>
      <c r="O167" s="22"/>
      <c r="P167" s="22"/>
      <c r="Q167" s="22"/>
      <c r="R167" s="22"/>
      <c r="S167" s="22"/>
    </row>
    <row r="168" spans="1:26" ht="12.75" customHeight="1">
      <c r="A168" s="2061" t="s">
        <v>986</v>
      </c>
      <c r="B168" s="2097"/>
      <c r="C168" s="2097"/>
      <c r="D168" s="2097"/>
      <c r="E168" s="2097"/>
      <c r="F168" s="22"/>
      <c r="G168" s="3916"/>
      <c r="H168" s="22"/>
      <c r="I168" s="22"/>
      <c r="J168" s="22"/>
      <c r="K168" s="22"/>
      <c r="L168" s="22"/>
      <c r="M168" s="22"/>
      <c r="N168" s="22"/>
      <c r="O168" s="22"/>
      <c r="P168" s="22"/>
      <c r="Q168" s="22"/>
      <c r="R168" s="22"/>
      <c r="S168" s="22"/>
    </row>
    <row r="169" spans="1:26" ht="12.75" customHeight="1">
      <c r="A169" s="2076" t="s">
        <v>987</v>
      </c>
      <c r="B169" s="3273">
        <v>575</v>
      </c>
      <c r="C169" s="3553"/>
      <c r="D169" s="3553"/>
      <c r="E169" s="3553"/>
      <c r="F169" s="22"/>
      <c r="G169" s="3916"/>
      <c r="H169" s="22"/>
      <c r="I169" s="22"/>
      <c r="J169" s="22"/>
      <c r="K169" s="22"/>
      <c r="L169" s="22"/>
      <c r="M169" s="22"/>
      <c r="N169" s="22"/>
      <c r="O169" s="22"/>
      <c r="P169" s="22"/>
      <c r="Q169" s="22"/>
      <c r="R169" s="22"/>
      <c r="S169" s="22"/>
    </row>
    <row r="170" spans="1:26" ht="12.75" customHeight="1">
      <c r="A170" s="2077" t="s">
        <v>988</v>
      </c>
      <c r="B170" s="2099">
        <v>580</v>
      </c>
      <c r="C170" s="2049"/>
      <c r="D170" s="2049"/>
      <c r="E170" s="2049"/>
      <c r="F170" s="22"/>
      <c r="G170" s="3916"/>
      <c r="H170" s="22"/>
      <c r="I170" s="22"/>
      <c r="J170" s="22"/>
      <c r="K170" s="22"/>
      <c r="L170" s="22"/>
      <c r="M170" s="22"/>
      <c r="N170" s="22"/>
      <c r="O170" s="22"/>
      <c r="P170" s="22"/>
      <c r="Q170" s="22"/>
      <c r="R170" s="22"/>
      <c r="S170" s="22"/>
    </row>
    <row r="171" spans="1:26" ht="12.75" customHeight="1">
      <c r="A171" s="2061" t="s">
        <v>989</v>
      </c>
      <c r="B171" s="2097"/>
      <c r="C171" s="2097"/>
      <c r="D171" s="2097"/>
      <c r="E171" s="2097"/>
      <c r="F171" s="22"/>
      <c r="G171" s="3916"/>
      <c r="H171" s="22"/>
      <c r="I171" s="22"/>
      <c r="J171" s="22"/>
      <c r="K171" s="22"/>
      <c r="L171" s="22"/>
      <c r="M171" s="22"/>
      <c r="N171" s="22"/>
      <c r="O171" s="22"/>
      <c r="P171" s="22"/>
      <c r="Q171" s="22"/>
      <c r="R171" s="22"/>
      <c r="S171" s="22"/>
    </row>
    <row r="172" spans="1:26" ht="12.75" customHeight="1">
      <c r="A172" s="2076" t="s">
        <v>990</v>
      </c>
      <c r="B172" s="3273">
        <v>585</v>
      </c>
      <c r="C172" s="3553"/>
      <c r="D172" s="3553"/>
      <c r="E172" s="3553"/>
      <c r="F172" s="22"/>
      <c r="G172" s="3916"/>
      <c r="H172" s="22"/>
      <c r="I172" s="22"/>
      <c r="J172" s="22"/>
      <c r="K172" s="22"/>
      <c r="L172" s="22"/>
      <c r="M172" s="22"/>
      <c r="N172" s="22"/>
      <c r="O172" s="22"/>
      <c r="P172" s="22"/>
      <c r="Q172" s="22"/>
      <c r="R172" s="22"/>
      <c r="S172" s="22"/>
    </row>
    <row r="173" spans="1:26" s="32" customFormat="1" ht="12.75" customHeight="1">
      <c r="A173" s="2061" t="s">
        <v>991</v>
      </c>
      <c r="B173" s="2097"/>
      <c r="C173" s="2097"/>
      <c r="D173" s="2097"/>
      <c r="E173" s="2097"/>
      <c r="F173" s="22"/>
      <c r="G173" s="3917"/>
      <c r="H173" s="31"/>
      <c r="I173" s="31"/>
      <c r="J173" s="31"/>
      <c r="K173" s="31"/>
      <c r="L173" s="31"/>
      <c r="M173" s="31"/>
      <c r="N173" s="31"/>
      <c r="O173" s="31"/>
      <c r="P173" s="31"/>
      <c r="Q173" s="31"/>
      <c r="R173" s="31"/>
      <c r="S173" s="31"/>
      <c r="T173" s="33"/>
      <c r="U173" s="33"/>
      <c r="V173" s="33"/>
      <c r="W173" s="33"/>
      <c r="X173" s="33"/>
      <c r="Y173" s="33"/>
      <c r="Z173" s="33"/>
    </row>
    <row r="174" spans="1:26" s="32" customFormat="1" ht="12.75" customHeight="1">
      <c r="A174" s="2076" t="s">
        <v>992</v>
      </c>
      <c r="B174" s="3273">
        <v>590</v>
      </c>
      <c r="C174" s="3553">
        <v>16275</v>
      </c>
      <c r="D174" s="3553">
        <v>37218</v>
      </c>
      <c r="E174" s="3553">
        <v>37218</v>
      </c>
      <c r="F174" s="31"/>
      <c r="G174" s="3917"/>
      <c r="H174" s="31"/>
      <c r="I174" s="31"/>
      <c r="J174" s="31"/>
      <c r="K174" s="31"/>
      <c r="L174" s="31"/>
      <c r="M174" s="31"/>
      <c r="N174" s="31"/>
      <c r="O174" s="31"/>
      <c r="P174" s="31"/>
      <c r="Q174" s="31"/>
      <c r="R174" s="31"/>
      <c r="S174" s="31"/>
      <c r="T174" s="33"/>
      <c r="U174" s="33"/>
      <c r="V174" s="33"/>
      <c r="W174" s="33"/>
      <c r="X174" s="33"/>
      <c r="Y174" s="33"/>
      <c r="Z174" s="33"/>
    </row>
    <row r="175" spans="1:26" s="32" customFormat="1" ht="12.75" customHeight="1">
      <c r="A175" s="2077" t="s">
        <v>993</v>
      </c>
      <c r="B175" s="2099">
        <v>595</v>
      </c>
      <c r="C175" s="2049">
        <v>102169</v>
      </c>
      <c r="D175" s="2049">
        <v>111723</v>
      </c>
      <c r="E175" s="2049">
        <v>111723</v>
      </c>
      <c r="F175" s="31"/>
      <c r="G175" s="3917"/>
      <c r="H175" s="31"/>
      <c r="I175" s="31"/>
      <c r="J175" s="31"/>
      <c r="K175" s="31"/>
      <c r="L175" s="31"/>
      <c r="M175" s="31"/>
      <c r="N175" s="31"/>
      <c r="O175" s="31"/>
      <c r="P175" s="31"/>
      <c r="Q175" s="31"/>
      <c r="R175" s="31"/>
      <c r="S175" s="31"/>
      <c r="T175" s="33"/>
      <c r="U175" s="33"/>
      <c r="V175" s="33"/>
      <c r="W175" s="33"/>
      <c r="X175" s="33"/>
      <c r="Y175" s="33"/>
      <c r="Z175" s="33"/>
    </row>
    <row r="176" spans="1:26" s="32" customFormat="1" ht="12.75" customHeight="1">
      <c r="A176" s="2077" t="s">
        <v>51</v>
      </c>
      <c r="B176" s="2099">
        <v>600</v>
      </c>
      <c r="C176" s="2049"/>
      <c r="D176" s="2049"/>
      <c r="E176" s="2049"/>
      <c r="F176" s="31"/>
      <c r="G176" s="3917"/>
      <c r="H176" s="31"/>
      <c r="I176" s="31"/>
      <c r="J176" s="31"/>
      <c r="K176" s="31"/>
      <c r="L176" s="31"/>
      <c r="M176" s="31"/>
      <c r="N176" s="31"/>
      <c r="O176" s="31"/>
      <c r="P176" s="31"/>
      <c r="Q176" s="31"/>
      <c r="R176" s="31"/>
      <c r="S176" s="31"/>
      <c r="T176" s="33"/>
      <c r="U176" s="33"/>
      <c r="V176" s="33"/>
      <c r="W176" s="33"/>
      <c r="X176" s="33"/>
      <c r="Y176" s="33"/>
      <c r="Z176" s="33"/>
    </row>
    <row r="177" spans="1:26" s="32" customFormat="1" ht="12.75" customHeight="1">
      <c r="A177" s="2077" t="s">
        <v>995</v>
      </c>
      <c r="B177" s="2099">
        <v>605</v>
      </c>
      <c r="C177" s="2049"/>
      <c r="D177" s="2049"/>
      <c r="E177" s="2049"/>
      <c r="F177" s="31"/>
      <c r="G177" s="3917"/>
      <c r="H177" s="31"/>
      <c r="I177" s="31"/>
      <c r="J177" s="31"/>
      <c r="K177" s="31"/>
      <c r="L177" s="31"/>
      <c r="M177" s="31"/>
      <c r="N177" s="31"/>
      <c r="O177" s="31"/>
      <c r="P177" s="31"/>
      <c r="Q177" s="31"/>
      <c r="R177" s="31"/>
      <c r="S177" s="31"/>
      <c r="T177" s="33"/>
      <c r="U177" s="33"/>
      <c r="V177" s="33"/>
      <c r="W177" s="33"/>
      <c r="X177" s="33"/>
      <c r="Y177" s="33"/>
      <c r="Z177" s="33"/>
    </row>
    <row r="178" spans="1:26" s="32" customFormat="1" ht="12.75" customHeight="1">
      <c r="A178" s="2077" t="s">
        <v>0</v>
      </c>
      <c r="B178" s="2099">
        <v>610</v>
      </c>
      <c r="C178" s="2049"/>
      <c r="D178" s="2049"/>
      <c r="E178" s="2049"/>
      <c r="F178" s="31"/>
      <c r="G178" s="3917"/>
      <c r="H178" s="31"/>
      <c r="I178" s="31"/>
      <c r="J178" s="31"/>
      <c r="K178" s="31"/>
      <c r="L178" s="31"/>
      <c r="M178" s="31"/>
      <c r="N178" s="31"/>
      <c r="O178" s="31"/>
      <c r="P178" s="31"/>
      <c r="Q178" s="31"/>
      <c r="R178" s="31"/>
      <c r="S178" s="31"/>
      <c r="T178" s="33"/>
      <c r="U178" s="33"/>
      <c r="V178" s="33"/>
      <c r="W178" s="33"/>
      <c r="X178" s="33"/>
      <c r="Y178" s="33"/>
      <c r="Z178" s="33"/>
    </row>
    <row r="179" spans="1:26" s="32" customFormat="1" ht="12.75" customHeight="1">
      <c r="A179" s="2077" t="s">
        <v>997</v>
      </c>
      <c r="B179" s="2099">
        <v>615</v>
      </c>
      <c r="C179" s="2049">
        <v>8776</v>
      </c>
      <c r="D179" s="2049">
        <v>6821</v>
      </c>
      <c r="E179" s="2049">
        <v>6821</v>
      </c>
      <c r="F179" s="31"/>
      <c r="G179" s="3917"/>
      <c r="H179" s="31"/>
      <c r="I179" s="31"/>
      <c r="J179" s="31"/>
      <c r="K179" s="31"/>
      <c r="L179" s="31"/>
      <c r="M179" s="31"/>
      <c r="N179" s="31"/>
      <c r="O179" s="31"/>
      <c r="P179" s="31"/>
      <c r="Q179" s="31"/>
      <c r="R179" s="31"/>
      <c r="S179" s="31"/>
      <c r="T179" s="33"/>
      <c r="U179" s="33"/>
      <c r="V179" s="33"/>
      <c r="W179" s="33"/>
      <c r="X179" s="33"/>
      <c r="Y179" s="33"/>
      <c r="Z179" s="33"/>
    </row>
    <row r="180" spans="1:26" s="32" customFormat="1" ht="12.75" customHeight="1">
      <c r="A180" s="2077" t="s">
        <v>998</v>
      </c>
      <c r="B180" s="2099">
        <v>620</v>
      </c>
      <c r="C180" s="2049"/>
      <c r="D180" s="2049"/>
      <c r="E180" s="2049"/>
      <c r="F180" s="31"/>
      <c r="G180" s="3917"/>
      <c r="H180" s="31"/>
      <c r="I180" s="31"/>
      <c r="J180" s="31"/>
      <c r="K180" s="31"/>
      <c r="L180" s="31"/>
      <c r="M180" s="31"/>
      <c r="N180" s="31"/>
      <c r="O180" s="31"/>
      <c r="P180" s="31"/>
      <c r="Q180" s="31"/>
      <c r="R180" s="31"/>
      <c r="S180" s="31"/>
      <c r="T180" s="33"/>
      <c r="U180" s="33"/>
      <c r="V180" s="33"/>
      <c r="W180" s="33"/>
      <c r="X180" s="33"/>
      <c r="Y180" s="33"/>
      <c r="Z180" s="33"/>
    </row>
    <row r="181" spans="1:26" s="32" customFormat="1" ht="12.75" customHeight="1">
      <c r="A181" s="2066" t="s">
        <v>4823</v>
      </c>
      <c r="B181" s="2100"/>
      <c r="C181" s="2100"/>
      <c r="D181" s="2100"/>
      <c r="E181" s="2100"/>
      <c r="F181" s="31"/>
      <c r="G181" s="3917"/>
      <c r="H181" s="31"/>
      <c r="I181" s="31"/>
      <c r="J181" s="31"/>
      <c r="K181" s="31"/>
      <c r="L181" s="31"/>
      <c r="M181" s="31"/>
      <c r="N181" s="31"/>
      <c r="O181" s="31"/>
      <c r="P181" s="31"/>
      <c r="Q181" s="31"/>
      <c r="R181" s="31"/>
      <c r="S181" s="31"/>
      <c r="T181" s="33"/>
      <c r="U181" s="33"/>
      <c r="V181" s="33"/>
      <c r="W181" s="33"/>
      <c r="X181" s="33"/>
      <c r="Y181" s="33"/>
      <c r="Z181" s="33"/>
    </row>
    <row r="182" spans="1:26" s="32" customFormat="1" ht="12.75" customHeight="1">
      <c r="A182" s="2067" t="s">
        <v>972</v>
      </c>
      <c r="B182" s="2101"/>
      <c r="C182" s="2101"/>
      <c r="D182" s="2101"/>
      <c r="E182" s="2101"/>
      <c r="F182" s="31"/>
      <c r="G182" s="3917"/>
      <c r="H182" s="31"/>
      <c r="I182" s="31"/>
      <c r="J182" s="31"/>
      <c r="K182" s="31"/>
      <c r="L182" s="31"/>
      <c r="M182" s="31"/>
      <c r="N182" s="31"/>
      <c r="O182" s="31"/>
      <c r="P182" s="31"/>
      <c r="Q182" s="31"/>
      <c r="R182" s="31"/>
      <c r="S182" s="31"/>
      <c r="T182" s="33"/>
      <c r="U182" s="33"/>
      <c r="V182" s="33"/>
      <c r="W182" s="33"/>
      <c r="X182" s="33"/>
      <c r="Y182" s="33"/>
      <c r="Z182" s="33"/>
    </row>
    <row r="183" spans="1:26" s="32" customFormat="1" ht="12.75" customHeight="1">
      <c r="A183" s="2078" t="s">
        <v>943</v>
      </c>
      <c r="B183" s="2084">
        <v>622</v>
      </c>
      <c r="C183" s="3553"/>
      <c r="D183" s="3554"/>
      <c r="E183" s="3554"/>
      <c r="F183" s="31"/>
      <c r="G183" s="3917"/>
      <c r="H183" s="31"/>
      <c r="I183" s="31"/>
      <c r="J183" s="31"/>
      <c r="K183" s="31"/>
      <c r="L183" s="31"/>
      <c r="M183" s="31"/>
      <c r="N183" s="31"/>
      <c r="O183" s="31"/>
      <c r="P183" s="31"/>
      <c r="Q183" s="31"/>
      <c r="R183" s="31"/>
      <c r="S183" s="31"/>
      <c r="T183" s="33"/>
      <c r="U183" s="33"/>
      <c r="V183" s="33"/>
      <c r="W183" s="33"/>
      <c r="X183" s="33"/>
      <c r="Y183" s="33"/>
      <c r="Z183" s="33"/>
    </row>
    <row r="184" spans="1:26" s="32" customFormat="1" ht="12.75" customHeight="1">
      <c r="A184" s="2066" t="s">
        <v>973</v>
      </c>
      <c r="B184" s="2100"/>
      <c r="C184" s="2100"/>
      <c r="D184" s="2100"/>
      <c r="E184" s="2100"/>
      <c r="F184" s="31"/>
      <c r="G184" s="3917"/>
      <c r="H184" s="31"/>
      <c r="I184" s="31"/>
      <c r="J184" s="31"/>
      <c r="K184" s="31"/>
      <c r="L184" s="31"/>
      <c r="M184" s="31"/>
      <c r="N184" s="31"/>
      <c r="O184" s="31"/>
      <c r="P184" s="31"/>
      <c r="Q184" s="31"/>
      <c r="R184" s="31"/>
      <c r="S184" s="31"/>
      <c r="T184" s="33"/>
      <c r="U184" s="33"/>
      <c r="V184" s="33"/>
      <c r="W184" s="33"/>
      <c r="X184" s="33"/>
      <c r="Y184" s="33"/>
      <c r="Z184" s="33"/>
    </row>
    <row r="185" spans="1:26" s="32" customFormat="1" ht="12.75" customHeight="1">
      <c r="A185" s="2078" t="s">
        <v>974</v>
      </c>
      <c r="B185" s="2085">
        <v>623</v>
      </c>
      <c r="C185" s="3553"/>
      <c r="D185" s="3553"/>
      <c r="E185" s="3553"/>
      <c r="F185" s="31"/>
      <c r="G185" s="3917"/>
      <c r="H185" s="31"/>
      <c r="I185" s="31"/>
      <c r="J185" s="31"/>
      <c r="K185" s="31"/>
      <c r="L185" s="31"/>
      <c r="M185" s="31"/>
      <c r="N185" s="31"/>
      <c r="O185" s="31"/>
      <c r="P185" s="31"/>
      <c r="Q185" s="31"/>
      <c r="R185" s="31"/>
      <c r="S185" s="31"/>
      <c r="T185" s="33"/>
      <c r="U185" s="33"/>
      <c r="V185" s="33"/>
      <c r="W185" s="33"/>
      <c r="X185" s="33"/>
      <c r="Y185" s="33"/>
      <c r="Z185" s="33"/>
    </row>
    <row r="186" spans="1:26" s="32" customFormat="1" ht="12.75" customHeight="1">
      <c r="A186" s="2079" t="s">
        <v>977</v>
      </c>
      <c r="B186" s="2103">
        <v>626</v>
      </c>
      <c r="C186" s="2049"/>
      <c r="D186" s="2049"/>
      <c r="E186" s="2049"/>
      <c r="F186" s="31"/>
      <c r="G186" s="3917"/>
      <c r="H186" s="31"/>
      <c r="I186" s="31"/>
      <c r="J186" s="31"/>
      <c r="K186" s="31"/>
      <c r="L186" s="31"/>
      <c r="M186" s="31"/>
      <c r="N186" s="31"/>
      <c r="O186" s="31"/>
      <c r="P186" s="31"/>
      <c r="Q186" s="31"/>
      <c r="R186" s="31"/>
      <c r="S186" s="31"/>
      <c r="T186" s="33"/>
      <c r="U186" s="33"/>
      <c r="V186" s="33"/>
      <c r="W186" s="33"/>
      <c r="X186" s="33"/>
      <c r="Y186" s="33"/>
      <c r="Z186" s="33"/>
    </row>
    <row r="187" spans="1:26" s="32" customFormat="1" ht="12.75" customHeight="1">
      <c r="A187" s="2079" t="s">
        <v>978</v>
      </c>
      <c r="B187" s="2102">
        <v>628</v>
      </c>
      <c r="C187" s="2049"/>
      <c r="D187" s="3565"/>
      <c r="E187" s="3565"/>
      <c r="F187" s="31"/>
      <c r="G187" s="3917"/>
      <c r="H187" s="31"/>
      <c r="I187" s="31"/>
      <c r="J187" s="31"/>
      <c r="K187" s="31"/>
      <c r="L187" s="31"/>
      <c r="M187" s="31"/>
      <c r="N187" s="31"/>
      <c r="O187" s="31"/>
      <c r="P187" s="31"/>
      <c r="Q187" s="31"/>
      <c r="R187" s="31"/>
      <c r="S187" s="31"/>
      <c r="T187" s="33"/>
      <c r="U187" s="33"/>
      <c r="V187" s="33"/>
      <c r="W187" s="33"/>
      <c r="X187" s="33"/>
      <c r="Y187" s="33"/>
      <c r="Z187" s="33"/>
    </row>
    <row r="188" spans="1:26" s="32" customFormat="1" ht="12.75" customHeight="1">
      <c r="A188" s="2058" t="s">
        <v>4818</v>
      </c>
      <c r="B188" s="2103">
        <v>630</v>
      </c>
      <c r="C188" s="2049"/>
      <c r="D188" s="3565"/>
      <c r="E188" s="3565"/>
      <c r="F188" s="31"/>
      <c r="G188" s="3917"/>
      <c r="H188" s="31"/>
      <c r="I188" s="31"/>
      <c r="J188" s="31"/>
      <c r="K188" s="31"/>
      <c r="L188" s="31"/>
      <c r="M188" s="31"/>
      <c r="N188" s="31"/>
      <c r="O188" s="31"/>
      <c r="P188" s="31"/>
      <c r="Q188" s="31"/>
      <c r="R188" s="31"/>
      <c r="S188" s="31"/>
      <c r="T188" s="33"/>
      <c r="U188" s="33"/>
      <c r="V188" s="33"/>
      <c r="W188" s="33"/>
      <c r="X188" s="33"/>
      <c r="Y188" s="33"/>
      <c r="Z188" s="33"/>
    </row>
    <row r="189" spans="1:26" s="32" customFormat="1" ht="12.75" customHeight="1">
      <c r="A189" s="2056" t="s">
        <v>979</v>
      </c>
      <c r="B189" s="2102">
        <v>632</v>
      </c>
      <c r="C189" s="2049"/>
      <c r="D189" s="3565"/>
      <c r="E189" s="3565"/>
      <c r="F189" s="31"/>
      <c r="G189" s="3917"/>
      <c r="H189" s="31"/>
      <c r="I189" s="31"/>
      <c r="J189" s="31"/>
      <c r="K189" s="31"/>
      <c r="L189" s="31"/>
      <c r="M189" s="31"/>
      <c r="N189" s="31"/>
      <c r="O189" s="31"/>
      <c r="P189" s="31"/>
      <c r="Q189" s="31"/>
      <c r="R189" s="31"/>
      <c r="S189" s="31"/>
      <c r="T189" s="33"/>
      <c r="U189" s="33"/>
      <c r="V189" s="33"/>
      <c r="W189" s="33"/>
      <c r="X189" s="33"/>
      <c r="Y189" s="33"/>
      <c r="Z189" s="33"/>
    </row>
    <row r="190" spans="1:26" s="32" customFormat="1" ht="12.75" customHeight="1">
      <c r="A190" s="2056" t="s">
        <v>986</v>
      </c>
      <c r="B190" s="2102">
        <v>634</v>
      </c>
      <c r="C190" s="2049"/>
      <c r="D190" s="3565"/>
      <c r="E190" s="3565"/>
      <c r="F190" s="31"/>
      <c r="G190" s="3917"/>
      <c r="H190" s="31"/>
      <c r="I190" s="31"/>
      <c r="J190" s="31"/>
      <c r="K190" s="31"/>
      <c r="L190" s="31"/>
      <c r="M190" s="31"/>
      <c r="N190" s="31"/>
      <c r="O190" s="31"/>
      <c r="P190" s="31"/>
      <c r="Q190" s="31"/>
      <c r="R190" s="31"/>
      <c r="S190" s="31"/>
      <c r="T190" s="33"/>
      <c r="U190" s="33"/>
      <c r="V190" s="33"/>
      <c r="W190" s="33"/>
      <c r="X190" s="33"/>
      <c r="Y190" s="33"/>
      <c r="Z190" s="33"/>
    </row>
    <row r="191" spans="1:26" s="32" customFormat="1" ht="12.75" customHeight="1">
      <c r="A191" s="2066" t="s">
        <v>989</v>
      </c>
      <c r="B191" s="2100"/>
      <c r="C191" s="2100"/>
      <c r="D191" s="2100"/>
      <c r="E191" s="2100"/>
      <c r="F191" s="31"/>
      <c r="G191" s="3917"/>
      <c r="H191" s="31"/>
      <c r="I191" s="31"/>
      <c r="J191" s="31"/>
      <c r="K191" s="31"/>
      <c r="L191" s="31"/>
      <c r="M191" s="31"/>
      <c r="N191" s="31"/>
      <c r="O191" s="31"/>
      <c r="P191" s="31"/>
      <c r="Q191" s="31"/>
      <c r="R191" s="31"/>
      <c r="S191" s="31"/>
      <c r="T191" s="33"/>
      <c r="U191" s="33"/>
      <c r="V191" s="33"/>
      <c r="W191" s="33"/>
      <c r="X191" s="33"/>
      <c r="Y191" s="33"/>
      <c r="Z191" s="33"/>
    </row>
    <row r="192" spans="1:26" s="32" customFormat="1" ht="12.75" customHeight="1">
      <c r="A192" s="2078" t="s">
        <v>990</v>
      </c>
      <c r="B192" s="2084">
        <v>636</v>
      </c>
      <c r="C192" s="3553"/>
      <c r="D192" s="3554"/>
      <c r="E192" s="3554"/>
      <c r="F192" s="31"/>
      <c r="G192" s="3917"/>
      <c r="H192" s="31"/>
      <c r="I192" s="31"/>
      <c r="J192" s="31"/>
      <c r="K192" s="31"/>
      <c r="L192" s="31"/>
      <c r="M192" s="31"/>
      <c r="N192" s="31"/>
      <c r="O192" s="31"/>
      <c r="P192" s="31"/>
      <c r="Q192" s="31"/>
      <c r="R192" s="31"/>
      <c r="S192" s="31"/>
      <c r="T192" s="33"/>
      <c r="U192" s="33"/>
      <c r="V192" s="33"/>
      <c r="W192" s="33"/>
      <c r="X192" s="33"/>
      <c r="Y192" s="33"/>
      <c r="Z192" s="33"/>
    </row>
    <row r="193" spans="1:26" s="32" customFormat="1" ht="12.75" customHeight="1">
      <c r="A193" s="2066" t="s">
        <v>991</v>
      </c>
      <c r="B193" s="2100"/>
      <c r="C193" s="2100"/>
      <c r="D193" s="2100"/>
      <c r="E193" s="2100"/>
      <c r="F193" s="31"/>
      <c r="G193" s="3917"/>
      <c r="H193" s="31"/>
      <c r="I193" s="31"/>
      <c r="J193" s="31"/>
      <c r="K193" s="31"/>
      <c r="L193" s="31"/>
      <c r="M193" s="31"/>
      <c r="N193" s="31"/>
      <c r="O193" s="31"/>
      <c r="P193" s="31"/>
      <c r="Q193" s="31"/>
      <c r="R193" s="31"/>
      <c r="S193" s="31"/>
      <c r="T193" s="33"/>
      <c r="U193" s="33"/>
      <c r="V193" s="33"/>
      <c r="W193" s="33"/>
      <c r="X193" s="33"/>
      <c r="Y193" s="33"/>
      <c r="Z193" s="33"/>
    </row>
    <row r="194" spans="1:26" s="32" customFormat="1" ht="12.75" customHeight="1">
      <c r="A194" s="2078" t="s">
        <v>992</v>
      </c>
      <c r="B194" s="2085">
        <v>638</v>
      </c>
      <c r="C194" s="3554"/>
      <c r="D194" s="3553"/>
      <c r="E194" s="3553"/>
      <c r="F194" s="31"/>
      <c r="G194" s="3917"/>
      <c r="H194" s="31"/>
      <c r="I194" s="31"/>
      <c r="J194" s="31"/>
      <c r="K194" s="31"/>
      <c r="L194" s="31"/>
      <c r="M194" s="31"/>
      <c r="N194" s="31"/>
      <c r="O194" s="31"/>
      <c r="P194" s="31"/>
      <c r="Q194" s="31"/>
      <c r="R194" s="31"/>
      <c r="S194" s="31"/>
      <c r="T194" s="33"/>
      <c r="U194" s="33"/>
      <c r="V194" s="33"/>
      <c r="W194" s="33"/>
      <c r="X194" s="33"/>
      <c r="Y194" s="33"/>
      <c r="Z194" s="33"/>
    </row>
    <row r="195" spans="1:26" s="32" customFormat="1" ht="12.75" customHeight="1">
      <c r="A195" s="2079" t="s">
        <v>993</v>
      </c>
      <c r="B195" s="2084">
        <v>640</v>
      </c>
      <c r="C195" s="2049"/>
      <c r="D195" s="3554"/>
      <c r="E195" s="3554"/>
      <c r="F195" s="31"/>
      <c r="G195" s="3917"/>
      <c r="H195" s="31"/>
      <c r="I195" s="31"/>
      <c r="J195" s="31"/>
      <c r="K195" s="31"/>
      <c r="L195" s="31"/>
      <c r="M195" s="31"/>
      <c r="N195" s="31"/>
      <c r="O195" s="31"/>
      <c r="P195" s="31"/>
      <c r="Q195" s="31"/>
      <c r="R195" s="31"/>
      <c r="S195" s="31"/>
      <c r="T195" s="33"/>
      <c r="U195" s="33"/>
      <c r="V195" s="33"/>
      <c r="W195" s="33"/>
      <c r="X195" s="33"/>
      <c r="Y195" s="33"/>
      <c r="Z195" s="33"/>
    </row>
    <row r="196" spans="1:26" s="32" customFormat="1" ht="12.75" customHeight="1">
      <c r="A196" s="2079" t="s">
        <v>51</v>
      </c>
      <c r="B196" s="2102">
        <v>642</v>
      </c>
      <c r="C196" s="2049"/>
      <c r="D196" s="3565"/>
      <c r="E196" s="3565"/>
      <c r="F196" s="31"/>
      <c r="G196" s="3917"/>
      <c r="H196" s="31"/>
      <c r="I196" s="31"/>
      <c r="J196" s="31"/>
      <c r="K196" s="31"/>
      <c r="L196" s="31"/>
      <c r="M196" s="31"/>
      <c r="N196" s="31"/>
      <c r="O196" s="31"/>
      <c r="P196" s="31"/>
      <c r="Q196" s="31"/>
      <c r="R196" s="31"/>
      <c r="S196" s="31"/>
      <c r="T196" s="33"/>
      <c r="U196" s="33"/>
      <c r="V196" s="33"/>
      <c r="W196" s="33"/>
      <c r="X196" s="33"/>
      <c r="Y196" s="33"/>
      <c r="Z196" s="33"/>
    </row>
    <row r="197" spans="1:26" s="32" customFormat="1" ht="12.75" customHeight="1">
      <c r="A197" s="2079" t="s">
        <v>995</v>
      </c>
      <c r="B197" s="2102">
        <v>644</v>
      </c>
      <c r="C197" s="2049"/>
      <c r="D197" s="3565"/>
      <c r="E197" s="3565"/>
      <c r="F197" s="31"/>
      <c r="G197" s="3917"/>
      <c r="H197" s="31"/>
      <c r="I197" s="31"/>
      <c r="J197" s="31"/>
      <c r="K197" s="31"/>
      <c r="L197" s="31"/>
      <c r="M197" s="31"/>
      <c r="N197" s="31"/>
      <c r="O197" s="31"/>
      <c r="P197" s="31"/>
      <c r="Q197" s="31"/>
      <c r="R197" s="31"/>
      <c r="S197" s="31"/>
      <c r="T197" s="33"/>
      <c r="U197" s="33"/>
      <c r="V197" s="33"/>
      <c r="W197" s="33"/>
      <c r="X197" s="33"/>
      <c r="Y197" s="33"/>
      <c r="Z197" s="33"/>
    </row>
    <row r="198" spans="1:26" s="32" customFormat="1" ht="12.75" customHeight="1">
      <c r="A198" s="2079" t="s">
        <v>996</v>
      </c>
      <c r="B198" s="2102">
        <v>646</v>
      </c>
      <c r="C198" s="2049"/>
      <c r="D198" s="3565"/>
      <c r="E198" s="3565"/>
      <c r="F198" s="31"/>
      <c r="G198" s="3917"/>
      <c r="H198" s="31"/>
      <c r="I198" s="31"/>
      <c r="J198" s="31"/>
      <c r="K198" s="31"/>
      <c r="L198" s="31"/>
      <c r="M198" s="31"/>
      <c r="N198" s="31"/>
      <c r="O198" s="31"/>
      <c r="P198" s="31"/>
      <c r="Q198" s="31"/>
      <c r="R198" s="31"/>
      <c r="S198" s="31"/>
      <c r="T198" s="33"/>
      <c r="U198" s="33"/>
      <c r="V198" s="33"/>
      <c r="W198" s="33"/>
      <c r="X198" s="33"/>
      <c r="Y198" s="33"/>
      <c r="Z198" s="33"/>
    </row>
    <row r="199" spans="1:26" s="32" customFormat="1" ht="12.75" customHeight="1">
      <c r="A199" s="2079" t="s">
        <v>997</v>
      </c>
      <c r="B199" s="2102">
        <v>648</v>
      </c>
      <c r="C199" s="2049"/>
      <c r="D199" s="3565"/>
      <c r="E199" s="3565"/>
      <c r="F199" s="31"/>
      <c r="G199" s="3917"/>
      <c r="H199" s="31"/>
      <c r="I199" s="31"/>
      <c r="J199" s="31"/>
      <c r="K199" s="31"/>
      <c r="L199" s="31"/>
      <c r="M199" s="31"/>
      <c r="N199" s="31"/>
      <c r="O199" s="31"/>
      <c r="P199" s="31"/>
      <c r="Q199" s="31"/>
      <c r="R199" s="31"/>
      <c r="S199" s="31"/>
      <c r="T199" s="33"/>
      <c r="U199" s="33"/>
      <c r="V199" s="33"/>
      <c r="W199" s="33"/>
      <c r="X199" s="33"/>
      <c r="Y199" s="33"/>
      <c r="Z199" s="33"/>
    </row>
    <row r="200" spans="1:26" s="32" customFormat="1" ht="12.75" customHeight="1">
      <c r="A200" s="2079" t="s">
        <v>998</v>
      </c>
      <c r="B200" s="2102">
        <v>650</v>
      </c>
      <c r="C200" s="2049"/>
      <c r="D200" s="3565"/>
      <c r="E200" s="3565"/>
      <c r="F200" s="31"/>
      <c r="G200" s="3917"/>
      <c r="H200" s="31"/>
      <c r="I200" s="31"/>
      <c r="J200" s="31"/>
      <c r="K200" s="31"/>
      <c r="L200" s="31"/>
      <c r="M200" s="31"/>
      <c r="N200" s="31"/>
      <c r="O200" s="31"/>
      <c r="P200" s="31"/>
      <c r="Q200" s="31"/>
      <c r="R200" s="31"/>
      <c r="S200" s="31"/>
      <c r="T200" s="33"/>
      <c r="U200" s="33"/>
      <c r="V200" s="33"/>
      <c r="W200" s="33"/>
      <c r="X200" s="33"/>
      <c r="Y200" s="33"/>
      <c r="Z200" s="33"/>
    </row>
    <row r="201" spans="1:26" s="32" customFormat="1" ht="12.75" customHeight="1">
      <c r="A201" s="2063" t="s">
        <v>619</v>
      </c>
      <c r="B201" s="2104"/>
      <c r="C201" s="2104"/>
      <c r="D201" s="2104"/>
      <c r="E201" s="2104"/>
      <c r="F201" s="31"/>
      <c r="G201" s="3917"/>
      <c r="H201" s="31"/>
      <c r="I201" s="31"/>
      <c r="J201" s="31"/>
      <c r="K201" s="31"/>
      <c r="L201" s="31"/>
      <c r="M201" s="31"/>
      <c r="N201" s="31"/>
      <c r="O201" s="31"/>
      <c r="P201" s="31"/>
      <c r="Q201" s="31"/>
      <c r="R201" s="31"/>
      <c r="S201" s="31"/>
      <c r="T201" s="33"/>
      <c r="U201" s="33"/>
      <c r="V201" s="33"/>
      <c r="W201" s="33"/>
      <c r="X201" s="33"/>
      <c r="Y201" s="33"/>
      <c r="Z201" s="33"/>
    </row>
    <row r="202" spans="1:26" s="32" customFormat="1" ht="12.75" customHeight="1">
      <c r="A202" s="2064" t="s">
        <v>686</v>
      </c>
      <c r="B202" s="2105"/>
      <c r="C202" s="2105"/>
      <c r="D202" s="2105"/>
      <c r="E202" s="2105"/>
      <c r="F202" s="31"/>
      <c r="G202" s="3917"/>
      <c r="H202" s="31"/>
      <c r="I202" s="31"/>
      <c r="J202" s="31"/>
      <c r="K202" s="31"/>
      <c r="L202" s="31"/>
      <c r="M202" s="31"/>
      <c r="N202" s="31"/>
      <c r="O202" s="31"/>
      <c r="P202" s="31"/>
      <c r="Q202" s="31"/>
      <c r="R202" s="31"/>
      <c r="S202" s="31"/>
      <c r="T202" s="33"/>
      <c r="U202" s="33"/>
      <c r="V202" s="33"/>
      <c r="W202" s="33"/>
      <c r="X202" s="33"/>
      <c r="Y202" s="33"/>
      <c r="Z202" s="33"/>
    </row>
    <row r="203" spans="1:26" s="32" customFormat="1" ht="12.75" customHeight="1">
      <c r="A203" s="2064" t="s">
        <v>941</v>
      </c>
      <c r="B203" s="2105"/>
      <c r="C203" s="2105"/>
      <c r="D203" s="2105"/>
      <c r="E203" s="2105"/>
      <c r="F203" s="31"/>
      <c r="G203" s="3917"/>
      <c r="H203" s="31"/>
      <c r="I203" s="31"/>
      <c r="J203" s="31"/>
      <c r="K203" s="31"/>
      <c r="L203" s="31"/>
      <c r="M203" s="31"/>
      <c r="N203" s="31"/>
      <c r="O203" s="31"/>
      <c r="P203" s="31"/>
      <c r="Q203" s="31"/>
      <c r="R203" s="31"/>
      <c r="S203" s="31"/>
      <c r="T203" s="33"/>
      <c r="U203" s="33"/>
      <c r="V203" s="33"/>
      <c r="W203" s="33"/>
      <c r="X203" s="33"/>
      <c r="Y203" s="33"/>
      <c r="Z203" s="33"/>
    </row>
    <row r="204" spans="1:26" s="32" customFormat="1" ht="12.75" customHeight="1">
      <c r="A204" s="2080" t="s">
        <v>605</v>
      </c>
      <c r="B204" s="2084">
        <v>652</v>
      </c>
      <c r="C204" s="3553"/>
      <c r="D204" s="3554"/>
      <c r="E204" s="3554"/>
      <c r="F204" s="31"/>
      <c r="G204" s="3917"/>
      <c r="H204" s="31"/>
      <c r="I204" s="31"/>
      <c r="J204" s="31"/>
      <c r="K204" s="31"/>
      <c r="L204" s="31"/>
      <c r="M204" s="31"/>
      <c r="N204" s="31"/>
      <c r="O204" s="31"/>
      <c r="P204" s="31"/>
      <c r="Q204" s="31"/>
      <c r="R204" s="31"/>
      <c r="S204" s="31"/>
      <c r="T204" s="33"/>
      <c r="U204" s="33"/>
      <c r="V204" s="33"/>
      <c r="W204" s="33"/>
      <c r="X204" s="33"/>
      <c r="Y204" s="33"/>
      <c r="Z204" s="33"/>
    </row>
    <row r="205" spans="1:26" s="32" customFormat="1" ht="12.75" customHeight="1">
      <c r="A205" s="2065" t="s">
        <v>944</v>
      </c>
      <c r="B205" s="2106"/>
      <c r="C205" s="2106"/>
      <c r="D205" s="2106"/>
      <c r="E205" s="2106"/>
      <c r="F205" s="31"/>
      <c r="G205" s="3917"/>
      <c r="H205" s="31"/>
      <c r="I205" s="31"/>
      <c r="J205" s="31"/>
      <c r="K205" s="31"/>
      <c r="L205" s="31"/>
      <c r="M205" s="31"/>
      <c r="N205" s="31"/>
      <c r="O205" s="31"/>
      <c r="P205" s="31"/>
      <c r="Q205" s="31"/>
      <c r="R205" s="31"/>
      <c r="S205" s="31"/>
      <c r="T205" s="33"/>
      <c r="U205" s="33"/>
      <c r="V205" s="33"/>
      <c r="W205" s="33"/>
      <c r="X205" s="33"/>
      <c r="Y205" s="33"/>
      <c r="Z205" s="33"/>
    </row>
    <row r="206" spans="1:26" s="32" customFormat="1" ht="12.75" customHeight="1">
      <c r="A206" s="2081" t="s">
        <v>295</v>
      </c>
      <c r="B206" s="2085">
        <v>654</v>
      </c>
      <c r="C206" s="3554"/>
      <c r="D206" s="3553"/>
      <c r="E206" s="3553"/>
      <c r="F206" s="31"/>
      <c r="G206" s="3917"/>
      <c r="H206" s="31"/>
      <c r="I206" s="31"/>
      <c r="J206" s="31"/>
      <c r="K206" s="31"/>
      <c r="L206" s="31"/>
      <c r="M206" s="31"/>
      <c r="N206" s="31"/>
      <c r="O206" s="31"/>
      <c r="P206" s="31"/>
      <c r="Q206" s="31"/>
      <c r="R206" s="31"/>
      <c r="S206" s="31"/>
      <c r="T206" s="33"/>
      <c r="U206" s="33"/>
      <c r="V206" s="33"/>
      <c r="W206" s="33"/>
      <c r="X206" s="33"/>
      <c r="Y206" s="33"/>
      <c r="Z206" s="33"/>
    </row>
    <row r="207" spans="1:26" s="32" customFormat="1" ht="12.75" customHeight="1">
      <c r="A207" s="2080" t="s">
        <v>946</v>
      </c>
      <c r="B207" s="2084">
        <v>656</v>
      </c>
      <c r="C207" s="2049"/>
      <c r="D207" s="3554"/>
      <c r="E207" s="3554"/>
      <c r="F207" s="31"/>
      <c r="G207" s="3917"/>
      <c r="H207" s="31"/>
      <c r="I207" s="31"/>
      <c r="J207" s="31"/>
      <c r="K207" s="31"/>
      <c r="L207" s="31"/>
      <c r="M207" s="31"/>
      <c r="N207" s="31"/>
      <c r="O207" s="31"/>
      <c r="P207" s="31"/>
      <c r="Q207" s="31"/>
      <c r="R207" s="31"/>
      <c r="S207" s="31"/>
      <c r="T207" s="33"/>
      <c r="U207" s="33"/>
      <c r="V207" s="33"/>
      <c r="W207" s="33"/>
      <c r="X207" s="33"/>
      <c r="Y207" s="33"/>
      <c r="Z207" s="33"/>
    </row>
    <row r="208" spans="1:26" s="32" customFormat="1" ht="12.75" customHeight="1">
      <c r="A208" s="2082" t="s">
        <v>947</v>
      </c>
      <c r="B208" s="2102">
        <v>658</v>
      </c>
      <c r="C208" s="2049"/>
      <c r="D208" s="3565"/>
      <c r="E208" s="3565"/>
      <c r="F208" s="31"/>
      <c r="G208" s="3917"/>
      <c r="H208" s="31"/>
      <c r="I208" s="31"/>
      <c r="J208" s="31"/>
      <c r="K208" s="31"/>
      <c r="L208" s="31"/>
      <c r="M208" s="31"/>
      <c r="N208" s="31"/>
      <c r="O208" s="31"/>
      <c r="P208" s="31"/>
      <c r="Q208" s="31"/>
      <c r="R208" s="31"/>
      <c r="S208" s="31"/>
      <c r="T208" s="33"/>
      <c r="U208" s="33"/>
      <c r="V208" s="33"/>
      <c r="W208" s="33"/>
      <c r="X208" s="33"/>
      <c r="Y208" s="33"/>
      <c r="Z208" s="33"/>
    </row>
    <row r="209" spans="1:26" s="32" customFormat="1" ht="12.75" customHeight="1">
      <c r="A209" s="2082" t="s">
        <v>955</v>
      </c>
      <c r="B209" s="2102">
        <v>660</v>
      </c>
      <c r="C209" s="2049"/>
      <c r="D209" s="3565"/>
      <c r="E209" s="3565"/>
      <c r="F209" s="31"/>
      <c r="G209" s="3917"/>
      <c r="H209" s="31"/>
      <c r="I209" s="31"/>
      <c r="J209" s="31"/>
      <c r="K209" s="31"/>
      <c r="L209" s="31"/>
      <c r="M209" s="31"/>
      <c r="N209" s="31"/>
      <c r="O209" s="31"/>
      <c r="P209" s="31"/>
      <c r="Q209" s="31"/>
      <c r="R209" s="31"/>
      <c r="S209" s="31"/>
      <c r="T209" s="33"/>
      <c r="U209" s="33"/>
      <c r="V209" s="33"/>
      <c r="W209" s="33"/>
      <c r="X209" s="33"/>
      <c r="Y209" s="33"/>
      <c r="Z209" s="33"/>
    </row>
    <row r="210" spans="1:26" s="32" customFormat="1" ht="12.75" customHeight="1">
      <c r="A210" s="2080" t="s">
        <v>639</v>
      </c>
      <c r="B210" s="2102">
        <v>662</v>
      </c>
      <c r="C210" s="2049"/>
      <c r="D210" s="3565"/>
      <c r="E210" s="3565"/>
      <c r="F210" s="31"/>
      <c r="G210" s="3917"/>
      <c r="H210" s="31"/>
      <c r="I210" s="31"/>
      <c r="J210" s="31"/>
      <c r="K210" s="31"/>
      <c r="L210" s="31"/>
      <c r="M210" s="31"/>
      <c r="N210" s="31"/>
      <c r="O210" s="31"/>
      <c r="P210" s="31"/>
      <c r="Q210" s="31"/>
      <c r="R210" s="31"/>
      <c r="S210" s="31"/>
      <c r="T210" s="33"/>
      <c r="U210" s="33"/>
      <c r="V210" s="33"/>
      <c r="W210" s="33"/>
      <c r="X210" s="33"/>
      <c r="Y210" s="33"/>
      <c r="Z210" s="33"/>
    </row>
    <row r="211" spans="1:26" s="32" customFormat="1" ht="12.75" customHeight="1">
      <c r="A211" s="2082" t="s">
        <v>960</v>
      </c>
      <c r="B211" s="2102">
        <v>664</v>
      </c>
      <c r="C211" s="2049"/>
      <c r="D211" s="3565"/>
      <c r="E211" s="3565"/>
      <c r="F211" s="31"/>
      <c r="G211" s="3917"/>
      <c r="H211" s="31"/>
      <c r="I211" s="31"/>
      <c r="J211" s="31"/>
      <c r="K211" s="31"/>
      <c r="L211" s="31"/>
      <c r="M211" s="31"/>
      <c r="N211" s="31"/>
      <c r="O211" s="31"/>
      <c r="P211" s="31"/>
      <c r="Q211" s="31"/>
      <c r="R211" s="31"/>
      <c r="S211" s="31"/>
      <c r="T211" s="33"/>
      <c r="U211" s="33"/>
      <c r="V211" s="33"/>
      <c r="W211" s="33"/>
      <c r="X211" s="33"/>
      <c r="Y211" s="33"/>
      <c r="Z211" s="33"/>
    </row>
    <row r="212" spans="1:26" s="32" customFormat="1" ht="12.75" customHeight="1">
      <c r="A212" s="2063" t="s">
        <v>687</v>
      </c>
      <c r="B212" s="2104"/>
      <c r="C212" s="2104"/>
      <c r="D212" s="2104"/>
      <c r="E212" s="2104"/>
      <c r="F212" s="31"/>
      <c r="G212" s="3917"/>
      <c r="H212" s="31"/>
      <c r="I212" s="31"/>
      <c r="J212" s="31"/>
      <c r="K212" s="31"/>
      <c r="L212" s="31"/>
      <c r="M212" s="31"/>
      <c r="N212" s="31"/>
      <c r="O212" s="31"/>
      <c r="P212" s="31"/>
      <c r="Q212" s="31"/>
      <c r="R212" s="31"/>
      <c r="S212" s="31"/>
      <c r="T212" s="33"/>
      <c r="U212" s="33"/>
      <c r="V212" s="33"/>
      <c r="W212" s="33"/>
      <c r="X212" s="33"/>
      <c r="Y212" s="33"/>
      <c r="Z212" s="33"/>
    </row>
    <row r="213" spans="1:26" s="32" customFormat="1" ht="12.75" customHeight="1">
      <c r="A213" s="2064" t="s">
        <v>941</v>
      </c>
      <c r="B213" s="2105"/>
      <c r="C213" s="2105"/>
      <c r="D213" s="2105"/>
      <c r="E213" s="2105"/>
      <c r="F213" s="31"/>
      <c r="G213" s="3917"/>
      <c r="H213" s="31"/>
      <c r="I213" s="31"/>
      <c r="J213" s="31"/>
      <c r="K213" s="31"/>
      <c r="L213" s="31"/>
      <c r="M213" s="31"/>
      <c r="N213" s="31"/>
      <c r="O213" s="31"/>
      <c r="P213" s="31"/>
      <c r="Q213" s="31"/>
      <c r="R213" s="31"/>
      <c r="S213" s="31"/>
      <c r="T213" s="33"/>
      <c r="U213" s="33"/>
      <c r="V213" s="33"/>
      <c r="W213" s="33"/>
      <c r="X213" s="33"/>
      <c r="Y213" s="33"/>
      <c r="Z213" s="33"/>
    </row>
    <row r="214" spans="1:26" s="32" customFormat="1" ht="12.75" customHeight="1">
      <c r="A214" s="2080" t="s">
        <v>605</v>
      </c>
      <c r="B214" s="2084">
        <v>666</v>
      </c>
      <c r="C214" s="3553"/>
      <c r="D214" s="3554"/>
      <c r="E214" s="3554"/>
      <c r="F214" s="31"/>
      <c r="G214" s="3917"/>
      <c r="H214" s="31"/>
      <c r="I214" s="31"/>
      <c r="J214" s="31"/>
      <c r="K214" s="31"/>
      <c r="L214" s="31"/>
      <c r="M214" s="31"/>
      <c r="N214" s="31"/>
      <c r="O214" s="31"/>
      <c r="P214" s="31"/>
      <c r="Q214" s="31"/>
      <c r="R214" s="31"/>
      <c r="S214" s="31"/>
      <c r="T214" s="33"/>
      <c r="U214" s="33"/>
      <c r="V214" s="33"/>
      <c r="W214" s="33"/>
      <c r="X214" s="33"/>
      <c r="Y214" s="33"/>
      <c r="Z214" s="33"/>
    </row>
    <row r="215" spans="1:26" s="32" customFormat="1" ht="12.75" customHeight="1">
      <c r="A215" s="2063" t="s">
        <v>944</v>
      </c>
      <c r="B215" s="2104"/>
      <c r="C215" s="2104"/>
      <c r="D215" s="2104"/>
      <c r="E215" s="2104"/>
      <c r="F215" s="31"/>
      <c r="G215" s="3917"/>
      <c r="H215" s="31"/>
      <c r="I215" s="31"/>
      <c r="J215" s="31"/>
      <c r="K215" s="31"/>
      <c r="L215" s="31"/>
      <c r="M215" s="31"/>
      <c r="N215" s="31"/>
      <c r="O215" s="31"/>
      <c r="P215" s="31"/>
      <c r="Q215" s="31"/>
      <c r="R215" s="31"/>
      <c r="S215" s="31"/>
      <c r="T215" s="33"/>
      <c r="U215" s="33"/>
      <c r="V215" s="33"/>
      <c r="W215" s="33"/>
      <c r="X215" s="33"/>
      <c r="Y215" s="33"/>
      <c r="Z215" s="33"/>
    </row>
    <row r="216" spans="1:26" s="32" customFormat="1" ht="12.75" customHeight="1">
      <c r="A216" s="2080" t="s">
        <v>295</v>
      </c>
      <c r="B216" s="2085">
        <v>668</v>
      </c>
      <c r="C216" s="3554"/>
      <c r="D216" s="3553"/>
      <c r="E216" s="3553"/>
      <c r="F216" s="31"/>
      <c r="G216" s="3917"/>
      <c r="H216" s="31"/>
      <c r="I216" s="31"/>
      <c r="J216" s="31"/>
      <c r="K216" s="31"/>
      <c r="L216" s="31"/>
      <c r="M216" s="31"/>
      <c r="N216" s="31"/>
      <c r="O216" s="31"/>
      <c r="P216" s="31"/>
      <c r="Q216" s="31"/>
      <c r="R216" s="31"/>
      <c r="S216" s="31"/>
      <c r="T216" s="33"/>
      <c r="U216" s="33"/>
      <c r="V216" s="33"/>
      <c r="W216" s="33"/>
      <c r="X216" s="33"/>
      <c r="Y216" s="33"/>
      <c r="Z216" s="33"/>
    </row>
    <row r="217" spans="1:26" s="32" customFormat="1" ht="12.75" customHeight="1">
      <c r="A217" s="2082" t="s">
        <v>946</v>
      </c>
      <c r="B217" s="2084">
        <v>670</v>
      </c>
      <c r="C217" s="2049"/>
      <c r="D217" s="3554"/>
      <c r="E217" s="3554"/>
      <c r="F217" s="31"/>
      <c r="G217" s="3917"/>
      <c r="H217" s="31"/>
      <c r="I217" s="31"/>
      <c r="J217" s="31"/>
      <c r="K217" s="31"/>
      <c r="L217" s="31"/>
      <c r="M217" s="31"/>
      <c r="N217" s="31"/>
      <c r="O217" s="31"/>
      <c r="P217" s="31"/>
      <c r="Q217" s="31"/>
      <c r="R217" s="31"/>
      <c r="S217" s="31"/>
      <c r="T217" s="33"/>
      <c r="U217" s="33"/>
      <c r="V217" s="33"/>
      <c r="W217" s="33"/>
      <c r="X217" s="33"/>
      <c r="Y217" s="33"/>
      <c r="Z217" s="33"/>
    </row>
    <row r="218" spans="1:26" s="32" customFormat="1" ht="12.75" customHeight="1">
      <c r="A218" s="2080" t="s">
        <v>947</v>
      </c>
      <c r="B218" s="2102">
        <v>672</v>
      </c>
      <c r="C218" s="2049"/>
      <c r="D218" s="3565"/>
      <c r="E218" s="3565"/>
      <c r="F218" s="31"/>
      <c r="G218" s="3917"/>
      <c r="H218" s="31"/>
      <c r="I218" s="31"/>
      <c r="J218" s="31"/>
      <c r="K218" s="31"/>
      <c r="L218" s="31"/>
      <c r="M218" s="31"/>
      <c r="N218" s="31"/>
      <c r="O218" s="31"/>
      <c r="P218" s="31"/>
      <c r="Q218" s="31"/>
      <c r="R218" s="31"/>
      <c r="S218" s="31"/>
      <c r="T218" s="33"/>
      <c r="U218" s="33"/>
      <c r="V218" s="33"/>
      <c r="W218" s="33"/>
      <c r="X218" s="33"/>
      <c r="Y218" s="33"/>
      <c r="Z218" s="33"/>
    </row>
    <row r="219" spans="1:26" s="32" customFormat="1" ht="12.75" customHeight="1">
      <c r="A219" s="2082" t="s">
        <v>640</v>
      </c>
      <c r="B219" s="2102">
        <v>674</v>
      </c>
      <c r="C219" s="2049"/>
      <c r="D219" s="3565"/>
      <c r="E219" s="3565"/>
      <c r="F219" s="31"/>
      <c r="G219" s="3917"/>
      <c r="H219" s="31"/>
      <c r="I219" s="31"/>
      <c r="J219" s="31"/>
      <c r="K219" s="31"/>
      <c r="L219" s="31"/>
      <c r="M219" s="31"/>
      <c r="N219" s="31"/>
      <c r="O219" s="31"/>
      <c r="P219" s="31"/>
      <c r="Q219" s="31"/>
      <c r="R219" s="31"/>
      <c r="S219" s="31"/>
      <c r="T219" s="33"/>
      <c r="U219" s="33"/>
      <c r="V219" s="33"/>
      <c r="W219" s="33"/>
      <c r="X219" s="33"/>
      <c r="Y219" s="33"/>
      <c r="Z219" s="33"/>
    </row>
    <row r="220" spans="1:26" s="32" customFormat="1" ht="12.75" customHeight="1">
      <c r="A220" s="2063" t="s">
        <v>950</v>
      </c>
      <c r="B220" s="2104"/>
      <c r="C220" s="2104"/>
      <c r="D220" s="2104"/>
      <c r="E220" s="2104"/>
      <c r="F220" s="31"/>
      <c r="G220" s="3917"/>
      <c r="H220" s="31"/>
      <c r="I220" s="31"/>
      <c r="J220" s="31"/>
      <c r="K220" s="31"/>
      <c r="L220" s="31"/>
      <c r="M220" s="31"/>
      <c r="N220" s="31"/>
      <c r="O220" s="31"/>
      <c r="P220" s="31"/>
      <c r="Q220" s="31"/>
      <c r="R220" s="31"/>
      <c r="S220" s="31"/>
      <c r="T220" s="33"/>
      <c r="U220" s="33"/>
      <c r="V220" s="33"/>
      <c r="W220" s="33"/>
      <c r="X220" s="33"/>
      <c r="Y220" s="33"/>
      <c r="Z220" s="33"/>
    </row>
    <row r="221" spans="1:26" s="32" customFormat="1" ht="12.75" customHeight="1">
      <c r="A221" s="2080" t="s">
        <v>1031</v>
      </c>
      <c r="B221" s="2085">
        <v>676</v>
      </c>
      <c r="C221" s="3554"/>
      <c r="D221" s="3553"/>
      <c r="E221" s="3553"/>
      <c r="F221" s="31"/>
      <c r="G221" s="3917"/>
      <c r="H221" s="31"/>
      <c r="I221" s="31"/>
      <c r="J221" s="31"/>
      <c r="K221" s="31"/>
      <c r="L221" s="31"/>
      <c r="M221" s="31"/>
      <c r="N221" s="31"/>
      <c r="O221" s="31"/>
      <c r="P221" s="31"/>
      <c r="Q221" s="31"/>
      <c r="R221" s="31"/>
      <c r="S221" s="31"/>
      <c r="T221" s="33"/>
      <c r="U221" s="33"/>
      <c r="V221" s="33"/>
      <c r="W221" s="33"/>
      <c r="X221" s="33"/>
      <c r="Y221" s="33"/>
      <c r="Z221" s="33"/>
    </row>
    <row r="222" spans="1:26" s="32" customFormat="1" ht="12.75" customHeight="1">
      <c r="A222" s="2082" t="s">
        <v>1032</v>
      </c>
      <c r="B222" s="2084">
        <v>678</v>
      </c>
      <c r="C222" s="2049"/>
      <c r="D222" s="3554"/>
      <c r="E222" s="3554"/>
      <c r="F222" s="31"/>
      <c r="G222" s="3917"/>
      <c r="H222" s="31"/>
      <c r="I222" s="31"/>
      <c r="J222" s="31"/>
      <c r="K222" s="31"/>
      <c r="L222" s="31"/>
      <c r="M222" s="31"/>
      <c r="N222" s="31"/>
      <c r="O222" s="31"/>
      <c r="P222" s="31"/>
      <c r="Q222" s="31"/>
      <c r="R222" s="31"/>
      <c r="S222" s="31"/>
      <c r="T222" s="33"/>
      <c r="U222" s="33"/>
      <c r="V222" s="33"/>
      <c r="W222" s="33"/>
      <c r="X222" s="33"/>
      <c r="Y222" s="33"/>
      <c r="Z222" s="33"/>
    </row>
    <row r="223" spans="1:26" s="32" customFormat="1" ht="12.75" customHeight="1">
      <c r="A223" s="2082" t="s">
        <v>969</v>
      </c>
      <c r="B223" s="2102">
        <v>680</v>
      </c>
      <c r="C223" s="2049"/>
      <c r="D223" s="3565"/>
      <c r="E223" s="3565"/>
      <c r="F223" s="31"/>
      <c r="G223" s="3917"/>
      <c r="H223" s="31"/>
      <c r="I223" s="31"/>
      <c r="J223" s="31"/>
      <c r="K223" s="31"/>
      <c r="L223" s="31"/>
      <c r="M223" s="31"/>
      <c r="N223" s="31"/>
      <c r="O223" s="31"/>
      <c r="P223" s="31"/>
      <c r="Q223" s="31"/>
      <c r="R223" s="31"/>
      <c r="S223" s="31"/>
      <c r="T223" s="33"/>
      <c r="U223" s="33"/>
      <c r="V223" s="33"/>
      <c r="W223" s="33"/>
      <c r="X223" s="33"/>
      <c r="Y223" s="33"/>
      <c r="Z223" s="33"/>
    </row>
    <row r="224" spans="1:26" s="32" customFormat="1" ht="12.75" customHeight="1">
      <c r="A224" s="2082" t="s">
        <v>641</v>
      </c>
      <c r="B224" s="2102">
        <v>682</v>
      </c>
      <c r="C224" s="2049">
        <v>29922</v>
      </c>
      <c r="D224" s="3565">
        <v>34733</v>
      </c>
      <c r="E224" s="3565">
        <v>34692</v>
      </c>
      <c r="F224" s="31"/>
      <c r="G224" s="3917"/>
      <c r="H224" s="31"/>
      <c r="I224" s="31"/>
      <c r="J224" s="31"/>
      <c r="K224" s="31"/>
      <c r="L224" s="31"/>
      <c r="M224" s="31"/>
      <c r="N224" s="31"/>
      <c r="O224" s="31"/>
      <c r="P224" s="31"/>
      <c r="Q224" s="31"/>
      <c r="R224" s="31"/>
      <c r="S224" s="31"/>
      <c r="T224" s="33"/>
      <c r="U224" s="33"/>
      <c r="V224" s="33"/>
      <c r="W224" s="33"/>
      <c r="X224" s="33"/>
      <c r="Y224" s="33"/>
      <c r="Z224" s="33"/>
    </row>
    <row r="225" spans="1:26" s="32" customFormat="1" ht="12.75" customHeight="1">
      <c r="A225" s="2082" t="s">
        <v>5159</v>
      </c>
      <c r="B225" s="2102">
        <v>684</v>
      </c>
      <c r="C225" s="2049"/>
      <c r="D225" s="3565"/>
      <c r="E225" s="3565"/>
      <c r="F225" s="31"/>
      <c r="G225" s="3917"/>
      <c r="H225" s="31"/>
      <c r="I225" s="31"/>
      <c r="J225" s="31"/>
      <c r="K225" s="31"/>
      <c r="L225" s="31"/>
      <c r="M225" s="31"/>
      <c r="N225" s="31"/>
      <c r="O225" s="31"/>
      <c r="P225" s="31"/>
      <c r="Q225" s="31"/>
      <c r="R225" s="31"/>
      <c r="S225" s="31"/>
      <c r="T225" s="33"/>
      <c r="U225" s="33"/>
      <c r="V225" s="33"/>
      <c r="W225" s="33"/>
      <c r="X225" s="33"/>
      <c r="Y225" s="33"/>
      <c r="Z225" s="33"/>
    </row>
    <row r="226" spans="1:26" s="32" customFormat="1" ht="12.75" customHeight="1">
      <c r="A226" s="2082" t="s">
        <v>960</v>
      </c>
      <c r="B226" s="2103">
        <v>686</v>
      </c>
      <c r="C226" s="2049"/>
      <c r="D226" s="2049"/>
      <c r="E226" s="2049"/>
      <c r="F226" s="31"/>
      <c r="G226" s="3917"/>
      <c r="H226" s="31"/>
      <c r="I226" s="31"/>
      <c r="J226" s="31"/>
      <c r="K226" s="31"/>
      <c r="L226" s="31"/>
      <c r="M226" s="31"/>
      <c r="N226" s="31"/>
      <c r="O226" s="31"/>
      <c r="P226" s="31"/>
      <c r="Q226" s="31"/>
      <c r="R226" s="31"/>
      <c r="S226" s="31"/>
      <c r="T226" s="33"/>
      <c r="U226" s="33"/>
      <c r="V226" s="33"/>
      <c r="W226" s="33"/>
      <c r="X226" s="33"/>
      <c r="Y226" s="33"/>
      <c r="Z226" s="33"/>
    </row>
    <row r="227" spans="1:26" s="32" customFormat="1" ht="12.75" customHeight="1">
      <c r="A227" s="2063" t="s">
        <v>688</v>
      </c>
      <c r="B227" s="2104"/>
      <c r="C227" s="2104"/>
      <c r="D227" s="2104"/>
      <c r="E227" s="2104"/>
      <c r="F227" s="31"/>
      <c r="G227" s="3917"/>
      <c r="H227" s="31"/>
      <c r="I227" s="31"/>
      <c r="J227" s="31"/>
      <c r="K227" s="31"/>
      <c r="L227" s="31"/>
      <c r="M227" s="31"/>
      <c r="N227" s="31"/>
      <c r="O227" s="31"/>
      <c r="P227" s="31"/>
      <c r="Q227" s="31"/>
      <c r="R227" s="31"/>
      <c r="S227" s="31"/>
      <c r="T227" s="33"/>
      <c r="U227" s="33"/>
      <c r="V227" s="33"/>
      <c r="W227" s="33"/>
      <c r="X227" s="33"/>
      <c r="Y227" s="33"/>
      <c r="Z227" s="33"/>
    </row>
    <row r="228" spans="1:26" s="32" customFormat="1" ht="12.75" customHeight="1">
      <c r="A228" s="2064" t="s">
        <v>941</v>
      </c>
      <c r="B228" s="2105"/>
      <c r="C228" s="2105"/>
      <c r="D228" s="2105"/>
      <c r="E228" s="2105"/>
      <c r="F228" s="31"/>
      <c r="G228" s="3917"/>
      <c r="H228" s="31"/>
      <c r="I228" s="31"/>
      <c r="J228" s="31"/>
      <c r="K228" s="31"/>
      <c r="L228" s="31"/>
      <c r="M228" s="31"/>
      <c r="N228" s="31"/>
      <c r="O228" s="31"/>
      <c r="P228" s="31"/>
      <c r="Q228" s="31"/>
      <c r="R228" s="31"/>
      <c r="S228" s="31"/>
      <c r="T228" s="33"/>
      <c r="U228" s="33"/>
      <c r="V228" s="33"/>
      <c r="W228" s="33"/>
      <c r="X228" s="33"/>
      <c r="Y228" s="33"/>
      <c r="Z228" s="33"/>
    </row>
    <row r="229" spans="1:26" s="32" customFormat="1" ht="12.75" customHeight="1">
      <c r="A229" s="2080" t="s">
        <v>603</v>
      </c>
      <c r="B229" s="2085">
        <v>688</v>
      </c>
      <c r="C229" s="3553"/>
      <c r="D229" s="3553"/>
      <c r="E229" s="3553"/>
      <c r="F229" s="31"/>
      <c r="G229" s="3917"/>
      <c r="H229" s="31"/>
      <c r="I229" s="31"/>
      <c r="J229" s="31"/>
      <c r="K229" s="31"/>
      <c r="L229" s="31"/>
      <c r="M229" s="31"/>
      <c r="N229" s="31"/>
      <c r="O229" s="31"/>
      <c r="P229" s="31"/>
      <c r="Q229" s="31"/>
      <c r="R229" s="31"/>
      <c r="S229" s="31"/>
      <c r="T229" s="33"/>
      <c r="U229" s="33"/>
      <c r="V229" s="33"/>
      <c r="W229" s="33"/>
      <c r="X229" s="33"/>
      <c r="Y229" s="33"/>
      <c r="Z229" s="33"/>
    </row>
    <row r="230" spans="1:26" s="32" customFormat="1" ht="12.75" customHeight="1">
      <c r="A230" s="2063" t="s">
        <v>944</v>
      </c>
      <c r="B230" s="2104"/>
      <c r="C230" s="2104"/>
      <c r="D230" s="2104"/>
      <c r="E230" s="2104"/>
      <c r="F230" s="31"/>
      <c r="G230" s="3917"/>
      <c r="H230" s="31"/>
      <c r="I230" s="31"/>
      <c r="J230" s="31"/>
      <c r="K230" s="31"/>
      <c r="L230" s="31"/>
      <c r="M230" s="31"/>
      <c r="N230" s="31"/>
      <c r="O230" s="31"/>
      <c r="P230" s="31"/>
      <c r="Q230" s="31"/>
      <c r="R230" s="31"/>
      <c r="S230" s="31"/>
      <c r="T230" s="33"/>
      <c r="U230" s="33"/>
      <c r="V230" s="33"/>
      <c r="W230" s="33"/>
      <c r="X230" s="33"/>
      <c r="Y230" s="33"/>
      <c r="Z230" s="33"/>
    </row>
    <row r="231" spans="1:26" s="32" customFormat="1" ht="12.75" customHeight="1">
      <c r="A231" s="2080" t="s">
        <v>295</v>
      </c>
      <c r="B231" s="2085">
        <v>690</v>
      </c>
      <c r="C231" s="3554"/>
      <c r="D231" s="3553"/>
      <c r="E231" s="3553"/>
      <c r="F231" s="31"/>
      <c r="G231" s="3917"/>
      <c r="H231" s="31"/>
      <c r="I231" s="31"/>
      <c r="J231" s="31"/>
      <c r="K231" s="31"/>
      <c r="L231" s="31"/>
      <c r="M231" s="31"/>
      <c r="N231" s="31"/>
      <c r="O231" s="31"/>
      <c r="P231" s="31"/>
      <c r="Q231" s="31"/>
      <c r="R231" s="31"/>
      <c r="S231" s="31"/>
      <c r="T231" s="33"/>
      <c r="U231" s="33"/>
      <c r="V231" s="33"/>
      <c r="W231" s="33"/>
      <c r="X231" s="33"/>
      <c r="Y231" s="33"/>
      <c r="Z231" s="33"/>
    </row>
    <row r="232" spans="1:26" s="32" customFormat="1" ht="12.75" customHeight="1">
      <c r="A232" s="2080" t="s">
        <v>946</v>
      </c>
      <c r="B232" s="2084">
        <v>692</v>
      </c>
      <c r="C232" s="2049"/>
      <c r="D232" s="3554"/>
      <c r="E232" s="3554"/>
      <c r="F232" s="31"/>
      <c r="G232" s="3917"/>
      <c r="H232" s="31"/>
      <c r="I232" s="31"/>
      <c r="J232" s="31"/>
      <c r="K232" s="31"/>
      <c r="L232" s="31"/>
      <c r="M232" s="31"/>
      <c r="N232" s="31"/>
      <c r="O232" s="31"/>
      <c r="P232" s="31"/>
      <c r="Q232" s="31"/>
      <c r="R232" s="31"/>
      <c r="S232" s="31"/>
      <c r="T232" s="33"/>
      <c r="U232" s="33"/>
      <c r="V232" s="33"/>
      <c r="W232" s="33"/>
      <c r="X232" s="33"/>
      <c r="Y232" s="33"/>
      <c r="Z232" s="33"/>
    </row>
    <row r="233" spans="1:26" s="32" customFormat="1" ht="12.75" customHeight="1">
      <c r="A233" s="2082" t="s">
        <v>947</v>
      </c>
      <c r="B233" s="2103">
        <v>694</v>
      </c>
      <c r="C233" s="2049"/>
      <c r="D233" s="2049"/>
      <c r="E233" s="2049"/>
      <c r="F233" s="31"/>
      <c r="G233" s="3917"/>
      <c r="H233" s="31"/>
      <c r="I233" s="31"/>
      <c r="J233" s="31"/>
      <c r="K233" s="31"/>
      <c r="L233" s="31"/>
      <c r="M233" s="31"/>
      <c r="N233" s="31"/>
      <c r="O233" s="31"/>
      <c r="P233" s="31"/>
      <c r="Q233" s="31"/>
      <c r="R233" s="31"/>
      <c r="S233" s="31"/>
      <c r="T233" s="33"/>
      <c r="U233" s="33"/>
      <c r="V233" s="33"/>
      <c r="W233" s="33"/>
      <c r="X233" s="33"/>
      <c r="Y233" s="33"/>
      <c r="Z233" s="33"/>
    </row>
    <row r="234" spans="1:26" s="32" customFormat="1" ht="12.75" customHeight="1">
      <c r="A234" s="2027" t="s">
        <v>4818</v>
      </c>
      <c r="B234" s="2103">
        <v>696</v>
      </c>
      <c r="C234" s="2049"/>
      <c r="D234" s="2049"/>
      <c r="E234" s="2049"/>
      <c r="F234" s="31"/>
      <c r="G234" s="3917"/>
      <c r="H234" s="31"/>
      <c r="I234" s="31"/>
      <c r="J234" s="31"/>
      <c r="K234" s="31"/>
      <c r="L234" s="31"/>
      <c r="M234" s="31"/>
      <c r="N234" s="31"/>
      <c r="O234" s="31"/>
      <c r="P234" s="31"/>
      <c r="Q234" s="31"/>
      <c r="R234" s="31"/>
      <c r="S234" s="31"/>
      <c r="T234" s="33"/>
      <c r="U234" s="33"/>
      <c r="V234" s="33"/>
      <c r="W234" s="33"/>
      <c r="X234" s="33"/>
      <c r="Y234" s="33"/>
      <c r="Z234" s="33"/>
    </row>
    <row r="235" spans="1:26" s="32" customFormat="1" ht="12.75" customHeight="1">
      <c r="A235" s="2080" t="s">
        <v>968</v>
      </c>
      <c r="B235" s="2102">
        <v>698</v>
      </c>
      <c r="C235" s="2049"/>
      <c r="D235" s="3565"/>
      <c r="E235" s="3565"/>
      <c r="F235" s="31"/>
      <c r="G235" s="3917"/>
      <c r="H235" s="31"/>
      <c r="I235" s="31"/>
      <c r="J235" s="31"/>
      <c r="K235" s="31"/>
      <c r="L235" s="31"/>
      <c r="M235" s="31"/>
      <c r="N235" s="31"/>
      <c r="O235" s="31"/>
      <c r="P235" s="31"/>
      <c r="Q235" s="31"/>
      <c r="R235" s="31"/>
      <c r="S235" s="31"/>
      <c r="T235" s="33"/>
      <c r="U235" s="33"/>
      <c r="V235" s="33"/>
      <c r="W235" s="33"/>
      <c r="X235" s="33"/>
      <c r="Y235" s="33"/>
      <c r="Z235" s="33"/>
    </row>
    <row r="236" spans="1:26" s="32" customFormat="1" ht="12.75" customHeight="1">
      <c r="A236" s="2082" t="s">
        <v>950</v>
      </c>
      <c r="B236" s="2102">
        <v>700</v>
      </c>
      <c r="C236" s="2049"/>
      <c r="D236" s="3565"/>
      <c r="E236" s="3565"/>
      <c r="F236" s="31"/>
      <c r="G236" s="3917"/>
      <c r="H236" s="31"/>
      <c r="I236" s="31"/>
      <c r="J236" s="31"/>
      <c r="K236" s="31"/>
      <c r="L236" s="31"/>
      <c r="M236" s="31"/>
      <c r="N236" s="31"/>
      <c r="O236" s="31"/>
      <c r="P236" s="31"/>
      <c r="Q236" s="31"/>
      <c r="R236" s="31"/>
      <c r="S236" s="31"/>
      <c r="T236" s="33"/>
      <c r="U236" s="33"/>
      <c r="V236" s="33"/>
      <c r="W236" s="33"/>
      <c r="X236" s="33"/>
      <c r="Y236" s="33"/>
      <c r="Z236" s="33"/>
    </row>
    <row r="237" spans="1:26" s="32" customFormat="1" ht="12.75" customHeight="1">
      <c r="A237" s="2082" t="s">
        <v>955</v>
      </c>
      <c r="B237" s="2102">
        <v>702</v>
      </c>
      <c r="C237" s="2049"/>
      <c r="D237" s="3565"/>
      <c r="E237" s="3565"/>
      <c r="F237" s="31"/>
      <c r="G237" s="3917"/>
      <c r="H237" s="31"/>
      <c r="I237" s="31"/>
      <c r="J237" s="31"/>
      <c r="K237" s="31"/>
      <c r="L237" s="31"/>
      <c r="M237" s="31"/>
      <c r="N237" s="31"/>
      <c r="O237" s="31"/>
      <c r="P237" s="31"/>
      <c r="Q237" s="31"/>
      <c r="R237" s="31"/>
      <c r="S237" s="31"/>
      <c r="T237" s="33"/>
      <c r="U237" s="33"/>
      <c r="V237" s="33"/>
      <c r="W237" s="33"/>
      <c r="X237" s="33"/>
      <c r="Y237" s="33"/>
      <c r="Z237" s="33"/>
    </row>
    <row r="238" spans="1:26" s="32" customFormat="1" ht="12.75" customHeight="1">
      <c r="A238" s="2082" t="s">
        <v>639</v>
      </c>
      <c r="B238" s="2102">
        <v>704</v>
      </c>
      <c r="C238" s="2049"/>
      <c r="D238" s="3565"/>
      <c r="E238" s="3565"/>
      <c r="F238" s="31"/>
      <c r="G238" s="3917"/>
      <c r="H238" s="31"/>
      <c r="I238" s="31"/>
      <c r="J238" s="31"/>
      <c r="K238" s="31"/>
      <c r="L238" s="31"/>
      <c r="M238" s="31"/>
      <c r="N238" s="31"/>
      <c r="O238" s="31"/>
      <c r="P238" s="31"/>
      <c r="Q238" s="31"/>
      <c r="R238" s="31"/>
      <c r="S238" s="31"/>
      <c r="T238" s="33"/>
      <c r="U238" s="33"/>
      <c r="V238" s="33"/>
      <c r="W238" s="33"/>
      <c r="X238" s="33"/>
      <c r="Y238" s="33"/>
      <c r="Z238" s="33"/>
    </row>
    <row r="239" spans="1:26" s="32" customFormat="1" ht="12.75" customHeight="1">
      <c r="A239" s="2082" t="s">
        <v>960</v>
      </c>
      <c r="B239" s="2103">
        <v>706</v>
      </c>
      <c r="C239" s="2049"/>
      <c r="D239" s="2049"/>
      <c r="E239" s="2049"/>
      <c r="F239" s="31"/>
      <c r="G239" s="3917"/>
      <c r="H239" s="31"/>
      <c r="I239" s="31"/>
      <c r="J239" s="31"/>
      <c r="K239" s="31"/>
      <c r="L239" s="31"/>
      <c r="M239" s="31"/>
      <c r="N239" s="31"/>
      <c r="O239" s="31"/>
      <c r="P239" s="31"/>
      <c r="Q239" s="31"/>
      <c r="R239" s="31"/>
      <c r="S239" s="31"/>
      <c r="T239" s="33"/>
      <c r="U239" s="33"/>
      <c r="V239" s="33"/>
      <c r="W239" s="33"/>
      <c r="X239" s="33"/>
      <c r="Y239" s="33"/>
      <c r="Z239" s="33"/>
    </row>
    <row r="240" spans="1:26" s="32" customFormat="1" ht="12.75" customHeight="1">
      <c r="A240" s="2063" t="s">
        <v>643</v>
      </c>
      <c r="B240" s="2104"/>
      <c r="C240" s="2104"/>
      <c r="D240" s="2104"/>
      <c r="E240" s="2104"/>
      <c r="F240" s="31"/>
      <c r="G240" s="3917"/>
      <c r="H240" s="31"/>
      <c r="I240" s="31"/>
      <c r="J240" s="31"/>
      <c r="K240" s="31"/>
      <c r="L240" s="31"/>
      <c r="M240" s="31"/>
      <c r="N240" s="31"/>
      <c r="O240" s="31"/>
      <c r="P240" s="31"/>
      <c r="Q240" s="31"/>
      <c r="R240" s="31"/>
      <c r="S240" s="31"/>
      <c r="T240" s="33"/>
      <c r="U240" s="33"/>
      <c r="V240" s="33"/>
      <c r="W240" s="33"/>
      <c r="X240" s="33"/>
      <c r="Y240" s="33"/>
      <c r="Z240" s="33"/>
    </row>
    <row r="241" spans="1:26" s="32" customFormat="1" ht="12.75" customHeight="1">
      <c r="A241" s="2064" t="s">
        <v>941</v>
      </c>
      <c r="B241" s="2105"/>
      <c r="C241" s="2105"/>
      <c r="D241" s="2105"/>
      <c r="E241" s="2105"/>
      <c r="F241" s="31"/>
      <c r="G241" s="3917"/>
      <c r="H241" s="31"/>
      <c r="I241" s="31"/>
      <c r="J241" s="31"/>
      <c r="K241" s="31"/>
      <c r="L241" s="31"/>
      <c r="M241" s="31"/>
      <c r="N241" s="31"/>
      <c r="O241" s="31"/>
      <c r="P241" s="31"/>
      <c r="Q241" s="31"/>
      <c r="R241" s="31"/>
      <c r="S241" s="31"/>
      <c r="T241" s="33"/>
      <c r="U241" s="33"/>
      <c r="V241" s="33"/>
      <c r="W241" s="33"/>
      <c r="X241" s="33"/>
      <c r="Y241" s="33"/>
      <c r="Z241" s="33"/>
    </row>
    <row r="242" spans="1:26" s="32" customFormat="1" ht="12.75" customHeight="1">
      <c r="A242" s="2080" t="s">
        <v>300</v>
      </c>
      <c r="B242" s="2084">
        <v>708</v>
      </c>
      <c r="C242" s="3553"/>
      <c r="D242" s="3554"/>
      <c r="E242" s="3554"/>
      <c r="F242" s="31"/>
      <c r="G242" s="3917"/>
      <c r="H242" s="31"/>
      <c r="I242" s="31"/>
      <c r="J242" s="31"/>
      <c r="K242" s="31"/>
      <c r="L242" s="31"/>
      <c r="M242" s="31"/>
      <c r="N242" s="31"/>
      <c r="O242" s="31"/>
      <c r="P242" s="31"/>
      <c r="Q242" s="31"/>
      <c r="R242" s="31"/>
      <c r="S242" s="31"/>
      <c r="T242" s="33"/>
      <c r="U242" s="33"/>
      <c r="V242" s="33"/>
      <c r="W242" s="33"/>
      <c r="X242" s="33"/>
      <c r="Y242" s="33"/>
      <c r="Z242" s="33"/>
    </row>
    <row r="243" spans="1:26" s="32" customFormat="1" ht="12.75" customHeight="1">
      <c r="A243" s="2063" t="s">
        <v>944</v>
      </c>
      <c r="B243" s="2104"/>
      <c r="C243" s="2104"/>
      <c r="D243" s="2104"/>
      <c r="E243" s="2104"/>
      <c r="F243" s="31"/>
      <c r="G243" s="3917"/>
      <c r="H243" s="31"/>
      <c r="I243" s="31"/>
      <c r="J243" s="31"/>
      <c r="K243" s="31"/>
      <c r="L243" s="31"/>
      <c r="M243" s="31"/>
      <c r="N243" s="31"/>
      <c r="O243" s="31"/>
      <c r="P243" s="31"/>
      <c r="Q243" s="31"/>
      <c r="R243" s="31"/>
      <c r="S243" s="31"/>
      <c r="T243" s="33"/>
      <c r="U243" s="33"/>
      <c r="V243" s="33"/>
      <c r="W243" s="33"/>
      <c r="X243" s="33"/>
      <c r="Y243" s="33"/>
      <c r="Z243" s="33"/>
    </row>
    <row r="244" spans="1:26" s="32" customFormat="1" ht="12.75" customHeight="1">
      <c r="A244" s="2080" t="s">
        <v>295</v>
      </c>
      <c r="B244" s="2085">
        <v>710</v>
      </c>
      <c r="C244" s="3553"/>
      <c r="D244" s="3553"/>
      <c r="E244" s="3553"/>
      <c r="F244" s="31"/>
      <c r="G244" s="3917"/>
      <c r="H244" s="31"/>
      <c r="I244" s="31"/>
      <c r="J244" s="31"/>
      <c r="K244" s="31"/>
      <c r="L244" s="31"/>
      <c r="M244" s="31"/>
      <c r="N244" s="31"/>
      <c r="O244" s="31"/>
      <c r="P244" s="31"/>
      <c r="Q244" s="31"/>
      <c r="R244" s="31"/>
      <c r="S244" s="31"/>
      <c r="T244" s="33"/>
      <c r="U244" s="33"/>
      <c r="V244" s="33"/>
      <c r="W244" s="33"/>
      <c r="X244" s="33"/>
      <c r="Y244" s="33"/>
      <c r="Z244" s="33"/>
    </row>
    <row r="245" spans="1:26" s="32" customFormat="1" ht="12.75" customHeight="1">
      <c r="A245" s="2082" t="s">
        <v>946</v>
      </c>
      <c r="B245" s="2103">
        <v>712</v>
      </c>
      <c r="C245" s="2049"/>
      <c r="D245" s="2049"/>
      <c r="E245" s="2049"/>
      <c r="F245" s="31"/>
      <c r="G245" s="3917"/>
      <c r="H245" s="31"/>
      <c r="I245" s="31"/>
      <c r="J245" s="31"/>
      <c r="K245" s="31"/>
      <c r="L245" s="31"/>
      <c r="M245" s="31"/>
      <c r="N245" s="31"/>
      <c r="O245" s="31"/>
      <c r="P245" s="31"/>
      <c r="Q245" s="31"/>
      <c r="R245" s="31"/>
      <c r="S245" s="31"/>
      <c r="T245" s="33"/>
      <c r="U245" s="33"/>
      <c r="V245" s="33"/>
      <c r="W245" s="33"/>
      <c r="X245" s="33"/>
      <c r="Y245" s="33"/>
      <c r="Z245" s="33"/>
    </row>
    <row r="246" spans="1:26" s="32" customFormat="1" ht="12.75" customHeight="1">
      <c r="A246" s="2082" t="s">
        <v>947</v>
      </c>
      <c r="B246" s="2102">
        <v>714</v>
      </c>
      <c r="C246" s="2049"/>
      <c r="D246" s="3565"/>
      <c r="E246" s="3565"/>
      <c r="F246" s="31"/>
      <c r="G246" s="3917"/>
      <c r="H246" s="31"/>
      <c r="I246" s="31"/>
      <c r="J246" s="31"/>
      <c r="K246" s="31"/>
      <c r="L246" s="31"/>
      <c r="M246" s="31"/>
      <c r="N246" s="31"/>
      <c r="O246" s="31"/>
      <c r="P246" s="31"/>
      <c r="Q246" s="31"/>
      <c r="R246" s="31"/>
      <c r="S246" s="31"/>
      <c r="T246" s="33"/>
      <c r="U246" s="33"/>
      <c r="V246" s="33"/>
      <c r="W246" s="33"/>
      <c r="X246" s="33"/>
      <c r="Y246" s="33"/>
      <c r="Z246" s="33"/>
    </row>
    <row r="247" spans="1:26" s="32" customFormat="1" ht="12.75" customHeight="1">
      <c r="A247" s="2058" t="s">
        <v>4818</v>
      </c>
      <c r="B247" s="2102">
        <v>716</v>
      </c>
      <c r="C247" s="2049"/>
      <c r="D247" s="3565"/>
      <c r="E247" s="3565"/>
      <c r="F247" s="31"/>
      <c r="G247" s="3917"/>
      <c r="H247" s="31"/>
      <c r="I247" s="31"/>
      <c r="J247" s="31"/>
      <c r="K247" s="31"/>
      <c r="L247" s="31"/>
      <c r="M247" s="31"/>
      <c r="N247" s="31"/>
      <c r="O247" s="31"/>
      <c r="P247" s="31"/>
      <c r="Q247" s="31"/>
      <c r="R247" s="31"/>
      <c r="S247" s="31"/>
      <c r="T247" s="33"/>
      <c r="U247" s="33"/>
      <c r="V247" s="33"/>
      <c r="W247" s="33"/>
      <c r="X247" s="33"/>
      <c r="Y247" s="33"/>
      <c r="Z247" s="33"/>
    </row>
    <row r="248" spans="1:26" s="32" customFormat="1" ht="12.75" customHeight="1">
      <c r="A248" s="2083" t="s">
        <v>968</v>
      </c>
      <c r="B248" s="2102">
        <v>718</v>
      </c>
      <c r="C248" s="2049"/>
      <c r="D248" s="3565"/>
      <c r="E248" s="3565"/>
      <c r="F248" s="31"/>
      <c r="G248" s="3917"/>
      <c r="H248" s="31"/>
      <c r="I248" s="31"/>
      <c r="J248" s="31"/>
      <c r="K248" s="31"/>
      <c r="L248" s="31"/>
      <c r="M248" s="31"/>
      <c r="N248" s="31"/>
      <c r="O248" s="31"/>
      <c r="P248" s="31"/>
      <c r="Q248" s="31"/>
      <c r="R248" s="31"/>
      <c r="S248" s="31"/>
      <c r="T248" s="33"/>
      <c r="U248" s="33"/>
      <c r="V248" s="33"/>
      <c r="W248" s="33"/>
      <c r="X248" s="33"/>
      <c r="Y248" s="33"/>
      <c r="Z248" s="33"/>
    </row>
    <row r="249" spans="1:26" s="32" customFormat="1" ht="12.75" customHeight="1">
      <c r="A249" s="2083" t="s">
        <v>950</v>
      </c>
      <c r="B249" s="2102">
        <v>720</v>
      </c>
      <c r="C249" s="2049"/>
      <c r="D249" s="3565"/>
      <c r="E249" s="3565"/>
      <c r="F249" s="31"/>
      <c r="G249" s="3917"/>
      <c r="H249" s="31"/>
      <c r="I249" s="31"/>
      <c r="J249" s="31"/>
      <c r="K249" s="31"/>
      <c r="L249" s="31"/>
      <c r="M249" s="31"/>
      <c r="N249" s="31"/>
      <c r="O249" s="31"/>
      <c r="P249" s="31"/>
      <c r="Q249" s="31"/>
      <c r="R249" s="31"/>
      <c r="S249" s="31"/>
      <c r="T249" s="33"/>
      <c r="U249" s="33"/>
      <c r="V249" s="33"/>
      <c r="W249" s="33"/>
      <c r="X249" s="33"/>
      <c r="Y249" s="33"/>
      <c r="Z249" s="33"/>
    </row>
    <row r="250" spans="1:26" s="32" customFormat="1" ht="12.75" customHeight="1">
      <c r="A250" s="2083" t="s">
        <v>955</v>
      </c>
      <c r="B250" s="2102">
        <v>722</v>
      </c>
      <c r="C250" s="2049"/>
      <c r="D250" s="3565"/>
      <c r="E250" s="3565"/>
      <c r="F250" s="31"/>
      <c r="G250" s="3917"/>
      <c r="H250" s="31"/>
      <c r="I250" s="31"/>
      <c r="J250" s="31"/>
      <c r="K250" s="31"/>
      <c r="L250" s="31"/>
      <c r="M250" s="31"/>
      <c r="N250" s="31"/>
      <c r="O250" s="31"/>
      <c r="P250" s="31"/>
      <c r="Q250" s="31"/>
      <c r="R250" s="31"/>
      <c r="S250" s="31"/>
      <c r="T250" s="33"/>
      <c r="U250" s="33"/>
      <c r="V250" s="33"/>
      <c r="W250" s="33"/>
      <c r="X250" s="33"/>
      <c r="Y250" s="33"/>
      <c r="Z250" s="33"/>
    </row>
    <row r="251" spans="1:26" s="32" customFormat="1" ht="12.75" customHeight="1">
      <c r="A251" s="2083" t="s">
        <v>639</v>
      </c>
      <c r="B251" s="2102">
        <v>724</v>
      </c>
      <c r="C251" s="2049"/>
      <c r="D251" s="3565"/>
      <c r="E251" s="3565"/>
      <c r="F251" s="31"/>
      <c r="G251" s="3917"/>
      <c r="H251" s="31"/>
      <c r="I251" s="31"/>
      <c r="J251" s="31"/>
      <c r="K251" s="31"/>
      <c r="L251" s="31"/>
      <c r="M251" s="31"/>
      <c r="N251" s="31"/>
      <c r="O251" s="31"/>
      <c r="P251" s="31"/>
      <c r="Q251" s="31"/>
      <c r="R251" s="31"/>
      <c r="S251" s="31"/>
      <c r="T251" s="33"/>
      <c r="U251" s="33"/>
      <c r="V251" s="33"/>
      <c r="W251" s="33"/>
      <c r="X251" s="33"/>
      <c r="Y251" s="33"/>
      <c r="Z251" s="33"/>
    </row>
    <row r="252" spans="1:26" s="32" customFormat="1" ht="12.75" customHeight="1">
      <c r="A252" s="2083" t="s">
        <v>960</v>
      </c>
      <c r="B252" s="2102">
        <v>726</v>
      </c>
      <c r="C252" s="3565"/>
      <c r="D252" s="3565"/>
      <c r="E252" s="3565"/>
      <c r="F252" s="31"/>
      <c r="G252" s="3917"/>
      <c r="H252" s="31"/>
      <c r="I252" s="31"/>
      <c r="J252" s="31"/>
      <c r="K252" s="31"/>
      <c r="L252" s="31"/>
      <c r="M252" s="31"/>
      <c r="N252" s="31"/>
      <c r="O252" s="31"/>
      <c r="P252" s="31"/>
      <c r="Q252" s="31"/>
      <c r="R252" s="31"/>
      <c r="S252" s="31"/>
      <c r="T252" s="33"/>
      <c r="U252" s="33"/>
      <c r="V252" s="33"/>
      <c r="W252" s="33"/>
      <c r="X252" s="33"/>
      <c r="Y252" s="33"/>
      <c r="Z252" s="33"/>
    </row>
    <row r="253" spans="1:26" s="32" customFormat="1" ht="12.75" customHeight="1">
      <c r="A253" s="2061" t="s">
        <v>1325</v>
      </c>
      <c r="B253" s="2097"/>
      <c r="C253" s="2097"/>
      <c r="D253" s="2097"/>
      <c r="E253" s="2097"/>
      <c r="F253" s="31"/>
      <c r="G253" s="3917"/>
      <c r="H253" s="31"/>
      <c r="I253" s="31"/>
      <c r="J253" s="31"/>
      <c r="K253" s="31"/>
      <c r="L253" s="31"/>
      <c r="M253" s="31"/>
      <c r="N253" s="31"/>
      <c r="O253" s="31"/>
      <c r="P253" s="31"/>
      <c r="Q253" s="31"/>
      <c r="R253" s="31"/>
      <c r="S253" s="31"/>
      <c r="T253" s="33"/>
      <c r="U253" s="33"/>
      <c r="V253" s="33"/>
      <c r="W253" s="33"/>
      <c r="X253" s="33"/>
      <c r="Y253" s="33"/>
      <c r="Z253" s="33"/>
    </row>
    <row r="254" spans="1:26" s="32" customFormat="1" ht="12.75" customHeight="1">
      <c r="A254" s="2062" t="s">
        <v>972</v>
      </c>
      <c r="B254" s="2098"/>
      <c r="C254" s="2098"/>
      <c r="D254" s="2098"/>
      <c r="E254" s="2098"/>
      <c r="F254" s="31"/>
      <c r="G254" s="3917"/>
      <c r="H254" s="31"/>
      <c r="I254" s="31"/>
      <c r="J254" s="31"/>
      <c r="K254" s="31"/>
      <c r="L254" s="31"/>
      <c r="M254" s="31"/>
      <c r="N254" s="31"/>
      <c r="O254" s="31"/>
      <c r="P254" s="31"/>
      <c r="Q254" s="31"/>
      <c r="R254" s="31"/>
      <c r="S254" s="31"/>
      <c r="T254" s="33"/>
      <c r="U254" s="33"/>
      <c r="V254" s="33"/>
      <c r="W254" s="33"/>
      <c r="X254" s="33"/>
      <c r="Y254" s="33"/>
      <c r="Z254" s="33"/>
    </row>
    <row r="255" spans="1:26" s="32" customFormat="1" ht="12.75" customHeight="1">
      <c r="A255" s="2076" t="s">
        <v>999</v>
      </c>
      <c r="B255" s="2107">
        <v>895</v>
      </c>
      <c r="C255" s="3555"/>
      <c r="D255" s="3553"/>
      <c r="E255" s="3553"/>
      <c r="F255" s="31"/>
      <c r="G255" s="3917"/>
      <c r="H255" s="31"/>
      <c r="I255" s="31"/>
      <c r="J255" s="31"/>
      <c r="K255" s="31"/>
      <c r="L255" s="31"/>
      <c r="M255" s="31"/>
      <c r="N255" s="31"/>
      <c r="O255" s="31"/>
      <c r="P255" s="31"/>
      <c r="Q255" s="31"/>
      <c r="R255" s="31"/>
      <c r="S255" s="31"/>
      <c r="T255" s="33"/>
      <c r="U255" s="33"/>
      <c r="V255" s="33"/>
      <c r="W255" s="33"/>
      <c r="X255" s="33"/>
      <c r="Y255" s="33"/>
      <c r="Z255" s="33"/>
    </row>
    <row r="256" spans="1:26" s="32" customFormat="1" ht="12.75" customHeight="1">
      <c r="A256" s="2077" t="s">
        <v>943</v>
      </c>
      <c r="B256" s="2108">
        <v>900</v>
      </c>
      <c r="C256" s="3555"/>
      <c r="D256" s="2049"/>
      <c r="E256" s="2049"/>
      <c r="F256" s="31"/>
      <c r="G256" s="3917"/>
      <c r="H256" s="31"/>
      <c r="I256" s="31"/>
      <c r="J256" s="31"/>
      <c r="K256" s="31"/>
      <c r="L256" s="31"/>
      <c r="M256" s="31"/>
      <c r="N256" s="31"/>
      <c r="O256" s="31"/>
      <c r="P256" s="31"/>
      <c r="Q256" s="31"/>
      <c r="R256" s="31"/>
      <c r="S256" s="31"/>
      <c r="T256" s="33"/>
      <c r="U256" s="33"/>
      <c r="V256" s="33"/>
      <c r="W256" s="33"/>
      <c r="X256" s="33"/>
      <c r="Y256" s="33"/>
      <c r="Z256" s="33"/>
    </row>
    <row r="257" spans="1:26" s="32" customFormat="1" ht="12.75" customHeight="1">
      <c r="A257" s="2061" t="s">
        <v>973</v>
      </c>
      <c r="B257" s="2097"/>
      <c r="C257" s="2097"/>
      <c r="D257" s="2097"/>
      <c r="E257" s="2097"/>
      <c r="F257" s="31"/>
      <c r="G257" s="3917"/>
      <c r="H257" s="31"/>
      <c r="I257" s="31"/>
      <c r="J257" s="31"/>
      <c r="K257" s="31"/>
      <c r="L257" s="31"/>
      <c r="M257" s="31"/>
      <c r="N257" s="31"/>
      <c r="O257" s="31"/>
      <c r="P257" s="31"/>
      <c r="Q257" s="31"/>
      <c r="R257" s="31"/>
      <c r="S257" s="31"/>
      <c r="T257" s="33"/>
      <c r="U257" s="33"/>
      <c r="V257" s="33"/>
      <c r="W257" s="33"/>
      <c r="X257" s="33"/>
      <c r="Y257" s="33"/>
      <c r="Z257" s="33"/>
    </row>
    <row r="258" spans="1:26" s="32" customFormat="1" ht="12.75" customHeight="1">
      <c r="A258" s="2076" t="s">
        <v>1000</v>
      </c>
      <c r="B258" s="2107">
        <v>905</v>
      </c>
      <c r="C258" s="3555"/>
      <c r="D258" s="3553"/>
      <c r="E258" s="3553"/>
      <c r="F258" s="31"/>
      <c r="G258" s="3917"/>
      <c r="H258" s="31"/>
      <c r="I258" s="31"/>
      <c r="J258" s="31"/>
      <c r="K258" s="31"/>
      <c r="L258" s="31"/>
      <c r="M258" s="31"/>
      <c r="N258" s="31"/>
      <c r="O258" s="31"/>
      <c r="P258" s="31"/>
      <c r="Q258" s="31"/>
      <c r="R258" s="31"/>
      <c r="S258" s="31"/>
      <c r="T258" s="33"/>
      <c r="U258" s="33"/>
      <c r="V258" s="33"/>
      <c r="W258" s="33"/>
      <c r="X258" s="33"/>
      <c r="Y258" s="33"/>
      <c r="Z258" s="33"/>
    </row>
    <row r="259" spans="1:26" s="32" customFormat="1" ht="12.75" customHeight="1">
      <c r="A259" s="2077" t="s">
        <v>977</v>
      </c>
      <c r="B259" s="2108">
        <v>910</v>
      </c>
      <c r="C259" s="3555"/>
      <c r="D259" s="2049"/>
      <c r="E259" s="2049"/>
      <c r="F259" s="31"/>
      <c r="G259" s="3917"/>
      <c r="H259" s="31"/>
      <c r="I259" s="31"/>
      <c r="J259" s="31"/>
      <c r="K259" s="31"/>
      <c r="L259" s="31"/>
      <c r="M259" s="31"/>
      <c r="N259" s="31"/>
      <c r="O259" s="31"/>
      <c r="P259" s="31"/>
      <c r="Q259" s="31"/>
      <c r="R259" s="31"/>
      <c r="S259" s="31"/>
      <c r="T259" s="33"/>
      <c r="U259" s="33"/>
      <c r="V259" s="33"/>
      <c r="W259" s="33"/>
      <c r="X259" s="33"/>
      <c r="Y259" s="33"/>
      <c r="Z259" s="33"/>
    </row>
    <row r="260" spans="1:26" s="32" customFormat="1" ht="12.75" customHeight="1">
      <c r="A260" s="2077" t="s">
        <v>978</v>
      </c>
      <c r="B260" s="2108">
        <v>915</v>
      </c>
      <c r="C260" s="3555"/>
      <c r="D260" s="2049"/>
      <c r="E260" s="2049"/>
      <c r="F260" s="31"/>
      <c r="G260" s="3917"/>
      <c r="H260" s="31"/>
      <c r="I260" s="31"/>
      <c r="J260" s="31"/>
      <c r="K260" s="31"/>
      <c r="L260" s="31"/>
      <c r="M260" s="31"/>
      <c r="N260" s="31"/>
      <c r="O260" s="31"/>
      <c r="P260" s="31"/>
      <c r="Q260" s="31"/>
      <c r="R260" s="31"/>
      <c r="S260" s="31"/>
      <c r="T260" s="33"/>
      <c r="U260" s="33"/>
      <c r="V260" s="33"/>
      <c r="W260" s="33"/>
      <c r="X260" s="33"/>
      <c r="Y260" s="33"/>
      <c r="Z260" s="33"/>
    </row>
    <row r="261" spans="1:26" s="32" customFormat="1" ht="12.75" customHeight="1">
      <c r="A261" s="2058" t="s">
        <v>4818</v>
      </c>
      <c r="B261" s="2109">
        <v>920</v>
      </c>
      <c r="C261" s="3555"/>
      <c r="D261" s="3565"/>
      <c r="E261" s="3565"/>
      <c r="F261" s="31"/>
      <c r="G261" s="3917"/>
      <c r="H261" s="31"/>
      <c r="I261" s="31"/>
      <c r="J261" s="31"/>
      <c r="K261" s="31"/>
      <c r="L261" s="31"/>
      <c r="M261" s="31"/>
      <c r="N261" s="31"/>
      <c r="O261" s="31"/>
      <c r="P261" s="31"/>
      <c r="Q261" s="31"/>
      <c r="R261" s="31"/>
      <c r="S261" s="31"/>
      <c r="T261" s="33"/>
      <c r="U261" s="33"/>
      <c r="V261" s="33"/>
      <c r="W261" s="33"/>
      <c r="X261" s="33"/>
      <c r="Y261" s="33"/>
      <c r="Z261" s="33"/>
    </row>
    <row r="262" spans="1:26" s="32" customFormat="1" ht="12.75" customHeight="1">
      <c r="A262" s="2077" t="s">
        <v>979</v>
      </c>
      <c r="B262" s="2108">
        <v>925</v>
      </c>
      <c r="C262" s="3555"/>
      <c r="D262" s="2049"/>
      <c r="E262" s="2049"/>
      <c r="F262" s="31"/>
      <c r="G262" s="3917"/>
      <c r="H262" s="31"/>
      <c r="I262" s="31"/>
      <c r="J262" s="31"/>
      <c r="K262" s="31"/>
      <c r="L262" s="31"/>
      <c r="M262" s="31"/>
      <c r="N262" s="31"/>
      <c r="O262" s="31"/>
      <c r="P262" s="31"/>
      <c r="Q262" s="31"/>
      <c r="R262" s="31"/>
      <c r="S262" s="31"/>
      <c r="T262" s="33"/>
      <c r="U262" s="33"/>
      <c r="V262" s="33"/>
      <c r="W262" s="33"/>
      <c r="X262" s="33"/>
      <c r="Y262" s="33"/>
      <c r="Z262" s="33"/>
    </row>
    <row r="263" spans="1:26" s="32" customFormat="1" ht="12.75" customHeight="1">
      <c r="A263" s="2077" t="s">
        <v>986</v>
      </c>
      <c r="B263" s="2108">
        <v>930</v>
      </c>
      <c r="C263" s="3555"/>
      <c r="D263" s="2049"/>
      <c r="E263" s="2049"/>
      <c r="F263" s="31"/>
      <c r="G263" s="3917"/>
      <c r="H263" s="31"/>
      <c r="I263" s="31"/>
      <c r="J263" s="31"/>
      <c r="K263" s="31"/>
      <c r="L263" s="31"/>
      <c r="M263" s="31"/>
      <c r="N263" s="31"/>
      <c r="O263" s="31"/>
      <c r="P263" s="31"/>
      <c r="Q263" s="31"/>
      <c r="R263" s="31"/>
      <c r="S263" s="31"/>
      <c r="T263" s="33"/>
      <c r="U263" s="33"/>
      <c r="V263" s="33"/>
      <c r="W263" s="33"/>
      <c r="X263" s="33"/>
      <c r="Y263" s="33"/>
      <c r="Z263" s="33"/>
    </row>
    <row r="264" spans="1:26" s="32" customFormat="1" ht="12.75" customHeight="1">
      <c r="A264" s="2077" t="s">
        <v>989</v>
      </c>
      <c r="B264" s="2108">
        <v>935</v>
      </c>
      <c r="C264" s="3555"/>
      <c r="D264" s="2049"/>
      <c r="E264" s="2049"/>
      <c r="F264" s="31"/>
      <c r="G264" s="3917"/>
      <c r="H264" s="31"/>
      <c r="I264" s="31"/>
      <c r="J264" s="31"/>
      <c r="K264" s="31"/>
      <c r="L264" s="31"/>
      <c r="M264" s="31"/>
      <c r="N264" s="31"/>
      <c r="O264" s="31"/>
      <c r="P264" s="31"/>
      <c r="Q264" s="31"/>
      <c r="R264" s="31"/>
      <c r="S264" s="31"/>
      <c r="T264" s="33"/>
      <c r="U264" s="33"/>
      <c r="V264" s="33"/>
      <c r="W264" s="33"/>
      <c r="X264" s="33"/>
      <c r="Y264" s="33"/>
      <c r="Z264" s="33"/>
    </row>
    <row r="265" spans="1:26" s="32" customFormat="1" ht="12.75" customHeight="1">
      <c r="A265" s="2077" t="s">
        <v>997</v>
      </c>
      <c r="B265" s="2108">
        <v>940</v>
      </c>
      <c r="C265" s="3555"/>
      <c r="D265" s="2049"/>
      <c r="E265" s="2049"/>
      <c r="F265" s="31"/>
      <c r="G265" s="3917"/>
      <c r="H265" s="31"/>
      <c r="I265" s="31"/>
      <c r="J265" s="31"/>
      <c r="K265" s="31"/>
      <c r="L265" s="31"/>
      <c r="M265" s="31"/>
      <c r="N265" s="31"/>
      <c r="O265" s="31"/>
      <c r="P265" s="31"/>
      <c r="Q265" s="31"/>
      <c r="R265" s="31"/>
      <c r="S265" s="31"/>
      <c r="T265" s="33"/>
      <c r="U265" s="33"/>
      <c r="V265" s="33"/>
      <c r="W265" s="33"/>
      <c r="X265" s="33"/>
      <c r="Y265" s="33"/>
      <c r="Z265" s="33"/>
    </row>
    <row r="266" spans="1:26" s="32" customFormat="1" ht="12.75" customHeight="1">
      <c r="A266" s="2077" t="s">
        <v>998</v>
      </c>
      <c r="B266" s="2108">
        <v>945</v>
      </c>
      <c r="C266" s="3555"/>
      <c r="D266" s="2049"/>
      <c r="E266" s="2049"/>
      <c r="F266" s="31"/>
      <c r="G266" s="3917"/>
      <c r="H266" s="31"/>
      <c r="I266" s="31"/>
      <c r="J266" s="31"/>
      <c r="K266" s="31"/>
      <c r="L266" s="31"/>
      <c r="M266" s="31"/>
      <c r="N266" s="31"/>
      <c r="O266" s="31"/>
      <c r="P266" s="31"/>
      <c r="Q266" s="31"/>
      <c r="R266" s="31"/>
      <c r="S266" s="31"/>
      <c r="T266" s="33"/>
      <c r="U266" s="33"/>
      <c r="V266" s="33"/>
      <c r="W266" s="33"/>
      <c r="X266" s="33"/>
      <c r="Y266" s="33"/>
      <c r="Z266" s="33"/>
    </row>
    <row r="267" spans="1:26" s="32" customFormat="1" ht="12.75" customHeight="1">
      <c r="A267" s="2077" t="s">
        <v>1001</v>
      </c>
      <c r="B267" s="2099">
        <v>785</v>
      </c>
      <c r="C267" s="3555"/>
      <c r="D267" s="2049"/>
      <c r="E267" s="2049"/>
      <c r="F267" s="31"/>
      <c r="G267" s="3917"/>
      <c r="H267" s="31"/>
      <c r="I267" s="31"/>
      <c r="J267" s="31"/>
      <c r="K267" s="31"/>
      <c r="L267" s="31"/>
      <c r="M267" s="31"/>
      <c r="N267" s="31"/>
      <c r="O267" s="31"/>
      <c r="P267" s="31"/>
      <c r="Q267" s="31"/>
      <c r="R267" s="31"/>
      <c r="S267" s="31"/>
      <c r="T267" s="33"/>
      <c r="U267" s="33"/>
      <c r="V267" s="33"/>
      <c r="W267" s="33"/>
      <c r="X267" s="33"/>
      <c r="Y267" s="33"/>
      <c r="Z267" s="33"/>
    </row>
    <row r="268" spans="1:26" s="32" customFormat="1" ht="12.75" customHeight="1">
      <c r="A268" s="2077" t="s">
        <v>1002</v>
      </c>
      <c r="B268" s="2099">
        <v>790</v>
      </c>
      <c r="C268" s="3553"/>
      <c r="D268" s="2049"/>
      <c r="E268" s="2049"/>
      <c r="F268" s="31"/>
      <c r="G268" s="3917"/>
      <c r="H268" s="31"/>
      <c r="I268" s="31"/>
      <c r="J268" s="31"/>
      <c r="K268" s="31"/>
      <c r="L268" s="31"/>
      <c r="M268" s="31"/>
      <c r="N268" s="31"/>
      <c r="O268" s="31"/>
      <c r="P268" s="31"/>
      <c r="Q268" s="31"/>
      <c r="R268" s="31"/>
      <c r="S268" s="31"/>
      <c r="T268" s="33"/>
      <c r="U268" s="33"/>
      <c r="V268" s="33"/>
      <c r="W268" s="33"/>
      <c r="X268" s="33"/>
      <c r="Y268" s="33"/>
      <c r="Z268" s="33"/>
    </row>
    <row r="269" spans="1:26" s="32" customFormat="1" ht="12.75" customHeight="1">
      <c r="A269" s="2061" t="s">
        <v>1003</v>
      </c>
      <c r="B269" s="2097"/>
      <c r="C269" s="2097"/>
      <c r="D269" s="2097"/>
      <c r="E269" s="2097"/>
      <c r="F269" s="31"/>
      <c r="G269" s="3917"/>
      <c r="H269" s="31"/>
      <c r="I269" s="31"/>
      <c r="J269" s="31"/>
      <c r="K269" s="31"/>
      <c r="L269" s="31"/>
      <c r="M269" s="31"/>
      <c r="N269" s="31"/>
      <c r="O269" s="31"/>
      <c r="P269" s="31"/>
      <c r="Q269" s="31"/>
      <c r="R269" s="31"/>
      <c r="S269" s="31"/>
      <c r="T269" s="33"/>
      <c r="U269" s="33"/>
      <c r="V269" s="33"/>
      <c r="W269" s="33"/>
      <c r="X269" s="33"/>
      <c r="Y269" s="33"/>
      <c r="Z269" s="33"/>
    </row>
    <row r="270" spans="1:26" s="32" customFormat="1" ht="12.75" customHeight="1">
      <c r="A270" s="2076" t="s">
        <v>5160</v>
      </c>
      <c r="B270" s="3273">
        <v>792</v>
      </c>
      <c r="C270" s="3550"/>
      <c r="D270" s="3550"/>
      <c r="E270" s="3550"/>
      <c r="F270" s="31"/>
      <c r="G270" s="3918"/>
      <c r="H270" s="608" t="s">
        <v>50</v>
      </c>
      <c r="I270" s="31"/>
      <c r="J270" s="31"/>
      <c r="K270" s="31"/>
      <c r="L270" s="31"/>
      <c r="M270" s="31"/>
      <c r="N270" s="31"/>
      <c r="O270" s="31"/>
      <c r="P270" s="31"/>
      <c r="Q270" s="31"/>
      <c r="R270" s="31"/>
      <c r="S270" s="31"/>
      <c r="T270" s="33"/>
      <c r="U270" s="33"/>
      <c r="V270" s="33"/>
      <c r="W270" s="33"/>
      <c r="X270" s="33"/>
      <c r="Y270" s="33"/>
      <c r="Z270" s="33"/>
    </row>
    <row r="271" spans="1:26" s="32" customFormat="1" ht="12.75" customHeight="1">
      <c r="A271" s="2076" t="s">
        <v>1004</v>
      </c>
      <c r="B271" s="3273">
        <v>795</v>
      </c>
      <c r="C271" s="2049">
        <v>0</v>
      </c>
      <c r="D271" s="2049">
        <v>0</v>
      </c>
      <c r="E271" s="2049">
        <v>0</v>
      </c>
      <c r="F271" s="31"/>
      <c r="G271" s="3917"/>
      <c r="H271" s="31"/>
      <c r="I271" s="31"/>
      <c r="J271" s="31"/>
      <c r="K271" s="31"/>
      <c r="L271" s="31"/>
      <c r="M271" s="31"/>
      <c r="N271" s="31"/>
      <c r="O271" s="31"/>
      <c r="P271" s="31"/>
      <c r="Q271" s="31"/>
      <c r="R271" s="31"/>
      <c r="S271" s="31"/>
      <c r="T271" s="33"/>
      <c r="U271" s="33"/>
      <c r="V271" s="33"/>
      <c r="W271" s="33"/>
      <c r="X271" s="33"/>
      <c r="Y271" s="33"/>
      <c r="Z271" s="33"/>
    </row>
    <row r="272" spans="1:26" s="32" customFormat="1" ht="12.75" customHeight="1">
      <c r="A272" s="2077" t="s">
        <v>1005</v>
      </c>
      <c r="B272" s="2099">
        <v>800</v>
      </c>
      <c r="C272" s="2049">
        <v>0</v>
      </c>
      <c r="D272" s="2049">
        <v>0</v>
      </c>
      <c r="E272" s="2049">
        <v>0</v>
      </c>
      <c r="F272" s="31"/>
      <c r="G272" s="3918"/>
      <c r="H272" s="31"/>
      <c r="I272" s="31"/>
      <c r="J272" s="31"/>
      <c r="K272" s="31"/>
      <c r="L272" s="31"/>
      <c r="M272" s="31"/>
      <c r="N272" s="31"/>
      <c r="O272" s="31"/>
      <c r="P272" s="31"/>
      <c r="Q272" s="31"/>
      <c r="R272" s="31"/>
      <c r="S272" s="31"/>
      <c r="T272" s="33"/>
      <c r="U272" s="33"/>
      <c r="V272" s="33"/>
      <c r="W272" s="33"/>
      <c r="X272" s="33"/>
      <c r="Y272" s="33"/>
      <c r="Z272" s="33"/>
    </row>
    <row r="273" spans="1:26" s="32" customFormat="1" ht="12.75" customHeight="1">
      <c r="A273" s="2077" t="s">
        <v>1006</v>
      </c>
      <c r="B273" s="2099">
        <v>805</v>
      </c>
      <c r="C273" s="3565">
        <v>1035</v>
      </c>
      <c r="D273" s="3565">
        <v>912</v>
      </c>
      <c r="E273" s="2049">
        <v>912</v>
      </c>
      <c r="F273" s="31"/>
      <c r="G273" s="3917"/>
      <c r="H273" s="575" t="s">
        <v>4420</v>
      </c>
      <c r="I273" s="575"/>
      <c r="J273" s="31"/>
      <c r="K273" s="618">
        <f>IF('F150'!J19=0,0,'F155'!H42)</f>
        <v>910</v>
      </c>
      <c r="L273" s="31"/>
      <c r="M273" s="609" t="s">
        <v>4413</v>
      </c>
      <c r="N273" s="619" t="str">
        <f>IF(E273&gt;=K273,"YES","NO")</f>
        <v>YES</v>
      </c>
      <c r="O273" s="31"/>
      <c r="P273" s="31"/>
      <c r="Q273" s="31"/>
      <c r="R273" s="31"/>
      <c r="S273" s="31"/>
      <c r="T273" s="33"/>
      <c r="U273" s="33"/>
      <c r="V273" s="33"/>
      <c r="W273" s="33"/>
      <c r="X273" s="33"/>
      <c r="Y273" s="33"/>
      <c r="Z273" s="33"/>
    </row>
    <row r="274" spans="1:26" s="32" customFormat="1" ht="12.75" customHeight="1">
      <c r="A274" s="2077" t="s">
        <v>895</v>
      </c>
      <c r="B274" s="2099">
        <v>810</v>
      </c>
      <c r="C274" s="2049">
        <v>0</v>
      </c>
      <c r="D274" s="2049">
        <v>0</v>
      </c>
      <c r="E274" s="2049">
        <v>0</v>
      </c>
      <c r="F274" s="31"/>
      <c r="G274" s="3917"/>
      <c r="H274" s="31"/>
      <c r="I274" s="31"/>
      <c r="J274" s="31"/>
      <c r="K274" s="31"/>
      <c r="L274" s="31"/>
      <c r="M274" s="31"/>
      <c r="N274" s="31"/>
      <c r="O274" s="31"/>
      <c r="P274" s="31"/>
      <c r="Q274" s="31"/>
      <c r="R274" s="31"/>
      <c r="S274" s="31"/>
      <c r="T274" s="33"/>
      <c r="U274" s="33"/>
      <c r="V274" s="33"/>
      <c r="W274" s="33"/>
      <c r="X274" s="33"/>
      <c r="Y274" s="33"/>
      <c r="Z274" s="33"/>
    </row>
    <row r="275" spans="1:26" s="32" customFormat="1" ht="12.75" customHeight="1">
      <c r="A275" s="2077" t="s">
        <v>1007</v>
      </c>
      <c r="B275" s="2099">
        <v>815</v>
      </c>
      <c r="C275" s="3553">
        <v>0</v>
      </c>
      <c r="D275" s="3553">
        <v>0</v>
      </c>
      <c r="E275" s="2049">
        <v>0</v>
      </c>
      <c r="F275" s="31"/>
      <c r="G275" s="3919"/>
      <c r="H275" s="31"/>
      <c r="I275" s="31"/>
      <c r="J275" s="31"/>
      <c r="K275" s="31"/>
      <c r="L275" s="31"/>
      <c r="M275" s="31"/>
      <c r="N275" s="31"/>
      <c r="O275" s="31"/>
      <c r="P275" s="31"/>
      <c r="Q275" s="31"/>
      <c r="R275" s="31"/>
      <c r="S275" s="31"/>
      <c r="T275" s="33"/>
      <c r="U275" s="33"/>
      <c r="V275" s="33"/>
      <c r="W275" s="33"/>
      <c r="X275" s="33"/>
      <c r="Y275" s="33"/>
      <c r="Z275" s="33"/>
    </row>
    <row r="276" spans="1:26" s="32" customFormat="1" ht="12.75" customHeight="1">
      <c r="A276" s="2077" t="s">
        <v>5162</v>
      </c>
      <c r="B276" s="2099">
        <v>823</v>
      </c>
      <c r="C276" s="3553">
        <v>0</v>
      </c>
      <c r="D276" s="3553">
        <v>0</v>
      </c>
      <c r="E276" s="2049">
        <v>0</v>
      </c>
      <c r="F276" s="31"/>
      <c r="G276" s="3917"/>
      <c r="H276" s="31"/>
      <c r="I276" s="31"/>
      <c r="J276" s="31"/>
      <c r="K276" s="31"/>
      <c r="L276" s="31"/>
      <c r="M276" s="31"/>
      <c r="N276" s="31"/>
      <c r="O276" s="31"/>
      <c r="P276" s="31"/>
      <c r="Q276" s="31"/>
      <c r="R276" s="31"/>
      <c r="S276" s="31"/>
      <c r="T276" s="33"/>
      <c r="U276" s="33"/>
      <c r="V276" s="33"/>
      <c r="W276" s="33"/>
      <c r="X276" s="33"/>
      <c r="Y276" s="33"/>
      <c r="Z276" s="33"/>
    </row>
    <row r="277" spans="1:26" s="32" customFormat="1" ht="12.75" customHeight="1">
      <c r="A277" s="2077" t="s">
        <v>1009</v>
      </c>
      <c r="B277" s="2099">
        <v>825</v>
      </c>
      <c r="C277" s="3553">
        <v>58612</v>
      </c>
      <c r="D277" s="3553">
        <v>10430</v>
      </c>
      <c r="E277" s="2049">
        <v>10430</v>
      </c>
      <c r="F277" s="674"/>
      <c r="G277" s="3917"/>
      <c r="H277" s="31"/>
      <c r="I277" s="31"/>
      <c r="J277" s="31"/>
      <c r="K277" s="31"/>
      <c r="L277" s="31"/>
      <c r="M277" s="31"/>
      <c r="N277" s="31"/>
      <c r="O277" s="31"/>
      <c r="P277" s="31"/>
      <c r="Q277" s="31"/>
      <c r="R277" s="31"/>
      <c r="S277" s="31"/>
      <c r="T277" s="33"/>
      <c r="U277" s="33"/>
      <c r="V277" s="33"/>
      <c r="W277" s="33"/>
      <c r="X277" s="33"/>
      <c r="Y277" s="33"/>
      <c r="Z277" s="33"/>
    </row>
    <row r="278" spans="1:26" s="32" customFormat="1" ht="12.75" customHeight="1">
      <c r="A278" s="2077" t="s">
        <v>791</v>
      </c>
      <c r="B278" s="2099">
        <v>830</v>
      </c>
      <c r="C278" s="2049">
        <v>15000</v>
      </c>
      <c r="D278" s="2049">
        <v>6000</v>
      </c>
      <c r="E278" s="2049">
        <v>6000</v>
      </c>
      <c r="F278" s="31"/>
      <c r="G278" s="3917"/>
      <c r="H278" s="31"/>
      <c r="I278" s="31"/>
      <c r="J278" s="31"/>
      <c r="K278" s="31"/>
      <c r="L278" s="31"/>
      <c r="M278" s="31"/>
      <c r="N278" s="31"/>
      <c r="O278" s="31"/>
      <c r="P278" s="31"/>
      <c r="Q278" s="31"/>
      <c r="R278" s="31"/>
      <c r="S278" s="31"/>
      <c r="T278" s="33"/>
      <c r="U278" s="33"/>
      <c r="V278" s="33"/>
      <c r="W278" s="33"/>
      <c r="X278" s="33"/>
      <c r="Y278" s="33"/>
      <c r="Z278" s="33"/>
    </row>
    <row r="279" spans="1:26" s="32" customFormat="1" ht="12.75" customHeight="1">
      <c r="A279" s="2077" t="s">
        <v>1010</v>
      </c>
      <c r="B279" s="2099">
        <v>835</v>
      </c>
      <c r="C279" s="2049">
        <v>0</v>
      </c>
      <c r="D279" s="2049">
        <v>0</v>
      </c>
      <c r="E279" s="2049">
        <v>0</v>
      </c>
      <c r="F279" s="31"/>
      <c r="G279" s="3917"/>
      <c r="H279" s="31"/>
      <c r="I279" s="31"/>
      <c r="J279" s="31"/>
      <c r="K279" s="31"/>
      <c r="L279" s="31"/>
      <c r="M279" s="31"/>
      <c r="N279" s="31"/>
      <c r="O279" s="31"/>
      <c r="P279" s="31"/>
      <c r="Q279" s="31"/>
      <c r="R279" s="31"/>
      <c r="S279" s="31"/>
      <c r="T279" s="33"/>
      <c r="U279" s="33"/>
      <c r="V279" s="33"/>
      <c r="W279" s="33"/>
      <c r="X279" s="33"/>
      <c r="Y279" s="33"/>
      <c r="Z279" s="33"/>
    </row>
    <row r="280" spans="1:26" s="32" customFormat="1" ht="12.75" customHeight="1">
      <c r="A280" s="2077" t="s">
        <v>1011</v>
      </c>
      <c r="B280" s="2099">
        <v>837</v>
      </c>
      <c r="C280" s="2049">
        <v>0</v>
      </c>
      <c r="D280" s="2049">
        <v>0</v>
      </c>
      <c r="E280" s="2049">
        <v>0</v>
      </c>
      <c r="F280" s="31"/>
      <c r="G280" s="3917"/>
      <c r="H280" s="31"/>
      <c r="I280" s="31"/>
      <c r="J280" s="31"/>
      <c r="K280" s="31"/>
      <c r="L280" s="31"/>
      <c r="M280" s="31"/>
      <c r="N280" s="31"/>
      <c r="O280" s="31"/>
      <c r="P280" s="31"/>
      <c r="Q280" s="31"/>
      <c r="R280" s="31"/>
      <c r="S280" s="31"/>
      <c r="T280" s="33"/>
      <c r="U280" s="33"/>
      <c r="V280" s="33"/>
      <c r="W280" s="33"/>
      <c r="X280" s="33"/>
      <c r="Y280" s="33"/>
      <c r="Z280" s="33"/>
    </row>
    <row r="281" spans="1:26" s="32" customFormat="1" ht="12.75" customHeight="1">
      <c r="A281" s="2077" t="s">
        <v>1012</v>
      </c>
      <c r="B281" s="2099">
        <v>840</v>
      </c>
      <c r="C281" s="2049">
        <v>70000</v>
      </c>
      <c r="D281" s="2049">
        <v>29609</v>
      </c>
      <c r="E281" s="2049">
        <v>250409</v>
      </c>
      <c r="F281" s="31"/>
      <c r="G281" s="3917"/>
      <c r="H281" s="31"/>
      <c r="I281" s="31"/>
      <c r="J281" s="31"/>
      <c r="K281" s="31"/>
      <c r="L281" s="31"/>
      <c r="M281" s="31"/>
      <c r="N281" s="31"/>
      <c r="O281" s="31"/>
      <c r="P281" s="31"/>
      <c r="Q281" s="31"/>
      <c r="R281" s="31"/>
      <c r="S281" s="31"/>
      <c r="T281" s="33"/>
      <c r="U281" s="33"/>
      <c r="V281" s="33"/>
      <c r="W281" s="33"/>
      <c r="X281" s="33"/>
      <c r="Y281" s="33"/>
      <c r="Z281" s="33"/>
    </row>
    <row r="282" spans="1:26" s="32" customFormat="1" ht="12.75" customHeight="1">
      <c r="A282" s="2077" t="s">
        <v>1849</v>
      </c>
      <c r="B282" s="2099">
        <v>850</v>
      </c>
      <c r="C282" s="2049">
        <v>148243</v>
      </c>
      <c r="D282" s="3553">
        <v>162000</v>
      </c>
      <c r="E282" s="3553">
        <v>162000</v>
      </c>
      <c r="F282" s="31"/>
      <c r="G282" s="3917"/>
      <c r="H282" s="31"/>
      <c r="I282" s="31"/>
      <c r="J282" s="31"/>
      <c r="K282" s="31"/>
      <c r="L282" s="31"/>
      <c r="M282" s="31"/>
      <c r="N282" s="31"/>
      <c r="O282" s="31"/>
      <c r="P282" s="31"/>
      <c r="Q282" s="31"/>
      <c r="R282" s="31"/>
      <c r="S282" s="31"/>
      <c r="T282" s="33"/>
      <c r="U282" s="33"/>
      <c r="V282" s="33"/>
      <c r="W282" s="33"/>
      <c r="X282" s="33"/>
      <c r="Y282" s="33"/>
      <c r="Z282" s="33"/>
    </row>
    <row r="283" spans="1:26" s="32" customFormat="1" ht="12.75" customHeight="1">
      <c r="A283" s="3561" t="s">
        <v>1688</v>
      </c>
      <c r="B283" s="2108">
        <v>853</v>
      </c>
      <c r="C283" s="2049">
        <v>0</v>
      </c>
      <c r="D283" s="3553">
        <v>0</v>
      </c>
      <c r="E283" s="3566">
        <v>0</v>
      </c>
      <c r="F283" s="31"/>
      <c r="G283" s="3917"/>
      <c r="H283" s="575"/>
      <c r="I283" s="31"/>
      <c r="J283" s="31"/>
      <c r="K283" s="31"/>
      <c r="L283" s="31"/>
      <c r="M283" s="31"/>
      <c r="N283" s="31"/>
      <c r="O283" s="31"/>
      <c r="P283" s="31"/>
      <c r="Q283" s="31"/>
      <c r="R283" s="31"/>
      <c r="S283" s="31"/>
      <c r="T283" s="33"/>
      <c r="U283" s="33"/>
      <c r="V283" s="33"/>
      <c r="W283" s="33"/>
      <c r="X283" s="33"/>
      <c r="Y283" s="33"/>
      <c r="Z283" s="33"/>
    </row>
    <row r="284" spans="1:26" s="32" customFormat="1" ht="12.75" customHeight="1">
      <c r="A284" s="3562" t="s">
        <v>86</v>
      </c>
      <c r="B284" s="2103">
        <v>855</v>
      </c>
      <c r="C284" s="2049">
        <v>0</v>
      </c>
      <c r="D284" s="2049">
        <v>0</v>
      </c>
      <c r="E284" s="2049">
        <v>0</v>
      </c>
      <c r="F284" s="31"/>
      <c r="G284" s="3917"/>
      <c r="H284" s="31"/>
      <c r="I284" s="31"/>
      <c r="J284" s="31"/>
      <c r="K284" s="31"/>
      <c r="L284" s="31"/>
      <c r="M284" s="31"/>
      <c r="N284" s="31"/>
      <c r="O284" s="31"/>
      <c r="P284" s="31"/>
      <c r="Q284" s="31"/>
      <c r="R284" s="31"/>
      <c r="S284" s="31"/>
      <c r="T284" s="33"/>
      <c r="U284" s="33"/>
      <c r="V284" s="33"/>
      <c r="W284" s="33"/>
      <c r="X284" s="33"/>
      <c r="Y284" s="33"/>
      <c r="Z284" s="33"/>
    </row>
    <row r="285" spans="1:26" s="32" customFormat="1" ht="12.75" customHeight="1">
      <c r="A285" s="3562" t="s">
        <v>88</v>
      </c>
      <c r="B285" s="2103">
        <v>880</v>
      </c>
      <c r="C285" s="2049">
        <v>0</v>
      </c>
      <c r="D285" s="2049">
        <v>0</v>
      </c>
      <c r="E285" s="3556">
        <v>0</v>
      </c>
      <c r="F285" s="31"/>
      <c r="G285" s="3917"/>
      <c r="H285" s="575"/>
      <c r="I285" s="31"/>
      <c r="J285" s="31"/>
      <c r="K285" s="31"/>
      <c r="L285" s="31"/>
      <c r="M285" s="31"/>
      <c r="N285" s="31"/>
      <c r="O285" s="31"/>
      <c r="P285" s="31"/>
      <c r="Q285" s="31"/>
      <c r="R285" s="31"/>
      <c r="S285" s="31"/>
      <c r="T285" s="33"/>
      <c r="U285" s="33"/>
      <c r="V285" s="33"/>
      <c r="W285" s="33"/>
      <c r="X285" s="33"/>
      <c r="Y285" s="33"/>
      <c r="Z285" s="33"/>
    </row>
    <row r="286" spans="1:26" s="33" customFormat="1" ht="12.75" customHeight="1">
      <c r="A286" s="3563" t="s">
        <v>4551</v>
      </c>
      <c r="B286" s="3567">
        <v>885</v>
      </c>
      <c r="C286" s="2049">
        <v>0</v>
      </c>
      <c r="D286" s="2049">
        <v>0</v>
      </c>
      <c r="E286" s="3553">
        <v>0</v>
      </c>
      <c r="F286" s="31"/>
      <c r="G286" s="3917"/>
      <c r="H286" s="31"/>
      <c r="I286" s="31"/>
      <c r="J286" s="31"/>
      <c r="K286" s="31"/>
      <c r="L286" s="31"/>
      <c r="M286" s="31"/>
      <c r="N286" s="31"/>
      <c r="O286" s="31"/>
      <c r="P286" s="31"/>
      <c r="Q286" s="31"/>
      <c r="R286" s="31"/>
      <c r="S286" s="31"/>
    </row>
    <row r="287" spans="1:26" s="33" customFormat="1" ht="12.75" customHeight="1" thickBot="1">
      <c r="A287" s="3564" t="s">
        <v>630</v>
      </c>
      <c r="B287" s="3567">
        <v>890</v>
      </c>
      <c r="C287" s="2049">
        <v>250392</v>
      </c>
      <c r="D287" s="2049">
        <v>262000</v>
      </c>
      <c r="E287" s="3553">
        <v>113200</v>
      </c>
      <c r="F287" s="31"/>
      <c r="G287" s="3920"/>
      <c r="H287" s="575" t="s">
        <v>4421</v>
      </c>
      <c r="I287" s="575"/>
      <c r="J287" s="31"/>
      <c r="K287" s="618">
        <f>IF('F150'!J29=0,0,'F155'!H35)</f>
        <v>113200</v>
      </c>
      <c r="L287" s="31"/>
      <c r="M287" s="610" t="s">
        <v>4412</v>
      </c>
      <c r="N287" s="619" t="str">
        <f>IF(E287&gt;=K287,"YES","NO")</f>
        <v>YES</v>
      </c>
      <c r="O287" s="31"/>
      <c r="P287" s="31"/>
      <c r="Q287" s="31"/>
      <c r="R287" s="31"/>
      <c r="S287" s="31"/>
    </row>
    <row r="288" spans="1:26" s="32" customFormat="1" ht="12.75" customHeight="1" thickTop="1">
      <c r="A288" s="1541" t="s">
        <v>5161</v>
      </c>
      <c r="B288" s="2578" t="s">
        <v>4906</v>
      </c>
      <c r="C288" s="3551">
        <f>SUM(C53:C287)</f>
        <v>1295220</v>
      </c>
      <c r="D288" s="3551">
        <f>SUM(D53:D287)</f>
        <v>1302525</v>
      </c>
      <c r="E288" s="3551">
        <f>SUM(E53:E287)</f>
        <v>1299650</v>
      </c>
      <c r="F288" s="31"/>
      <c r="G288" s="31"/>
      <c r="H288" s="33"/>
      <c r="I288" s="33"/>
      <c r="J288" s="33"/>
      <c r="K288" s="33"/>
      <c r="L288" s="33"/>
      <c r="M288" s="33"/>
      <c r="N288" s="33"/>
      <c r="O288" s="31"/>
      <c r="P288" s="31"/>
      <c r="Q288" s="31"/>
      <c r="R288" s="31"/>
      <c r="S288" s="31"/>
      <c r="T288" s="33"/>
      <c r="U288" s="33"/>
      <c r="V288" s="33"/>
      <c r="W288" s="33"/>
      <c r="X288" s="33"/>
      <c r="Y288" s="33"/>
      <c r="Z288" s="33"/>
    </row>
    <row r="289" spans="1:26" s="32" customFormat="1" ht="12.75" customHeight="1">
      <c r="A289" s="6101" t="s">
        <v>4911</v>
      </c>
      <c r="B289" s="6101"/>
      <c r="C289" s="6101"/>
      <c r="D289" s="6101"/>
      <c r="E289" s="6101"/>
      <c r="F289" s="31"/>
      <c r="G289" s="575"/>
      <c r="H289" s="33"/>
      <c r="I289" s="33"/>
      <c r="J289" s="33"/>
      <c r="K289" s="33"/>
      <c r="L289" s="33"/>
      <c r="M289" s="33"/>
      <c r="N289" s="33"/>
      <c r="O289" s="31"/>
      <c r="P289" s="31"/>
      <c r="Q289" s="31"/>
      <c r="R289" s="31"/>
      <c r="S289" s="31"/>
      <c r="T289" s="33"/>
      <c r="U289" s="33"/>
      <c r="V289" s="33"/>
      <c r="W289" s="33"/>
      <c r="X289" s="33"/>
      <c r="Y289" s="33"/>
      <c r="Z289" s="33"/>
    </row>
    <row r="290" spans="1:26" ht="12.75" customHeight="1">
      <c r="A290" s="2864"/>
      <c r="B290" s="1513"/>
      <c r="C290" s="1512"/>
      <c r="D290" s="1512"/>
      <c r="E290" s="1512"/>
      <c r="F290" s="31"/>
      <c r="G290" s="22"/>
      <c r="H290" s="22"/>
      <c r="I290" s="22"/>
      <c r="J290" s="22"/>
      <c r="K290" s="22"/>
      <c r="L290" s="22"/>
      <c r="M290" s="22"/>
      <c r="N290" s="22"/>
      <c r="O290" s="22"/>
      <c r="P290" s="22"/>
      <c r="Q290" s="22"/>
      <c r="R290" s="22"/>
      <c r="S290" s="22"/>
    </row>
    <row r="291" spans="1:26" ht="12.75" customHeight="1">
      <c r="A291" s="22"/>
      <c r="B291" s="1513"/>
      <c r="C291" s="1512"/>
      <c r="D291" s="1512"/>
      <c r="E291" s="1512"/>
      <c r="F291" s="22"/>
      <c r="G291" s="22"/>
      <c r="H291" s="22"/>
      <c r="I291" s="22"/>
      <c r="J291" s="22"/>
      <c r="K291" s="22"/>
      <c r="L291" s="22"/>
      <c r="M291" s="22"/>
      <c r="N291" s="22"/>
      <c r="O291" s="22"/>
      <c r="P291" s="22"/>
      <c r="Q291" s="22"/>
      <c r="R291" s="22"/>
      <c r="S291" s="22"/>
    </row>
    <row r="292" spans="1:26" ht="12.75" customHeight="1">
      <c r="A292" s="30"/>
      <c r="B292" s="1531"/>
      <c r="C292" s="1532"/>
      <c r="D292" s="1532"/>
      <c r="E292" s="1532"/>
      <c r="F292" s="22"/>
      <c r="G292" s="22"/>
      <c r="H292" s="22"/>
      <c r="I292" s="22"/>
      <c r="J292" s="22"/>
      <c r="K292" s="22"/>
      <c r="L292" s="22"/>
      <c r="M292" s="22"/>
      <c r="N292" s="22"/>
      <c r="O292" s="22"/>
      <c r="P292" s="22"/>
      <c r="Q292" s="22"/>
      <c r="R292" s="22"/>
      <c r="S292" s="22"/>
    </row>
    <row r="293" spans="1:26" ht="12.75" customHeight="1">
      <c r="A293" s="22"/>
      <c r="B293" s="1513"/>
      <c r="C293" s="1533"/>
      <c r="D293" s="1534"/>
      <c r="E293" s="1512"/>
      <c r="F293" s="22"/>
      <c r="G293" s="22"/>
      <c r="H293" s="22"/>
      <c r="I293" s="22"/>
      <c r="J293" s="22"/>
      <c r="K293" s="22"/>
      <c r="L293" s="22"/>
      <c r="M293" s="22"/>
      <c r="N293" s="22"/>
      <c r="O293" s="22"/>
      <c r="P293" s="22"/>
      <c r="Q293" s="22"/>
      <c r="R293" s="22"/>
      <c r="S293" s="22"/>
    </row>
  </sheetData>
  <sheetProtection algorithmName="SHA-512" hashValue="4cxJ40S9KpBpl/nQIv9IXazEOYqUy6J1uac/ulimKCb1HRaLb00zc8PNWFmokGSFFnbYZ2VK3C0Gi+EXUc99HA==" saltValue="PRLrT8aPEYZDQGUNCvSOpg==" spinCount="100000" sheet="1" objects="1" scenarios="1"/>
  <mergeCells count="6">
    <mergeCell ref="A289:E289"/>
    <mergeCell ref="D1:E1"/>
    <mergeCell ref="D2:E2"/>
    <mergeCell ref="A39:E39"/>
    <mergeCell ref="D41:E41"/>
    <mergeCell ref="D42:E42"/>
  </mergeCells>
  <phoneticPr fontId="13" type="noConversion"/>
  <conditionalFormatting sqref="E32">
    <cfRule type="containsText" dxfId="22" priority="5" operator="containsText" text="Expend. &lt;&gt; LOB">
      <formula>NOT(ISERROR(SEARCH("Expend. &lt;&gt; LOB",E32)))</formula>
    </cfRule>
  </conditionalFormatting>
  <conditionalFormatting sqref="E35">
    <cfRule type="cellIs" dxfId="21" priority="4" operator="equal">
      <formula>"ERROR"</formula>
    </cfRule>
  </conditionalFormatting>
  <conditionalFormatting sqref="N26">
    <cfRule type="containsText" dxfId="20" priority="3" operator="containsText" text="NO">
      <formula>NOT(ISERROR(SEARCH("NO",N26)))</formula>
    </cfRule>
  </conditionalFormatting>
  <conditionalFormatting sqref="N287 N273">
    <cfRule type="containsText" dxfId="19" priority="2" operator="containsText" text="NO">
      <formula>NOT(ISERROR(SEARCH("NO",N273)))</formula>
    </cfRule>
  </conditionalFormatting>
  <conditionalFormatting sqref="E37">
    <cfRule type="cellIs" dxfId="18" priority="1" operator="equal">
      <formula>"ERROR"</formula>
    </cfRule>
  </conditionalFormatting>
  <dataValidations count="5">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G9 D270:E284 C15 C16:D16 C18:D21 C23:D26 C56:E60 C63:E66 C183:E183 C80:E88 C94:E99 C101:E105 C111:E115 C68:E73 C128:E132 C134:E138 C157:E160 C162:E167 C169:E170 C172:E172 C117:E122 C258:E268 C270:C272 C273:D274 C255:E256 C155:E155 C125:E126 C108:E109 C91:E92 C77:E78 C174:E180 C53:E54 C10:D10 C275:C284 C242:E242 C214:E214 C206:E211 C204:E204 C194:E200 C192:E192 C185:E190 C244:E252 C231:E239 C229:E229 C216:E219 C221:E226">
      <formula1>0</formula1>
    </dataValidation>
    <dataValidation allowBlank="1" sqref="D30:E30"/>
    <dataValidation type="whole" operator="greaterThanOrEqual" showInputMessage="1" showErrorMessage="1" errorTitle="Invalid Data Entry" error="Please enter a positive number or press the delete key or enter a zero." sqref="C141:E142 C144:E152">
      <formula1>0</formula1>
    </dataValidation>
    <dataValidation type="whole" operator="greaterThanOrEqual" showErrorMessage="1" errorTitle="Invalid Data Entry" error="Please enter a positive number or press the delete key or enter a zero." sqref="C30">
      <formula1>0</formula1>
    </dataValidation>
  </dataValidations>
  <hyperlinks>
    <hyperlink ref="G1" location="Contents!F1" display="Return to Contents page"/>
  </hyperlinks>
  <printOptions horizontalCentered="1"/>
  <pageMargins left="0.75" right="0.75" top="0.5" bottom="0.5" header="0.3" footer="0.3"/>
  <pageSetup scale="86" fitToHeight="0" orientation="portrait" blackAndWhite="1" r:id="rId1"/>
  <headerFooter scaleWithDoc="0">
    <oddFooter>&amp;L&amp;"Open Sans Light,Regular"&amp;8&amp;D    &amp;T&amp;C&amp;"Open Sans Light,Regular"&amp;8Page &amp;P&amp;R&amp;"Open Sans Light,Regular"&amp;8&amp;A</oddFooter>
  </headerFooter>
  <rowBreaks count="1" manualBreakCount="1">
    <brk id="121" max="5"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4" tint="0.39997558519241921"/>
  </sheetPr>
  <dimension ref="A1:Z157"/>
  <sheetViews>
    <sheetView showGridLines="0" zoomScaleNormal="100" zoomScaleSheetLayoutView="100" workbookViewId="0">
      <pane ySplit="8" topLeftCell="A21" activePane="bottomLeft" state="frozen"/>
      <selection activeCell="B22" sqref="B22"/>
      <selection pane="bottomLeft" activeCell="B22" sqref="B22"/>
    </sheetView>
  </sheetViews>
  <sheetFormatPr defaultColWidth="10.6640625" defaultRowHeight="12.75" customHeight="1"/>
  <cols>
    <col min="1" max="1" width="40.6640625" style="40" customWidth="1"/>
    <col min="2" max="2" width="5.6640625" style="1567" customWidth="1"/>
    <col min="3" max="6" width="14.33203125" style="1568" customWidth="1"/>
    <col min="7" max="7" width="2.6640625" style="40" customWidth="1"/>
    <col min="8" max="8" width="21.44140625" style="40" customWidth="1"/>
    <col min="9" max="26" width="10.6640625" style="40"/>
    <col min="27" max="16384" width="10.6640625" style="36"/>
  </cols>
  <sheetData>
    <row r="1" spans="1:19" ht="12.75" customHeight="1">
      <c r="A1" s="1544" t="s">
        <v>809</v>
      </c>
      <c r="B1" s="1046">
        <f>OPEN!$B$4</f>
        <v>237</v>
      </c>
      <c r="C1" s="1542"/>
      <c r="D1" s="1542"/>
      <c r="E1" s="6108" t="s">
        <v>836</v>
      </c>
      <c r="F1" s="6108"/>
      <c r="G1" s="35"/>
      <c r="H1" s="304" t="s">
        <v>754</v>
      </c>
      <c r="I1" s="35"/>
      <c r="J1" s="35"/>
      <c r="K1" s="35"/>
      <c r="L1" s="35"/>
      <c r="M1" s="35"/>
      <c r="N1" s="35"/>
      <c r="O1" s="35"/>
      <c r="P1" s="35"/>
      <c r="Q1" s="35"/>
      <c r="R1" s="35"/>
      <c r="S1" s="35"/>
    </row>
    <row r="2" spans="1:19" ht="12.75" customHeight="1">
      <c r="A2" s="1542"/>
      <c r="B2" s="1543"/>
      <c r="C2" s="1542"/>
      <c r="D2" s="1542"/>
      <c r="E2" s="6108" t="s">
        <v>921</v>
      </c>
      <c r="F2" s="6108"/>
      <c r="G2" s="35"/>
      <c r="H2" s="35"/>
      <c r="I2" s="35"/>
      <c r="J2" s="35"/>
      <c r="K2" s="35"/>
      <c r="L2" s="35"/>
      <c r="M2" s="35"/>
      <c r="N2" s="35"/>
      <c r="O2" s="35"/>
      <c r="P2" s="35"/>
      <c r="Q2" s="35"/>
      <c r="R2" s="35"/>
      <c r="S2" s="35"/>
    </row>
    <row r="3" spans="1:19" ht="12.75" customHeight="1">
      <c r="A3" s="1542"/>
      <c r="B3" s="1543"/>
      <c r="C3" s="1542"/>
      <c r="D3" s="1542"/>
      <c r="E3" s="1542"/>
      <c r="F3" s="1544" t="str">
        <f>OpenData!N2</f>
        <v>2021-2022</v>
      </c>
      <c r="G3" s="35"/>
      <c r="H3" s="35"/>
      <c r="I3" s="35"/>
      <c r="J3" s="35"/>
      <c r="K3" s="35"/>
      <c r="L3" s="35"/>
      <c r="M3" s="35"/>
      <c r="N3" s="35"/>
      <c r="O3" s="35"/>
      <c r="P3" s="35"/>
      <c r="Q3" s="35"/>
      <c r="R3" s="35"/>
      <c r="S3" s="35"/>
    </row>
    <row r="4" spans="1:19" ht="12.75" customHeight="1">
      <c r="A4" s="1542"/>
      <c r="B4" s="1543"/>
      <c r="C4" s="1542"/>
      <c r="D4" s="1542"/>
      <c r="E4" s="1542"/>
      <c r="F4" s="1542"/>
      <c r="G4" s="35"/>
      <c r="H4" s="35"/>
      <c r="I4" s="35"/>
      <c r="J4" s="35"/>
      <c r="K4" s="35"/>
      <c r="L4" s="35"/>
      <c r="M4" s="35"/>
      <c r="N4" s="35"/>
      <c r="O4" s="35"/>
      <c r="P4" s="35"/>
      <c r="Q4" s="35"/>
      <c r="R4" s="35"/>
      <c r="S4" s="35"/>
    </row>
    <row r="5" spans="1:19" ht="12.75" customHeight="1">
      <c r="A5" s="1542"/>
      <c r="B5" s="1543"/>
      <c r="C5" s="1545" t="s">
        <v>922</v>
      </c>
      <c r="D5" s="1545" t="s">
        <v>922</v>
      </c>
      <c r="E5" s="1545" t="s">
        <v>922</v>
      </c>
      <c r="F5" s="1545" t="s">
        <v>5</v>
      </c>
      <c r="G5" s="35"/>
      <c r="H5" s="35"/>
      <c r="I5" s="35"/>
      <c r="J5" s="35"/>
      <c r="K5" s="35"/>
      <c r="L5" s="35"/>
      <c r="M5" s="35"/>
      <c r="N5" s="35"/>
      <c r="O5" s="35"/>
      <c r="P5" s="35"/>
      <c r="Q5" s="35"/>
      <c r="R5" s="35"/>
      <c r="S5" s="35"/>
    </row>
    <row r="6" spans="1:19" ht="12.75" customHeight="1">
      <c r="A6" s="1542"/>
      <c r="B6" s="1575" t="s">
        <v>854</v>
      </c>
      <c r="C6" s="1547" t="str">
        <f>OpenData!N4</f>
        <v>2019-2020</v>
      </c>
      <c r="D6" s="1547" t="str">
        <f>OpenData!O4</f>
        <v>2020-2021</v>
      </c>
      <c r="E6" s="1547" t="str">
        <f>OpenData!P4</f>
        <v>2021-2022</v>
      </c>
      <c r="F6" s="1547" t="s">
        <v>6</v>
      </c>
      <c r="G6" s="35"/>
      <c r="H6" s="35"/>
      <c r="I6" s="35"/>
      <c r="J6" s="35"/>
      <c r="K6" s="35"/>
      <c r="L6" s="35"/>
      <c r="M6" s="35"/>
      <c r="N6" s="37"/>
      <c r="O6" s="35"/>
      <c r="P6" s="35"/>
      <c r="Q6" s="35"/>
      <c r="R6" s="35"/>
      <c r="S6" s="35"/>
    </row>
    <row r="7" spans="1:19" ht="12.75" customHeight="1">
      <c r="A7" s="1569" t="s">
        <v>10</v>
      </c>
      <c r="B7" s="1548">
        <v>10</v>
      </c>
      <c r="C7" s="1549" t="s">
        <v>893</v>
      </c>
      <c r="D7" s="1549" t="s">
        <v>893</v>
      </c>
      <c r="E7" s="1549" t="s">
        <v>923</v>
      </c>
      <c r="F7" s="1549" t="s">
        <v>11</v>
      </c>
      <c r="G7" s="35"/>
      <c r="H7" s="35"/>
      <c r="I7" s="35"/>
      <c r="J7" s="35"/>
      <c r="K7" s="35"/>
      <c r="L7" s="35"/>
      <c r="M7" s="35"/>
      <c r="N7" s="35"/>
      <c r="O7" s="38"/>
      <c r="P7" s="38"/>
      <c r="Q7" s="38"/>
      <c r="R7" s="35"/>
      <c r="S7" s="35"/>
    </row>
    <row r="8" spans="1:19" ht="12.75" customHeight="1">
      <c r="A8" s="1570"/>
      <c r="B8" s="1550" t="s">
        <v>858</v>
      </c>
      <c r="C8" s="1551">
        <v>1</v>
      </c>
      <c r="D8" s="1551">
        <v>2</v>
      </c>
      <c r="E8" s="1551">
        <v>3</v>
      </c>
      <c r="F8" s="1551">
        <v>4</v>
      </c>
      <c r="G8" s="35"/>
      <c r="H8" s="35"/>
      <c r="I8" s="35"/>
      <c r="J8" s="35"/>
      <c r="K8" s="35"/>
      <c r="L8" s="35"/>
      <c r="M8" s="35"/>
      <c r="N8" s="35"/>
      <c r="O8" s="38"/>
      <c r="P8" s="38"/>
      <c r="Q8" s="38"/>
      <c r="R8" s="35"/>
      <c r="S8" s="35"/>
    </row>
    <row r="9" spans="1:19" ht="12.75" customHeight="1">
      <c r="A9" s="1571" t="s">
        <v>12</v>
      </c>
      <c r="B9" s="1552">
        <v>1</v>
      </c>
      <c r="C9" s="1553"/>
      <c r="D9" s="1554">
        <f>C54</f>
        <v>0</v>
      </c>
      <c r="E9" s="1555">
        <f>D54</f>
        <v>0</v>
      </c>
      <c r="F9" s="1555">
        <f>E9</f>
        <v>0</v>
      </c>
      <c r="G9" s="35"/>
      <c r="H9" s="35"/>
      <c r="I9" s="35"/>
      <c r="J9" s="35"/>
      <c r="K9" s="35"/>
      <c r="L9" s="35"/>
      <c r="M9" s="35"/>
      <c r="N9" s="35"/>
      <c r="O9" s="38"/>
      <c r="P9" s="38"/>
      <c r="Q9" s="38"/>
      <c r="R9" s="35"/>
      <c r="S9" s="35"/>
    </row>
    <row r="10" spans="1:19" ht="12.75" customHeight="1">
      <c r="A10" s="3974" t="s">
        <v>4940</v>
      </c>
      <c r="B10" s="1556">
        <v>3</v>
      </c>
      <c r="C10" s="1557"/>
      <c r="D10" s="1558"/>
      <c r="E10" s="4633"/>
      <c r="F10" s="4476"/>
      <c r="G10" s="35"/>
      <c r="H10" s="35"/>
      <c r="I10" s="35"/>
      <c r="J10" s="35"/>
      <c r="K10" s="35"/>
      <c r="L10" s="35"/>
      <c r="M10" s="35"/>
      <c r="N10" s="35"/>
      <c r="O10" s="38"/>
      <c r="P10" s="38"/>
      <c r="Q10" s="38"/>
      <c r="R10" s="35"/>
      <c r="S10" s="35"/>
    </row>
    <row r="11" spans="1:19" ht="12.75" customHeight="1">
      <c r="A11" s="2353"/>
      <c r="B11" s="4471"/>
      <c r="C11" s="4471"/>
      <c r="D11" s="4471"/>
      <c r="E11" s="4470"/>
      <c r="F11" s="4475"/>
      <c r="G11" s="4563"/>
      <c r="H11" s="35"/>
      <c r="I11" s="35"/>
      <c r="J11" s="35"/>
      <c r="K11" s="35"/>
      <c r="L11" s="35"/>
      <c r="M11" s="35"/>
      <c r="N11" s="35"/>
      <c r="O11" s="38"/>
      <c r="P11" s="38"/>
      <c r="Q11" s="38"/>
      <c r="R11" s="35"/>
      <c r="S11" s="35"/>
    </row>
    <row r="12" spans="1:19" ht="12.75" customHeight="1">
      <c r="A12" s="4472" t="s">
        <v>4767</v>
      </c>
      <c r="B12" s="4473"/>
      <c r="C12" s="4473"/>
      <c r="D12" s="4473"/>
      <c r="E12" s="4473"/>
      <c r="F12" s="4474"/>
      <c r="G12" s="35"/>
      <c r="H12" s="35"/>
      <c r="I12" s="35"/>
      <c r="J12" s="35"/>
      <c r="K12" s="35"/>
      <c r="L12" s="35"/>
      <c r="M12" s="35"/>
      <c r="N12" s="35"/>
      <c r="O12" s="38"/>
      <c r="P12" s="38"/>
      <c r="Q12" s="38"/>
      <c r="R12" s="35"/>
      <c r="S12" s="35"/>
    </row>
    <row r="13" spans="1:19" ht="12.75" customHeight="1">
      <c r="A13" s="2356" t="s">
        <v>13</v>
      </c>
      <c r="B13" s="3531"/>
      <c r="C13" s="3531"/>
      <c r="D13" s="3531"/>
      <c r="E13" s="3531"/>
      <c r="F13" s="3531"/>
      <c r="G13" s="35"/>
      <c r="H13" s="35"/>
      <c r="I13" s="35"/>
      <c r="J13" s="35"/>
      <c r="K13" s="35"/>
      <c r="L13" s="35"/>
      <c r="M13" s="35"/>
      <c r="N13" s="35"/>
      <c r="O13" s="38"/>
      <c r="P13" s="38"/>
      <c r="Q13" s="38"/>
      <c r="R13" s="35"/>
      <c r="S13" s="35"/>
    </row>
    <row r="14" spans="1:19" ht="12.75" customHeight="1">
      <c r="A14" s="2357" t="s">
        <v>14</v>
      </c>
      <c r="B14" s="3532"/>
      <c r="C14" s="3532"/>
      <c r="D14" s="3532"/>
      <c r="E14" s="3532"/>
      <c r="F14" s="3532"/>
      <c r="G14" s="35"/>
      <c r="H14" s="35"/>
      <c r="I14" s="35"/>
      <c r="J14" s="35"/>
      <c r="K14" s="35"/>
      <c r="L14" s="35"/>
      <c r="M14" s="35"/>
      <c r="N14" s="35"/>
      <c r="O14" s="35"/>
      <c r="P14" s="35"/>
      <c r="Q14" s="35"/>
      <c r="R14" s="35"/>
      <c r="S14" s="35"/>
    </row>
    <row r="15" spans="1:19" ht="12.75" customHeight="1">
      <c r="A15" s="3521" t="str">
        <f>OpenData!N8</f>
        <v xml:space="preserve">    2018 $</v>
      </c>
      <c r="B15" s="1550">
        <v>5</v>
      </c>
      <c r="C15" s="3533"/>
      <c r="D15" s="3519"/>
      <c r="E15" s="3519"/>
      <c r="F15" s="3519"/>
      <c r="G15" s="35"/>
      <c r="H15" s="35"/>
      <c r="I15" s="35"/>
      <c r="J15" s="35"/>
      <c r="K15" s="35"/>
      <c r="L15" s="35"/>
      <c r="M15" s="35"/>
      <c r="N15" s="37"/>
      <c r="O15" s="35"/>
      <c r="P15" s="35"/>
      <c r="Q15" s="35"/>
      <c r="R15" s="35"/>
      <c r="S15" s="35"/>
    </row>
    <row r="16" spans="1:19" ht="12.75" customHeight="1">
      <c r="A16" s="3520" t="str">
        <f>OpenData!N9</f>
        <v xml:space="preserve">    2019 $</v>
      </c>
      <c r="B16" s="2016">
        <v>10</v>
      </c>
      <c r="C16" s="2020"/>
      <c r="D16" s="3533"/>
      <c r="E16" s="4637"/>
      <c r="F16" s="4637"/>
      <c r="G16" s="35"/>
      <c r="H16" s="35"/>
      <c r="I16" s="35"/>
      <c r="J16" s="35"/>
      <c r="K16" s="35"/>
      <c r="L16" s="35"/>
      <c r="M16" s="35"/>
      <c r="N16" s="35"/>
      <c r="O16" s="39"/>
      <c r="P16" s="39"/>
      <c r="Q16" s="39"/>
      <c r="R16" s="35"/>
      <c r="S16" s="35"/>
    </row>
    <row r="17" spans="1:19" ht="12.75" customHeight="1">
      <c r="A17" s="3520" t="str">
        <f>OpenData!N10</f>
        <v xml:space="preserve">    2020 $</v>
      </c>
      <c r="B17" s="2016">
        <v>15</v>
      </c>
      <c r="C17" s="3537"/>
      <c r="D17" s="1576">
        <f>'C04'!$E$13</f>
        <v>0</v>
      </c>
      <c r="E17" s="3519">
        <f>'F110'!$E$81</f>
        <v>0</v>
      </c>
      <c r="F17" s="3519">
        <f>E17</f>
        <v>0</v>
      </c>
      <c r="G17" s="35"/>
      <c r="H17" s="39"/>
      <c r="I17" s="35"/>
      <c r="J17" s="35"/>
      <c r="K17" s="35"/>
      <c r="L17" s="35"/>
      <c r="M17" s="35"/>
      <c r="N17" s="35"/>
      <c r="O17" s="39"/>
      <c r="P17" s="39"/>
      <c r="Q17" s="39"/>
      <c r="R17" s="35"/>
      <c r="S17" s="39"/>
    </row>
    <row r="18" spans="1:19" ht="12.75" customHeight="1">
      <c r="A18" s="3520" t="str">
        <f>OpenData!N11</f>
        <v xml:space="preserve">    2021 $</v>
      </c>
      <c r="B18" s="2016">
        <v>20</v>
      </c>
      <c r="C18" s="3519"/>
      <c r="D18" s="3537"/>
      <c r="E18" s="2017">
        <f>'C04'!L13</f>
        <v>0</v>
      </c>
      <c r="F18" s="2017">
        <f>'C04'!$L$30</f>
        <v>0</v>
      </c>
      <c r="G18" s="35"/>
      <c r="H18" s="335" t="s">
        <v>4918</v>
      </c>
      <c r="I18" s="336">
        <f>IF(ISERROR(F18/OPEN!A15*1000),"See error below",F18/OPEN!A15*1000)</f>
        <v>0</v>
      </c>
      <c r="J18" s="35"/>
      <c r="K18" s="35"/>
      <c r="L18" s="35"/>
      <c r="M18" s="35"/>
      <c r="N18" s="35"/>
      <c r="O18" s="39"/>
      <c r="P18" s="39"/>
      <c r="Q18" s="39"/>
      <c r="R18" s="35"/>
      <c r="S18" s="39"/>
    </row>
    <row r="19" spans="1:19" ht="12.75" customHeight="1">
      <c r="A19" s="3520" t="s">
        <v>1376</v>
      </c>
      <c r="B19" s="2016">
        <v>25</v>
      </c>
      <c r="C19" s="3534"/>
      <c r="D19" s="3534"/>
      <c r="E19" s="1576">
        <f>0.667*F19</f>
        <v>0</v>
      </c>
      <c r="F19" s="2017">
        <f>'F110'!$E$85</f>
        <v>0</v>
      </c>
      <c r="G19" s="35"/>
      <c r="H19" s="337" t="str">
        <f>OpenData!N40</f>
        <v/>
      </c>
      <c r="I19" s="35"/>
      <c r="J19" s="35"/>
      <c r="K19" s="35"/>
      <c r="L19" s="35"/>
      <c r="M19" s="35"/>
      <c r="N19" s="35"/>
      <c r="O19" s="39"/>
      <c r="P19" s="39"/>
      <c r="Q19" s="39"/>
      <c r="R19" s="35"/>
      <c r="S19" s="39"/>
    </row>
    <row r="20" spans="1:19" ht="12.75" customHeight="1">
      <c r="A20" s="3520" t="s">
        <v>15</v>
      </c>
      <c r="B20" s="2016">
        <v>30</v>
      </c>
      <c r="C20" s="2020"/>
      <c r="D20" s="2020"/>
      <c r="E20" s="3534"/>
      <c r="F20" s="2017">
        <f>E20</f>
        <v>0</v>
      </c>
      <c r="G20" s="35"/>
      <c r="H20" s="35"/>
      <c r="I20" s="35"/>
      <c r="J20" s="35"/>
      <c r="K20" s="35"/>
      <c r="L20" s="35"/>
      <c r="M20" s="35"/>
      <c r="N20" s="35"/>
      <c r="O20" s="39"/>
      <c r="P20" s="39"/>
      <c r="Q20" s="39"/>
      <c r="R20" s="35"/>
      <c r="S20" s="39"/>
    </row>
    <row r="21" spans="1:19" ht="12.75" customHeight="1">
      <c r="A21" s="3520" t="s">
        <v>16</v>
      </c>
      <c r="B21" s="2016">
        <v>35</v>
      </c>
      <c r="C21" s="3537"/>
      <c r="D21" s="3537"/>
      <c r="E21" s="3537"/>
      <c r="F21" s="2020"/>
      <c r="G21" s="35"/>
      <c r="H21" s="35"/>
      <c r="I21" s="35"/>
      <c r="J21" s="35"/>
      <c r="K21" s="35"/>
      <c r="L21" s="35"/>
      <c r="M21" s="35"/>
      <c r="N21" s="35"/>
      <c r="O21" s="39"/>
      <c r="P21" s="39"/>
      <c r="Q21" s="39"/>
      <c r="R21" s="35"/>
      <c r="S21" s="35"/>
    </row>
    <row r="22" spans="1:19" ht="12.75" customHeight="1">
      <c r="A22" s="3520" t="s">
        <v>17</v>
      </c>
      <c r="B22" s="2016">
        <v>40</v>
      </c>
      <c r="C22" s="3535"/>
      <c r="D22" s="3535"/>
      <c r="E22" s="3533"/>
      <c r="F22" s="2020"/>
      <c r="G22" s="35"/>
      <c r="H22" s="35"/>
      <c r="I22" s="35"/>
      <c r="J22" s="35"/>
      <c r="K22" s="35"/>
      <c r="L22" s="35"/>
      <c r="M22" s="35"/>
      <c r="N22" s="35"/>
      <c r="O22" s="35"/>
      <c r="P22" s="35"/>
      <c r="Q22" s="35"/>
      <c r="R22" s="35"/>
      <c r="S22" s="35"/>
    </row>
    <row r="23" spans="1:19" ht="12.75" customHeight="1">
      <c r="A23" s="2355" t="s">
        <v>18</v>
      </c>
      <c r="B23" s="1575"/>
      <c r="C23" s="3537"/>
      <c r="D23" s="3537"/>
      <c r="E23" s="3537"/>
      <c r="F23" s="3537"/>
      <c r="G23" s="35"/>
      <c r="H23" s="35"/>
      <c r="I23" s="35"/>
      <c r="J23" s="35"/>
      <c r="K23" s="35"/>
      <c r="L23" s="35"/>
      <c r="M23" s="35"/>
      <c r="N23" s="35"/>
      <c r="O23" s="39"/>
      <c r="P23" s="39"/>
      <c r="Q23" s="39"/>
      <c r="R23" s="35"/>
      <c r="S23" s="35"/>
    </row>
    <row r="24" spans="1:19" ht="12.75" customHeight="1">
      <c r="A24" s="3521" t="s">
        <v>19</v>
      </c>
      <c r="B24" s="3536">
        <v>50</v>
      </c>
      <c r="C24" s="3533"/>
      <c r="D24" s="3533"/>
      <c r="E24" s="3533"/>
      <c r="F24" s="1576">
        <f>E24</f>
        <v>0</v>
      </c>
      <c r="G24" s="35"/>
      <c r="H24" s="35"/>
      <c r="I24" s="35"/>
      <c r="J24" s="35"/>
      <c r="K24" s="35"/>
      <c r="L24" s="35"/>
      <c r="M24" s="35"/>
      <c r="N24" s="35"/>
      <c r="O24" s="35"/>
      <c r="P24" s="35"/>
      <c r="Q24" s="35"/>
      <c r="R24" s="35"/>
      <c r="S24" s="35"/>
    </row>
    <row r="25" spans="1:19" ht="12.75" customHeight="1">
      <c r="A25" s="2358" t="s">
        <v>16</v>
      </c>
      <c r="B25" s="1575">
        <v>55</v>
      </c>
      <c r="C25" s="3537"/>
      <c r="D25" s="3537"/>
      <c r="E25" s="3537"/>
      <c r="F25" s="3533"/>
      <c r="G25" s="35"/>
      <c r="H25" s="35"/>
      <c r="I25" s="35"/>
      <c r="J25" s="35"/>
      <c r="K25" s="35"/>
      <c r="L25" s="35"/>
      <c r="M25" s="35"/>
      <c r="N25" s="35"/>
      <c r="O25" s="35"/>
      <c r="P25" s="35"/>
      <c r="Q25" s="35"/>
      <c r="R25" s="35"/>
      <c r="S25" s="35"/>
    </row>
    <row r="26" spans="1:19" ht="12.75" customHeight="1">
      <c r="A26" s="2355" t="s">
        <v>20</v>
      </c>
      <c r="B26" s="1575">
        <v>60</v>
      </c>
      <c r="C26" s="3533"/>
      <c r="D26" s="3533"/>
      <c r="E26" s="3533"/>
      <c r="F26" s="1576">
        <f>E26</f>
        <v>0</v>
      </c>
      <c r="G26" s="35"/>
      <c r="H26" s="35"/>
      <c r="I26" s="35"/>
      <c r="J26" s="35"/>
      <c r="K26" s="35"/>
      <c r="L26" s="35"/>
      <c r="M26" s="35"/>
      <c r="N26" s="35"/>
      <c r="O26" s="35"/>
      <c r="P26" s="35"/>
      <c r="Q26" s="35"/>
      <c r="R26" s="35"/>
      <c r="S26" s="35"/>
    </row>
    <row r="27" spans="1:19" ht="12.75" customHeight="1">
      <c r="A27" s="3520" t="s">
        <v>16</v>
      </c>
      <c r="B27" s="2016">
        <v>65</v>
      </c>
      <c r="C27" s="3537"/>
      <c r="D27" s="3537"/>
      <c r="E27" s="3537"/>
      <c r="F27" s="2020"/>
      <c r="G27" s="35"/>
      <c r="H27" s="35"/>
      <c r="I27" s="35"/>
      <c r="J27" s="35"/>
      <c r="K27" s="35"/>
      <c r="L27" s="35"/>
      <c r="M27" s="35"/>
      <c r="N27" s="35"/>
      <c r="O27" s="35"/>
      <c r="P27" s="35"/>
      <c r="Q27" s="35"/>
      <c r="R27" s="35"/>
      <c r="S27" s="35"/>
    </row>
    <row r="28" spans="1:19" ht="12.75" customHeight="1">
      <c r="A28" s="2356" t="s">
        <v>21</v>
      </c>
      <c r="B28" s="3531"/>
      <c r="C28" s="3531"/>
      <c r="D28" s="3531"/>
      <c r="E28" s="3531"/>
      <c r="F28" s="3531"/>
      <c r="G28" s="35"/>
      <c r="H28" s="35"/>
      <c r="I28" s="35"/>
      <c r="J28" s="35"/>
      <c r="K28" s="35"/>
      <c r="L28" s="35"/>
      <c r="M28" s="35"/>
      <c r="N28" s="35"/>
      <c r="O28" s="35"/>
      <c r="P28" s="35"/>
      <c r="Q28" s="35"/>
      <c r="R28" s="35"/>
      <c r="S28" s="35"/>
    </row>
    <row r="29" spans="1:19" ht="12.75" customHeight="1">
      <c r="A29" s="3521" t="s">
        <v>4815</v>
      </c>
      <c r="B29" s="3536">
        <v>75</v>
      </c>
      <c r="C29" s="3533"/>
      <c r="D29" s="3533"/>
      <c r="E29" s="1576">
        <f>IF(ISERROR('F194'!$H$76+'F194'!$H$19+'F194'!$P$76+'F194'!$P$19),0,('F194'!$H$76+'F194'!$H$19+'F194'!$P$76+'F194'!$P$19))</f>
        <v>0</v>
      </c>
      <c r="F29" s="1576">
        <f>E29</f>
        <v>0</v>
      </c>
      <c r="G29" s="35"/>
      <c r="H29" s="35"/>
      <c r="I29" s="35"/>
      <c r="J29" s="35"/>
      <c r="K29" s="35"/>
      <c r="L29" s="35"/>
      <c r="M29" s="35"/>
      <c r="N29" s="35"/>
      <c r="O29" s="35"/>
      <c r="P29" s="35"/>
      <c r="Q29" s="35"/>
      <c r="R29" s="35"/>
      <c r="S29" s="35"/>
    </row>
    <row r="30" spans="1:19" ht="12.75" customHeight="1">
      <c r="A30" s="3520" t="s">
        <v>22</v>
      </c>
      <c r="B30" s="2016">
        <v>80</v>
      </c>
      <c r="C30" s="3537"/>
      <c r="D30" s="3537"/>
      <c r="E30" s="3537"/>
      <c r="F30" s="3537">
        <f>F29*0.5</f>
        <v>0</v>
      </c>
      <c r="G30" s="35"/>
      <c r="H30" s="35"/>
      <c r="I30" s="35"/>
      <c r="J30" s="35"/>
      <c r="K30" s="35"/>
      <c r="L30" s="35"/>
      <c r="M30" s="35"/>
      <c r="N30" s="35"/>
      <c r="O30" s="35"/>
      <c r="P30" s="35"/>
      <c r="Q30" s="35"/>
      <c r="R30" s="35"/>
      <c r="S30" s="35"/>
    </row>
    <row r="31" spans="1:19" ht="12.75" customHeight="1">
      <c r="A31" s="2355" t="s">
        <v>23</v>
      </c>
      <c r="B31" s="1575">
        <v>85</v>
      </c>
      <c r="C31" s="3533"/>
      <c r="D31" s="3533"/>
      <c r="E31" s="3538">
        <f>IF(ISERROR('F194'!$L$19+'F194'!$L$76),0,('F194'!$L$19+'F194'!$L$76))</f>
        <v>0</v>
      </c>
      <c r="F31" s="3537">
        <f>E31</f>
        <v>0</v>
      </c>
      <c r="G31" s="35"/>
      <c r="H31" s="35"/>
      <c r="I31" s="35"/>
      <c r="J31" s="35"/>
      <c r="K31" s="35"/>
      <c r="L31" s="35"/>
      <c r="M31" s="35"/>
      <c r="N31" s="35"/>
      <c r="O31" s="35"/>
      <c r="P31" s="35"/>
      <c r="Q31" s="35"/>
      <c r="R31" s="35"/>
      <c r="S31" s="35"/>
    </row>
    <row r="32" spans="1:19" ht="12.75" customHeight="1">
      <c r="A32" s="2355" t="s">
        <v>24</v>
      </c>
      <c r="B32" s="1575">
        <v>86</v>
      </c>
      <c r="C32" s="3537"/>
      <c r="D32" s="3537"/>
      <c r="E32" s="3537"/>
      <c r="F32" s="3537">
        <f>F31*0.5</f>
        <v>0</v>
      </c>
      <c r="G32" s="35"/>
      <c r="H32" s="35"/>
      <c r="I32" s="35"/>
      <c r="J32" s="35"/>
      <c r="K32" s="35"/>
      <c r="L32" s="35"/>
      <c r="M32" s="35"/>
      <c r="N32" s="35"/>
      <c r="O32" s="35"/>
      <c r="P32" s="35"/>
      <c r="Q32" s="35"/>
      <c r="R32" s="35"/>
      <c r="S32" s="35"/>
    </row>
    <row r="33" spans="1:19" ht="12.75" customHeight="1">
      <c r="A33" s="3522" t="s">
        <v>1374</v>
      </c>
      <c r="B33" s="3539">
        <v>87</v>
      </c>
      <c r="C33" s="3540"/>
      <c r="D33" s="3540"/>
      <c r="E33" s="1576">
        <f>IF(ISERROR('F194'!$R$76+'F194'!$R$19),0,('F194'!$R$76+'F194'!$R$19))</f>
        <v>0</v>
      </c>
      <c r="F33" s="3537">
        <f>E33</f>
        <v>0</v>
      </c>
      <c r="G33" s="35"/>
      <c r="H33" s="675"/>
      <c r="I33" s="35"/>
      <c r="J33" s="35"/>
      <c r="K33" s="35"/>
      <c r="L33" s="35"/>
      <c r="M33" s="35"/>
      <c r="N33" s="35"/>
      <c r="O33" s="35"/>
      <c r="P33" s="35"/>
      <c r="Q33" s="35"/>
      <c r="R33" s="35"/>
      <c r="S33" s="35"/>
    </row>
    <row r="34" spans="1:19" ht="12.75" customHeight="1">
      <c r="A34" s="3522" t="s">
        <v>24</v>
      </c>
      <c r="B34" s="3539">
        <v>88</v>
      </c>
      <c r="C34" s="3537"/>
      <c r="D34" s="3537"/>
      <c r="E34" s="3537"/>
      <c r="F34" s="3537">
        <f>F33*0.5</f>
        <v>0</v>
      </c>
      <c r="G34" s="35"/>
      <c r="H34" s="35"/>
      <c r="I34" s="35"/>
      <c r="J34" s="35"/>
      <c r="K34" s="35"/>
      <c r="L34" s="35"/>
      <c r="M34" s="35"/>
      <c r="N34" s="35"/>
      <c r="O34" s="35"/>
      <c r="P34" s="35"/>
      <c r="Q34" s="35"/>
      <c r="R34" s="35"/>
      <c r="S34" s="35"/>
    </row>
    <row r="35" spans="1:19" ht="12.75" customHeight="1">
      <c r="A35" s="2355" t="s">
        <v>1386</v>
      </c>
      <c r="B35" s="1575">
        <v>90</v>
      </c>
      <c r="C35" s="3534"/>
      <c r="D35" s="3534"/>
      <c r="E35" s="1576">
        <f>IF(ISERROR('F194'!$N$19+'F194'!$N$76),0,('F194'!$N$19+'F194'!$N$76))</f>
        <v>0</v>
      </c>
      <c r="F35" s="2017">
        <f>IF(ISERROR(E35),0,(E35))</f>
        <v>0</v>
      </c>
      <c r="G35" s="35"/>
      <c r="H35" s="35"/>
      <c r="I35" s="35"/>
      <c r="J35" s="35"/>
      <c r="K35" s="35"/>
      <c r="L35" s="35"/>
      <c r="M35" s="35"/>
      <c r="N35" s="35"/>
      <c r="O35" s="35"/>
      <c r="P35" s="35"/>
      <c r="Q35" s="35"/>
      <c r="R35" s="35"/>
      <c r="S35" s="35"/>
    </row>
    <row r="36" spans="1:19" ht="12.75" customHeight="1">
      <c r="A36" s="3520" t="s">
        <v>22</v>
      </c>
      <c r="B36" s="2016">
        <v>95</v>
      </c>
      <c r="C36" s="3537"/>
      <c r="D36" s="3537"/>
      <c r="E36" s="3537"/>
      <c r="F36" s="2017">
        <f>F35*0.5</f>
        <v>0</v>
      </c>
      <c r="G36" s="35"/>
      <c r="H36" s="35"/>
      <c r="I36" s="35"/>
      <c r="J36" s="35"/>
      <c r="K36" s="35"/>
      <c r="L36" s="35"/>
      <c r="M36" s="35"/>
      <c r="N36" s="35"/>
      <c r="O36" s="35"/>
      <c r="P36" s="35"/>
      <c r="Q36" s="35"/>
      <c r="R36" s="35"/>
      <c r="S36" s="35"/>
    </row>
    <row r="37" spans="1:19" ht="12.75" customHeight="1">
      <c r="A37" s="2356" t="s">
        <v>25</v>
      </c>
      <c r="B37" s="3531"/>
      <c r="C37" s="3531"/>
      <c r="D37" s="3531"/>
      <c r="E37" s="3531"/>
      <c r="F37" s="3531"/>
      <c r="G37" s="35"/>
      <c r="H37" s="35"/>
      <c r="I37" s="35"/>
      <c r="J37" s="35"/>
      <c r="K37" s="35"/>
      <c r="L37" s="35"/>
      <c r="M37" s="35"/>
      <c r="N37" s="35"/>
      <c r="O37" s="35"/>
      <c r="P37" s="35"/>
      <c r="Q37" s="35"/>
      <c r="R37" s="35"/>
      <c r="S37" s="35"/>
    </row>
    <row r="38" spans="1:19" ht="12.75" customHeight="1">
      <c r="A38" s="3523" t="s">
        <v>36</v>
      </c>
      <c r="B38" s="3541">
        <v>100</v>
      </c>
      <c r="C38" s="3533"/>
      <c r="D38" s="3533"/>
      <c r="E38" s="3533"/>
      <c r="F38" s="1576">
        <f>E38</f>
        <v>0</v>
      </c>
      <c r="G38" s="35"/>
      <c r="H38" s="35"/>
      <c r="I38" s="35"/>
      <c r="J38" s="35"/>
      <c r="K38" s="35"/>
      <c r="L38" s="35"/>
      <c r="M38" s="35"/>
      <c r="N38" s="35"/>
      <c r="O38" s="35"/>
      <c r="P38" s="35"/>
      <c r="Q38" s="35"/>
      <c r="R38" s="35"/>
      <c r="S38" s="35"/>
    </row>
    <row r="39" spans="1:19" ht="12.75" customHeight="1">
      <c r="A39" s="3524" t="s">
        <v>22</v>
      </c>
      <c r="B39" s="3542">
        <v>105</v>
      </c>
      <c r="C39" s="3537"/>
      <c r="D39" s="3537"/>
      <c r="E39" s="3537"/>
      <c r="F39" s="2020"/>
      <c r="G39" s="35"/>
      <c r="H39" s="35"/>
      <c r="I39" s="35"/>
      <c r="J39" s="35"/>
      <c r="K39" s="35"/>
      <c r="L39" s="35"/>
      <c r="M39" s="35"/>
      <c r="N39" s="35"/>
      <c r="O39" s="35"/>
      <c r="P39" s="35"/>
      <c r="Q39" s="35"/>
      <c r="R39" s="35"/>
      <c r="S39" s="35"/>
    </row>
    <row r="40" spans="1:19" ht="12.75" customHeight="1">
      <c r="A40" s="2357" t="s">
        <v>37</v>
      </c>
      <c r="B40" s="3532"/>
      <c r="C40" s="3532"/>
      <c r="D40" s="3532"/>
      <c r="E40" s="3532"/>
      <c r="F40" s="3532"/>
      <c r="G40" s="35"/>
      <c r="H40" s="35"/>
      <c r="I40" s="35"/>
      <c r="J40" s="35"/>
      <c r="K40" s="35"/>
      <c r="L40" s="35"/>
      <c r="M40" s="35"/>
      <c r="N40" s="35"/>
      <c r="O40" s="35"/>
      <c r="P40" s="35"/>
      <c r="Q40" s="35"/>
      <c r="R40" s="35"/>
      <c r="S40" s="35"/>
    </row>
    <row r="41" spans="1:19" ht="12.75" customHeight="1">
      <c r="A41" s="3523" t="s">
        <v>38</v>
      </c>
      <c r="B41" s="3541">
        <v>110</v>
      </c>
      <c r="C41" s="3533"/>
      <c r="D41" s="3533"/>
      <c r="E41" s="3533"/>
      <c r="F41" s="1576">
        <f>E41</f>
        <v>0</v>
      </c>
      <c r="G41" s="35"/>
      <c r="H41" s="35"/>
      <c r="I41" s="35"/>
      <c r="J41" s="35"/>
      <c r="K41" s="35"/>
      <c r="L41" s="35"/>
      <c r="M41" s="35"/>
      <c r="N41" s="35"/>
      <c r="O41" s="35"/>
      <c r="P41" s="35"/>
      <c r="Q41" s="35"/>
      <c r="R41" s="35"/>
      <c r="S41" s="35"/>
    </row>
    <row r="42" spans="1:19" ht="12.75" customHeight="1">
      <c r="A42" s="3525" t="s">
        <v>22</v>
      </c>
      <c r="B42" s="3543">
        <v>115</v>
      </c>
      <c r="C42" s="3537"/>
      <c r="D42" s="3537"/>
      <c r="E42" s="3537"/>
      <c r="F42" s="2020"/>
      <c r="G42" s="35"/>
      <c r="H42" s="35"/>
      <c r="I42" s="35"/>
      <c r="J42" s="35"/>
      <c r="K42" s="35"/>
      <c r="L42" s="35"/>
      <c r="M42" s="35"/>
      <c r="N42" s="35"/>
      <c r="O42" s="35"/>
      <c r="P42" s="35"/>
      <c r="Q42" s="35"/>
      <c r="R42" s="35"/>
      <c r="S42" s="35"/>
    </row>
    <row r="43" spans="1:19" ht="12.75" customHeight="1">
      <c r="A43" s="2357" t="s">
        <v>39</v>
      </c>
      <c r="B43" s="3532"/>
      <c r="C43" s="3532"/>
      <c r="D43" s="3532"/>
      <c r="E43" s="3532"/>
      <c r="F43" s="3532"/>
      <c r="G43" s="35"/>
      <c r="H43" s="35"/>
      <c r="I43" s="35"/>
      <c r="J43" s="35"/>
      <c r="K43" s="35"/>
      <c r="L43" s="35"/>
      <c r="M43" s="35"/>
      <c r="N43" s="35"/>
      <c r="O43" s="35"/>
      <c r="P43" s="35"/>
      <c r="Q43" s="35"/>
      <c r="R43" s="35"/>
      <c r="S43" s="35"/>
    </row>
    <row r="44" spans="1:19" ht="12.75" customHeight="1">
      <c r="A44" s="3523" t="s">
        <v>40</v>
      </c>
      <c r="B44" s="3541">
        <v>120</v>
      </c>
      <c r="C44" s="1576">
        <f>'C06'!$C$265</f>
        <v>0</v>
      </c>
      <c r="D44" s="1576">
        <f>'C06'!$D$265</f>
        <v>0</v>
      </c>
      <c r="E44" s="1576">
        <f>'C06'!$E$265</f>
        <v>0</v>
      </c>
      <c r="F44" s="1576">
        <f>E44</f>
        <v>0</v>
      </c>
      <c r="G44" s="35"/>
      <c r="H44" s="35"/>
      <c r="I44" s="35"/>
      <c r="J44" s="35"/>
      <c r="K44" s="35"/>
      <c r="L44" s="35"/>
      <c r="M44" s="35"/>
      <c r="N44" s="35"/>
      <c r="O44" s="35"/>
      <c r="P44" s="35"/>
      <c r="Q44" s="35"/>
      <c r="R44" s="35"/>
      <c r="S44" s="35"/>
    </row>
    <row r="45" spans="1:19" ht="12.75" customHeight="1">
      <c r="A45" s="3525" t="s">
        <v>22</v>
      </c>
      <c r="B45" s="3543">
        <v>125</v>
      </c>
      <c r="C45" s="3537"/>
      <c r="D45" s="3537"/>
      <c r="E45" s="3537"/>
      <c r="F45" s="2020"/>
      <c r="G45" s="35"/>
      <c r="H45" s="35"/>
      <c r="I45" s="35"/>
      <c r="J45" s="35"/>
      <c r="K45" s="35"/>
      <c r="L45" s="35"/>
      <c r="M45" s="35"/>
      <c r="N45" s="35"/>
      <c r="O45" s="35"/>
      <c r="P45" s="35"/>
      <c r="Q45" s="35"/>
      <c r="R45" s="35"/>
      <c r="S45" s="35"/>
    </row>
    <row r="46" spans="1:19" ht="12.75" customHeight="1">
      <c r="A46" s="3525" t="s">
        <v>932</v>
      </c>
      <c r="B46" s="3543">
        <v>130</v>
      </c>
      <c r="C46" s="1576">
        <f>'C08'!$C$271</f>
        <v>0</v>
      </c>
      <c r="D46" s="1576">
        <f>'C08'!$D$271</f>
        <v>0</v>
      </c>
      <c r="E46" s="3519">
        <f>'C08'!$E$271</f>
        <v>0</v>
      </c>
      <c r="F46" s="2017">
        <f>E46</f>
        <v>0</v>
      </c>
      <c r="G46" s="35"/>
      <c r="H46" s="35"/>
      <c r="I46" s="35"/>
      <c r="J46" s="35"/>
      <c r="K46" s="35"/>
      <c r="L46" s="35"/>
      <c r="M46" s="35"/>
      <c r="N46" s="35"/>
      <c r="O46" s="35"/>
      <c r="P46" s="35"/>
      <c r="Q46" s="35"/>
      <c r="R46" s="35"/>
      <c r="S46" s="35"/>
    </row>
    <row r="47" spans="1:19" ht="12.75" customHeight="1">
      <c r="A47" s="3525" t="s">
        <v>22</v>
      </c>
      <c r="B47" s="3543">
        <v>135</v>
      </c>
      <c r="C47" s="3537"/>
      <c r="D47" s="3537"/>
      <c r="E47" s="3901"/>
      <c r="F47" s="4634"/>
      <c r="G47" s="35"/>
      <c r="H47" s="35"/>
      <c r="I47" s="35"/>
      <c r="J47" s="35"/>
      <c r="K47" s="35"/>
      <c r="L47" s="35"/>
      <c r="M47" s="35"/>
      <c r="N47" s="35"/>
      <c r="O47" s="35"/>
      <c r="P47" s="35"/>
      <c r="Q47" s="35"/>
      <c r="R47" s="35"/>
      <c r="S47" s="35"/>
    </row>
    <row r="48" spans="1:19" ht="12.75" customHeight="1">
      <c r="A48" s="3525" t="s">
        <v>41</v>
      </c>
      <c r="B48" s="3543">
        <v>140</v>
      </c>
      <c r="C48" s="1576">
        <f>'C053'!$C$228</f>
        <v>0</v>
      </c>
      <c r="D48" s="1576">
        <f>'C053'!$D$228</f>
        <v>0</v>
      </c>
      <c r="E48" s="4617" t="s">
        <v>4905</v>
      </c>
      <c r="F48" s="3720" t="s">
        <v>4905</v>
      </c>
      <c r="G48" s="35"/>
      <c r="H48" s="35"/>
      <c r="I48" s="35"/>
      <c r="J48" s="35"/>
      <c r="K48" s="35"/>
      <c r="L48" s="35"/>
      <c r="M48" s="35"/>
      <c r="N48" s="35"/>
      <c r="O48" s="35"/>
      <c r="P48" s="35"/>
      <c r="Q48" s="35"/>
      <c r="R48" s="35"/>
      <c r="S48" s="35"/>
    </row>
    <row r="49" spans="1:19" ht="12.75" customHeight="1">
      <c r="A49" s="3525" t="s">
        <v>22</v>
      </c>
      <c r="B49" s="3543">
        <v>145</v>
      </c>
      <c r="C49" s="3537"/>
      <c r="D49" s="3537"/>
      <c r="E49" s="4626"/>
      <c r="F49" s="3911"/>
      <c r="G49" s="4563"/>
      <c r="H49" s="35"/>
      <c r="I49" s="35"/>
      <c r="J49" s="35"/>
      <c r="K49" s="35"/>
      <c r="L49" s="35"/>
      <c r="M49" s="35"/>
      <c r="N49" s="35"/>
      <c r="O49" s="35"/>
      <c r="P49" s="35"/>
      <c r="Q49" s="35"/>
      <c r="R49" s="35"/>
      <c r="S49" s="35"/>
    </row>
    <row r="50" spans="1:19" ht="12.75" customHeight="1">
      <c r="A50" s="3526" t="s">
        <v>42</v>
      </c>
      <c r="B50" s="3544">
        <v>170</v>
      </c>
      <c r="C50" s="1576">
        <f>SUM(C9:C49)</f>
        <v>0</v>
      </c>
      <c r="D50" s="1576">
        <f>SUM(D9:D49)</f>
        <v>0</v>
      </c>
      <c r="E50" s="1576">
        <f>SUM(E9:E49)</f>
        <v>0</v>
      </c>
      <c r="F50" s="1576">
        <f>SUM(F9:F49)</f>
        <v>0</v>
      </c>
      <c r="G50" s="35"/>
      <c r="H50" s="35"/>
      <c r="I50" s="35"/>
      <c r="J50" s="35"/>
      <c r="K50" s="35"/>
      <c r="L50" s="35"/>
      <c r="M50" s="35"/>
      <c r="N50" s="35"/>
      <c r="O50" s="35"/>
      <c r="P50" s="35"/>
      <c r="Q50" s="35"/>
      <c r="R50" s="35"/>
      <c r="S50" s="35"/>
    </row>
    <row r="51" spans="1:19" ht="12.75" customHeight="1">
      <c r="A51" s="3524" t="s">
        <v>43</v>
      </c>
      <c r="B51" s="3542">
        <v>175</v>
      </c>
      <c r="C51" s="2017">
        <f>C152</f>
        <v>0</v>
      </c>
      <c r="D51" s="2017">
        <f>D152</f>
        <v>0</v>
      </c>
      <c r="E51" s="2017">
        <f>E152</f>
        <v>0</v>
      </c>
      <c r="F51" s="2017">
        <f>E51</f>
        <v>0</v>
      </c>
      <c r="G51" s="35"/>
      <c r="H51" s="35"/>
      <c r="I51" s="35"/>
      <c r="J51" s="35"/>
      <c r="K51" s="35"/>
      <c r="L51" s="35"/>
      <c r="M51" s="35"/>
      <c r="N51" s="35"/>
      <c r="O51" s="35"/>
      <c r="P51" s="35"/>
      <c r="Q51" s="35"/>
      <c r="R51" s="35"/>
      <c r="S51" s="35"/>
    </row>
    <row r="52" spans="1:19" ht="12.75" customHeight="1">
      <c r="A52" s="3527" t="s">
        <v>22</v>
      </c>
      <c r="B52" s="3542">
        <v>180</v>
      </c>
      <c r="C52" s="4635"/>
      <c r="D52" s="4007"/>
      <c r="E52" s="4636"/>
      <c r="F52" s="2017">
        <f>F50-F51</f>
        <v>0</v>
      </c>
      <c r="G52" s="35"/>
      <c r="H52" s="35"/>
      <c r="I52" s="35"/>
      <c r="J52" s="35"/>
      <c r="K52" s="35"/>
      <c r="L52" s="35"/>
      <c r="M52" s="35"/>
      <c r="N52" s="35"/>
      <c r="O52" s="35"/>
      <c r="P52" s="35"/>
      <c r="Q52" s="35"/>
      <c r="R52" s="35"/>
      <c r="S52" s="35"/>
    </row>
    <row r="53" spans="1:19" ht="12.75" customHeight="1">
      <c r="A53" s="3524" t="s">
        <v>44</v>
      </c>
      <c r="B53" s="3542">
        <v>185</v>
      </c>
      <c r="C53" s="4618"/>
      <c r="D53" s="3910"/>
      <c r="E53" s="3911"/>
      <c r="F53" s="2017">
        <f>F50</f>
        <v>0</v>
      </c>
      <c r="G53" s="35"/>
      <c r="H53" s="676" t="str">
        <f>IF(F53="ERROR","Lines 175 + 180 must equal Line 170 (Resources Available)","")</f>
        <v/>
      </c>
      <c r="I53" s="35"/>
      <c r="J53" s="35"/>
      <c r="K53" s="35"/>
      <c r="L53" s="35"/>
      <c r="M53" s="35"/>
      <c r="N53" s="35"/>
      <c r="O53" s="35"/>
      <c r="P53" s="35"/>
      <c r="Q53" s="35"/>
      <c r="R53" s="35"/>
      <c r="S53" s="35"/>
    </row>
    <row r="54" spans="1:19" ht="12.75" customHeight="1">
      <c r="A54" s="3527" t="s">
        <v>935</v>
      </c>
      <c r="B54" s="3542">
        <v>190</v>
      </c>
      <c r="C54" s="1576">
        <f>C50-C51</f>
        <v>0</v>
      </c>
      <c r="D54" s="1576">
        <f>D50-D51</f>
        <v>0</v>
      </c>
      <c r="E54" s="1576">
        <f>E50-E51</f>
        <v>0</v>
      </c>
      <c r="F54" s="2774" t="s">
        <v>4905</v>
      </c>
      <c r="G54" s="35"/>
      <c r="H54" s="35"/>
      <c r="I54" s="35"/>
      <c r="J54" s="35"/>
      <c r="K54" s="35"/>
      <c r="L54" s="35"/>
      <c r="M54" s="35"/>
      <c r="N54" s="35"/>
      <c r="O54" s="35"/>
      <c r="P54" s="35"/>
      <c r="Q54" s="35"/>
      <c r="R54" s="35"/>
      <c r="S54" s="35"/>
    </row>
    <row r="55" spans="1:19" ht="12.75" customHeight="1">
      <c r="A55" s="4468"/>
      <c r="B55" s="4469"/>
      <c r="C55" s="4467"/>
      <c r="D55" s="4467"/>
      <c r="E55" s="4467"/>
      <c r="F55" s="3910"/>
      <c r="G55" s="35"/>
      <c r="H55" s="35"/>
      <c r="I55" s="35"/>
      <c r="J55" s="35"/>
      <c r="K55" s="35"/>
      <c r="L55" s="35"/>
      <c r="M55" s="35"/>
      <c r="N55" s="35"/>
      <c r="O55" s="35"/>
      <c r="P55" s="35"/>
      <c r="Q55" s="35"/>
      <c r="R55" s="35"/>
      <c r="S55" s="35"/>
    </row>
    <row r="56" spans="1:19" ht="12.75" customHeight="1">
      <c r="A56" s="1544" t="s">
        <v>835</v>
      </c>
      <c r="B56" s="1046">
        <f>B1</f>
        <v>237</v>
      </c>
      <c r="C56" s="1542"/>
      <c r="D56" s="6108" t="str">
        <f>E1</f>
        <v>STATE OF KANSAS</v>
      </c>
      <c r="E56" s="6108"/>
      <c r="F56" s="1544"/>
      <c r="G56" s="35"/>
      <c r="H56" s="35"/>
      <c r="I56" s="35"/>
      <c r="J56" s="35"/>
      <c r="K56" s="35"/>
      <c r="L56" s="35"/>
      <c r="M56" s="35"/>
      <c r="N56" s="35"/>
      <c r="O56" s="35"/>
      <c r="P56" s="35"/>
      <c r="Q56" s="35"/>
      <c r="R56" s="35"/>
      <c r="S56" s="35"/>
    </row>
    <row r="57" spans="1:19" ht="12.75" customHeight="1">
      <c r="A57" s="1542"/>
      <c r="B57" s="1543"/>
      <c r="C57" s="1542"/>
      <c r="D57" s="6108" t="str">
        <f>E2</f>
        <v>Budget Form USD-E</v>
      </c>
      <c r="E57" s="6108"/>
      <c r="F57" s="1544"/>
      <c r="G57" s="35"/>
      <c r="H57" s="35"/>
      <c r="I57" s="35"/>
      <c r="J57" s="35"/>
      <c r="K57" s="35"/>
      <c r="L57" s="35"/>
      <c r="M57" s="35"/>
      <c r="N57" s="35"/>
      <c r="O57" s="35"/>
      <c r="P57" s="35"/>
      <c r="Q57" s="35"/>
      <c r="R57" s="35"/>
      <c r="S57" s="35"/>
    </row>
    <row r="58" spans="1:19" ht="12.75" customHeight="1">
      <c r="A58" s="1542"/>
      <c r="B58" s="1543"/>
      <c r="C58" s="1542"/>
      <c r="D58" s="1542"/>
      <c r="E58" s="1544" t="str">
        <f>F3</f>
        <v>2021-2022</v>
      </c>
      <c r="F58" s="1544"/>
      <c r="G58" s="35"/>
      <c r="H58" s="35"/>
      <c r="I58" s="35"/>
      <c r="J58" s="35"/>
      <c r="K58" s="35"/>
      <c r="L58" s="35"/>
      <c r="M58" s="35"/>
      <c r="N58" s="35"/>
      <c r="O58" s="35"/>
      <c r="P58" s="35"/>
      <c r="Q58" s="35"/>
      <c r="R58" s="35"/>
      <c r="S58" s="35"/>
    </row>
    <row r="59" spans="1:19" ht="12.75" customHeight="1">
      <c r="A59" s="1542"/>
      <c r="B59" s="1543"/>
      <c r="C59" s="1542"/>
      <c r="D59" s="1542"/>
      <c r="E59" s="1542"/>
      <c r="F59" s="1542"/>
      <c r="G59" s="35"/>
      <c r="H59" s="35"/>
      <c r="I59" s="35"/>
      <c r="J59" s="35"/>
      <c r="K59" s="35"/>
      <c r="L59" s="35"/>
      <c r="M59" s="35"/>
      <c r="N59" s="35"/>
      <c r="O59" s="35"/>
      <c r="P59" s="35"/>
      <c r="Q59" s="35"/>
      <c r="R59" s="35"/>
      <c r="S59" s="35"/>
    </row>
    <row r="60" spans="1:19" ht="12.75" customHeight="1">
      <c r="A60" s="1542"/>
      <c r="B60" s="1543"/>
      <c r="C60" s="1545" t="s">
        <v>922</v>
      </c>
      <c r="D60" s="1545" t="s">
        <v>922</v>
      </c>
      <c r="E60" s="1545" t="s">
        <v>922</v>
      </c>
      <c r="F60" s="1542"/>
      <c r="G60" s="35"/>
      <c r="H60" s="35"/>
      <c r="I60" s="35"/>
      <c r="J60" s="35"/>
      <c r="K60" s="35"/>
      <c r="L60" s="35"/>
      <c r="M60" s="35"/>
      <c r="N60" s="35"/>
      <c r="O60" s="35"/>
      <c r="P60" s="35"/>
      <c r="Q60" s="35"/>
      <c r="R60" s="35"/>
      <c r="S60" s="35"/>
    </row>
    <row r="61" spans="1:19" ht="12.75" customHeight="1">
      <c r="A61" s="1542"/>
      <c r="B61" s="1546" t="s">
        <v>854</v>
      </c>
      <c r="C61" s="1547" t="str">
        <f>C6</f>
        <v>2019-2020</v>
      </c>
      <c r="D61" s="1547" t="str">
        <f>D6</f>
        <v>2020-2021</v>
      </c>
      <c r="E61" s="1547" t="str">
        <f>E6</f>
        <v>2021-2022</v>
      </c>
      <c r="F61" s="1542"/>
      <c r="G61" s="35"/>
      <c r="H61" s="35"/>
      <c r="I61" s="35"/>
      <c r="J61" s="35"/>
      <c r="K61" s="35"/>
      <c r="L61" s="35"/>
      <c r="M61" s="35"/>
      <c r="N61" s="35"/>
      <c r="O61" s="35"/>
      <c r="P61" s="35"/>
      <c r="Q61" s="35"/>
      <c r="R61" s="35"/>
      <c r="S61" s="35"/>
    </row>
    <row r="62" spans="1:19" ht="12.75" customHeight="1">
      <c r="A62" s="1573" t="str">
        <f>A7</f>
        <v>ADULT EDUCATION</v>
      </c>
      <c r="B62" s="1548">
        <v>10</v>
      </c>
      <c r="C62" s="1549" t="s">
        <v>893</v>
      </c>
      <c r="D62" s="1549" t="s">
        <v>893</v>
      </c>
      <c r="E62" s="1549" t="s">
        <v>923</v>
      </c>
      <c r="F62" s="1542"/>
      <c r="G62" s="35"/>
      <c r="H62" s="35"/>
      <c r="I62" s="35"/>
      <c r="J62" s="35"/>
      <c r="K62" s="35"/>
      <c r="L62" s="35"/>
      <c r="M62" s="35"/>
      <c r="N62" s="35"/>
      <c r="O62" s="35"/>
      <c r="P62" s="35"/>
      <c r="Q62" s="35"/>
      <c r="R62" s="35"/>
      <c r="S62" s="35"/>
    </row>
    <row r="63" spans="1:19" ht="12.75" customHeight="1">
      <c r="A63" s="4477"/>
      <c r="B63" s="1548" t="s">
        <v>858</v>
      </c>
      <c r="C63" s="4478">
        <v>1</v>
      </c>
      <c r="D63" s="4478">
        <v>2</v>
      </c>
      <c r="E63" s="4478">
        <v>3</v>
      </c>
      <c r="F63" s="1542"/>
      <c r="G63" s="35"/>
      <c r="H63" s="35"/>
      <c r="I63" s="35"/>
      <c r="J63" s="35"/>
      <c r="K63" s="35"/>
      <c r="L63" s="35"/>
      <c r="M63" s="35"/>
      <c r="N63" s="35"/>
      <c r="O63" s="35"/>
      <c r="P63" s="35"/>
      <c r="Q63" s="35"/>
      <c r="R63" s="35"/>
      <c r="S63" s="35"/>
    </row>
    <row r="64" spans="1:19" ht="12.75" customHeight="1">
      <c r="A64" s="3518"/>
      <c r="B64" s="4479"/>
      <c r="C64" s="4480"/>
      <c r="D64" s="4480"/>
      <c r="E64" s="4481"/>
      <c r="F64" s="1542"/>
      <c r="G64" s="35"/>
      <c r="H64" s="35"/>
      <c r="I64" s="35"/>
      <c r="J64" s="35"/>
      <c r="K64" s="35"/>
      <c r="L64" s="35"/>
      <c r="M64" s="35"/>
      <c r="N64" s="35"/>
      <c r="O64" s="35"/>
      <c r="P64" s="35"/>
      <c r="Q64" s="35"/>
      <c r="R64" s="35"/>
      <c r="S64" s="35"/>
    </row>
    <row r="65" spans="1:19" ht="12.75" customHeight="1">
      <c r="A65" s="4482" t="s">
        <v>60</v>
      </c>
      <c r="B65" s="4483"/>
      <c r="C65" s="4483"/>
      <c r="D65" s="4483"/>
      <c r="E65" s="4484"/>
      <c r="F65" s="1542"/>
      <c r="G65" s="35"/>
      <c r="H65" s="35"/>
      <c r="I65" s="35"/>
      <c r="J65" s="35"/>
      <c r="K65" s="35"/>
      <c r="L65" s="35"/>
      <c r="M65" s="35"/>
      <c r="N65" s="35"/>
      <c r="O65" s="35"/>
      <c r="P65" s="35"/>
      <c r="Q65" s="35"/>
      <c r="R65" s="35"/>
      <c r="S65" s="35"/>
    </row>
    <row r="66" spans="1:19" ht="12.75" customHeight="1">
      <c r="A66" s="2356" t="s">
        <v>940</v>
      </c>
      <c r="B66" s="3531"/>
      <c r="C66" s="3531"/>
      <c r="D66" s="3531"/>
      <c r="E66" s="3531"/>
      <c r="F66" s="1559"/>
      <c r="G66" s="35"/>
      <c r="H66" s="35"/>
      <c r="I66" s="35"/>
      <c r="J66" s="35"/>
      <c r="K66" s="35"/>
      <c r="L66" s="35"/>
      <c r="M66" s="35"/>
      <c r="N66" s="35"/>
      <c r="O66" s="35"/>
      <c r="P66" s="35"/>
      <c r="Q66" s="35"/>
      <c r="R66" s="35"/>
      <c r="S66" s="35"/>
    </row>
    <row r="67" spans="1:19" ht="12.75" customHeight="1">
      <c r="A67" s="2356" t="s">
        <v>941</v>
      </c>
      <c r="B67" s="3531"/>
      <c r="C67" s="3531"/>
      <c r="D67" s="3531"/>
      <c r="E67" s="3531"/>
      <c r="F67" s="1559"/>
      <c r="G67" s="35"/>
      <c r="H67" s="35"/>
      <c r="I67" s="35"/>
      <c r="J67" s="35"/>
      <c r="K67" s="35"/>
      <c r="L67" s="35"/>
      <c r="M67" s="35"/>
      <c r="N67" s="35"/>
      <c r="O67" s="35"/>
      <c r="P67" s="35"/>
      <c r="Q67" s="35"/>
      <c r="R67" s="35"/>
      <c r="S67" s="35"/>
    </row>
    <row r="68" spans="1:19" ht="12.75" customHeight="1">
      <c r="A68" s="3523" t="s">
        <v>942</v>
      </c>
      <c r="B68" s="3541">
        <v>210</v>
      </c>
      <c r="C68" s="3533"/>
      <c r="D68" s="3533"/>
      <c r="E68" s="3533"/>
      <c r="F68" s="1559"/>
      <c r="G68" s="35"/>
      <c r="H68" s="35"/>
      <c r="I68" s="35"/>
      <c r="J68" s="35"/>
      <c r="K68" s="35"/>
      <c r="L68" s="35"/>
      <c r="M68" s="35"/>
      <c r="N68" s="35"/>
      <c r="O68" s="35"/>
      <c r="P68" s="35"/>
      <c r="Q68" s="35"/>
      <c r="R68" s="35"/>
      <c r="S68" s="35"/>
    </row>
    <row r="69" spans="1:19" ht="12.75" customHeight="1">
      <c r="A69" s="3520" t="s">
        <v>45</v>
      </c>
      <c r="B69" s="2016">
        <v>215</v>
      </c>
      <c r="C69" s="2020"/>
      <c r="D69" s="2020"/>
      <c r="E69" s="2020"/>
      <c r="F69" s="1559"/>
      <c r="G69" s="35"/>
      <c r="H69" s="35"/>
      <c r="I69" s="35"/>
      <c r="J69" s="35"/>
      <c r="K69" s="35"/>
      <c r="L69" s="35"/>
      <c r="M69" s="35"/>
      <c r="N69" s="35"/>
      <c r="O69" s="35"/>
      <c r="P69" s="35"/>
      <c r="Q69" s="35"/>
      <c r="R69" s="35"/>
      <c r="S69" s="35"/>
    </row>
    <row r="70" spans="1:19" ht="12.75" customHeight="1">
      <c r="A70" s="2353" t="s">
        <v>944</v>
      </c>
      <c r="B70" s="3530"/>
      <c r="C70" s="3530"/>
      <c r="D70" s="3530"/>
      <c r="E70" s="3530"/>
      <c r="F70" s="1559"/>
      <c r="G70" s="35"/>
      <c r="H70" s="35"/>
      <c r="I70" s="35"/>
      <c r="J70" s="35"/>
      <c r="K70" s="35"/>
      <c r="L70" s="35"/>
      <c r="M70" s="35"/>
      <c r="N70" s="35"/>
      <c r="O70" s="35"/>
      <c r="P70" s="35"/>
      <c r="Q70" s="35"/>
      <c r="R70" s="35"/>
      <c r="S70" s="35"/>
    </row>
    <row r="71" spans="1:19" ht="12.75" customHeight="1">
      <c r="A71" s="3521" t="s">
        <v>945</v>
      </c>
      <c r="B71" s="3536">
        <v>220</v>
      </c>
      <c r="C71" s="3533"/>
      <c r="D71" s="3533"/>
      <c r="E71" s="3533"/>
      <c r="F71" s="1559"/>
      <c r="G71" s="35"/>
      <c r="H71" s="35"/>
      <c r="I71" s="35"/>
      <c r="J71" s="35"/>
      <c r="K71" s="35"/>
      <c r="L71" s="35"/>
      <c r="M71" s="35"/>
      <c r="N71" s="35"/>
      <c r="O71" s="35"/>
      <c r="P71" s="35"/>
      <c r="Q71" s="35"/>
      <c r="R71" s="35"/>
      <c r="S71" s="35"/>
    </row>
    <row r="72" spans="1:19" ht="12.75" customHeight="1">
      <c r="A72" s="3520" t="s">
        <v>946</v>
      </c>
      <c r="B72" s="2016">
        <v>225</v>
      </c>
      <c r="C72" s="2020"/>
      <c r="D72" s="2020"/>
      <c r="E72" s="2020"/>
      <c r="F72" s="1559"/>
      <c r="G72" s="35"/>
      <c r="H72" s="35"/>
      <c r="I72" s="35"/>
      <c r="J72" s="35"/>
      <c r="K72" s="35"/>
      <c r="L72" s="35"/>
      <c r="M72" s="35"/>
      <c r="N72" s="35"/>
      <c r="O72" s="35"/>
      <c r="P72" s="35"/>
      <c r="Q72" s="35"/>
      <c r="R72" s="35"/>
      <c r="S72" s="35"/>
    </row>
    <row r="73" spans="1:19" ht="12.75" customHeight="1">
      <c r="A73" s="3521" t="s">
        <v>947</v>
      </c>
      <c r="B73" s="3536">
        <v>230</v>
      </c>
      <c r="C73" s="3533"/>
      <c r="D73" s="3533"/>
      <c r="E73" s="3533"/>
      <c r="F73" s="1559"/>
      <c r="G73" s="35"/>
      <c r="H73" s="35"/>
      <c r="I73" s="35"/>
      <c r="J73" s="35"/>
      <c r="K73" s="35"/>
      <c r="L73" s="35"/>
      <c r="M73" s="35"/>
      <c r="N73" s="35"/>
      <c r="O73" s="35"/>
      <c r="P73" s="35"/>
      <c r="Q73" s="35"/>
      <c r="R73" s="35"/>
      <c r="S73" s="35"/>
    </row>
    <row r="74" spans="1:19" ht="12.75" customHeight="1">
      <c r="A74" s="2355" t="s">
        <v>4818</v>
      </c>
      <c r="B74" s="1575">
        <v>235</v>
      </c>
      <c r="C74" s="3545"/>
      <c r="D74" s="3545"/>
      <c r="E74" s="3545"/>
      <c r="F74" s="1559"/>
      <c r="G74" s="35"/>
      <c r="H74" s="35"/>
      <c r="I74" s="35"/>
      <c r="J74" s="35"/>
      <c r="K74" s="35"/>
      <c r="L74" s="35"/>
      <c r="M74" s="35"/>
      <c r="N74" s="35"/>
      <c r="O74" s="35"/>
      <c r="P74" s="35"/>
      <c r="Q74" s="35"/>
      <c r="R74" s="35"/>
      <c r="S74" s="35"/>
    </row>
    <row r="75" spans="1:19" ht="12.75" customHeight="1">
      <c r="A75" s="3522" t="s">
        <v>632</v>
      </c>
      <c r="B75" s="3539">
        <v>237</v>
      </c>
      <c r="C75" s="3545"/>
      <c r="D75" s="3545"/>
      <c r="E75" s="3545"/>
      <c r="F75" s="1559"/>
      <c r="G75" s="35"/>
      <c r="H75" s="35"/>
      <c r="I75" s="35"/>
      <c r="J75" s="35"/>
      <c r="K75" s="35"/>
      <c r="L75" s="35"/>
      <c r="M75" s="35"/>
      <c r="N75" s="35"/>
      <c r="O75" s="35"/>
      <c r="P75" s="35"/>
      <c r="Q75" s="35"/>
      <c r="R75" s="35"/>
      <c r="S75" s="35"/>
    </row>
    <row r="76" spans="1:19" ht="12.75" customHeight="1">
      <c r="A76" s="2353" t="s">
        <v>950</v>
      </c>
      <c r="B76" s="3530"/>
      <c r="C76" s="3530"/>
      <c r="D76" s="3530"/>
      <c r="E76" s="3530"/>
      <c r="F76" s="1559"/>
      <c r="G76" s="35"/>
      <c r="H76" s="35"/>
      <c r="I76" s="35"/>
      <c r="J76" s="35"/>
      <c r="K76" s="35"/>
      <c r="L76" s="35"/>
      <c r="M76" s="35"/>
      <c r="N76" s="35"/>
      <c r="O76" s="35"/>
      <c r="P76" s="35"/>
      <c r="Q76" s="35"/>
      <c r="R76" s="35"/>
      <c r="S76" s="35"/>
    </row>
    <row r="77" spans="1:19" ht="12.75" customHeight="1">
      <c r="A77" s="3521" t="s">
        <v>951</v>
      </c>
      <c r="B77" s="3536">
        <v>240</v>
      </c>
      <c r="C77" s="3533"/>
      <c r="D77" s="3533"/>
      <c r="E77" s="3533"/>
      <c r="F77" s="1559"/>
      <c r="G77" s="35"/>
      <c r="H77" s="35"/>
      <c r="I77" s="35"/>
      <c r="J77" s="35"/>
      <c r="K77" s="35"/>
      <c r="L77" s="35"/>
      <c r="M77" s="35"/>
      <c r="N77" s="35"/>
      <c r="O77" s="35"/>
      <c r="P77" s="35"/>
      <c r="Q77" s="35"/>
      <c r="R77" s="35"/>
      <c r="S77" s="35"/>
    </row>
    <row r="78" spans="1:19" ht="12.75" customHeight="1">
      <c r="A78" s="2355" t="s">
        <v>954</v>
      </c>
      <c r="B78" s="1575">
        <v>245</v>
      </c>
      <c r="C78" s="3545"/>
      <c r="D78" s="3545"/>
      <c r="E78" s="3545"/>
      <c r="F78" s="1559"/>
      <c r="G78" s="35"/>
      <c r="H78" s="35"/>
      <c r="I78" s="35"/>
      <c r="J78" s="35"/>
      <c r="K78" s="35"/>
      <c r="L78" s="35"/>
      <c r="M78" s="35"/>
      <c r="N78" s="35"/>
      <c r="O78" s="35"/>
      <c r="P78" s="35"/>
      <c r="Q78" s="35"/>
      <c r="R78" s="35"/>
      <c r="S78" s="35"/>
    </row>
    <row r="79" spans="1:19" ht="12.75" customHeight="1">
      <c r="A79" s="2353" t="s">
        <v>955</v>
      </c>
      <c r="B79" s="3530"/>
      <c r="C79" s="3530"/>
      <c r="D79" s="3530"/>
      <c r="E79" s="3530"/>
      <c r="F79" s="1559"/>
      <c r="G79" s="35"/>
      <c r="H79" s="35"/>
      <c r="I79" s="35"/>
      <c r="J79" s="35"/>
      <c r="K79" s="35"/>
      <c r="L79" s="35"/>
      <c r="M79" s="35"/>
      <c r="N79" s="35"/>
      <c r="O79" s="35"/>
      <c r="P79" s="35"/>
      <c r="Q79" s="35"/>
      <c r="R79" s="35"/>
      <c r="S79" s="35"/>
    </row>
    <row r="80" spans="1:19" ht="12.75" customHeight="1">
      <c r="A80" s="3521" t="s">
        <v>956</v>
      </c>
      <c r="B80" s="3536">
        <v>250</v>
      </c>
      <c r="C80" s="3533"/>
      <c r="D80" s="3533"/>
      <c r="E80" s="3533"/>
      <c r="F80" s="1559"/>
      <c r="G80" s="35"/>
      <c r="H80" s="35"/>
      <c r="I80" s="35"/>
      <c r="J80" s="35"/>
      <c r="K80" s="35"/>
      <c r="L80" s="35"/>
      <c r="M80" s="35"/>
      <c r="N80" s="35"/>
      <c r="O80" s="35"/>
      <c r="P80" s="35"/>
      <c r="Q80" s="35"/>
      <c r="R80" s="35"/>
      <c r="S80" s="35"/>
    </row>
    <row r="81" spans="1:19" ht="12.75" customHeight="1">
      <c r="A81" s="3521" t="s">
        <v>957</v>
      </c>
      <c r="B81" s="3536">
        <v>255</v>
      </c>
      <c r="C81" s="3533"/>
      <c r="D81" s="3533"/>
      <c r="E81" s="3533"/>
      <c r="F81" s="1559"/>
      <c r="G81" s="35"/>
      <c r="H81" s="35"/>
      <c r="I81" s="35"/>
      <c r="J81" s="35"/>
      <c r="K81" s="35"/>
      <c r="L81" s="35"/>
      <c r="M81" s="35"/>
      <c r="N81" s="35"/>
      <c r="O81" s="35"/>
      <c r="P81" s="35"/>
      <c r="Q81" s="35"/>
      <c r="R81" s="35"/>
      <c r="S81" s="35"/>
    </row>
    <row r="82" spans="1:19" ht="12.75" customHeight="1">
      <c r="A82" s="3528" t="s">
        <v>936</v>
      </c>
      <c r="B82" s="3546">
        <v>257</v>
      </c>
      <c r="C82" s="3533"/>
      <c r="D82" s="3533"/>
      <c r="E82" s="3533"/>
      <c r="F82" s="1559"/>
      <c r="G82" s="35"/>
      <c r="H82" s="35"/>
      <c r="I82" s="35"/>
      <c r="J82" s="35"/>
      <c r="K82" s="35"/>
      <c r="L82" s="35"/>
      <c r="M82" s="35"/>
      <c r="N82" s="35"/>
      <c r="O82" s="35"/>
      <c r="P82" s="35"/>
      <c r="Q82" s="35"/>
      <c r="R82" s="35"/>
      <c r="S82" s="35"/>
    </row>
    <row r="83" spans="1:19" ht="12.75" customHeight="1">
      <c r="A83" s="3520" t="s">
        <v>958</v>
      </c>
      <c r="B83" s="2016">
        <v>260</v>
      </c>
      <c r="C83" s="2020"/>
      <c r="D83" s="2020"/>
      <c r="E83" s="2020"/>
      <c r="F83" s="1559"/>
      <c r="G83" s="35"/>
      <c r="H83" s="35"/>
      <c r="I83" s="35"/>
      <c r="J83" s="35"/>
      <c r="K83" s="35"/>
      <c r="L83" s="35"/>
      <c r="M83" s="35"/>
      <c r="N83" s="35"/>
      <c r="O83" s="35"/>
      <c r="P83" s="35"/>
      <c r="Q83" s="35"/>
      <c r="R83" s="35"/>
      <c r="S83" s="35"/>
    </row>
    <row r="84" spans="1:19" ht="12.75" customHeight="1">
      <c r="A84" s="3521" t="s">
        <v>959</v>
      </c>
      <c r="B84" s="3536">
        <v>265</v>
      </c>
      <c r="C84" s="3533"/>
      <c r="D84" s="3533"/>
      <c r="E84" s="3533"/>
      <c r="F84" s="1559"/>
      <c r="G84" s="35"/>
      <c r="H84" s="35"/>
      <c r="I84" s="35"/>
      <c r="J84" s="35"/>
      <c r="K84" s="35"/>
      <c r="L84" s="35"/>
      <c r="M84" s="35"/>
      <c r="N84" s="35"/>
      <c r="O84" s="35"/>
      <c r="P84" s="35"/>
      <c r="Q84" s="35"/>
      <c r="R84" s="35"/>
      <c r="S84" s="35"/>
    </row>
    <row r="85" spans="1:19" ht="12.75" customHeight="1">
      <c r="A85" s="3520" t="s">
        <v>960</v>
      </c>
      <c r="B85" s="2016">
        <v>270</v>
      </c>
      <c r="C85" s="2020"/>
      <c r="D85" s="2020"/>
      <c r="E85" s="2020"/>
      <c r="F85" s="1559"/>
      <c r="G85" s="35"/>
      <c r="H85" s="35"/>
      <c r="I85" s="35"/>
      <c r="J85" s="35"/>
      <c r="K85" s="35"/>
      <c r="L85" s="35"/>
      <c r="M85" s="35"/>
      <c r="N85" s="35"/>
      <c r="O85" s="35"/>
      <c r="P85" s="35"/>
      <c r="Q85" s="35"/>
      <c r="R85" s="35"/>
      <c r="S85" s="35"/>
    </row>
    <row r="86" spans="1:19" ht="12.75" customHeight="1">
      <c r="A86" s="2353" t="s">
        <v>961</v>
      </c>
      <c r="B86" s="3530"/>
      <c r="C86" s="3530"/>
      <c r="D86" s="3530"/>
      <c r="E86" s="3530"/>
      <c r="F86" s="1559"/>
      <c r="G86" s="35"/>
      <c r="H86" s="35"/>
      <c r="I86" s="35"/>
      <c r="J86" s="35"/>
      <c r="K86" s="35"/>
      <c r="L86" s="35"/>
      <c r="M86" s="35"/>
      <c r="N86" s="35"/>
      <c r="O86" s="35"/>
      <c r="P86" s="35"/>
      <c r="Q86" s="35"/>
      <c r="R86" s="35"/>
      <c r="S86" s="35"/>
    </row>
    <row r="87" spans="1:19" ht="12.75" customHeight="1">
      <c r="A87" s="2357" t="s">
        <v>962</v>
      </c>
      <c r="B87" s="3532"/>
      <c r="C87" s="3532"/>
      <c r="D87" s="3532"/>
      <c r="E87" s="3532"/>
      <c r="F87" s="1559"/>
      <c r="G87" s="35"/>
      <c r="H87" s="35"/>
      <c r="I87" s="35"/>
      <c r="J87" s="35"/>
      <c r="K87" s="35"/>
      <c r="L87" s="35"/>
      <c r="M87" s="35"/>
      <c r="N87" s="35"/>
      <c r="O87" s="35"/>
      <c r="P87" s="35"/>
      <c r="Q87" s="35"/>
      <c r="R87" s="35"/>
      <c r="S87" s="35"/>
    </row>
    <row r="88" spans="1:19" ht="12.75" customHeight="1">
      <c r="A88" s="2357" t="s">
        <v>941</v>
      </c>
      <c r="B88" s="3532"/>
      <c r="C88" s="3532"/>
      <c r="D88" s="3532"/>
      <c r="E88" s="3532"/>
      <c r="F88" s="1559"/>
      <c r="G88" s="35"/>
      <c r="H88" s="35"/>
      <c r="I88" s="35"/>
      <c r="J88" s="35"/>
      <c r="K88" s="35"/>
      <c r="L88" s="35"/>
      <c r="M88" s="35"/>
      <c r="N88" s="35"/>
      <c r="O88" s="35"/>
      <c r="P88" s="35"/>
      <c r="Q88" s="35"/>
      <c r="R88" s="35"/>
      <c r="S88" s="35"/>
    </row>
    <row r="89" spans="1:19" ht="12.75" customHeight="1">
      <c r="A89" s="3523" t="s">
        <v>942</v>
      </c>
      <c r="B89" s="3541">
        <v>275</v>
      </c>
      <c r="C89" s="3533"/>
      <c r="D89" s="3533"/>
      <c r="E89" s="3533"/>
      <c r="F89" s="1559"/>
      <c r="G89" s="35"/>
      <c r="H89" s="35"/>
      <c r="I89" s="35"/>
      <c r="J89" s="35"/>
      <c r="K89" s="35"/>
      <c r="L89" s="35"/>
      <c r="M89" s="35"/>
      <c r="N89" s="35"/>
      <c r="O89" s="35"/>
      <c r="P89" s="35"/>
      <c r="Q89" s="35"/>
      <c r="R89" s="35"/>
      <c r="S89" s="35"/>
    </row>
    <row r="90" spans="1:19" ht="12.75" customHeight="1">
      <c r="A90" s="3524" t="s">
        <v>45</v>
      </c>
      <c r="B90" s="3542">
        <v>280</v>
      </c>
      <c r="C90" s="2020"/>
      <c r="D90" s="2020"/>
      <c r="E90" s="2020"/>
      <c r="F90" s="1559"/>
      <c r="G90" s="35"/>
      <c r="H90" s="35"/>
      <c r="I90" s="35"/>
      <c r="J90" s="35"/>
      <c r="K90" s="35"/>
      <c r="L90" s="35"/>
      <c r="M90" s="35"/>
      <c r="N90" s="35"/>
      <c r="O90" s="35"/>
      <c r="P90" s="35"/>
      <c r="Q90" s="35"/>
      <c r="R90" s="35"/>
      <c r="S90" s="35"/>
    </row>
    <row r="91" spans="1:19" ht="12.75" customHeight="1">
      <c r="A91" s="3518" t="s">
        <v>944</v>
      </c>
      <c r="B91" s="3547"/>
      <c r="C91" s="3547"/>
      <c r="D91" s="3547"/>
      <c r="E91" s="3547"/>
      <c r="F91" s="1559"/>
      <c r="G91" s="35"/>
      <c r="H91" s="35"/>
      <c r="I91" s="35"/>
      <c r="J91" s="35"/>
      <c r="K91" s="35"/>
      <c r="L91" s="35"/>
      <c r="M91" s="35"/>
      <c r="N91" s="35"/>
      <c r="O91" s="35"/>
      <c r="P91" s="35"/>
      <c r="Q91" s="35"/>
      <c r="R91" s="35"/>
      <c r="S91" s="35"/>
    </row>
    <row r="92" spans="1:19" ht="12.75" customHeight="1">
      <c r="A92" s="3523" t="s">
        <v>945</v>
      </c>
      <c r="B92" s="3541">
        <v>285</v>
      </c>
      <c r="C92" s="3533"/>
      <c r="D92" s="3533"/>
      <c r="E92" s="3533"/>
      <c r="F92" s="1559"/>
      <c r="G92" s="35"/>
      <c r="H92" s="35"/>
      <c r="I92" s="35"/>
      <c r="J92" s="35"/>
      <c r="K92" s="35"/>
      <c r="L92" s="35"/>
      <c r="M92" s="35"/>
      <c r="N92" s="35"/>
      <c r="O92" s="35"/>
      <c r="P92" s="35"/>
      <c r="Q92" s="35"/>
      <c r="R92" s="35"/>
      <c r="S92" s="35"/>
    </row>
    <row r="93" spans="1:19" ht="12.75" customHeight="1">
      <c r="A93" s="3524" t="s">
        <v>946</v>
      </c>
      <c r="B93" s="3542">
        <v>290</v>
      </c>
      <c r="C93" s="2020"/>
      <c r="D93" s="2020"/>
      <c r="E93" s="2020"/>
      <c r="F93" s="1559"/>
      <c r="G93" s="35"/>
      <c r="H93" s="35"/>
      <c r="I93" s="35"/>
      <c r="J93" s="35"/>
      <c r="K93" s="35"/>
      <c r="L93" s="35"/>
      <c r="M93" s="35"/>
      <c r="N93" s="35"/>
      <c r="O93" s="35"/>
      <c r="P93" s="35"/>
      <c r="Q93" s="35"/>
      <c r="R93" s="35"/>
      <c r="S93" s="35"/>
    </row>
    <row r="94" spans="1:19" ht="12.75" customHeight="1">
      <c r="A94" s="3524" t="s">
        <v>947</v>
      </c>
      <c r="B94" s="3542">
        <v>295</v>
      </c>
      <c r="C94" s="2020"/>
      <c r="D94" s="2020"/>
      <c r="E94" s="2020"/>
      <c r="F94" s="1559"/>
      <c r="G94" s="35"/>
      <c r="H94" s="35"/>
      <c r="I94" s="35"/>
      <c r="J94" s="35"/>
      <c r="K94" s="35"/>
      <c r="L94" s="35"/>
      <c r="M94" s="35"/>
      <c r="N94" s="35"/>
      <c r="O94" s="35"/>
      <c r="P94" s="35"/>
      <c r="Q94" s="35"/>
      <c r="R94" s="35"/>
      <c r="S94" s="35"/>
    </row>
    <row r="95" spans="1:19" ht="12.75" customHeight="1">
      <c r="A95" s="2355" t="s">
        <v>4818</v>
      </c>
      <c r="B95" s="3542">
        <v>300</v>
      </c>
      <c r="C95" s="2020"/>
      <c r="D95" s="2020"/>
      <c r="E95" s="2020"/>
      <c r="F95" s="1559"/>
      <c r="G95" s="35"/>
      <c r="H95" s="35"/>
      <c r="I95" s="35"/>
      <c r="J95" s="35"/>
      <c r="K95" s="35"/>
      <c r="L95" s="35"/>
      <c r="M95" s="35"/>
      <c r="N95" s="35"/>
      <c r="O95" s="35"/>
      <c r="P95" s="35"/>
      <c r="Q95" s="35"/>
      <c r="R95" s="35"/>
      <c r="S95" s="35"/>
    </row>
    <row r="96" spans="1:19" ht="12.75" customHeight="1">
      <c r="A96" s="3525" t="s">
        <v>632</v>
      </c>
      <c r="B96" s="3543">
        <v>303</v>
      </c>
      <c r="C96" s="2020"/>
      <c r="D96" s="2020"/>
      <c r="E96" s="2020"/>
      <c r="F96" s="1559"/>
      <c r="G96" s="35"/>
      <c r="H96" s="35"/>
      <c r="I96" s="35"/>
      <c r="J96" s="35"/>
      <c r="K96" s="35"/>
      <c r="L96" s="35"/>
      <c r="M96" s="35"/>
      <c r="N96" s="35"/>
      <c r="O96" s="35"/>
      <c r="P96" s="35"/>
      <c r="Q96" s="35"/>
      <c r="R96" s="35"/>
      <c r="S96" s="35"/>
    </row>
    <row r="97" spans="1:19" ht="12.75" customHeight="1">
      <c r="A97" s="2354" t="s">
        <v>950</v>
      </c>
      <c r="B97" s="3548">
        <v>305</v>
      </c>
      <c r="C97" s="3534"/>
      <c r="D97" s="3534"/>
      <c r="E97" s="3534"/>
      <c r="F97" s="1559"/>
      <c r="G97" s="35"/>
      <c r="H97" s="35"/>
      <c r="I97" s="35"/>
      <c r="J97" s="35"/>
      <c r="K97" s="35"/>
      <c r="L97" s="35"/>
      <c r="M97" s="35"/>
      <c r="N97" s="35"/>
      <c r="O97" s="35"/>
      <c r="P97" s="35"/>
      <c r="Q97" s="35"/>
      <c r="R97" s="35"/>
      <c r="S97" s="35"/>
    </row>
    <row r="98" spans="1:19" ht="12.75" customHeight="1">
      <c r="A98" s="3524" t="s">
        <v>955</v>
      </c>
      <c r="B98" s="3542">
        <v>310</v>
      </c>
      <c r="C98" s="2020"/>
      <c r="D98" s="2020"/>
      <c r="E98" s="2020"/>
      <c r="F98" s="1559"/>
      <c r="G98" s="35"/>
      <c r="H98" s="35"/>
      <c r="I98" s="35"/>
      <c r="J98" s="35"/>
      <c r="K98" s="35"/>
      <c r="L98" s="35"/>
      <c r="M98" s="35"/>
      <c r="N98" s="35"/>
      <c r="O98" s="35"/>
      <c r="P98" s="35"/>
      <c r="Q98" s="35"/>
      <c r="R98" s="35"/>
      <c r="S98" s="35"/>
    </row>
    <row r="99" spans="1:19" ht="12.75" customHeight="1">
      <c r="A99" s="3524" t="s">
        <v>959</v>
      </c>
      <c r="B99" s="3542">
        <v>315</v>
      </c>
      <c r="C99" s="2020"/>
      <c r="D99" s="2020"/>
      <c r="E99" s="2020"/>
      <c r="F99" s="1559"/>
      <c r="G99" s="35"/>
      <c r="H99" s="35"/>
      <c r="I99" s="35"/>
      <c r="J99" s="35"/>
      <c r="K99" s="35"/>
      <c r="L99" s="35"/>
      <c r="M99" s="35"/>
      <c r="N99" s="35"/>
      <c r="O99" s="35"/>
      <c r="P99" s="35"/>
      <c r="Q99" s="35"/>
      <c r="R99" s="35"/>
      <c r="S99" s="35"/>
    </row>
    <row r="100" spans="1:19" ht="12.75" customHeight="1">
      <c r="A100" s="3524" t="s">
        <v>960</v>
      </c>
      <c r="B100" s="3542">
        <v>320</v>
      </c>
      <c r="C100" s="2020"/>
      <c r="D100" s="2020"/>
      <c r="E100" s="2020"/>
      <c r="F100" s="1559"/>
      <c r="G100" s="35"/>
      <c r="H100" s="35"/>
      <c r="I100" s="35"/>
      <c r="J100" s="35"/>
      <c r="K100" s="35"/>
      <c r="L100" s="35"/>
      <c r="M100" s="35"/>
      <c r="N100" s="35"/>
      <c r="O100" s="35"/>
      <c r="P100" s="35"/>
      <c r="Q100" s="35"/>
      <c r="R100" s="35"/>
      <c r="S100" s="35"/>
    </row>
    <row r="101" spans="1:19" ht="12.75" customHeight="1">
      <c r="A101" s="3518" t="s">
        <v>47</v>
      </c>
      <c r="B101" s="3547"/>
      <c r="C101" s="3547"/>
      <c r="D101" s="3547"/>
      <c r="E101" s="3547"/>
      <c r="F101" s="1559"/>
      <c r="G101" s="35"/>
      <c r="H101" s="35"/>
      <c r="I101" s="35"/>
      <c r="J101" s="35"/>
      <c r="K101" s="35"/>
      <c r="L101" s="35"/>
      <c r="M101" s="35"/>
      <c r="N101" s="35"/>
      <c r="O101" s="35"/>
      <c r="P101" s="35"/>
      <c r="Q101" s="35"/>
      <c r="R101" s="35"/>
      <c r="S101" s="35"/>
    </row>
    <row r="102" spans="1:19" ht="12.75" customHeight="1">
      <c r="A102" s="2357" t="s">
        <v>941</v>
      </c>
      <c r="B102" s="3532"/>
      <c r="C102" s="3532"/>
      <c r="D102" s="3532"/>
      <c r="E102" s="3532"/>
      <c r="F102" s="1559"/>
      <c r="G102" s="35"/>
      <c r="H102" s="35"/>
      <c r="I102" s="35"/>
      <c r="J102" s="35"/>
      <c r="K102" s="35"/>
      <c r="L102" s="35"/>
      <c r="M102" s="35"/>
      <c r="N102" s="35"/>
      <c r="O102" s="35"/>
      <c r="P102" s="35"/>
      <c r="Q102" s="35"/>
      <c r="R102" s="35"/>
      <c r="S102" s="35"/>
    </row>
    <row r="103" spans="1:19" ht="12.75" customHeight="1">
      <c r="A103" s="3523" t="s">
        <v>942</v>
      </c>
      <c r="B103" s="3541">
        <v>325</v>
      </c>
      <c r="C103" s="3533"/>
      <c r="D103" s="3533"/>
      <c r="E103" s="3533"/>
      <c r="F103" s="1559"/>
      <c r="G103" s="35"/>
      <c r="H103" s="35"/>
      <c r="I103" s="35"/>
      <c r="J103" s="35"/>
      <c r="K103" s="35"/>
      <c r="L103" s="35"/>
      <c r="M103" s="35"/>
      <c r="N103" s="35"/>
      <c r="O103" s="35"/>
      <c r="P103" s="35"/>
      <c r="Q103" s="35"/>
      <c r="R103" s="35"/>
      <c r="S103" s="35"/>
    </row>
    <row r="104" spans="1:19" ht="12.75" customHeight="1">
      <c r="A104" s="3524" t="s">
        <v>45</v>
      </c>
      <c r="B104" s="3542">
        <v>330</v>
      </c>
      <c r="C104" s="2020"/>
      <c r="D104" s="2020"/>
      <c r="E104" s="2020"/>
      <c r="F104" s="1559"/>
      <c r="G104" s="35"/>
      <c r="H104" s="35"/>
      <c r="I104" s="35"/>
      <c r="J104" s="35"/>
      <c r="K104" s="35"/>
      <c r="L104" s="35"/>
      <c r="M104" s="35"/>
      <c r="N104" s="35"/>
      <c r="O104" s="35"/>
      <c r="P104" s="35"/>
      <c r="Q104" s="35"/>
      <c r="R104" s="35"/>
      <c r="S104" s="35"/>
    </row>
    <row r="105" spans="1:19" ht="12.75" customHeight="1">
      <c r="A105" s="3518" t="s">
        <v>944</v>
      </c>
      <c r="B105" s="3547"/>
      <c r="C105" s="3547"/>
      <c r="D105" s="3547"/>
      <c r="E105" s="3547"/>
      <c r="F105" s="1559"/>
      <c r="G105" s="35"/>
      <c r="H105" s="35"/>
      <c r="I105" s="35"/>
      <c r="J105" s="35"/>
      <c r="K105" s="35"/>
      <c r="L105" s="35"/>
      <c r="M105" s="35"/>
      <c r="N105" s="35"/>
      <c r="O105" s="35"/>
      <c r="P105" s="35"/>
      <c r="Q105" s="35"/>
      <c r="R105" s="35"/>
      <c r="S105" s="35"/>
    </row>
    <row r="106" spans="1:19" ht="12.75" customHeight="1">
      <c r="A106" s="3523" t="s">
        <v>945</v>
      </c>
      <c r="B106" s="3541">
        <v>335</v>
      </c>
      <c r="C106" s="3533"/>
      <c r="D106" s="3533"/>
      <c r="E106" s="3533"/>
      <c r="F106" s="1559"/>
      <c r="G106" s="35"/>
      <c r="H106" s="35"/>
      <c r="I106" s="35"/>
      <c r="J106" s="35"/>
      <c r="K106" s="35"/>
      <c r="L106" s="35"/>
      <c r="M106" s="35"/>
      <c r="N106" s="35"/>
      <c r="O106" s="35"/>
      <c r="P106" s="35"/>
      <c r="Q106" s="35"/>
      <c r="R106" s="35"/>
      <c r="S106" s="35"/>
    </row>
    <row r="107" spans="1:19" ht="12.75" customHeight="1">
      <c r="A107" s="3524" t="s">
        <v>946</v>
      </c>
      <c r="B107" s="3542">
        <v>340</v>
      </c>
      <c r="C107" s="2020"/>
      <c r="D107" s="2020"/>
      <c r="E107" s="2020"/>
      <c r="F107" s="1559"/>
      <c r="G107" s="35"/>
      <c r="H107" s="35"/>
      <c r="I107" s="35"/>
      <c r="J107" s="35"/>
      <c r="K107" s="35"/>
      <c r="L107" s="35"/>
      <c r="M107" s="35"/>
      <c r="N107" s="35"/>
      <c r="O107" s="35"/>
      <c r="P107" s="35"/>
      <c r="Q107" s="35"/>
      <c r="R107" s="35"/>
      <c r="S107" s="35"/>
    </row>
    <row r="108" spans="1:19" ht="12.75" customHeight="1">
      <c r="A108" s="3524" t="s">
        <v>947</v>
      </c>
      <c r="B108" s="3542">
        <v>345</v>
      </c>
      <c r="C108" s="2020"/>
      <c r="D108" s="2020"/>
      <c r="E108" s="2020"/>
      <c r="F108" s="1559"/>
      <c r="G108" s="35"/>
      <c r="H108" s="35"/>
      <c r="I108" s="35"/>
      <c r="J108" s="35"/>
      <c r="K108" s="35"/>
      <c r="L108" s="35"/>
      <c r="M108" s="35"/>
      <c r="N108" s="35"/>
      <c r="O108" s="35"/>
      <c r="P108" s="35"/>
      <c r="Q108" s="35"/>
      <c r="R108" s="35"/>
      <c r="S108" s="35"/>
    </row>
    <row r="109" spans="1:19" ht="12.75" customHeight="1">
      <c r="A109" s="2355" t="s">
        <v>4818</v>
      </c>
      <c r="B109" s="3542">
        <v>350</v>
      </c>
      <c r="C109" s="2020"/>
      <c r="D109" s="2020"/>
      <c r="E109" s="2020"/>
      <c r="F109" s="1559"/>
      <c r="G109" s="35"/>
      <c r="H109" s="35"/>
      <c r="I109" s="35"/>
      <c r="J109" s="35"/>
      <c r="K109" s="35"/>
      <c r="L109" s="35"/>
      <c r="M109" s="35"/>
      <c r="N109" s="35"/>
      <c r="O109" s="35"/>
      <c r="P109" s="35"/>
      <c r="Q109" s="35"/>
      <c r="R109" s="35"/>
      <c r="S109" s="35"/>
    </row>
    <row r="110" spans="1:19" ht="12.75" customHeight="1">
      <c r="A110" s="3525" t="s">
        <v>632</v>
      </c>
      <c r="B110" s="3543">
        <v>353</v>
      </c>
      <c r="C110" s="2020"/>
      <c r="D110" s="2020"/>
      <c r="E110" s="2020"/>
      <c r="F110" s="1559"/>
      <c r="G110" s="35"/>
      <c r="H110" s="35"/>
      <c r="I110" s="35"/>
      <c r="J110" s="35"/>
      <c r="K110" s="35"/>
      <c r="L110" s="35"/>
      <c r="M110" s="35"/>
      <c r="N110" s="35"/>
      <c r="O110" s="35"/>
      <c r="P110" s="35"/>
      <c r="Q110" s="35"/>
      <c r="R110" s="35"/>
      <c r="S110" s="35"/>
    </row>
    <row r="111" spans="1:19" ht="12.75" customHeight="1">
      <c r="A111" s="3524" t="s">
        <v>950</v>
      </c>
      <c r="B111" s="3542">
        <v>355</v>
      </c>
      <c r="C111" s="2020"/>
      <c r="D111" s="2020"/>
      <c r="E111" s="2020"/>
      <c r="F111" s="1559"/>
      <c r="G111" s="35"/>
      <c r="H111" s="35"/>
      <c r="I111" s="35"/>
      <c r="J111" s="35"/>
      <c r="K111" s="35"/>
      <c r="L111" s="35"/>
      <c r="M111" s="35"/>
      <c r="N111" s="35"/>
      <c r="O111" s="35"/>
      <c r="P111" s="35"/>
      <c r="Q111" s="35"/>
      <c r="R111" s="35"/>
      <c r="S111" s="35"/>
    </row>
    <row r="112" spans="1:19" ht="12.75" customHeight="1">
      <c r="A112" s="3518" t="s">
        <v>955</v>
      </c>
      <c r="B112" s="3547"/>
      <c r="C112" s="3547"/>
      <c r="D112" s="3547"/>
      <c r="E112" s="3547"/>
      <c r="F112" s="1559"/>
      <c r="G112" s="35"/>
      <c r="H112" s="35"/>
      <c r="I112" s="35"/>
      <c r="J112" s="35"/>
      <c r="K112" s="35"/>
      <c r="L112" s="35"/>
      <c r="M112" s="35"/>
      <c r="N112" s="35"/>
      <c r="O112" s="35"/>
      <c r="P112" s="35"/>
      <c r="Q112" s="35"/>
      <c r="R112" s="35"/>
      <c r="S112" s="35"/>
    </row>
    <row r="113" spans="1:19" ht="12.75" customHeight="1">
      <c r="A113" s="3523" t="s">
        <v>5151</v>
      </c>
      <c r="B113" s="3541">
        <v>360</v>
      </c>
      <c r="C113" s="3533"/>
      <c r="D113" s="3533"/>
      <c r="E113" s="3533"/>
      <c r="F113" s="1559"/>
      <c r="G113" s="35"/>
      <c r="H113" s="35"/>
      <c r="I113" s="35"/>
      <c r="J113" s="35"/>
      <c r="K113" s="35"/>
      <c r="L113" s="35"/>
      <c r="M113" s="35"/>
      <c r="N113" s="35"/>
      <c r="O113" s="35"/>
      <c r="P113" s="35"/>
      <c r="Q113" s="35"/>
      <c r="R113" s="35"/>
      <c r="S113" s="35"/>
    </row>
    <row r="114" spans="1:19" ht="12.75" customHeight="1">
      <c r="A114" s="3524" t="s">
        <v>690</v>
      </c>
      <c r="B114" s="3542">
        <v>365</v>
      </c>
      <c r="C114" s="2020"/>
      <c r="D114" s="2020"/>
      <c r="E114" s="2020"/>
      <c r="F114" s="1559"/>
      <c r="G114" s="35"/>
      <c r="H114" s="35"/>
      <c r="I114" s="35"/>
      <c r="J114" s="35"/>
      <c r="K114" s="35"/>
      <c r="L114" s="35"/>
      <c r="M114" s="35"/>
      <c r="N114" s="35"/>
      <c r="O114" s="35"/>
      <c r="P114" s="35"/>
      <c r="Q114" s="35"/>
      <c r="R114" s="35"/>
      <c r="S114" s="35"/>
    </row>
    <row r="115" spans="1:19" ht="12.75" customHeight="1">
      <c r="A115" s="3524" t="s">
        <v>958</v>
      </c>
      <c r="B115" s="3542">
        <v>370</v>
      </c>
      <c r="C115" s="2020"/>
      <c r="D115" s="2020"/>
      <c r="E115" s="2020"/>
      <c r="F115" s="1559"/>
      <c r="G115" s="35"/>
      <c r="H115" s="35"/>
      <c r="I115" s="35"/>
      <c r="J115" s="35"/>
      <c r="K115" s="35"/>
      <c r="L115" s="35"/>
      <c r="M115" s="35"/>
      <c r="N115" s="35"/>
      <c r="O115" s="35"/>
      <c r="P115" s="35"/>
      <c r="Q115" s="35"/>
      <c r="R115" s="35"/>
      <c r="S115" s="35"/>
    </row>
    <row r="116" spans="1:19" ht="12.75" customHeight="1">
      <c r="A116" s="3524" t="s">
        <v>959</v>
      </c>
      <c r="B116" s="3542">
        <v>375</v>
      </c>
      <c r="C116" s="2020"/>
      <c r="D116" s="2020"/>
      <c r="E116" s="2020"/>
      <c r="F116" s="1559"/>
      <c r="G116" s="35"/>
      <c r="H116" s="35"/>
      <c r="I116" s="35"/>
      <c r="J116" s="35"/>
      <c r="K116" s="35"/>
      <c r="L116" s="35"/>
      <c r="M116" s="35"/>
      <c r="N116" s="35"/>
      <c r="O116" s="35"/>
      <c r="P116" s="35"/>
      <c r="Q116" s="35"/>
      <c r="R116" s="35"/>
      <c r="S116" s="35"/>
    </row>
    <row r="117" spans="1:19" ht="12.75" customHeight="1">
      <c r="A117" s="3524" t="s">
        <v>960</v>
      </c>
      <c r="B117" s="3542">
        <v>380</v>
      </c>
      <c r="C117" s="2020"/>
      <c r="D117" s="2020"/>
      <c r="E117" s="2020"/>
      <c r="F117" s="1559"/>
      <c r="G117" s="35"/>
      <c r="H117" s="35"/>
      <c r="I117" s="35"/>
      <c r="J117" s="35"/>
      <c r="K117" s="35"/>
      <c r="L117" s="35"/>
      <c r="M117" s="35"/>
      <c r="N117" s="35"/>
      <c r="O117" s="35"/>
      <c r="P117" s="35"/>
      <c r="Q117" s="35"/>
      <c r="R117" s="35"/>
      <c r="S117" s="35"/>
    </row>
    <row r="118" spans="1:19" ht="12.75" customHeight="1">
      <c r="A118" s="3518" t="s">
        <v>49</v>
      </c>
      <c r="B118" s="3547"/>
      <c r="C118" s="3547"/>
      <c r="D118" s="3547"/>
      <c r="E118" s="3547"/>
      <c r="F118" s="1565"/>
      <c r="G118" s="35"/>
      <c r="H118" s="35"/>
      <c r="I118" s="35"/>
      <c r="J118" s="35"/>
      <c r="K118" s="35"/>
      <c r="L118" s="35"/>
      <c r="M118" s="35"/>
      <c r="N118" s="35"/>
      <c r="O118" s="35"/>
      <c r="P118" s="35"/>
      <c r="Q118" s="35"/>
      <c r="R118" s="35"/>
      <c r="S118" s="35"/>
    </row>
    <row r="119" spans="1:19" ht="12.75" customHeight="1">
      <c r="A119" s="2357" t="s">
        <v>972</v>
      </c>
      <c r="B119" s="3532"/>
      <c r="C119" s="3532"/>
      <c r="D119" s="3532"/>
      <c r="E119" s="3532"/>
      <c r="F119" s="1565"/>
      <c r="G119" s="35"/>
      <c r="H119" s="35"/>
      <c r="I119" s="35"/>
      <c r="J119" s="35"/>
      <c r="K119" s="35"/>
      <c r="L119" s="35"/>
      <c r="M119" s="35"/>
      <c r="N119" s="35"/>
      <c r="O119" s="35"/>
      <c r="P119" s="35"/>
      <c r="Q119" s="35"/>
      <c r="R119" s="35"/>
      <c r="S119" s="35"/>
    </row>
    <row r="120" spans="1:19" ht="12.75" customHeight="1">
      <c r="A120" s="3529" t="s">
        <v>999</v>
      </c>
      <c r="B120" s="3541">
        <v>385</v>
      </c>
      <c r="C120" s="3533"/>
      <c r="D120" s="3533"/>
      <c r="E120" s="3533"/>
      <c r="F120" s="1565"/>
      <c r="G120" s="35"/>
      <c r="H120" s="35"/>
      <c r="I120" s="35"/>
      <c r="J120" s="35"/>
      <c r="K120" s="35"/>
      <c r="L120" s="35"/>
      <c r="M120" s="35"/>
      <c r="N120" s="35"/>
      <c r="O120" s="35"/>
      <c r="P120" s="35"/>
      <c r="Q120" s="35"/>
      <c r="R120" s="35"/>
      <c r="S120" s="35"/>
    </row>
    <row r="121" spans="1:19" ht="12.75" customHeight="1">
      <c r="A121" s="3527" t="s">
        <v>943</v>
      </c>
      <c r="B121" s="3542">
        <v>390</v>
      </c>
      <c r="C121" s="2020"/>
      <c r="D121" s="2020"/>
      <c r="E121" s="2020"/>
      <c r="F121" s="1565"/>
      <c r="G121" s="35"/>
      <c r="H121" s="35"/>
      <c r="I121" s="35"/>
      <c r="J121" s="35"/>
      <c r="K121" s="35"/>
      <c r="L121" s="35"/>
      <c r="M121" s="35"/>
      <c r="N121" s="35"/>
      <c r="O121" s="35"/>
      <c r="P121" s="35"/>
      <c r="Q121" s="35"/>
      <c r="R121" s="35"/>
      <c r="S121" s="35"/>
    </row>
    <row r="122" spans="1:19" ht="12.75" customHeight="1">
      <c r="A122" s="3518" t="s">
        <v>973</v>
      </c>
      <c r="B122" s="3547"/>
      <c r="C122" s="3547"/>
      <c r="D122" s="3547"/>
      <c r="E122" s="3547"/>
      <c r="F122" s="1565"/>
      <c r="G122" s="35"/>
      <c r="H122" s="35"/>
      <c r="I122" s="35"/>
      <c r="J122" s="35"/>
      <c r="K122" s="35"/>
      <c r="L122" s="35"/>
      <c r="M122" s="35"/>
      <c r="N122" s="35"/>
      <c r="O122" s="35"/>
      <c r="P122" s="35"/>
      <c r="Q122" s="35"/>
      <c r="R122" s="35"/>
      <c r="S122" s="35"/>
    </row>
    <row r="123" spans="1:19" ht="12.75" customHeight="1">
      <c r="A123" s="3529" t="s">
        <v>974</v>
      </c>
      <c r="B123" s="3541">
        <v>395</v>
      </c>
      <c r="C123" s="3533"/>
      <c r="D123" s="3533"/>
      <c r="E123" s="3533"/>
      <c r="F123" s="1565"/>
      <c r="G123" s="35"/>
      <c r="H123" s="35"/>
      <c r="I123" s="35"/>
      <c r="J123" s="35"/>
      <c r="K123" s="35"/>
      <c r="L123" s="35"/>
      <c r="M123" s="35"/>
      <c r="N123" s="35"/>
      <c r="O123" s="35"/>
      <c r="P123" s="35"/>
      <c r="Q123" s="35"/>
      <c r="R123" s="35"/>
      <c r="S123" s="35"/>
    </row>
    <row r="124" spans="1:19" ht="12.75" customHeight="1">
      <c r="A124" s="3527" t="s">
        <v>977</v>
      </c>
      <c r="B124" s="3542">
        <v>400</v>
      </c>
      <c r="C124" s="2020"/>
      <c r="D124" s="2020"/>
      <c r="E124" s="2020"/>
      <c r="F124" s="1565"/>
      <c r="G124" s="35"/>
      <c r="H124" s="35"/>
      <c r="I124" s="35"/>
      <c r="J124" s="35"/>
      <c r="K124" s="35"/>
      <c r="L124" s="35"/>
      <c r="M124" s="35"/>
      <c r="N124" s="35"/>
      <c r="O124" s="35"/>
      <c r="P124" s="35"/>
      <c r="Q124" s="35"/>
      <c r="R124" s="35"/>
      <c r="S124" s="35"/>
    </row>
    <row r="125" spans="1:19" ht="12.75" customHeight="1">
      <c r="A125" s="3527" t="s">
        <v>978</v>
      </c>
      <c r="B125" s="3542">
        <v>405</v>
      </c>
      <c r="C125" s="2020"/>
      <c r="D125" s="2020"/>
      <c r="E125" s="2020"/>
      <c r="F125" s="1565"/>
      <c r="G125" s="35"/>
      <c r="H125" s="35"/>
      <c r="I125" s="35"/>
      <c r="J125" s="35"/>
      <c r="K125" s="35"/>
      <c r="L125" s="35"/>
      <c r="M125" s="35"/>
      <c r="N125" s="35"/>
      <c r="O125" s="35"/>
      <c r="P125" s="35"/>
      <c r="Q125" s="35"/>
      <c r="R125" s="35"/>
      <c r="S125" s="35"/>
    </row>
    <row r="126" spans="1:19" ht="12.75" customHeight="1">
      <c r="A126" s="2355" t="s">
        <v>4818</v>
      </c>
      <c r="B126" s="3549">
        <v>410</v>
      </c>
      <c r="C126" s="3545"/>
      <c r="D126" s="3545"/>
      <c r="E126" s="3545"/>
      <c r="F126" s="1565"/>
      <c r="G126" s="35"/>
      <c r="H126" s="35"/>
      <c r="I126" s="35"/>
      <c r="J126" s="35"/>
      <c r="K126" s="35"/>
      <c r="L126" s="35"/>
      <c r="M126" s="35"/>
      <c r="N126" s="35"/>
      <c r="O126" s="35"/>
      <c r="P126" s="35"/>
      <c r="Q126" s="35"/>
      <c r="R126" s="35"/>
      <c r="S126" s="35"/>
    </row>
    <row r="127" spans="1:19" ht="12.75" customHeight="1">
      <c r="A127" s="3527" t="s">
        <v>979</v>
      </c>
      <c r="B127" s="3542">
        <v>415</v>
      </c>
      <c r="C127" s="2020"/>
      <c r="D127" s="2020"/>
      <c r="E127" s="2020"/>
      <c r="F127" s="1565"/>
      <c r="G127" s="35"/>
      <c r="H127" s="35"/>
      <c r="I127" s="35"/>
      <c r="J127" s="35"/>
      <c r="K127" s="35"/>
      <c r="L127" s="35"/>
      <c r="M127" s="35"/>
      <c r="N127" s="35"/>
      <c r="O127" s="35"/>
      <c r="P127" s="35"/>
      <c r="Q127" s="35"/>
      <c r="R127" s="35"/>
      <c r="S127" s="35"/>
    </row>
    <row r="128" spans="1:19" ht="12.75" customHeight="1">
      <c r="A128" s="3527" t="s">
        <v>986</v>
      </c>
      <c r="B128" s="3542">
        <v>420</v>
      </c>
      <c r="C128" s="2020"/>
      <c r="D128" s="2020"/>
      <c r="E128" s="2020"/>
      <c r="F128" s="1565"/>
      <c r="G128" s="35"/>
      <c r="H128" s="35"/>
      <c r="I128" s="35"/>
      <c r="J128" s="35"/>
      <c r="K128" s="35"/>
      <c r="L128" s="35"/>
      <c r="M128" s="35"/>
      <c r="N128" s="35"/>
      <c r="O128" s="35"/>
      <c r="P128" s="35"/>
      <c r="Q128" s="35"/>
      <c r="R128" s="35"/>
      <c r="S128" s="35"/>
    </row>
    <row r="129" spans="1:19" ht="12.75" customHeight="1">
      <c r="A129" s="3527" t="s">
        <v>989</v>
      </c>
      <c r="B129" s="3542">
        <v>425</v>
      </c>
      <c r="C129" s="2020"/>
      <c r="D129" s="2020"/>
      <c r="E129" s="2020"/>
      <c r="F129" s="1565"/>
      <c r="G129" s="35"/>
      <c r="H129" s="35"/>
      <c r="I129" s="35"/>
      <c r="J129" s="35"/>
      <c r="K129" s="35"/>
      <c r="L129" s="35"/>
      <c r="M129" s="35"/>
      <c r="N129" s="35"/>
      <c r="O129" s="35"/>
      <c r="P129" s="35"/>
      <c r="Q129" s="35"/>
      <c r="R129" s="35"/>
      <c r="S129" s="35"/>
    </row>
    <row r="130" spans="1:19" ht="12.75" customHeight="1">
      <c r="A130" s="3527" t="s">
        <v>997</v>
      </c>
      <c r="B130" s="3542">
        <v>430</v>
      </c>
      <c r="C130" s="2020"/>
      <c r="D130" s="2020"/>
      <c r="E130" s="2020"/>
      <c r="F130" s="1565"/>
      <c r="G130" s="35"/>
      <c r="H130" s="35"/>
      <c r="I130" s="35"/>
      <c r="J130" s="35"/>
      <c r="K130" s="35"/>
      <c r="L130" s="35"/>
      <c r="M130" s="35"/>
      <c r="N130" s="35"/>
      <c r="O130" s="35"/>
      <c r="P130" s="35"/>
      <c r="Q130" s="35"/>
      <c r="R130" s="35"/>
      <c r="S130" s="35"/>
    </row>
    <row r="131" spans="1:19" ht="12.75" customHeight="1">
      <c r="A131" s="3527" t="s">
        <v>998</v>
      </c>
      <c r="B131" s="3542">
        <v>435</v>
      </c>
      <c r="C131" s="2020"/>
      <c r="D131" s="2020"/>
      <c r="E131" s="2020"/>
      <c r="F131" s="1565"/>
      <c r="G131" s="35"/>
      <c r="H131" s="35"/>
      <c r="I131" s="35"/>
      <c r="J131" s="35"/>
      <c r="K131" s="35"/>
      <c r="L131" s="35"/>
      <c r="M131" s="35"/>
      <c r="N131" s="35"/>
      <c r="O131" s="35"/>
      <c r="P131" s="35"/>
      <c r="Q131" s="35"/>
      <c r="R131" s="35"/>
      <c r="S131" s="35"/>
    </row>
    <row r="132" spans="1:19" ht="12.75" customHeight="1">
      <c r="A132" s="3518" t="s">
        <v>971</v>
      </c>
      <c r="B132" s="3547"/>
      <c r="C132" s="3547"/>
      <c r="D132" s="3547"/>
      <c r="E132" s="3547"/>
      <c r="F132" s="1565"/>
      <c r="G132" s="35"/>
      <c r="H132" s="35"/>
      <c r="I132" s="35"/>
      <c r="J132" s="35"/>
      <c r="K132" s="35"/>
      <c r="L132" s="35"/>
      <c r="M132" s="35"/>
      <c r="N132" s="35"/>
      <c r="O132" s="35"/>
      <c r="P132" s="35"/>
      <c r="Q132" s="35"/>
      <c r="R132" s="35"/>
      <c r="S132" s="35"/>
    </row>
    <row r="133" spans="1:19" ht="12.75" customHeight="1">
      <c r="A133" s="2357" t="s">
        <v>972</v>
      </c>
      <c r="B133" s="3532"/>
      <c r="C133" s="3532"/>
      <c r="D133" s="3532"/>
      <c r="E133" s="3532"/>
      <c r="F133" s="1565"/>
      <c r="G133" s="35"/>
      <c r="H133" s="35"/>
      <c r="I133" s="35"/>
      <c r="J133" s="35"/>
      <c r="K133" s="35"/>
      <c r="L133" s="35"/>
      <c r="M133" s="35"/>
      <c r="N133" s="35"/>
      <c r="O133" s="35"/>
      <c r="P133" s="35"/>
      <c r="Q133" s="35"/>
      <c r="R133" s="35"/>
      <c r="S133" s="35"/>
    </row>
    <row r="134" spans="1:19" ht="12.75" customHeight="1">
      <c r="A134" s="3529" t="s">
        <v>943</v>
      </c>
      <c r="B134" s="3541">
        <v>440</v>
      </c>
      <c r="C134" s="3533"/>
      <c r="D134" s="3533"/>
      <c r="E134" s="3533"/>
      <c r="F134" s="1565"/>
      <c r="G134" s="35"/>
      <c r="H134" s="35"/>
      <c r="I134" s="35"/>
      <c r="J134" s="35"/>
      <c r="K134" s="35"/>
      <c r="L134" s="35"/>
      <c r="M134" s="35"/>
      <c r="N134" s="35"/>
      <c r="O134" s="35"/>
      <c r="P134" s="35"/>
      <c r="Q134" s="35"/>
      <c r="R134" s="35"/>
      <c r="S134" s="35"/>
    </row>
    <row r="135" spans="1:19" ht="12.75" customHeight="1">
      <c r="A135" s="3518" t="s">
        <v>973</v>
      </c>
      <c r="B135" s="3547"/>
      <c r="C135" s="3547"/>
      <c r="D135" s="3547"/>
      <c r="E135" s="3547"/>
      <c r="F135" s="1565"/>
      <c r="G135" s="35"/>
      <c r="H135" s="35"/>
      <c r="I135" s="35"/>
      <c r="J135" s="35"/>
      <c r="K135" s="35"/>
      <c r="L135" s="35"/>
      <c r="M135" s="35"/>
      <c r="N135" s="35"/>
      <c r="O135" s="35"/>
      <c r="P135" s="35"/>
      <c r="Q135" s="35"/>
      <c r="R135" s="35"/>
      <c r="S135" s="35"/>
    </row>
    <row r="136" spans="1:19" ht="12.75" customHeight="1">
      <c r="A136" s="3529" t="s">
        <v>974</v>
      </c>
      <c r="B136" s="3541">
        <v>445</v>
      </c>
      <c r="C136" s="3533"/>
      <c r="D136" s="3533"/>
      <c r="E136" s="3533"/>
      <c r="F136" s="1565"/>
      <c r="G136" s="35"/>
      <c r="H136" s="35"/>
      <c r="I136" s="35"/>
      <c r="J136" s="35"/>
      <c r="K136" s="35"/>
      <c r="L136" s="35"/>
      <c r="M136" s="35"/>
      <c r="N136" s="35"/>
      <c r="O136" s="35"/>
      <c r="P136" s="35"/>
      <c r="Q136" s="35"/>
      <c r="R136" s="35"/>
      <c r="S136" s="35"/>
    </row>
    <row r="137" spans="1:19" ht="12.75" customHeight="1">
      <c r="A137" s="3527" t="s">
        <v>977</v>
      </c>
      <c r="B137" s="3542">
        <v>450</v>
      </c>
      <c r="C137" s="2020"/>
      <c r="D137" s="2020"/>
      <c r="E137" s="2020"/>
      <c r="F137" s="1565"/>
      <c r="G137" s="35"/>
      <c r="H137" s="35"/>
      <c r="I137" s="35"/>
      <c r="J137" s="35"/>
      <c r="K137" s="35"/>
      <c r="L137" s="35"/>
      <c r="M137" s="35"/>
      <c r="N137" s="35"/>
      <c r="O137" s="35"/>
      <c r="P137" s="35"/>
      <c r="Q137" s="35"/>
      <c r="R137" s="35"/>
      <c r="S137" s="35"/>
    </row>
    <row r="138" spans="1:19" ht="12.75" customHeight="1">
      <c r="A138" s="3527" t="s">
        <v>978</v>
      </c>
      <c r="B138" s="3542">
        <v>455</v>
      </c>
      <c r="C138" s="2020"/>
      <c r="D138" s="2020"/>
      <c r="E138" s="2020"/>
      <c r="F138" s="1565"/>
      <c r="G138" s="35"/>
      <c r="H138" s="35"/>
      <c r="I138" s="35"/>
      <c r="J138" s="35"/>
      <c r="K138" s="35"/>
      <c r="L138" s="35"/>
      <c r="M138" s="35"/>
      <c r="N138" s="35"/>
      <c r="O138" s="35"/>
      <c r="P138" s="35"/>
      <c r="Q138" s="35"/>
      <c r="R138" s="35"/>
      <c r="S138" s="35"/>
    </row>
    <row r="139" spans="1:19" ht="12.75" customHeight="1">
      <c r="A139" s="2355" t="s">
        <v>4818</v>
      </c>
      <c r="B139" s="3549">
        <v>460</v>
      </c>
      <c r="C139" s="3545"/>
      <c r="D139" s="3545"/>
      <c r="E139" s="3545"/>
      <c r="F139" s="1565"/>
      <c r="G139" s="35"/>
      <c r="H139" s="35"/>
      <c r="I139" s="35"/>
      <c r="J139" s="35"/>
      <c r="K139" s="35"/>
      <c r="L139" s="35"/>
      <c r="M139" s="35"/>
      <c r="N139" s="35"/>
      <c r="O139" s="35"/>
      <c r="P139" s="35"/>
      <c r="Q139" s="35"/>
      <c r="R139" s="35"/>
      <c r="S139" s="35"/>
    </row>
    <row r="140" spans="1:19" ht="12.75" customHeight="1">
      <c r="A140" s="3527" t="s">
        <v>979</v>
      </c>
      <c r="B140" s="3542">
        <v>465</v>
      </c>
      <c r="C140" s="2020"/>
      <c r="D140" s="2020"/>
      <c r="E140" s="2020"/>
      <c r="F140" s="1565"/>
      <c r="G140" s="35"/>
      <c r="H140" s="35"/>
      <c r="I140" s="35"/>
      <c r="J140" s="35"/>
      <c r="K140" s="35"/>
      <c r="L140" s="35"/>
      <c r="M140" s="35"/>
      <c r="N140" s="35"/>
      <c r="O140" s="35"/>
      <c r="P140" s="35"/>
      <c r="Q140" s="35"/>
      <c r="R140" s="35"/>
      <c r="S140" s="35"/>
    </row>
    <row r="141" spans="1:19" ht="12.75" customHeight="1">
      <c r="A141" s="3527" t="s">
        <v>986</v>
      </c>
      <c r="B141" s="3542">
        <v>470</v>
      </c>
      <c r="C141" s="2020"/>
      <c r="D141" s="2020"/>
      <c r="E141" s="2020"/>
      <c r="F141" s="1565"/>
      <c r="G141" s="35"/>
      <c r="H141" s="35"/>
      <c r="I141" s="35"/>
      <c r="J141" s="35"/>
      <c r="K141" s="35"/>
      <c r="L141" s="35"/>
      <c r="M141" s="35"/>
      <c r="N141" s="35"/>
      <c r="O141" s="35"/>
      <c r="P141" s="35"/>
      <c r="Q141" s="35"/>
      <c r="R141" s="35"/>
      <c r="S141" s="35"/>
    </row>
    <row r="142" spans="1:19" ht="12.75" customHeight="1">
      <c r="A142" s="3518" t="s">
        <v>989</v>
      </c>
      <c r="B142" s="3547"/>
      <c r="C142" s="3547"/>
      <c r="D142" s="3547"/>
      <c r="E142" s="3547"/>
      <c r="F142" s="1565"/>
      <c r="G142" s="35"/>
      <c r="H142" s="35"/>
      <c r="I142" s="35"/>
      <c r="J142" s="35"/>
      <c r="K142" s="35"/>
      <c r="L142" s="35"/>
      <c r="M142" s="35"/>
      <c r="N142" s="35"/>
      <c r="O142" s="35"/>
      <c r="P142" s="35"/>
      <c r="Q142" s="35"/>
      <c r="R142" s="35"/>
      <c r="S142" s="35"/>
    </row>
    <row r="143" spans="1:19" ht="12.75" customHeight="1">
      <c r="A143" s="3529" t="s">
        <v>990</v>
      </c>
      <c r="B143" s="3541">
        <v>475</v>
      </c>
      <c r="C143" s="3533"/>
      <c r="D143" s="3533"/>
      <c r="E143" s="3533"/>
      <c r="F143" s="1565"/>
      <c r="G143" s="35"/>
      <c r="H143" s="35"/>
      <c r="I143" s="35"/>
      <c r="J143" s="35"/>
      <c r="K143" s="35"/>
      <c r="L143" s="35"/>
      <c r="M143" s="35"/>
      <c r="N143" s="35"/>
      <c r="O143" s="35"/>
      <c r="P143" s="35"/>
      <c r="Q143" s="35"/>
      <c r="R143" s="35"/>
      <c r="S143" s="35"/>
    </row>
    <row r="144" spans="1:19" ht="12.75" customHeight="1">
      <c r="A144" s="3518" t="s">
        <v>991</v>
      </c>
      <c r="B144" s="3547"/>
      <c r="C144" s="3547"/>
      <c r="D144" s="3547"/>
      <c r="E144" s="3547"/>
      <c r="F144" s="1565"/>
      <c r="G144" s="35"/>
      <c r="H144" s="35"/>
      <c r="I144" s="35"/>
      <c r="J144" s="35"/>
      <c r="K144" s="35"/>
      <c r="L144" s="35"/>
      <c r="M144" s="35"/>
      <c r="N144" s="35"/>
      <c r="O144" s="35"/>
      <c r="P144" s="35"/>
      <c r="Q144" s="35"/>
      <c r="R144" s="35"/>
      <c r="S144" s="35"/>
    </row>
    <row r="145" spans="1:19" ht="12.75" customHeight="1">
      <c r="A145" s="1574" t="s">
        <v>992</v>
      </c>
      <c r="B145" s="1563">
        <v>480</v>
      </c>
      <c r="C145" s="1560"/>
      <c r="D145" s="1561"/>
      <c r="E145" s="1560"/>
      <c r="F145" s="1565"/>
      <c r="G145" s="35"/>
      <c r="H145" s="35"/>
      <c r="I145" s="35"/>
      <c r="J145" s="35"/>
      <c r="K145" s="35"/>
      <c r="L145" s="35"/>
      <c r="M145" s="35"/>
      <c r="N145" s="35"/>
      <c r="O145" s="35"/>
      <c r="P145" s="35"/>
      <c r="Q145" s="35"/>
      <c r="R145" s="35"/>
      <c r="S145" s="35"/>
    </row>
    <row r="146" spans="1:19" ht="12.75" customHeight="1">
      <c r="A146" s="1572" t="s">
        <v>993</v>
      </c>
      <c r="B146" s="1564">
        <v>485</v>
      </c>
      <c r="C146" s="1553"/>
      <c r="D146" s="1562"/>
      <c r="E146" s="1553"/>
      <c r="F146" s="1565"/>
      <c r="G146" s="35"/>
      <c r="H146" s="35"/>
      <c r="I146" s="35"/>
      <c r="J146" s="35"/>
      <c r="K146" s="35"/>
      <c r="L146" s="35"/>
      <c r="M146" s="35"/>
      <c r="N146" s="35"/>
      <c r="O146" s="35"/>
      <c r="P146" s="35"/>
      <c r="Q146" s="35"/>
      <c r="R146" s="35"/>
      <c r="S146" s="35"/>
    </row>
    <row r="147" spans="1:19" ht="12.75" customHeight="1">
      <c r="A147" s="1572" t="s">
        <v>51</v>
      </c>
      <c r="B147" s="1564">
        <v>490</v>
      </c>
      <c r="C147" s="1553"/>
      <c r="D147" s="1562"/>
      <c r="E147" s="1553"/>
      <c r="F147" s="1565"/>
      <c r="G147" s="35"/>
      <c r="H147" s="35"/>
      <c r="I147" s="35"/>
      <c r="J147" s="35"/>
      <c r="K147" s="35"/>
      <c r="L147" s="35"/>
      <c r="M147" s="35"/>
      <c r="N147" s="35"/>
      <c r="O147" s="35"/>
      <c r="P147" s="35"/>
      <c r="Q147" s="35"/>
      <c r="R147" s="35"/>
      <c r="S147" s="35"/>
    </row>
    <row r="148" spans="1:19" ht="12.75" customHeight="1">
      <c r="A148" s="1572" t="s">
        <v>995</v>
      </c>
      <c r="B148" s="1564">
        <v>495</v>
      </c>
      <c r="C148" s="1553"/>
      <c r="D148" s="1562"/>
      <c r="E148" s="1553"/>
      <c r="F148" s="1565"/>
      <c r="G148" s="35"/>
      <c r="H148" s="35"/>
      <c r="I148" s="35"/>
      <c r="J148" s="35"/>
      <c r="K148" s="35"/>
      <c r="L148" s="35"/>
      <c r="M148" s="35"/>
      <c r="N148" s="35"/>
      <c r="O148" s="35"/>
      <c r="P148" s="35"/>
      <c r="Q148" s="35"/>
      <c r="R148" s="35"/>
      <c r="S148" s="35"/>
    </row>
    <row r="149" spans="1:19" ht="12.75" customHeight="1">
      <c r="A149" s="1572" t="s">
        <v>996</v>
      </c>
      <c r="B149" s="1564">
        <v>500</v>
      </c>
      <c r="C149" s="1553"/>
      <c r="D149" s="1562"/>
      <c r="E149" s="1553"/>
      <c r="F149" s="1565"/>
      <c r="G149" s="35"/>
      <c r="H149" s="35"/>
      <c r="I149" s="35"/>
      <c r="J149" s="35"/>
      <c r="K149" s="35"/>
      <c r="L149" s="35"/>
      <c r="M149" s="35"/>
      <c r="N149" s="35"/>
      <c r="O149" s="35"/>
      <c r="P149" s="35"/>
      <c r="Q149" s="35"/>
      <c r="R149" s="35"/>
      <c r="S149" s="35"/>
    </row>
    <row r="150" spans="1:19" ht="12.75" customHeight="1">
      <c r="A150" s="1572" t="s">
        <v>997</v>
      </c>
      <c r="B150" s="1564">
        <v>505</v>
      </c>
      <c r="C150" s="1553"/>
      <c r="D150" s="1562"/>
      <c r="E150" s="1553"/>
      <c r="F150" s="1565"/>
      <c r="G150" s="35"/>
      <c r="H150" s="35"/>
      <c r="I150" s="35"/>
      <c r="J150" s="35"/>
      <c r="K150" s="35"/>
      <c r="L150" s="35"/>
      <c r="M150" s="35"/>
      <c r="N150" s="35"/>
      <c r="O150" s="35"/>
      <c r="P150" s="35"/>
      <c r="Q150" s="35"/>
      <c r="R150" s="35"/>
      <c r="S150" s="35"/>
    </row>
    <row r="151" spans="1:19" ht="12.75" customHeight="1">
      <c r="A151" s="1572" t="s">
        <v>998</v>
      </c>
      <c r="B151" s="1564">
        <v>510</v>
      </c>
      <c r="C151" s="1553"/>
      <c r="D151" s="1562"/>
      <c r="E151" s="1553"/>
      <c r="F151" s="1565"/>
      <c r="G151" s="35"/>
      <c r="H151" s="35"/>
      <c r="I151" s="35"/>
      <c r="J151" s="35"/>
      <c r="K151" s="35"/>
      <c r="L151" s="35"/>
      <c r="M151" s="35"/>
      <c r="N151" s="35"/>
      <c r="O151" s="35"/>
      <c r="P151" s="35"/>
      <c r="Q151" s="35"/>
      <c r="R151" s="35"/>
      <c r="S151" s="35"/>
    </row>
    <row r="152" spans="1:19" ht="12.75" customHeight="1">
      <c r="A152" s="1198" t="s">
        <v>5153</v>
      </c>
      <c r="B152" s="2578" t="s">
        <v>4906</v>
      </c>
      <c r="C152" s="1555">
        <f>SUM(C68:C151)</f>
        <v>0</v>
      </c>
      <c r="D152" s="1555">
        <f>SUM(D68:D151)</f>
        <v>0</v>
      </c>
      <c r="E152" s="1555">
        <f>SUM(E68:E151)</f>
        <v>0</v>
      </c>
      <c r="F152" s="1565"/>
      <c r="G152" s="35"/>
      <c r="H152" s="35"/>
      <c r="I152" s="35"/>
      <c r="J152" s="35"/>
      <c r="K152" s="35"/>
      <c r="L152" s="35"/>
      <c r="M152" s="35"/>
      <c r="N152" s="35"/>
      <c r="O152" s="35"/>
      <c r="P152" s="35"/>
      <c r="Q152" s="35"/>
      <c r="R152" s="35"/>
      <c r="S152" s="35"/>
    </row>
    <row r="153" spans="1:19" ht="12.75" customHeight="1">
      <c r="A153" s="6101" t="s">
        <v>4911</v>
      </c>
      <c r="B153" s="6101"/>
      <c r="C153" s="6101"/>
      <c r="D153" s="6101"/>
      <c r="E153" s="6101"/>
      <c r="F153" s="1542"/>
      <c r="G153" s="35"/>
      <c r="H153" s="35"/>
      <c r="I153" s="35"/>
      <c r="J153" s="35"/>
      <c r="K153" s="35"/>
      <c r="L153" s="35"/>
      <c r="M153" s="35"/>
      <c r="N153" s="35"/>
      <c r="O153" s="35"/>
      <c r="P153" s="35"/>
      <c r="Q153" s="35"/>
      <c r="R153" s="35"/>
      <c r="S153" s="35"/>
    </row>
    <row r="154" spans="1:19" ht="12.75" customHeight="1">
      <c r="A154" s="2864"/>
      <c r="B154" s="1192"/>
      <c r="C154" s="1566"/>
      <c r="D154" s="1542"/>
      <c r="E154" s="1542"/>
      <c r="F154" s="1542"/>
      <c r="G154" s="35"/>
      <c r="H154" s="35"/>
      <c r="I154" s="35"/>
      <c r="J154" s="35"/>
      <c r="K154" s="35"/>
      <c r="L154" s="35"/>
      <c r="M154" s="35"/>
      <c r="N154" s="35"/>
      <c r="O154" s="35"/>
      <c r="P154" s="35"/>
      <c r="Q154" s="35"/>
      <c r="R154" s="35"/>
      <c r="S154" s="35"/>
    </row>
    <row r="155" spans="1:19" ht="12.75" customHeight="1">
      <c r="A155" s="35"/>
      <c r="B155" s="1566"/>
      <c r="C155" s="1566"/>
      <c r="D155" s="1566"/>
      <c r="E155" s="1566"/>
      <c r="F155" s="1566"/>
      <c r="G155" s="35"/>
      <c r="H155" s="35"/>
      <c r="I155" s="35"/>
      <c r="J155" s="35"/>
      <c r="K155" s="35"/>
      <c r="L155" s="35"/>
      <c r="M155" s="35"/>
      <c r="N155" s="35"/>
      <c r="O155" s="35"/>
      <c r="P155" s="35"/>
      <c r="Q155" s="35"/>
      <c r="R155" s="35"/>
      <c r="S155" s="35"/>
    </row>
    <row r="156" spans="1:19" ht="12.75" customHeight="1">
      <c r="A156" s="35"/>
      <c r="B156" s="1545"/>
      <c r="C156" s="1542"/>
      <c r="D156" s="1542"/>
      <c r="E156" s="1542"/>
      <c r="F156" s="1542"/>
      <c r="G156" s="35"/>
      <c r="H156" s="35"/>
      <c r="I156" s="35"/>
      <c r="J156" s="35"/>
      <c r="K156" s="35"/>
      <c r="L156" s="35"/>
      <c r="M156" s="35"/>
      <c r="N156" s="35"/>
      <c r="O156" s="35"/>
      <c r="P156" s="35"/>
      <c r="Q156" s="35"/>
      <c r="R156" s="35"/>
      <c r="S156" s="35"/>
    </row>
    <row r="157" spans="1:19" ht="12.75" customHeight="1">
      <c r="A157" s="35"/>
      <c r="B157" s="1545"/>
      <c r="C157" s="1542"/>
      <c r="D157" s="1542"/>
      <c r="E157" s="1542"/>
      <c r="F157" s="1542"/>
      <c r="G157" s="35"/>
      <c r="H157" s="35"/>
      <c r="I157" s="35"/>
      <c r="J157" s="35"/>
      <c r="K157" s="35"/>
      <c r="L157" s="35"/>
      <c r="M157" s="35"/>
      <c r="N157" s="35"/>
      <c r="O157" s="35"/>
      <c r="P157" s="35"/>
      <c r="Q157" s="35"/>
      <c r="R157" s="35"/>
      <c r="S157" s="35"/>
    </row>
  </sheetData>
  <sheetProtection algorithmName="SHA-512" hashValue="A9WuL6JokcW6HUYryQOyZ6jqHQ82zlcK32lEMv9icPnoOUFfusfu32Qr/VUpdJyRYK0/ZDQLuuz96MAv+W7TZw==" saltValue="g1tDTT7/sGTlnO5UmnYcmQ==" spinCount="100000" sheet="1" objects="1" scenarios="1"/>
  <mergeCells count="5">
    <mergeCell ref="E1:F1"/>
    <mergeCell ref="E2:F2"/>
    <mergeCell ref="D57:E57"/>
    <mergeCell ref="D56:E56"/>
    <mergeCell ref="A153:E153"/>
  </mergeCells>
  <phoneticPr fontId="13" type="noConversion"/>
  <dataValidations count="3">
    <dataValidation type="whole" operator="greaterThanOrEqual" showInputMessage="1" showErrorMessage="1" errorTitle="Invalid Data Entry" error="Please enter a positive number or press the delete key or enter a zero." sqref="C68:E69 C89:E90 C103:E104 C120:E121 C134:E134 C143:E143 C10 C123:E131 C113:E117 C106:E111 C92:E100 C80:E85 C77:E78 C71:E75 C15 C16:D16 C19:D20 D22:E22 F21:F22 C24:E24 F25 C26:E26 F27 C29:D29 C31:D31 C35:D35 C38:E38 F39 F45 F52 C136:E141 C145:E152">
      <formula1>0</formula1>
    </dataValidation>
    <dataValidation type="whole" operator="greaterThanOrEqual" showInputMessage="1" showErrorMessage="1" errorTitle="Invalid beginning cash balance" error="Please enter a number or press the delete key or enter zero." sqref="C9">
      <formula1>-100000000</formula1>
    </dataValidation>
    <dataValidation type="whole" operator="greaterThanOrEqual" showInputMessage="1" showErrorMessage="1" errorTitle="Invalid Data Entry" error="Please enter a positive number or press the delete key or enter zero." sqref="C33">
      <formula1>0</formula1>
    </dataValidation>
  </dataValidations>
  <hyperlinks>
    <hyperlink ref="H1" location="Contents!F1" display="Return to Contents page"/>
  </hyperlinks>
  <printOptions horizontalCentered="1"/>
  <pageMargins left="0.75" right="0.75" top="0.5" bottom="0.5" header="0.3" footer="0.3"/>
  <pageSetup scale="81" fitToHeight="0" orientation="portrait" blackAndWhite="1" r:id="rId1"/>
  <headerFooter scaleWithDoc="0">
    <oddFooter>&amp;L&amp;"Open Sans Light,Regular"&amp;8&amp;D    &amp;T&amp;C&amp;"Open Sans Light,Regular"&amp;8Page &amp;P&amp;R&amp;"Open Sans Light,Regular"&amp;8&amp;A</oddFooter>
  </headerFooter>
  <rowBreaks count="2" manualBreakCount="2">
    <brk id="55" max="5" man="1"/>
    <brk id="121" max="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Z172"/>
  <sheetViews>
    <sheetView showGridLines="0" zoomScaleNormal="100" zoomScaleSheetLayoutView="100" workbookViewId="0">
      <pane ySplit="8" topLeftCell="A9" activePane="bottomLeft" state="frozen"/>
      <selection activeCell="B22" sqref="B22"/>
      <selection pane="bottomLeft" activeCell="B22" sqref="B22"/>
    </sheetView>
  </sheetViews>
  <sheetFormatPr defaultColWidth="10.6640625" defaultRowHeight="12.75" customHeight="1"/>
  <cols>
    <col min="1" max="1" width="40.6640625" style="119" customWidth="1"/>
    <col min="2" max="2" width="5.6640625" style="1015" customWidth="1"/>
    <col min="3" max="5" width="14.33203125" style="1016" customWidth="1"/>
    <col min="6" max="6" width="2.33203125" style="119" customWidth="1"/>
    <col min="7" max="7" width="23.33203125" style="119" bestFit="1" customWidth="1"/>
    <col min="8" max="8" width="67.33203125" style="119" bestFit="1" customWidth="1"/>
    <col min="9" max="26" width="10.6640625" style="119"/>
    <col min="27" max="16384" width="10.6640625" style="116"/>
  </cols>
  <sheetData>
    <row r="1" spans="1:26" ht="12.75" customHeight="1">
      <c r="A1" s="4583" t="s">
        <v>835</v>
      </c>
      <c r="B1" s="1046">
        <f>OPEN!B4</f>
        <v>237</v>
      </c>
      <c r="C1" s="978"/>
      <c r="D1" s="6109" t="s">
        <v>836</v>
      </c>
      <c r="E1" s="6109"/>
      <c r="F1" s="941"/>
      <c r="G1" s="304" t="s">
        <v>754</v>
      </c>
    </row>
    <row r="2" spans="1:26" ht="12.75" customHeight="1">
      <c r="A2" s="114"/>
      <c r="B2" s="979"/>
      <c r="C2" s="978"/>
      <c r="D2" s="6109" t="s">
        <v>921</v>
      </c>
      <c r="E2" s="6109"/>
      <c r="F2" s="941"/>
      <c r="G2" s="114"/>
    </row>
    <row r="3" spans="1:26" ht="12.75" customHeight="1">
      <c r="A3" s="114"/>
      <c r="B3" s="979"/>
      <c r="C3" s="978"/>
      <c r="D3" s="947"/>
      <c r="E3" s="947" t="str">
        <f>OpenData!N2</f>
        <v>2021-2022</v>
      </c>
      <c r="F3" s="115"/>
      <c r="G3" s="114"/>
    </row>
    <row r="4" spans="1:26" ht="12.75" customHeight="1">
      <c r="A4" s="114"/>
      <c r="B4" s="979"/>
      <c r="C4" s="978"/>
      <c r="D4" s="978"/>
      <c r="E4" s="978"/>
      <c r="F4" s="114"/>
      <c r="G4" s="114"/>
    </row>
    <row r="5" spans="1:26" ht="12.75" customHeight="1">
      <c r="A5" s="296"/>
      <c r="B5" s="979"/>
      <c r="C5" s="980" t="s">
        <v>922</v>
      </c>
      <c r="D5" s="980" t="s">
        <v>922</v>
      </c>
      <c r="E5" s="980" t="s">
        <v>922</v>
      </c>
      <c r="F5" s="114"/>
      <c r="G5" s="114"/>
    </row>
    <row r="6" spans="1:26" ht="12.75" customHeight="1">
      <c r="A6" s="118"/>
      <c r="B6" s="981" t="s">
        <v>854</v>
      </c>
      <c r="C6" s="982" t="str">
        <f>OpenData!N4</f>
        <v>2019-2020</v>
      </c>
      <c r="D6" s="982" t="str">
        <f>OpenData!O4</f>
        <v>2020-2021</v>
      </c>
      <c r="E6" s="982" t="str">
        <f>OpenData!P4</f>
        <v>2021-2022</v>
      </c>
      <c r="F6" s="114"/>
      <c r="G6" s="114"/>
      <c r="N6" s="120"/>
    </row>
    <row r="7" spans="1:26" ht="12.75" customHeight="1">
      <c r="A7" s="1023" t="s">
        <v>4771</v>
      </c>
      <c r="B7" s="983">
        <v>11</v>
      </c>
      <c r="C7" s="984" t="s">
        <v>893</v>
      </c>
      <c r="D7" s="984" t="s">
        <v>893</v>
      </c>
      <c r="E7" s="984" t="s">
        <v>923</v>
      </c>
      <c r="F7" s="114"/>
      <c r="G7" s="114"/>
      <c r="O7" s="121"/>
      <c r="P7" s="121"/>
      <c r="Q7" s="121"/>
    </row>
    <row r="8" spans="1:26" ht="12.75" customHeight="1">
      <c r="A8" s="122"/>
      <c r="B8" s="985" t="s">
        <v>858</v>
      </c>
      <c r="C8" s="986">
        <v>1</v>
      </c>
      <c r="D8" s="986">
        <v>2</v>
      </c>
      <c r="E8" s="986">
        <v>3</v>
      </c>
      <c r="F8" s="114"/>
      <c r="G8" s="114"/>
      <c r="O8" s="121"/>
      <c r="P8" s="121"/>
      <c r="Q8" s="121"/>
    </row>
    <row r="9" spans="1:26" ht="12.75" customHeight="1">
      <c r="A9" s="1024" t="s">
        <v>924</v>
      </c>
      <c r="B9" s="987">
        <v>1</v>
      </c>
      <c r="C9" s="988"/>
      <c r="D9" s="989">
        <f>C30</f>
        <v>0</v>
      </c>
      <c r="E9" s="989">
        <f>D30</f>
        <v>0</v>
      </c>
      <c r="F9" s="114"/>
      <c r="G9" s="114"/>
      <c r="O9" s="121"/>
      <c r="P9" s="121"/>
      <c r="Q9" s="121"/>
    </row>
    <row r="10" spans="1:26" s="123" customFormat="1" ht="12.75" customHeight="1">
      <c r="A10" s="3974" t="s">
        <v>4940</v>
      </c>
      <c r="B10" s="990">
        <v>3</v>
      </c>
      <c r="C10" s="991"/>
      <c r="D10" s="991"/>
      <c r="E10" s="3141"/>
      <c r="F10" s="117"/>
      <c r="G10" s="117"/>
      <c r="H10" s="124"/>
      <c r="I10" s="124"/>
      <c r="J10" s="124"/>
      <c r="K10" s="124"/>
      <c r="L10" s="124"/>
      <c r="M10" s="124"/>
      <c r="N10" s="124"/>
      <c r="O10" s="125"/>
      <c r="P10" s="125"/>
      <c r="Q10" s="125"/>
      <c r="R10" s="124"/>
      <c r="S10" s="124"/>
      <c r="T10" s="124"/>
      <c r="U10" s="124"/>
      <c r="V10" s="124"/>
      <c r="W10" s="124"/>
      <c r="X10" s="124"/>
      <c r="Y10" s="124"/>
      <c r="Z10" s="124"/>
    </row>
    <row r="11" spans="1:26" s="123" customFormat="1" ht="12.75" customHeight="1">
      <c r="A11" s="2359"/>
      <c r="B11" s="4267"/>
      <c r="C11" s="4267"/>
      <c r="D11" s="4267"/>
      <c r="E11" s="4279"/>
      <c r="F11" s="117"/>
      <c r="G11" s="117"/>
      <c r="H11" s="124"/>
      <c r="I11" s="124"/>
      <c r="J11" s="124"/>
      <c r="K11" s="124"/>
      <c r="L11" s="124"/>
      <c r="M11" s="124"/>
      <c r="N11" s="124"/>
      <c r="O11" s="125"/>
      <c r="P11" s="125"/>
      <c r="Q11" s="125"/>
      <c r="R11" s="124"/>
      <c r="S11" s="124"/>
      <c r="T11" s="124"/>
      <c r="U11" s="124"/>
      <c r="V11" s="124"/>
      <c r="W11" s="124"/>
      <c r="X11" s="124"/>
      <c r="Y11" s="124"/>
      <c r="Z11" s="124"/>
    </row>
    <row r="12" spans="1:26" s="123" customFormat="1" ht="12.75" customHeight="1">
      <c r="A12" s="4448" t="s">
        <v>4769</v>
      </c>
      <c r="B12" s="4449"/>
      <c r="C12" s="4449"/>
      <c r="D12" s="4449"/>
      <c r="E12" s="4450"/>
      <c r="F12" s="117"/>
      <c r="G12" s="117"/>
      <c r="H12" s="124"/>
      <c r="I12" s="124"/>
      <c r="J12" s="124"/>
      <c r="K12" s="124"/>
      <c r="L12" s="124"/>
      <c r="M12" s="124"/>
      <c r="N12" s="124"/>
      <c r="O12" s="125"/>
      <c r="P12" s="125"/>
      <c r="Q12" s="125"/>
      <c r="R12" s="124"/>
      <c r="S12" s="124"/>
      <c r="T12" s="124"/>
      <c r="U12" s="124"/>
      <c r="V12" s="124"/>
      <c r="W12" s="124"/>
      <c r="X12" s="124"/>
      <c r="Y12" s="124"/>
      <c r="Z12" s="124"/>
    </row>
    <row r="13" spans="1:26" s="123" customFormat="1" ht="12.75" customHeight="1">
      <c r="A13" s="3086" t="s">
        <v>13</v>
      </c>
      <c r="B13" s="3130"/>
      <c r="C13" s="3130"/>
      <c r="D13" s="3130"/>
      <c r="E13" s="3130"/>
      <c r="F13" s="117"/>
      <c r="G13" s="117"/>
      <c r="H13" s="124"/>
      <c r="I13" s="124"/>
      <c r="J13" s="124"/>
      <c r="K13" s="124"/>
      <c r="L13" s="124"/>
      <c r="M13" s="124"/>
      <c r="N13" s="124"/>
      <c r="O13" s="125"/>
      <c r="P13" s="125"/>
      <c r="Q13" s="125"/>
      <c r="R13" s="124"/>
      <c r="S13" s="124"/>
      <c r="T13" s="124"/>
      <c r="U13" s="124"/>
      <c r="V13" s="124"/>
      <c r="W13" s="124"/>
      <c r="X13" s="124"/>
      <c r="Y13" s="124"/>
      <c r="Z13" s="124"/>
    </row>
    <row r="14" spans="1:26" s="123" customFormat="1" ht="12.75" customHeight="1">
      <c r="A14" s="3086" t="s">
        <v>645</v>
      </c>
      <c r="B14" s="3130"/>
      <c r="C14" s="3130"/>
      <c r="D14" s="3130"/>
      <c r="E14" s="3130"/>
      <c r="F14" s="117"/>
      <c r="G14" s="117"/>
      <c r="H14" s="124"/>
      <c r="I14" s="124"/>
      <c r="J14" s="124"/>
      <c r="K14" s="124"/>
      <c r="L14" s="124"/>
      <c r="M14" s="124"/>
      <c r="N14" s="124"/>
      <c r="O14" s="125"/>
      <c r="P14" s="125"/>
      <c r="Q14" s="125"/>
      <c r="R14" s="124"/>
      <c r="S14" s="124"/>
      <c r="T14" s="124"/>
      <c r="U14" s="124"/>
      <c r="V14" s="124"/>
      <c r="W14" s="124"/>
      <c r="X14" s="124"/>
      <c r="Y14" s="124"/>
      <c r="Z14" s="124"/>
    </row>
    <row r="15" spans="1:26" s="123" customFormat="1" ht="12.75" customHeight="1">
      <c r="A15" s="3101" t="s">
        <v>646</v>
      </c>
      <c r="B15" s="3119">
        <v>5</v>
      </c>
      <c r="C15" s="3134"/>
      <c r="D15" s="3131"/>
      <c r="E15" s="3131"/>
      <c r="F15" s="117"/>
      <c r="G15" s="117"/>
      <c r="H15" s="124"/>
      <c r="I15" s="124"/>
      <c r="J15" s="124"/>
      <c r="K15" s="124"/>
      <c r="L15" s="124"/>
      <c r="M15" s="124"/>
      <c r="N15" s="124"/>
      <c r="O15" s="124"/>
      <c r="P15" s="124"/>
      <c r="Q15" s="124"/>
      <c r="R15" s="124"/>
      <c r="S15" s="124"/>
      <c r="T15" s="124"/>
      <c r="U15" s="124"/>
      <c r="V15" s="124"/>
      <c r="W15" s="124"/>
      <c r="X15" s="124"/>
      <c r="Y15" s="124"/>
      <c r="Z15" s="124"/>
    </row>
    <row r="16" spans="1:26" s="123" customFormat="1" ht="12.75" customHeight="1">
      <c r="A16" s="3102" t="s">
        <v>647</v>
      </c>
      <c r="B16" s="2028">
        <v>15</v>
      </c>
      <c r="C16" s="3132"/>
      <c r="D16" s="3131"/>
      <c r="E16" s="3131"/>
      <c r="F16" s="117"/>
      <c r="G16" s="117"/>
      <c r="H16" s="124"/>
      <c r="I16" s="124"/>
      <c r="J16" s="124"/>
      <c r="K16" s="124"/>
      <c r="L16" s="124"/>
      <c r="M16" s="124"/>
      <c r="N16" s="126"/>
      <c r="O16" s="124"/>
      <c r="P16" s="124"/>
      <c r="Q16" s="124"/>
      <c r="R16" s="124"/>
      <c r="S16" s="124"/>
      <c r="T16" s="124"/>
      <c r="U16" s="124"/>
      <c r="V16" s="124"/>
      <c r="W16" s="124"/>
      <c r="X16" s="124"/>
      <c r="Y16" s="124"/>
      <c r="Z16" s="124"/>
    </row>
    <row r="17" spans="1:26" s="123" customFormat="1" ht="12.75" customHeight="1">
      <c r="A17" s="3725" t="s">
        <v>4984</v>
      </c>
      <c r="B17" s="2028">
        <v>25</v>
      </c>
      <c r="C17" s="3514"/>
      <c r="D17" s="3514"/>
      <c r="E17" s="3515"/>
      <c r="F17" s="117"/>
      <c r="G17" s="117"/>
      <c r="H17" s="124"/>
      <c r="I17" s="124"/>
      <c r="J17" s="124"/>
      <c r="K17" s="124"/>
      <c r="L17" s="124"/>
      <c r="M17" s="124"/>
      <c r="N17" s="124"/>
      <c r="O17" s="127"/>
      <c r="P17" s="127"/>
      <c r="Q17" s="127"/>
      <c r="R17" s="124"/>
      <c r="S17" s="124"/>
      <c r="T17" s="124"/>
      <c r="U17" s="124"/>
      <c r="V17" s="124"/>
      <c r="W17" s="124"/>
      <c r="X17" s="124"/>
      <c r="Y17" s="124"/>
      <c r="Z17" s="124"/>
    </row>
    <row r="18" spans="1:26" s="123" customFormat="1" ht="12.75" customHeight="1">
      <c r="A18" s="3102" t="s">
        <v>71</v>
      </c>
      <c r="B18" s="2028">
        <v>35</v>
      </c>
      <c r="C18" s="3133"/>
      <c r="D18" s="3133"/>
      <c r="E18" s="3132"/>
      <c r="F18" s="117"/>
      <c r="G18" s="117"/>
      <c r="H18" s="124"/>
      <c r="I18" s="124"/>
      <c r="J18" s="124"/>
      <c r="K18" s="124"/>
      <c r="L18" s="124"/>
      <c r="M18" s="124"/>
      <c r="N18" s="124"/>
      <c r="O18" s="127"/>
      <c r="P18" s="127"/>
      <c r="Q18" s="127"/>
      <c r="R18" s="124"/>
      <c r="S18" s="124"/>
      <c r="T18" s="124"/>
      <c r="U18" s="124"/>
      <c r="V18" s="124"/>
      <c r="W18" s="124"/>
      <c r="X18" s="124"/>
      <c r="Y18" s="124"/>
      <c r="Z18" s="124"/>
    </row>
    <row r="19" spans="1:26" s="123" customFormat="1" ht="12.75" customHeight="1">
      <c r="A19" s="3102" t="s">
        <v>648</v>
      </c>
      <c r="B19" s="2028">
        <v>45</v>
      </c>
      <c r="C19" s="3132"/>
      <c r="D19" s="3132"/>
      <c r="E19" s="3901"/>
      <c r="F19" s="117"/>
      <c r="G19" s="117"/>
      <c r="H19" s="124"/>
      <c r="I19" s="124"/>
      <c r="J19" s="124"/>
      <c r="K19" s="124"/>
      <c r="L19" s="124"/>
      <c r="M19" s="124"/>
      <c r="N19" s="124"/>
      <c r="O19" s="127"/>
      <c r="P19" s="127"/>
      <c r="Q19" s="127"/>
      <c r="R19" s="124"/>
      <c r="S19" s="124"/>
      <c r="T19" s="124"/>
      <c r="U19" s="124"/>
      <c r="V19" s="124"/>
      <c r="W19" s="124"/>
      <c r="X19" s="124"/>
      <c r="Y19" s="124"/>
      <c r="Z19" s="124"/>
    </row>
    <row r="20" spans="1:26" s="123" customFormat="1" ht="12.75" customHeight="1">
      <c r="A20" s="3086" t="s">
        <v>18</v>
      </c>
      <c r="B20" s="3130"/>
      <c r="C20" s="3130"/>
      <c r="D20" s="3130"/>
      <c r="E20" s="3130"/>
      <c r="F20" s="117"/>
      <c r="G20" s="117"/>
      <c r="H20" s="124"/>
      <c r="I20" s="124"/>
      <c r="J20" s="124"/>
      <c r="K20" s="124"/>
      <c r="L20" s="124"/>
      <c r="M20" s="124"/>
      <c r="N20" s="124"/>
      <c r="O20" s="127"/>
      <c r="P20" s="127"/>
      <c r="Q20" s="127"/>
      <c r="R20" s="124"/>
      <c r="S20" s="124"/>
      <c r="T20" s="124"/>
      <c r="U20" s="124"/>
      <c r="V20" s="124"/>
      <c r="W20" s="124"/>
      <c r="X20" s="124"/>
      <c r="Y20" s="124"/>
      <c r="Z20" s="124"/>
    </row>
    <row r="21" spans="1:26" s="123" customFormat="1" ht="12.75" customHeight="1">
      <c r="A21" s="3101" t="s">
        <v>20</v>
      </c>
      <c r="B21" s="3119">
        <v>75</v>
      </c>
      <c r="C21" s="3131"/>
      <c r="D21" s="3131"/>
      <c r="E21" s="3131"/>
      <c r="F21" s="117"/>
      <c r="G21" s="117"/>
      <c r="H21" s="124"/>
      <c r="I21" s="124"/>
      <c r="J21" s="124"/>
      <c r="K21" s="124"/>
      <c r="L21" s="124"/>
      <c r="M21" s="124"/>
      <c r="N21" s="124"/>
      <c r="O21" s="124"/>
      <c r="P21" s="124"/>
      <c r="Q21" s="124"/>
      <c r="R21" s="124"/>
      <c r="S21" s="124"/>
      <c r="T21" s="124"/>
      <c r="U21" s="124"/>
      <c r="V21" s="124"/>
      <c r="W21" s="124"/>
      <c r="X21" s="124"/>
      <c r="Y21" s="124"/>
      <c r="Z21" s="124"/>
    </row>
    <row r="22" spans="1:26" s="123" customFormat="1" ht="12.75" customHeight="1">
      <c r="A22" s="3084" t="s">
        <v>37</v>
      </c>
      <c r="B22" s="3136"/>
      <c r="C22" s="3136"/>
      <c r="D22" s="3136"/>
      <c r="E22" s="3136"/>
      <c r="F22" s="117"/>
      <c r="G22" s="117"/>
      <c r="H22" s="124"/>
      <c r="I22" s="124"/>
      <c r="J22" s="124"/>
      <c r="K22" s="124"/>
      <c r="L22" s="124"/>
      <c r="M22" s="124"/>
      <c r="N22" s="124"/>
      <c r="O22" s="124"/>
      <c r="P22" s="124"/>
      <c r="Q22" s="124"/>
      <c r="R22" s="124"/>
      <c r="S22" s="124"/>
      <c r="T22" s="124"/>
      <c r="U22" s="124"/>
      <c r="V22" s="124"/>
      <c r="W22" s="124"/>
      <c r="X22" s="124"/>
      <c r="Y22" s="124"/>
      <c r="Z22" s="124"/>
    </row>
    <row r="23" spans="1:26" s="123" customFormat="1" ht="12.75" customHeight="1">
      <c r="A23" s="3103" t="s">
        <v>631</v>
      </c>
      <c r="B23" s="3108">
        <v>115</v>
      </c>
      <c r="C23" s="3131"/>
      <c r="D23" s="3131"/>
      <c r="E23" s="3131"/>
      <c r="F23" s="117"/>
      <c r="G23" s="117"/>
      <c r="H23" s="124"/>
      <c r="I23" s="124"/>
      <c r="J23" s="124"/>
      <c r="K23" s="124"/>
      <c r="L23" s="124"/>
      <c r="M23" s="124"/>
      <c r="N23" s="124"/>
      <c r="O23" s="124"/>
      <c r="P23" s="124"/>
      <c r="Q23" s="124"/>
      <c r="R23" s="124"/>
      <c r="S23" s="124"/>
      <c r="T23" s="124"/>
      <c r="U23" s="124"/>
      <c r="V23" s="124"/>
      <c r="W23" s="124"/>
      <c r="X23" s="124"/>
      <c r="Y23" s="124"/>
      <c r="Z23" s="124"/>
    </row>
    <row r="24" spans="1:26" s="123" customFormat="1" ht="12.75" customHeight="1">
      <c r="A24" s="3084" t="s">
        <v>39</v>
      </c>
      <c r="B24" s="3136"/>
      <c r="C24" s="3136"/>
      <c r="D24" s="3136"/>
      <c r="E24" s="3136"/>
      <c r="F24" s="117"/>
      <c r="G24" s="117"/>
      <c r="H24" s="124"/>
      <c r="I24" s="124"/>
      <c r="J24" s="124"/>
      <c r="K24" s="124"/>
      <c r="L24" s="124"/>
      <c r="M24" s="124"/>
      <c r="N24" s="124"/>
      <c r="O24" s="124"/>
      <c r="P24" s="124"/>
      <c r="Q24" s="124"/>
      <c r="R24" s="124"/>
      <c r="S24" s="124"/>
      <c r="T24" s="124"/>
      <c r="U24" s="124"/>
      <c r="V24" s="124"/>
      <c r="W24" s="124"/>
      <c r="X24" s="124"/>
      <c r="Y24" s="124"/>
      <c r="Z24" s="124"/>
    </row>
    <row r="25" spans="1:26" s="123" customFormat="1" ht="12.75" customHeight="1">
      <c r="A25" s="3103" t="s">
        <v>40</v>
      </c>
      <c r="B25" s="3108">
        <v>135</v>
      </c>
      <c r="C25" s="3140">
        <f>'C06'!C282</f>
        <v>0</v>
      </c>
      <c r="D25" s="3516">
        <f>'C06'!D282</f>
        <v>0</v>
      </c>
      <c r="E25" s="3486">
        <f>'C06'!E282</f>
        <v>0</v>
      </c>
      <c r="F25" s="117"/>
      <c r="G25" s="677"/>
      <c r="H25" s="124"/>
      <c r="I25" s="124"/>
      <c r="J25" s="124"/>
      <c r="K25" s="124"/>
      <c r="L25" s="124"/>
      <c r="M25" s="124"/>
      <c r="N25" s="124"/>
      <c r="O25" s="124"/>
      <c r="P25" s="124"/>
      <c r="Q25" s="124"/>
      <c r="R25" s="124"/>
      <c r="S25" s="124"/>
      <c r="T25" s="124"/>
      <c r="U25" s="124"/>
      <c r="V25" s="124"/>
      <c r="W25" s="124"/>
      <c r="X25" s="124"/>
      <c r="Y25" s="124"/>
      <c r="Z25" s="124"/>
    </row>
    <row r="26" spans="1:26" s="123" customFormat="1" ht="12.75" customHeight="1">
      <c r="A26" s="3104" t="s">
        <v>308</v>
      </c>
      <c r="B26" s="3109">
        <v>140</v>
      </c>
      <c r="C26" s="1381">
        <f>'C08'!C286</f>
        <v>0</v>
      </c>
      <c r="D26" s="1381">
        <f>'C08'!D286</f>
        <v>0</v>
      </c>
      <c r="E26" s="3517">
        <f>'C08'!E286</f>
        <v>0</v>
      </c>
      <c r="F26" s="117"/>
      <c r="G26" s="677"/>
      <c r="H26" s="590" t="s">
        <v>3037</v>
      </c>
      <c r="I26" s="124"/>
      <c r="J26" s="124"/>
      <c r="K26" s="124"/>
      <c r="L26" s="124"/>
      <c r="M26" s="124"/>
      <c r="N26" s="124"/>
      <c r="O26" s="124"/>
      <c r="P26" s="124"/>
      <c r="Q26" s="124"/>
      <c r="R26" s="124"/>
      <c r="S26" s="124"/>
      <c r="T26" s="124"/>
      <c r="U26" s="124"/>
      <c r="V26" s="124"/>
      <c r="W26" s="124"/>
      <c r="X26" s="124"/>
      <c r="Y26" s="124"/>
      <c r="Z26" s="124"/>
    </row>
    <row r="27" spans="1:26" s="123" customFormat="1" ht="12.75" customHeight="1">
      <c r="A27" s="3104" t="s">
        <v>41</v>
      </c>
      <c r="B27" s="3109">
        <v>145</v>
      </c>
      <c r="C27" s="3140">
        <f>'C053'!C242</f>
        <v>0</v>
      </c>
      <c r="D27" s="1381">
        <f>'C053'!D242</f>
        <v>0</v>
      </c>
      <c r="E27" s="3810" t="s">
        <v>4905</v>
      </c>
      <c r="F27" s="117"/>
      <c r="G27" s="390"/>
      <c r="H27" s="3891">
        <f>ROUND('F150'!J12*OpenData!N25,0)</f>
        <v>16471</v>
      </c>
      <c r="I27" s="124"/>
      <c r="J27" s="124"/>
      <c r="K27" s="124"/>
      <c r="L27" s="124"/>
      <c r="M27" s="124"/>
      <c r="N27" s="124"/>
      <c r="O27" s="124"/>
      <c r="P27" s="124"/>
      <c r="Q27" s="124"/>
      <c r="R27" s="124"/>
      <c r="S27" s="124"/>
      <c r="T27" s="124"/>
      <c r="U27" s="124"/>
      <c r="V27" s="124"/>
      <c r="W27" s="124"/>
      <c r="X27" s="124"/>
      <c r="Y27" s="124"/>
      <c r="Z27" s="124"/>
    </row>
    <row r="28" spans="1:26" s="123" customFormat="1" ht="12.75" customHeight="1">
      <c r="A28" s="1027" t="s">
        <v>653</v>
      </c>
      <c r="B28" s="998">
        <v>170</v>
      </c>
      <c r="C28" s="996">
        <f>SUM(C9:C27)</f>
        <v>0</v>
      </c>
      <c r="D28" s="996">
        <f>SUM(D9:D27)</f>
        <v>0</v>
      </c>
      <c r="E28" s="4452">
        <f>SUM(E9:E27)</f>
        <v>0</v>
      </c>
      <c r="F28" s="117"/>
      <c r="G28" s="117"/>
      <c r="H28" s="124"/>
      <c r="I28" s="124"/>
      <c r="J28" s="124"/>
      <c r="K28" s="124"/>
      <c r="L28" s="124"/>
      <c r="M28" s="124"/>
      <c r="N28" s="124"/>
      <c r="O28" s="124"/>
      <c r="P28" s="124"/>
      <c r="Q28" s="124"/>
      <c r="R28" s="124"/>
      <c r="S28" s="124"/>
      <c r="T28" s="124"/>
      <c r="U28" s="124"/>
      <c r="V28" s="124"/>
      <c r="W28" s="124"/>
      <c r="X28" s="124"/>
      <c r="Y28" s="124"/>
      <c r="Z28" s="124"/>
    </row>
    <row r="29" spans="1:26" s="123" customFormat="1" ht="12.75" customHeight="1">
      <c r="A29" s="1026" t="s">
        <v>43</v>
      </c>
      <c r="B29" s="995">
        <v>175</v>
      </c>
      <c r="C29" s="996">
        <f>C166</f>
        <v>0</v>
      </c>
      <c r="D29" s="996">
        <f>D166</f>
        <v>0</v>
      </c>
      <c r="E29" s="999">
        <f>IF((E166&lt;=E28),E166,"ERROR")</f>
        <v>0</v>
      </c>
      <c r="F29" s="117"/>
      <c r="G29" s="427" t="str">
        <f>IF(E29="ERROR","Expenditures must be less than or equal to Resources Available","")</f>
        <v/>
      </c>
      <c r="H29" s="124"/>
      <c r="I29" s="124"/>
      <c r="J29" s="124"/>
      <c r="K29" s="124"/>
      <c r="L29" s="124"/>
      <c r="M29" s="124"/>
      <c r="N29" s="124"/>
      <c r="O29" s="124"/>
      <c r="P29" s="124"/>
      <c r="Q29" s="124"/>
      <c r="R29" s="124"/>
      <c r="S29" s="124"/>
      <c r="T29" s="124"/>
      <c r="U29" s="124"/>
      <c r="V29" s="124"/>
      <c r="W29" s="124"/>
      <c r="X29" s="124"/>
      <c r="Y29" s="124"/>
      <c r="Z29" s="124"/>
    </row>
    <row r="30" spans="1:26" s="123" customFormat="1" ht="12.75" customHeight="1">
      <c r="A30" s="1028" t="s">
        <v>935</v>
      </c>
      <c r="B30" s="995">
        <v>190</v>
      </c>
      <c r="C30" s="1000">
        <f>C28-C29</f>
        <v>0</v>
      </c>
      <c r="D30" s="994">
        <f>D28-D29</f>
        <v>0</v>
      </c>
      <c r="E30" s="1001">
        <f>IF(ISERROR(E28-E29),"NEGATIVE",E28-E29)</f>
        <v>0</v>
      </c>
      <c r="F30" s="117"/>
      <c r="G30" s="678"/>
      <c r="H30" s="124"/>
      <c r="I30" s="124"/>
      <c r="J30" s="124"/>
      <c r="K30" s="124"/>
      <c r="L30" s="124"/>
      <c r="M30" s="124"/>
      <c r="N30" s="124"/>
      <c r="O30" s="124"/>
      <c r="P30" s="124"/>
      <c r="Q30" s="124"/>
      <c r="R30" s="124"/>
      <c r="S30" s="124"/>
      <c r="T30" s="124"/>
      <c r="U30" s="124"/>
      <c r="V30" s="124"/>
      <c r="W30" s="124"/>
      <c r="X30" s="124"/>
      <c r="Y30" s="124"/>
      <c r="Z30" s="124"/>
    </row>
    <row r="31" spans="1:26" s="123" customFormat="1" ht="12.75" customHeight="1">
      <c r="A31" s="1029"/>
      <c r="B31" s="1003"/>
      <c r="C31" s="1004"/>
      <c r="D31" s="1004"/>
      <c r="E31" s="1005"/>
      <c r="F31" s="117"/>
      <c r="G31" s="678"/>
      <c r="H31" s="124"/>
      <c r="I31" s="124"/>
      <c r="J31" s="124"/>
      <c r="K31" s="124"/>
      <c r="L31" s="124"/>
      <c r="M31" s="124"/>
      <c r="N31" s="124"/>
      <c r="O31" s="124"/>
      <c r="P31" s="124"/>
      <c r="Q31" s="124"/>
      <c r="R31" s="124"/>
      <c r="S31" s="124"/>
      <c r="T31" s="124"/>
      <c r="U31" s="124"/>
      <c r="V31" s="124"/>
      <c r="W31" s="124"/>
      <c r="X31" s="124"/>
      <c r="Y31" s="124"/>
      <c r="Z31" s="124"/>
    </row>
    <row r="32" spans="1:26" s="3724" customFormat="1" ht="12.75" customHeight="1">
      <c r="A32" s="115" t="s">
        <v>835</v>
      </c>
      <c r="B32" s="4446">
        <f>B1</f>
        <v>237</v>
      </c>
      <c r="C32" s="941"/>
      <c r="D32" s="6110" t="s">
        <v>836</v>
      </c>
      <c r="E32" s="6110"/>
      <c r="F32" s="941"/>
      <c r="G32" s="3722"/>
      <c r="H32" s="3723"/>
      <c r="I32" s="3723"/>
      <c r="J32" s="3723"/>
      <c r="K32" s="3723"/>
      <c r="L32" s="3723"/>
      <c r="M32" s="3723"/>
      <c r="N32" s="3723"/>
      <c r="O32" s="3723"/>
      <c r="P32" s="3723"/>
      <c r="Q32" s="3723"/>
      <c r="R32" s="3723"/>
      <c r="S32" s="3723"/>
      <c r="T32" s="3723"/>
      <c r="U32" s="3723"/>
      <c r="V32" s="3723"/>
      <c r="W32" s="3723"/>
      <c r="X32" s="3723"/>
      <c r="Y32" s="3723"/>
      <c r="Z32" s="3723"/>
    </row>
    <row r="33" spans="1:26" s="123" customFormat="1" ht="12.75" customHeight="1">
      <c r="A33" s="1002"/>
      <c r="B33" s="1002"/>
      <c r="C33" s="978"/>
      <c r="D33" s="6109" t="s">
        <v>921</v>
      </c>
      <c r="E33" s="6109"/>
      <c r="F33" s="117"/>
      <c r="G33" s="678"/>
      <c r="H33" s="124"/>
      <c r="I33" s="124"/>
      <c r="J33" s="124"/>
      <c r="K33" s="124"/>
      <c r="L33" s="124"/>
      <c r="M33" s="124"/>
      <c r="N33" s="124"/>
      <c r="O33" s="124"/>
      <c r="P33" s="124"/>
      <c r="Q33" s="124"/>
      <c r="R33" s="124"/>
      <c r="S33" s="124"/>
      <c r="T33" s="124"/>
      <c r="U33" s="124"/>
      <c r="V33" s="124"/>
      <c r="W33" s="124"/>
      <c r="X33" s="124"/>
      <c r="Y33" s="124"/>
      <c r="Z33" s="124"/>
    </row>
    <row r="34" spans="1:26" s="123" customFormat="1" ht="12.75" customHeight="1">
      <c r="A34" s="978"/>
      <c r="B34" s="979"/>
      <c r="C34" s="978"/>
      <c r="D34" s="6109" t="str">
        <f>E3</f>
        <v>2021-2022</v>
      </c>
      <c r="E34" s="6109"/>
      <c r="F34" s="117"/>
      <c r="G34" s="678"/>
      <c r="H34" s="124"/>
      <c r="I34" s="124"/>
      <c r="J34" s="124"/>
      <c r="K34" s="124"/>
      <c r="L34" s="124"/>
      <c r="M34" s="124"/>
      <c r="N34" s="124"/>
      <c r="O34" s="124"/>
      <c r="P34" s="124"/>
      <c r="Q34" s="124"/>
      <c r="R34" s="124"/>
      <c r="S34" s="124"/>
      <c r="T34" s="124"/>
      <c r="U34" s="124"/>
      <c r="V34" s="124"/>
      <c r="W34" s="124"/>
      <c r="X34" s="124"/>
      <c r="Y34" s="124"/>
      <c r="Z34" s="124"/>
    </row>
    <row r="35" spans="1:26" s="123" customFormat="1" ht="12.75" customHeight="1">
      <c r="A35" s="1029"/>
      <c r="B35" s="1003"/>
      <c r="C35" s="1004"/>
      <c r="D35" s="1004"/>
      <c r="E35" s="1005"/>
      <c r="F35" s="117"/>
      <c r="G35" s="678"/>
      <c r="H35" s="124"/>
      <c r="I35" s="124"/>
      <c r="J35" s="124"/>
      <c r="K35" s="124"/>
      <c r="L35" s="124"/>
      <c r="M35" s="124"/>
      <c r="N35" s="124"/>
      <c r="O35" s="124"/>
      <c r="P35" s="124"/>
      <c r="Q35" s="124"/>
      <c r="R35" s="124"/>
      <c r="S35" s="124"/>
      <c r="T35" s="124"/>
      <c r="U35" s="124"/>
      <c r="V35" s="124"/>
      <c r="W35" s="124"/>
      <c r="X35" s="124"/>
      <c r="Y35" s="124"/>
      <c r="Z35" s="124"/>
    </row>
    <row r="36" spans="1:26" s="123" customFormat="1" ht="12.75" customHeight="1">
      <c r="A36" s="978"/>
      <c r="B36" s="979"/>
      <c r="C36" s="980" t="s">
        <v>922</v>
      </c>
      <c r="D36" s="980" t="s">
        <v>922</v>
      </c>
      <c r="E36" s="980" t="s">
        <v>922</v>
      </c>
      <c r="F36" s="117"/>
      <c r="G36" s="117"/>
      <c r="H36" s="124"/>
      <c r="I36" s="124"/>
      <c r="J36" s="124"/>
      <c r="K36" s="124"/>
      <c r="L36" s="124"/>
      <c r="M36" s="124"/>
      <c r="N36" s="124"/>
      <c r="O36" s="124"/>
      <c r="P36" s="124"/>
      <c r="Q36" s="124"/>
      <c r="R36" s="124"/>
      <c r="S36" s="124"/>
      <c r="T36" s="124"/>
      <c r="U36" s="124"/>
      <c r="V36" s="124"/>
      <c r="W36" s="124"/>
      <c r="X36" s="124"/>
      <c r="Y36" s="124"/>
      <c r="Z36" s="124"/>
    </row>
    <row r="37" spans="1:26" s="123" customFormat="1" ht="12.75" customHeight="1">
      <c r="A37" s="1002"/>
      <c r="B37" s="981" t="s">
        <v>854</v>
      </c>
      <c r="C37" s="982" t="str">
        <f>C6</f>
        <v>2019-2020</v>
      </c>
      <c r="D37" s="982" t="str">
        <f>D6</f>
        <v>2020-2021</v>
      </c>
      <c r="E37" s="982" t="str">
        <f>E6</f>
        <v>2021-2022</v>
      </c>
      <c r="F37" s="117"/>
      <c r="G37" s="117"/>
      <c r="H37" s="124"/>
      <c r="I37" s="124"/>
      <c r="J37" s="124"/>
      <c r="K37" s="124"/>
      <c r="L37" s="124"/>
      <c r="M37" s="124"/>
      <c r="N37" s="124"/>
      <c r="O37" s="124"/>
      <c r="P37" s="124"/>
      <c r="Q37" s="124"/>
      <c r="R37" s="124"/>
      <c r="S37" s="124"/>
      <c r="T37" s="124"/>
      <c r="U37" s="124"/>
      <c r="V37" s="124"/>
      <c r="W37" s="124"/>
      <c r="X37" s="124"/>
      <c r="Y37" s="124"/>
      <c r="Z37" s="124"/>
    </row>
    <row r="38" spans="1:26" s="123" customFormat="1" ht="12.75" customHeight="1">
      <c r="A38" s="1023" t="str">
        <f>A7</f>
        <v>PRESCHOOL-AGED AT-RISK</v>
      </c>
      <c r="B38" s="1006">
        <v>11</v>
      </c>
      <c r="C38" s="984" t="s">
        <v>893</v>
      </c>
      <c r="D38" s="984" t="s">
        <v>893</v>
      </c>
      <c r="E38" s="984" t="s">
        <v>923</v>
      </c>
      <c r="F38" s="117"/>
      <c r="G38" s="117"/>
      <c r="H38" s="124"/>
      <c r="I38" s="124"/>
      <c r="J38" s="124"/>
      <c r="K38" s="124"/>
      <c r="L38" s="124"/>
      <c r="M38" s="124"/>
      <c r="N38" s="124"/>
      <c r="O38" s="124"/>
      <c r="P38" s="124"/>
      <c r="Q38" s="124"/>
      <c r="R38" s="124"/>
      <c r="S38" s="124"/>
      <c r="T38" s="124"/>
      <c r="U38" s="124"/>
      <c r="V38" s="124"/>
      <c r="W38" s="124"/>
      <c r="X38" s="124"/>
      <c r="Y38" s="124"/>
      <c r="Z38" s="124"/>
    </row>
    <row r="39" spans="1:26" s="123" customFormat="1" ht="12.75" customHeight="1">
      <c r="A39" s="1030"/>
      <c r="B39" s="1006" t="s">
        <v>858</v>
      </c>
      <c r="C39" s="986">
        <v>1</v>
      </c>
      <c r="D39" s="986">
        <v>2</v>
      </c>
      <c r="E39" s="986">
        <v>3</v>
      </c>
      <c r="F39" s="117"/>
      <c r="G39" s="117"/>
      <c r="H39" s="124"/>
      <c r="I39" s="124"/>
      <c r="J39" s="124"/>
      <c r="K39" s="124"/>
      <c r="L39" s="124"/>
      <c r="M39" s="124"/>
      <c r="N39" s="124"/>
      <c r="O39" s="124"/>
      <c r="P39" s="124"/>
      <c r="Q39" s="124"/>
      <c r="R39" s="124"/>
      <c r="S39" s="124"/>
      <c r="T39" s="124"/>
      <c r="U39" s="124"/>
      <c r="V39" s="124"/>
      <c r="W39" s="124"/>
      <c r="X39" s="124"/>
      <c r="Y39" s="124"/>
      <c r="Z39" s="124"/>
    </row>
    <row r="40" spans="1:26" s="123" customFormat="1" ht="12.75" customHeight="1">
      <c r="A40" s="3084"/>
      <c r="B40" s="4272"/>
      <c r="C40" s="4273"/>
      <c r="D40" s="4273"/>
      <c r="E40" s="4274"/>
      <c r="F40" s="117"/>
      <c r="G40" s="117"/>
      <c r="H40" s="124"/>
      <c r="I40" s="124"/>
      <c r="J40" s="124"/>
      <c r="K40" s="124"/>
      <c r="L40" s="124"/>
      <c r="M40" s="124"/>
      <c r="N40" s="124"/>
      <c r="O40" s="124"/>
      <c r="P40" s="124"/>
      <c r="Q40" s="124"/>
      <c r="R40" s="124"/>
      <c r="S40" s="124"/>
      <c r="T40" s="124"/>
      <c r="U40" s="124"/>
      <c r="V40" s="124"/>
      <c r="W40" s="124"/>
      <c r="X40" s="124"/>
      <c r="Y40" s="124"/>
      <c r="Z40" s="124"/>
    </row>
    <row r="41" spans="1:26" s="123" customFormat="1" ht="12.75" customHeight="1">
      <c r="A41" s="4275" t="s">
        <v>60</v>
      </c>
      <c r="B41" s="4276"/>
      <c r="C41" s="4276"/>
      <c r="D41" s="4276"/>
      <c r="E41" s="4277"/>
      <c r="F41" s="117"/>
      <c r="G41" s="117"/>
      <c r="H41" s="124"/>
      <c r="I41" s="124"/>
      <c r="J41" s="124"/>
      <c r="K41" s="124"/>
      <c r="L41" s="124"/>
      <c r="M41" s="124"/>
      <c r="N41" s="124"/>
      <c r="O41" s="124"/>
      <c r="P41" s="124"/>
      <c r="Q41" s="124"/>
      <c r="R41" s="124"/>
      <c r="S41" s="124"/>
      <c r="T41" s="124"/>
      <c r="U41" s="124"/>
      <c r="V41" s="124"/>
      <c r="W41" s="124"/>
      <c r="X41" s="124"/>
      <c r="Y41" s="124"/>
      <c r="Z41" s="124"/>
    </row>
    <row r="42" spans="1:26" s="123" customFormat="1" ht="12.75" customHeight="1">
      <c r="A42" s="3085" t="s">
        <v>940</v>
      </c>
      <c r="B42" s="3137"/>
      <c r="C42" s="3137"/>
      <c r="D42" s="3137"/>
      <c r="E42" s="3137"/>
      <c r="F42" s="117"/>
      <c r="G42" s="117"/>
      <c r="H42" s="124"/>
      <c r="I42" s="124"/>
      <c r="J42" s="124"/>
      <c r="K42" s="124"/>
      <c r="L42" s="124"/>
      <c r="M42" s="124"/>
      <c r="N42" s="124"/>
      <c r="O42" s="124"/>
      <c r="P42" s="124"/>
      <c r="Q42" s="124"/>
      <c r="R42" s="124"/>
      <c r="S42" s="124"/>
      <c r="T42" s="124"/>
      <c r="U42" s="124"/>
      <c r="V42" s="124"/>
      <c r="W42" s="124"/>
      <c r="X42" s="124"/>
      <c r="Y42" s="124"/>
      <c r="Z42" s="124"/>
    </row>
    <row r="43" spans="1:26" s="123" customFormat="1" ht="12.75" customHeight="1">
      <c r="A43" s="3085" t="s">
        <v>941</v>
      </c>
      <c r="B43" s="3137"/>
      <c r="C43" s="3137"/>
      <c r="D43" s="3137"/>
      <c r="E43" s="3137"/>
      <c r="F43" s="117"/>
      <c r="G43" s="117"/>
      <c r="H43" s="124"/>
      <c r="I43" s="124"/>
      <c r="J43" s="124"/>
      <c r="K43" s="124"/>
      <c r="L43" s="124"/>
      <c r="M43" s="124"/>
      <c r="N43" s="124"/>
      <c r="O43" s="124"/>
      <c r="P43" s="124"/>
      <c r="Q43" s="124"/>
      <c r="R43" s="124"/>
      <c r="S43" s="124"/>
      <c r="T43" s="124"/>
      <c r="U43" s="124"/>
      <c r="V43" s="124"/>
      <c r="W43" s="124"/>
      <c r="X43" s="124"/>
      <c r="Y43" s="124"/>
      <c r="Z43" s="124"/>
    </row>
    <row r="44" spans="1:26" s="123" customFormat="1" ht="12.75" customHeight="1">
      <c r="A44" s="3103" t="s">
        <v>942</v>
      </c>
      <c r="B44" s="3108">
        <v>210</v>
      </c>
      <c r="C44" s="2022"/>
      <c r="D44" s="3124"/>
      <c r="E44" s="2022"/>
      <c r="F44" s="117"/>
      <c r="G44" s="117"/>
      <c r="H44" s="124"/>
      <c r="I44" s="124"/>
      <c r="J44" s="124"/>
      <c r="K44" s="124"/>
      <c r="L44" s="124"/>
      <c r="M44" s="124"/>
      <c r="N44" s="124"/>
      <c r="O44" s="124"/>
      <c r="P44" s="124"/>
      <c r="Q44" s="124"/>
      <c r="R44" s="124"/>
      <c r="S44" s="124"/>
      <c r="T44" s="124"/>
      <c r="U44" s="124"/>
      <c r="V44" s="124"/>
      <c r="W44" s="124"/>
      <c r="X44" s="124"/>
      <c r="Y44" s="124"/>
      <c r="Z44" s="124"/>
    </row>
    <row r="45" spans="1:26" s="123" customFormat="1" ht="12.75" customHeight="1">
      <c r="A45" s="3104" t="s">
        <v>302</v>
      </c>
      <c r="B45" s="3109">
        <v>215</v>
      </c>
      <c r="C45" s="2022"/>
      <c r="D45" s="2050"/>
      <c r="E45" s="2050"/>
      <c r="F45" s="117"/>
      <c r="G45" s="117"/>
      <c r="H45" s="124"/>
      <c r="I45" s="124"/>
      <c r="J45" s="124"/>
      <c r="K45" s="124"/>
      <c r="L45" s="124"/>
      <c r="M45" s="124"/>
      <c r="N45" s="124"/>
      <c r="O45" s="124"/>
      <c r="P45" s="124"/>
      <c r="Q45" s="124"/>
      <c r="R45" s="124"/>
      <c r="S45" s="124"/>
      <c r="T45" s="124"/>
      <c r="U45" s="124"/>
      <c r="V45" s="124"/>
      <c r="W45" s="124"/>
      <c r="X45" s="124"/>
      <c r="Y45" s="124"/>
      <c r="Z45" s="124"/>
    </row>
    <row r="46" spans="1:26" s="123" customFormat="1" ht="12.75" customHeight="1">
      <c r="A46" s="3084" t="s">
        <v>944</v>
      </c>
      <c r="B46" s="3136"/>
      <c r="C46" s="3136"/>
      <c r="D46" s="3136"/>
      <c r="E46" s="3136"/>
      <c r="F46" s="117"/>
      <c r="G46" s="117"/>
      <c r="H46" s="124"/>
      <c r="I46" s="124"/>
      <c r="J46" s="124"/>
      <c r="K46" s="124"/>
      <c r="L46" s="124"/>
      <c r="M46" s="124"/>
      <c r="N46" s="124"/>
      <c r="O46" s="124"/>
      <c r="P46" s="124"/>
      <c r="Q46" s="124"/>
      <c r="R46" s="124"/>
      <c r="S46" s="124"/>
      <c r="T46" s="124"/>
      <c r="U46" s="124"/>
      <c r="V46" s="124"/>
      <c r="W46" s="124"/>
      <c r="X46" s="124"/>
      <c r="Y46" s="124"/>
      <c r="Z46" s="124"/>
    </row>
    <row r="47" spans="1:26" s="123" customFormat="1" ht="12.75" customHeight="1">
      <c r="A47" s="3103" t="s">
        <v>945</v>
      </c>
      <c r="B47" s="3108">
        <v>220</v>
      </c>
      <c r="C47" s="3124"/>
      <c r="D47" s="3124"/>
      <c r="E47" s="2022"/>
      <c r="F47" s="117"/>
      <c r="G47" s="117"/>
      <c r="H47" s="124"/>
      <c r="I47" s="124"/>
      <c r="J47" s="124"/>
      <c r="K47" s="124"/>
      <c r="L47" s="124"/>
      <c r="M47" s="124"/>
      <c r="N47" s="124"/>
      <c r="O47" s="124"/>
      <c r="P47" s="124"/>
      <c r="Q47" s="124"/>
      <c r="R47" s="124"/>
      <c r="S47" s="124"/>
      <c r="T47" s="124"/>
      <c r="U47" s="124"/>
      <c r="V47" s="124"/>
      <c r="W47" s="124"/>
      <c r="X47" s="124"/>
      <c r="Y47" s="124"/>
      <c r="Z47" s="124"/>
    </row>
    <row r="48" spans="1:26" s="123" customFormat="1" ht="12.75" customHeight="1">
      <c r="A48" s="3104" t="s">
        <v>946</v>
      </c>
      <c r="B48" s="3109">
        <v>225</v>
      </c>
      <c r="C48" s="2050"/>
      <c r="D48" s="2050"/>
      <c r="E48" s="2050"/>
      <c r="F48" s="117"/>
      <c r="G48" s="117"/>
      <c r="H48" s="124"/>
      <c r="I48" s="124"/>
      <c r="J48" s="124"/>
      <c r="K48" s="124"/>
      <c r="L48" s="124"/>
      <c r="M48" s="124"/>
      <c r="N48" s="124"/>
      <c r="O48" s="124"/>
      <c r="P48" s="124"/>
      <c r="Q48" s="124"/>
      <c r="R48" s="124"/>
      <c r="S48" s="124"/>
      <c r="T48" s="124"/>
      <c r="U48" s="124"/>
      <c r="V48" s="124"/>
      <c r="W48" s="124"/>
      <c r="X48" s="124"/>
      <c r="Y48" s="124"/>
      <c r="Z48" s="124"/>
    </row>
    <row r="49" spans="1:26" s="123" customFormat="1" ht="12.75" customHeight="1">
      <c r="A49" s="3104" t="s">
        <v>947</v>
      </c>
      <c r="B49" s="3109">
        <v>230</v>
      </c>
      <c r="C49" s="2050"/>
      <c r="D49" s="2050"/>
      <c r="E49" s="2050"/>
      <c r="F49" s="117"/>
      <c r="G49" s="117"/>
      <c r="H49" s="124"/>
      <c r="I49" s="124"/>
      <c r="J49" s="124"/>
      <c r="K49" s="124"/>
      <c r="L49" s="124"/>
      <c r="M49" s="124"/>
      <c r="N49" s="124"/>
      <c r="O49" s="124"/>
      <c r="P49" s="124"/>
      <c r="Q49" s="124"/>
      <c r="R49" s="124"/>
      <c r="S49" s="124"/>
      <c r="T49" s="124"/>
      <c r="U49" s="124"/>
      <c r="V49" s="124"/>
      <c r="W49" s="124"/>
      <c r="X49" s="124"/>
      <c r="Y49" s="124"/>
      <c r="Z49" s="124"/>
    </row>
    <row r="50" spans="1:26" s="123" customFormat="1" ht="12.75" customHeight="1">
      <c r="A50" s="3104" t="s">
        <v>4818</v>
      </c>
      <c r="B50" s="3109">
        <v>235</v>
      </c>
      <c r="C50" s="2050"/>
      <c r="D50" s="2050"/>
      <c r="E50" s="2050"/>
      <c r="F50" s="117"/>
      <c r="G50" s="117"/>
      <c r="H50" s="124"/>
      <c r="I50" s="124"/>
      <c r="J50" s="124"/>
      <c r="K50" s="124"/>
      <c r="L50" s="124"/>
      <c r="M50" s="124"/>
      <c r="N50" s="124"/>
      <c r="O50" s="124"/>
      <c r="P50" s="124"/>
      <c r="Q50" s="124"/>
      <c r="R50" s="124"/>
      <c r="S50" s="124"/>
      <c r="T50" s="124"/>
      <c r="U50" s="124"/>
      <c r="V50" s="124"/>
      <c r="W50" s="124"/>
      <c r="X50" s="124"/>
      <c r="Y50" s="124"/>
      <c r="Z50" s="124"/>
    </row>
    <row r="51" spans="1:26" s="123" customFormat="1" ht="12.75" customHeight="1">
      <c r="A51" s="3481" t="s">
        <v>632</v>
      </c>
      <c r="B51" s="3110">
        <v>237</v>
      </c>
      <c r="C51" s="2050"/>
      <c r="D51" s="2050"/>
      <c r="E51" s="991"/>
      <c r="F51" s="117"/>
      <c r="G51" s="117"/>
      <c r="H51" s="124"/>
      <c r="I51" s="124"/>
      <c r="J51" s="124"/>
      <c r="K51" s="124"/>
      <c r="L51" s="124"/>
      <c r="M51" s="124"/>
      <c r="N51" s="124"/>
      <c r="O51" s="124"/>
      <c r="P51" s="124"/>
      <c r="Q51" s="124"/>
      <c r="R51" s="124"/>
      <c r="S51" s="124"/>
      <c r="T51" s="124"/>
      <c r="U51" s="124"/>
      <c r="V51" s="124"/>
      <c r="W51" s="124"/>
      <c r="X51" s="124"/>
      <c r="Y51" s="124"/>
      <c r="Z51" s="124"/>
    </row>
    <row r="52" spans="1:26" s="123" customFormat="1" ht="12.75" customHeight="1">
      <c r="A52" s="3084" t="s">
        <v>950</v>
      </c>
      <c r="B52" s="3136"/>
      <c r="C52" s="3136"/>
      <c r="D52" s="3136"/>
      <c r="E52" s="3136"/>
      <c r="F52" s="117"/>
      <c r="G52" s="117"/>
      <c r="H52" s="124"/>
      <c r="I52" s="124"/>
      <c r="J52" s="124"/>
      <c r="K52" s="124"/>
      <c r="L52" s="124"/>
      <c r="M52" s="124"/>
      <c r="N52" s="124"/>
      <c r="O52" s="124"/>
      <c r="P52" s="124"/>
      <c r="Q52" s="124"/>
      <c r="R52" s="124"/>
      <c r="S52" s="124"/>
      <c r="T52" s="124"/>
      <c r="U52" s="124"/>
      <c r="V52" s="124"/>
      <c r="W52" s="124"/>
      <c r="X52" s="124"/>
      <c r="Y52" s="124"/>
      <c r="Z52" s="124"/>
    </row>
    <row r="53" spans="1:26" s="123" customFormat="1" ht="12.75" customHeight="1">
      <c r="A53" s="3085" t="s">
        <v>951</v>
      </c>
      <c r="B53" s="3137"/>
      <c r="C53" s="3137"/>
      <c r="D53" s="3137"/>
      <c r="E53" s="3137"/>
      <c r="F53" s="117"/>
      <c r="G53" s="117"/>
      <c r="H53" s="124"/>
      <c r="I53" s="124"/>
      <c r="J53" s="124"/>
      <c r="K53" s="124"/>
      <c r="L53" s="124"/>
      <c r="M53" s="124"/>
      <c r="N53" s="124"/>
      <c r="O53" s="124"/>
      <c r="P53" s="124"/>
      <c r="Q53" s="124"/>
      <c r="R53" s="124"/>
      <c r="S53" s="124"/>
      <c r="T53" s="124"/>
      <c r="U53" s="124"/>
      <c r="V53" s="124"/>
      <c r="W53" s="124"/>
      <c r="X53" s="124"/>
      <c r="Y53" s="124"/>
      <c r="Z53" s="124"/>
    </row>
    <row r="54" spans="1:26" s="123" customFormat="1" ht="12.75" customHeight="1">
      <c r="A54" s="3103" t="s">
        <v>952</v>
      </c>
      <c r="B54" s="3108">
        <v>240</v>
      </c>
      <c r="C54" s="3124"/>
      <c r="D54" s="3124"/>
      <c r="E54" s="2022"/>
      <c r="F54" s="117"/>
      <c r="G54" s="117"/>
      <c r="H54" s="124"/>
      <c r="I54" s="124"/>
      <c r="J54" s="124"/>
      <c r="K54" s="124"/>
      <c r="L54" s="124"/>
      <c r="M54" s="124"/>
      <c r="N54" s="124"/>
      <c r="O54" s="124"/>
      <c r="P54" s="124"/>
      <c r="Q54" s="124"/>
      <c r="R54" s="124"/>
      <c r="S54" s="124"/>
      <c r="T54" s="124"/>
      <c r="U54" s="124"/>
      <c r="V54" s="124"/>
      <c r="W54" s="124"/>
      <c r="X54" s="124"/>
      <c r="Y54" s="124"/>
      <c r="Z54" s="124"/>
    </row>
    <row r="55" spans="1:26" s="123" customFormat="1" ht="12.75" customHeight="1">
      <c r="A55" s="3104" t="s">
        <v>4879</v>
      </c>
      <c r="B55" s="3109">
        <v>245</v>
      </c>
      <c r="C55" s="2050"/>
      <c r="D55" s="2050"/>
      <c r="E55" s="2050"/>
      <c r="F55" s="117"/>
      <c r="G55" s="117"/>
      <c r="H55" s="124"/>
      <c r="I55" s="124"/>
      <c r="J55" s="124"/>
      <c r="K55" s="124"/>
      <c r="L55" s="124"/>
      <c r="M55" s="124"/>
      <c r="N55" s="124"/>
      <c r="O55" s="124"/>
      <c r="P55" s="124"/>
      <c r="Q55" s="124"/>
      <c r="R55" s="124"/>
      <c r="S55" s="124"/>
      <c r="T55" s="124"/>
      <c r="U55" s="124"/>
      <c r="V55" s="124"/>
      <c r="W55" s="124"/>
      <c r="X55" s="124"/>
      <c r="Y55" s="124"/>
      <c r="Z55" s="124"/>
    </row>
    <row r="56" spans="1:26" s="123" customFormat="1" ht="12.75" customHeight="1">
      <c r="A56" s="3104" t="s">
        <v>954</v>
      </c>
      <c r="B56" s="3109">
        <v>250</v>
      </c>
      <c r="C56" s="2050"/>
      <c r="D56" s="2050"/>
      <c r="E56" s="2050"/>
      <c r="F56" s="117"/>
      <c r="G56" s="117"/>
      <c r="H56" s="124"/>
      <c r="I56" s="124"/>
      <c r="J56" s="124"/>
      <c r="K56" s="124"/>
      <c r="L56" s="124"/>
      <c r="M56" s="124"/>
      <c r="N56" s="124"/>
      <c r="O56" s="124"/>
      <c r="P56" s="124"/>
      <c r="Q56" s="124"/>
      <c r="R56" s="124"/>
      <c r="S56" s="124"/>
      <c r="T56" s="124"/>
      <c r="U56" s="124"/>
      <c r="V56" s="124"/>
      <c r="W56" s="124"/>
      <c r="X56" s="124"/>
      <c r="Y56" s="124"/>
      <c r="Z56" s="124"/>
    </row>
    <row r="57" spans="1:26" s="123" customFormat="1" ht="12.75" customHeight="1">
      <c r="A57" s="3084" t="s">
        <v>955</v>
      </c>
      <c r="B57" s="3136"/>
      <c r="C57" s="3136"/>
      <c r="D57" s="3136"/>
      <c r="E57" s="3136"/>
      <c r="F57" s="117"/>
      <c r="G57" s="117"/>
      <c r="H57" s="124"/>
      <c r="I57" s="124"/>
      <c r="J57" s="124"/>
      <c r="K57" s="124"/>
      <c r="L57" s="124"/>
      <c r="M57" s="124"/>
      <c r="N57" s="124"/>
      <c r="O57" s="124"/>
      <c r="P57" s="124"/>
      <c r="Q57" s="124"/>
      <c r="R57" s="124"/>
      <c r="S57" s="124"/>
      <c r="T57" s="124"/>
      <c r="U57" s="124"/>
      <c r="V57" s="124"/>
      <c r="W57" s="124"/>
      <c r="X57" s="124"/>
      <c r="Y57" s="124"/>
      <c r="Z57" s="124"/>
    </row>
    <row r="58" spans="1:26" s="123" customFormat="1" ht="12.75" customHeight="1">
      <c r="A58" s="3103" t="s">
        <v>956</v>
      </c>
      <c r="B58" s="3108">
        <v>255</v>
      </c>
      <c r="C58" s="3124"/>
      <c r="D58" s="3124"/>
      <c r="E58" s="2022"/>
      <c r="F58" s="117"/>
      <c r="G58" s="117"/>
      <c r="H58" s="124"/>
      <c r="I58" s="124"/>
      <c r="J58" s="124"/>
      <c r="K58" s="124"/>
      <c r="L58" s="124"/>
      <c r="M58" s="124"/>
      <c r="N58" s="124"/>
      <c r="O58" s="124"/>
      <c r="P58" s="124"/>
      <c r="Q58" s="124"/>
      <c r="R58" s="124"/>
      <c r="S58" s="124"/>
      <c r="T58" s="124"/>
      <c r="U58" s="124"/>
      <c r="V58" s="124"/>
      <c r="W58" s="124"/>
      <c r="X58" s="124"/>
      <c r="Y58" s="124"/>
      <c r="Z58" s="124"/>
    </row>
    <row r="59" spans="1:26" s="123" customFormat="1" ht="12.75" customHeight="1">
      <c r="A59" s="3104" t="s">
        <v>957</v>
      </c>
      <c r="B59" s="3109">
        <v>260</v>
      </c>
      <c r="C59" s="2050"/>
      <c r="D59" s="2050"/>
      <c r="E59" s="2050"/>
      <c r="F59" s="117"/>
      <c r="G59" s="117"/>
      <c r="H59" s="124"/>
      <c r="I59" s="124"/>
      <c r="J59" s="124"/>
      <c r="K59" s="124"/>
      <c r="L59" s="124"/>
      <c r="M59" s="124"/>
      <c r="N59" s="124"/>
      <c r="O59" s="124"/>
      <c r="P59" s="124"/>
      <c r="Q59" s="124"/>
      <c r="R59" s="124"/>
      <c r="S59" s="124"/>
      <c r="T59" s="124"/>
      <c r="U59" s="124"/>
      <c r="V59" s="124"/>
      <c r="W59" s="124"/>
      <c r="X59" s="124"/>
      <c r="Y59" s="124"/>
      <c r="Z59" s="124"/>
    </row>
    <row r="60" spans="1:26" s="123" customFormat="1" ht="12.75" customHeight="1">
      <c r="A60" s="3482" t="s">
        <v>936</v>
      </c>
      <c r="B60" s="3111">
        <v>263</v>
      </c>
      <c r="C60" s="2050"/>
      <c r="D60" s="2050"/>
      <c r="E60" s="2050"/>
      <c r="F60" s="117"/>
      <c r="G60" s="117"/>
      <c r="H60" s="124"/>
      <c r="I60" s="124"/>
      <c r="J60" s="124"/>
      <c r="K60" s="124"/>
      <c r="L60" s="124"/>
      <c r="M60" s="124"/>
      <c r="N60" s="124"/>
      <c r="O60" s="124"/>
      <c r="P60" s="124"/>
      <c r="Q60" s="124"/>
      <c r="R60" s="124"/>
      <c r="S60" s="124"/>
      <c r="T60" s="124"/>
      <c r="U60" s="124"/>
      <c r="V60" s="124"/>
      <c r="W60" s="124"/>
      <c r="X60" s="124"/>
      <c r="Y60" s="124"/>
      <c r="Z60" s="124"/>
    </row>
    <row r="61" spans="1:26" s="123" customFormat="1" ht="12.75" customHeight="1">
      <c r="A61" s="3104" t="s">
        <v>958</v>
      </c>
      <c r="B61" s="3109">
        <v>265</v>
      </c>
      <c r="C61" s="2050"/>
      <c r="D61" s="2050"/>
      <c r="E61" s="2050"/>
      <c r="F61" s="117"/>
      <c r="G61" s="117"/>
      <c r="H61" s="124"/>
      <c r="I61" s="124"/>
      <c r="J61" s="124"/>
      <c r="K61" s="124"/>
      <c r="L61" s="124"/>
      <c r="M61" s="124"/>
      <c r="N61" s="124"/>
      <c r="O61" s="124"/>
      <c r="P61" s="124"/>
      <c r="Q61" s="124"/>
      <c r="R61" s="124"/>
      <c r="S61" s="124"/>
      <c r="T61" s="124"/>
      <c r="U61" s="124"/>
      <c r="V61" s="124"/>
      <c r="W61" s="124"/>
      <c r="X61" s="124"/>
      <c r="Y61" s="124"/>
      <c r="Z61" s="124"/>
    </row>
    <row r="62" spans="1:26" s="123" customFormat="1" ht="12.75" customHeight="1">
      <c r="A62" s="3104" t="s">
        <v>959</v>
      </c>
      <c r="B62" s="3109">
        <v>270</v>
      </c>
      <c r="C62" s="2050"/>
      <c r="D62" s="2050"/>
      <c r="E62" s="2050"/>
      <c r="F62" s="117"/>
      <c r="G62" s="117"/>
      <c r="H62" s="124"/>
      <c r="I62" s="124"/>
      <c r="J62" s="124"/>
      <c r="K62" s="124"/>
      <c r="L62" s="124"/>
      <c r="M62" s="124"/>
      <c r="N62" s="124"/>
      <c r="O62" s="124"/>
      <c r="P62" s="124"/>
      <c r="Q62" s="124"/>
      <c r="R62" s="124"/>
      <c r="S62" s="124"/>
      <c r="T62" s="124"/>
      <c r="U62" s="124"/>
      <c r="V62" s="124"/>
      <c r="W62" s="124"/>
      <c r="X62" s="124"/>
      <c r="Y62" s="124"/>
      <c r="Z62" s="124"/>
    </row>
    <row r="63" spans="1:26" s="123" customFormat="1" ht="12.75" customHeight="1">
      <c r="A63" s="3104" t="s">
        <v>960</v>
      </c>
      <c r="B63" s="3109">
        <v>275</v>
      </c>
      <c r="C63" s="2050"/>
      <c r="D63" s="2050"/>
      <c r="E63" s="2050"/>
      <c r="F63" s="117"/>
      <c r="G63" s="117"/>
      <c r="H63" s="124"/>
      <c r="I63" s="124"/>
      <c r="J63" s="124"/>
      <c r="K63" s="124"/>
      <c r="L63" s="124"/>
      <c r="M63" s="124"/>
      <c r="N63" s="124"/>
      <c r="O63" s="124"/>
      <c r="P63" s="124"/>
      <c r="Q63" s="124"/>
      <c r="R63" s="124"/>
      <c r="S63" s="124"/>
      <c r="T63" s="124"/>
      <c r="U63" s="124"/>
      <c r="V63" s="124"/>
      <c r="W63" s="124"/>
      <c r="X63" s="124"/>
      <c r="Y63" s="124"/>
      <c r="Z63" s="124"/>
    </row>
    <row r="64" spans="1:26" s="123" customFormat="1" ht="12.75" customHeight="1">
      <c r="A64" s="2359" t="s">
        <v>65</v>
      </c>
      <c r="B64" s="3129"/>
      <c r="C64" s="3129"/>
      <c r="D64" s="3129"/>
      <c r="E64" s="3129"/>
      <c r="F64" s="117"/>
      <c r="G64" s="680"/>
      <c r="H64" s="124"/>
      <c r="I64" s="124"/>
      <c r="J64" s="124"/>
      <c r="K64" s="124"/>
      <c r="L64" s="124"/>
      <c r="M64" s="124"/>
      <c r="N64" s="124"/>
      <c r="O64" s="124"/>
      <c r="P64" s="124"/>
      <c r="Q64" s="124"/>
      <c r="R64" s="124"/>
      <c r="S64" s="124"/>
      <c r="T64" s="124"/>
      <c r="U64" s="124"/>
      <c r="V64" s="124"/>
      <c r="W64" s="124"/>
      <c r="X64" s="124"/>
      <c r="Y64" s="124"/>
      <c r="Z64" s="124"/>
    </row>
    <row r="65" spans="1:26" s="123" customFormat="1" ht="12.75" customHeight="1">
      <c r="A65" s="3086" t="s">
        <v>66</v>
      </c>
      <c r="B65" s="3130"/>
      <c r="C65" s="3130"/>
      <c r="D65" s="3130"/>
      <c r="E65" s="3130"/>
      <c r="F65" s="117"/>
      <c r="G65" s="680"/>
      <c r="H65" s="124"/>
      <c r="I65" s="124"/>
      <c r="J65" s="124"/>
      <c r="K65" s="124"/>
      <c r="L65" s="124"/>
      <c r="M65" s="124"/>
      <c r="N65" s="124"/>
      <c r="O65" s="124"/>
      <c r="P65" s="124"/>
      <c r="Q65" s="124"/>
      <c r="R65" s="124"/>
      <c r="S65" s="124"/>
      <c r="T65" s="124"/>
      <c r="U65" s="124"/>
      <c r="V65" s="124"/>
      <c r="W65" s="124"/>
      <c r="X65" s="124"/>
      <c r="Y65" s="124"/>
      <c r="Z65" s="124"/>
    </row>
    <row r="66" spans="1:26" s="123" customFormat="1" ht="12.75" customHeight="1">
      <c r="A66" s="3085" t="s">
        <v>972</v>
      </c>
      <c r="B66" s="3137"/>
      <c r="C66" s="3137"/>
      <c r="D66" s="3137"/>
      <c r="E66" s="3137"/>
      <c r="F66" s="117"/>
      <c r="G66" s="680"/>
      <c r="H66" s="124"/>
      <c r="I66" s="124"/>
      <c r="J66" s="124"/>
      <c r="K66" s="124"/>
      <c r="L66" s="124"/>
      <c r="M66" s="124"/>
      <c r="N66" s="124"/>
      <c r="O66" s="124"/>
      <c r="P66" s="124"/>
      <c r="Q66" s="124"/>
      <c r="R66" s="124"/>
      <c r="S66" s="124"/>
      <c r="T66" s="124"/>
      <c r="U66" s="124"/>
      <c r="V66" s="124"/>
      <c r="W66" s="124"/>
      <c r="X66" s="124"/>
      <c r="Y66" s="124"/>
      <c r="Z66" s="124"/>
    </row>
    <row r="67" spans="1:26" s="123" customFormat="1" ht="12.75" customHeight="1">
      <c r="A67" s="3103" t="s">
        <v>999</v>
      </c>
      <c r="B67" s="3108">
        <v>280</v>
      </c>
      <c r="C67" s="3124"/>
      <c r="D67" s="3124"/>
      <c r="E67" s="2022"/>
      <c r="F67" s="117"/>
      <c r="G67" s="680"/>
      <c r="H67" s="124"/>
      <c r="I67" s="124"/>
      <c r="J67" s="124"/>
      <c r="K67" s="124"/>
      <c r="L67" s="124"/>
      <c r="M67" s="124"/>
      <c r="N67" s="124"/>
      <c r="O67" s="124"/>
      <c r="P67" s="124"/>
      <c r="Q67" s="124"/>
      <c r="R67" s="124"/>
      <c r="S67" s="124"/>
      <c r="T67" s="124"/>
      <c r="U67" s="124"/>
      <c r="V67" s="124"/>
      <c r="W67" s="124"/>
      <c r="X67" s="124"/>
      <c r="Y67" s="124"/>
      <c r="Z67" s="124"/>
    </row>
    <row r="68" spans="1:26" s="123" customFormat="1" ht="12.75" customHeight="1">
      <c r="A68" s="3104" t="s">
        <v>943</v>
      </c>
      <c r="B68" s="3109">
        <v>285</v>
      </c>
      <c r="C68" s="2050"/>
      <c r="D68" s="2050"/>
      <c r="E68" s="2050"/>
      <c r="F68" s="117"/>
      <c r="G68" s="680"/>
      <c r="H68" s="124"/>
      <c r="I68" s="124"/>
      <c r="J68" s="124"/>
      <c r="K68" s="124"/>
      <c r="L68" s="124"/>
      <c r="M68" s="124"/>
      <c r="N68" s="124"/>
      <c r="O68" s="124"/>
      <c r="P68" s="124"/>
      <c r="Q68" s="124"/>
      <c r="R68" s="124"/>
      <c r="S68" s="124"/>
      <c r="T68" s="124"/>
      <c r="U68" s="124"/>
      <c r="V68" s="124"/>
      <c r="W68" s="124"/>
      <c r="X68" s="124"/>
      <c r="Y68" s="124"/>
      <c r="Z68" s="124"/>
    </row>
    <row r="69" spans="1:26" ht="12.75" customHeight="1">
      <c r="A69" s="3084" t="s">
        <v>973</v>
      </c>
      <c r="B69" s="3136"/>
      <c r="C69" s="3136"/>
      <c r="D69" s="3136"/>
      <c r="E69" s="3136"/>
      <c r="F69" s="114"/>
      <c r="G69" s="114"/>
    </row>
    <row r="70" spans="1:26" ht="12.75" customHeight="1">
      <c r="A70" s="3103" t="s">
        <v>974</v>
      </c>
      <c r="B70" s="3108">
        <v>290</v>
      </c>
      <c r="C70" s="3124"/>
      <c r="D70" s="3124"/>
      <c r="E70" s="2022"/>
      <c r="F70" s="114"/>
      <c r="G70" s="114"/>
    </row>
    <row r="71" spans="1:26" ht="12.75" customHeight="1">
      <c r="A71" s="3104" t="s">
        <v>977</v>
      </c>
      <c r="B71" s="3109">
        <v>295</v>
      </c>
      <c r="C71" s="2050"/>
      <c r="D71" s="2050"/>
      <c r="E71" s="2050"/>
      <c r="F71" s="114"/>
      <c r="G71" s="114"/>
    </row>
    <row r="72" spans="1:26" ht="12.75" customHeight="1">
      <c r="A72" s="3104" t="s">
        <v>978</v>
      </c>
      <c r="B72" s="3109">
        <v>300</v>
      </c>
      <c r="C72" s="2050"/>
      <c r="D72" s="2050"/>
      <c r="E72" s="2050"/>
      <c r="F72" s="114"/>
      <c r="G72" s="114"/>
    </row>
    <row r="73" spans="1:26" ht="12.75" customHeight="1">
      <c r="A73" s="3104" t="s">
        <v>4818</v>
      </c>
      <c r="B73" s="3114">
        <v>305</v>
      </c>
      <c r="C73" s="2050"/>
      <c r="D73" s="2050"/>
      <c r="E73" s="991"/>
      <c r="F73" s="114"/>
      <c r="G73" s="114"/>
    </row>
    <row r="74" spans="1:26" ht="12.75" customHeight="1">
      <c r="A74" s="3481" t="s">
        <v>979</v>
      </c>
      <c r="B74" s="3110">
        <v>307</v>
      </c>
      <c r="C74" s="2050"/>
      <c r="D74" s="2050"/>
      <c r="E74" s="991"/>
      <c r="F74" s="114"/>
      <c r="G74" s="114"/>
    </row>
    <row r="75" spans="1:26" ht="12.75" customHeight="1">
      <c r="A75" s="3104" t="s">
        <v>986</v>
      </c>
      <c r="B75" s="3109">
        <v>310</v>
      </c>
      <c r="C75" s="2050"/>
      <c r="D75" s="2050"/>
      <c r="E75" s="2050"/>
      <c r="F75" s="114"/>
      <c r="G75" s="114"/>
    </row>
    <row r="76" spans="1:26" ht="12.75" customHeight="1">
      <c r="A76" s="3104" t="s">
        <v>989</v>
      </c>
      <c r="B76" s="3109">
        <v>315</v>
      </c>
      <c r="C76" s="2050"/>
      <c r="D76" s="2050"/>
      <c r="E76" s="2050"/>
      <c r="F76" s="114"/>
      <c r="G76" s="114"/>
    </row>
    <row r="77" spans="1:26" ht="12.75" customHeight="1">
      <c r="A77" s="3104" t="s">
        <v>997</v>
      </c>
      <c r="B77" s="3109">
        <v>320</v>
      </c>
      <c r="C77" s="2050"/>
      <c r="D77" s="2050"/>
      <c r="E77" s="2050"/>
      <c r="F77" s="114"/>
      <c r="G77" s="114"/>
    </row>
    <row r="78" spans="1:26" ht="12.75" customHeight="1">
      <c r="A78" s="3104" t="s">
        <v>998</v>
      </c>
      <c r="B78" s="3109">
        <v>325</v>
      </c>
      <c r="C78" s="2050"/>
      <c r="D78" s="2050"/>
      <c r="E78" s="2050"/>
      <c r="F78" s="114"/>
      <c r="G78" s="114"/>
    </row>
    <row r="79" spans="1:26" ht="12.75" customHeight="1">
      <c r="A79" s="3084" t="s">
        <v>256</v>
      </c>
      <c r="B79" s="3136"/>
      <c r="C79" s="3136"/>
      <c r="D79" s="3136"/>
      <c r="E79" s="3136"/>
      <c r="F79" s="114"/>
      <c r="G79" s="114"/>
    </row>
    <row r="80" spans="1:26" ht="12.75" customHeight="1">
      <c r="A80" s="3085" t="s">
        <v>972</v>
      </c>
      <c r="B80" s="3137"/>
      <c r="C80" s="3137"/>
      <c r="D80" s="3137"/>
      <c r="E80" s="3137"/>
      <c r="F80" s="114"/>
      <c r="G80" s="114"/>
    </row>
    <row r="81" spans="1:7" ht="12.75" customHeight="1">
      <c r="A81" s="3103" t="s">
        <v>999</v>
      </c>
      <c r="B81" s="3108">
        <v>330</v>
      </c>
      <c r="C81" s="3124"/>
      <c r="D81" s="3124"/>
      <c r="E81" s="2022"/>
      <c r="F81" s="114"/>
      <c r="G81" s="114"/>
    </row>
    <row r="82" spans="1:7" ht="12.75" customHeight="1">
      <c r="A82" s="3104" t="s">
        <v>943</v>
      </c>
      <c r="B82" s="3109">
        <v>335</v>
      </c>
      <c r="C82" s="2050"/>
      <c r="D82" s="2050"/>
      <c r="E82" s="2050"/>
      <c r="F82" s="114"/>
      <c r="G82" s="114"/>
    </row>
    <row r="83" spans="1:7" ht="12.75" customHeight="1">
      <c r="A83" s="3084" t="s">
        <v>973</v>
      </c>
      <c r="B83" s="3136"/>
      <c r="C83" s="3136"/>
      <c r="D83" s="3136"/>
      <c r="E83" s="3136"/>
      <c r="F83" s="114"/>
      <c r="G83" s="114"/>
    </row>
    <row r="84" spans="1:7" ht="12.75" customHeight="1">
      <c r="A84" s="3103" t="s">
        <v>974</v>
      </c>
      <c r="B84" s="3108">
        <v>340</v>
      </c>
      <c r="C84" s="3124"/>
      <c r="D84" s="3124"/>
      <c r="E84" s="2022"/>
      <c r="F84" s="114"/>
      <c r="G84" s="114"/>
    </row>
    <row r="85" spans="1:7" ht="12.75" customHeight="1">
      <c r="A85" s="3104" t="s">
        <v>977</v>
      </c>
      <c r="B85" s="3109">
        <v>345</v>
      </c>
      <c r="C85" s="2050"/>
      <c r="D85" s="2050"/>
      <c r="E85" s="2050"/>
      <c r="F85" s="114"/>
      <c r="G85" s="114"/>
    </row>
    <row r="86" spans="1:7" ht="12.75" customHeight="1">
      <c r="A86" s="3104" t="s">
        <v>978</v>
      </c>
      <c r="B86" s="3109">
        <v>350</v>
      </c>
      <c r="C86" s="2050"/>
      <c r="D86" s="2050"/>
      <c r="E86" s="2050"/>
      <c r="F86" s="114"/>
      <c r="G86" s="114"/>
    </row>
    <row r="87" spans="1:7" ht="12.75" customHeight="1">
      <c r="A87" s="3104" t="s">
        <v>4818</v>
      </c>
      <c r="B87" s="3114">
        <v>355</v>
      </c>
      <c r="C87" s="2050"/>
      <c r="D87" s="2050"/>
      <c r="E87" s="991"/>
      <c r="F87" s="114"/>
      <c r="G87" s="114"/>
    </row>
    <row r="88" spans="1:7" ht="12.75" customHeight="1">
      <c r="A88" s="3481" t="s">
        <v>979</v>
      </c>
      <c r="B88" s="3110">
        <v>357</v>
      </c>
      <c r="C88" s="2050"/>
      <c r="D88" s="2050"/>
      <c r="E88" s="991"/>
      <c r="F88" s="114"/>
      <c r="G88" s="114"/>
    </row>
    <row r="89" spans="1:7" ht="12.75" customHeight="1">
      <c r="A89" s="3104" t="s">
        <v>986</v>
      </c>
      <c r="B89" s="3109">
        <v>360</v>
      </c>
      <c r="C89" s="2050"/>
      <c r="D89" s="2050"/>
      <c r="E89" s="2050"/>
      <c r="F89" s="114"/>
      <c r="G89" s="114"/>
    </row>
    <row r="90" spans="1:7" ht="12.75" customHeight="1">
      <c r="A90" s="3084" t="s">
        <v>989</v>
      </c>
      <c r="B90" s="3136"/>
      <c r="C90" s="3136"/>
      <c r="D90" s="3136"/>
      <c r="E90" s="3136"/>
      <c r="F90" s="114"/>
      <c r="G90" s="114"/>
    </row>
    <row r="91" spans="1:7" ht="12.75" customHeight="1">
      <c r="A91" s="2363" t="s">
        <v>5140</v>
      </c>
      <c r="B91" s="3116">
        <v>365</v>
      </c>
      <c r="C91" s="3124"/>
      <c r="D91" s="3124"/>
      <c r="E91" s="3124"/>
      <c r="F91" s="114"/>
      <c r="G91" s="114"/>
    </row>
    <row r="92" spans="1:7" ht="12.75" customHeight="1">
      <c r="A92" s="2360" t="s">
        <v>690</v>
      </c>
      <c r="B92" s="3114">
        <v>370</v>
      </c>
      <c r="C92" s="2050"/>
      <c r="D92" s="2050"/>
      <c r="E92" s="991"/>
      <c r="F92" s="114"/>
      <c r="G92" s="114"/>
    </row>
    <row r="93" spans="1:7" ht="12.75" customHeight="1">
      <c r="A93" s="3104" t="s">
        <v>996</v>
      </c>
      <c r="B93" s="3109">
        <v>375</v>
      </c>
      <c r="C93" s="2050"/>
      <c r="D93" s="2050"/>
      <c r="E93" s="2050"/>
      <c r="F93" s="114"/>
      <c r="G93" s="114"/>
    </row>
    <row r="94" spans="1:7" ht="12.75" customHeight="1">
      <c r="A94" s="3104" t="s">
        <v>997</v>
      </c>
      <c r="B94" s="3109">
        <v>380</v>
      </c>
      <c r="C94" s="2050"/>
      <c r="D94" s="2050"/>
      <c r="E94" s="2050"/>
      <c r="F94" s="114"/>
      <c r="G94" s="114"/>
    </row>
    <row r="95" spans="1:7" ht="12.75" customHeight="1">
      <c r="A95" s="3104" t="s">
        <v>998</v>
      </c>
      <c r="B95" s="3109">
        <v>385</v>
      </c>
      <c r="C95" s="2050"/>
      <c r="D95" s="2050"/>
      <c r="E95" s="2050"/>
      <c r="F95" s="114"/>
      <c r="G95" s="114"/>
    </row>
    <row r="96" spans="1:7" ht="12.75" customHeight="1">
      <c r="A96" s="2359" t="s">
        <v>77</v>
      </c>
      <c r="B96" s="3129"/>
      <c r="C96" s="3129"/>
      <c r="D96" s="3129"/>
      <c r="E96" s="3129"/>
      <c r="F96" s="114"/>
      <c r="G96" s="114"/>
    </row>
    <row r="97" spans="1:7" ht="12.75" customHeight="1">
      <c r="A97" s="3086" t="s">
        <v>972</v>
      </c>
      <c r="B97" s="3130"/>
      <c r="C97" s="3130"/>
      <c r="D97" s="3130"/>
      <c r="E97" s="3130"/>
      <c r="F97" s="114"/>
      <c r="G97" s="114"/>
    </row>
    <row r="98" spans="1:7" ht="12.75" customHeight="1">
      <c r="A98" s="3101" t="s">
        <v>999</v>
      </c>
      <c r="B98" s="3119">
        <v>390</v>
      </c>
      <c r="C98" s="3124"/>
      <c r="D98" s="3124"/>
      <c r="E98" s="2022"/>
      <c r="F98" s="114"/>
      <c r="G98" s="114"/>
    </row>
    <row r="99" spans="1:7" ht="12.75" customHeight="1">
      <c r="A99" s="3102" t="s">
        <v>943</v>
      </c>
      <c r="B99" s="2028">
        <v>395</v>
      </c>
      <c r="C99" s="2050"/>
      <c r="D99" s="2050"/>
      <c r="E99" s="2050"/>
      <c r="F99" s="114"/>
      <c r="G99" s="114"/>
    </row>
    <row r="100" spans="1:7" ht="12.75" customHeight="1">
      <c r="A100" s="2359" t="s">
        <v>973</v>
      </c>
      <c r="B100" s="3129"/>
      <c r="C100" s="3129"/>
      <c r="D100" s="3129"/>
      <c r="E100" s="3129"/>
      <c r="F100" s="128"/>
      <c r="G100" s="114"/>
    </row>
    <row r="101" spans="1:7" ht="12.75" customHeight="1">
      <c r="A101" s="3101" t="s">
        <v>974</v>
      </c>
      <c r="B101" s="3119">
        <v>400</v>
      </c>
      <c r="C101" s="3124"/>
      <c r="D101" s="3124"/>
      <c r="E101" s="2022"/>
      <c r="F101" s="128"/>
      <c r="G101" s="114"/>
    </row>
    <row r="102" spans="1:7" ht="12.75" customHeight="1">
      <c r="A102" s="3101" t="s">
        <v>977</v>
      </c>
      <c r="B102" s="3119">
        <v>405</v>
      </c>
      <c r="C102" s="2050"/>
      <c r="D102" s="2050"/>
      <c r="E102" s="2022"/>
      <c r="F102" s="128"/>
      <c r="G102" s="114"/>
    </row>
    <row r="103" spans="1:7" ht="12.75" customHeight="1">
      <c r="A103" s="3102" t="s">
        <v>978</v>
      </c>
      <c r="B103" s="2028">
        <v>410</v>
      </c>
      <c r="C103" s="2050"/>
      <c r="D103" s="2050"/>
      <c r="E103" s="2050"/>
      <c r="F103" s="128"/>
      <c r="G103" s="114"/>
    </row>
    <row r="104" spans="1:7" ht="12.75" customHeight="1">
      <c r="A104" s="3104" t="s">
        <v>4818</v>
      </c>
      <c r="B104" s="981">
        <v>415</v>
      </c>
      <c r="C104" s="2050"/>
      <c r="D104" s="2050"/>
      <c r="E104" s="991"/>
      <c r="F104" s="128"/>
      <c r="G104" s="114"/>
    </row>
    <row r="105" spans="1:7" ht="12.75" customHeight="1">
      <c r="A105" s="3102" t="s">
        <v>986</v>
      </c>
      <c r="B105" s="2028">
        <v>420</v>
      </c>
      <c r="C105" s="2050"/>
      <c r="D105" s="2050"/>
      <c r="E105" s="2050"/>
      <c r="F105" s="128"/>
      <c r="G105" s="114"/>
    </row>
    <row r="106" spans="1:7" ht="12.75" customHeight="1">
      <c r="A106" s="3102" t="s">
        <v>989</v>
      </c>
      <c r="B106" s="2028">
        <v>425</v>
      </c>
      <c r="C106" s="2050"/>
      <c r="D106" s="2050"/>
      <c r="E106" s="2050"/>
      <c r="F106" s="114"/>
      <c r="G106" s="114"/>
    </row>
    <row r="107" spans="1:7" ht="12.75" customHeight="1">
      <c r="A107" s="3102" t="s">
        <v>997</v>
      </c>
      <c r="B107" s="2028">
        <v>430</v>
      </c>
      <c r="C107" s="2050"/>
      <c r="D107" s="2050"/>
      <c r="E107" s="2050"/>
      <c r="F107" s="114"/>
      <c r="G107" s="114"/>
    </row>
    <row r="108" spans="1:7" ht="12.75" customHeight="1">
      <c r="A108" s="3102" t="s">
        <v>998</v>
      </c>
      <c r="B108" s="2028">
        <v>435</v>
      </c>
      <c r="C108" s="2050"/>
      <c r="D108" s="2050"/>
      <c r="E108" s="2050"/>
      <c r="F108" s="114"/>
      <c r="G108" s="114"/>
    </row>
    <row r="109" spans="1:7" ht="12.75" customHeight="1">
      <c r="A109" s="2068" t="s">
        <v>1320</v>
      </c>
      <c r="B109" s="2092"/>
      <c r="C109" s="2092"/>
      <c r="D109" s="2092"/>
      <c r="E109" s="2092"/>
      <c r="F109" s="114"/>
      <c r="G109" s="114"/>
    </row>
    <row r="110" spans="1:7" ht="12.75" customHeight="1">
      <c r="A110" s="2069" t="s">
        <v>1144</v>
      </c>
      <c r="B110" s="2093"/>
      <c r="C110" s="2093"/>
      <c r="D110" s="2093"/>
      <c r="E110" s="2093"/>
      <c r="F110" s="114"/>
      <c r="G110" s="114"/>
    </row>
    <row r="111" spans="1:7" ht="12.75" customHeight="1">
      <c r="A111" s="2074" t="s">
        <v>1321</v>
      </c>
      <c r="B111" s="2094">
        <v>535</v>
      </c>
      <c r="C111" s="3214"/>
      <c r="D111" s="3214"/>
      <c r="E111" s="3215"/>
      <c r="F111" s="114"/>
      <c r="G111" s="114"/>
    </row>
    <row r="112" spans="1:7" ht="12.75" customHeight="1">
      <c r="A112" s="2075" t="s">
        <v>1308</v>
      </c>
      <c r="B112" s="2095">
        <v>540</v>
      </c>
      <c r="C112" s="3216"/>
      <c r="D112" s="3216"/>
      <c r="E112" s="3216"/>
      <c r="F112" s="114"/>
      <c r="G112" s="114"/>
    </row>
    <row r="113" spans="1:7" ht="12.75" customHeight="1">
      <c r="A113" s="2068" t="s">
        <v>794</v>
      </c>
      <c r="B113" s="2092"/>
      <c r="C113" s="2092"/>
      <c r="D113" s="2092"/>
      <c r="E113" s="2092"/>
      <c r="F113" s="114"/>
      <c r="G113" s="114"/>
    </row>
    <row r="114" spans="1:7" ht="12.75" customHeight="1">
      <c r="A114" s="2074" t="s">
        <v>1323</v>
      </c>
      <c r="B114" s="2096">
        <v>545</v>
      </c>
      <c r="C114" s="3214"/>
      <c r="D114" s="3214"/>
      <c r="E114" s="3214"/>
      <c r="F114" s="114"/>
      <c r="G114" s="114"/>
    </row>
    <row r="115" spans="1:7" ht="12.75" customHeight="1">
      <c r="A115" s="2075" t="s">
        <v>1322</v>
      </c>
      <c r="B115" s="2095">
        <v>550</v>
      </c>
      <c r="C115" s="3216"/>
      <c r="D115" s="3216"/>
      <c r="E115" s="3216"/>
      <c r="F115" s="114"/>
      <c r="G115" s="114"/>
    </row>
    <row r="116" spans="1:7" ht="12.75" customHeight="1">
      <c r="A116" s="2075" t="s">
        <v>1324</v>
      </c>
      <c r="B116" s="2095">
        <v>555</v>
      </c>
      <c r="C116" s="3216"/>
      <c r="D116" s="3216"/>
      <c r="E116" s="3216"/>
      <c r="F116" s="114"/>
      <c r="G116" s="114"/>
    </row>
    <row r="117" spans="1:7" ht="12.75" customHeight="1">
      <c r="A117" s="3104" t="s">
        <v>4818</v>
      </c>
      <c r="B117" s="2095">
        <v>560</v>
      </c>
      <c r="C117" s="3216"/>
      <c r="D117" s="3216"/>
      <c r="E117" s="3216"/>
      <c r="F117" s="114"/>
      <c r="G117" s="114"/>
    </row>
    <row r="118" spans="1:7" ht="12.75" customHeight="1">
      <c r="A118" s="2075" t="s">
        <v>632</v>
      </c>
      <c r="B118" s="2095">
        <v>565</v>
      </c>
      <c r="C118" s="3216"/>
      <c r="D118" s="3216"/>
      <c r="E118" s="3216"/>
      <c r="F118" s="114"/>
      <c r="G118" s="114"/>
    </row>
    <row r="119" spans="1:7" ht="12.75" customHeight="1">
      <c r="A119" s="2075" t="s">
        <v>610</v>
      </c>
      <c r="B119" s="2095">
        <v>570</v>
      </c>
      <c r="C119" s="3216"/>
      <c r="D119" s="3216"/>
      <c r="E119" s="3216"/>
      <c r="F119" s="114"/>
      <c r="G119" s="114"/>
    </row>
    <row r="120" spans="1:7" ht="12.75" customHeight="1">
      <c r="A120" s="2075" t="s">
        <v>1313</v>
      </c>
      <c r="B120" s="2095">
        <v>575</v>
      </c>
      <c r="C120" s="3216"/>
      <c r="D120" s="3216"/>
      <c r="E120" s="3216"/>
      <c r="F120" s="114"/>
      <c r="G120" s="114"/>
    </row>
    <row r="121" spans="1:7" ht="12.75" customHeight="1">
      <c r="A121" s="2075" t="s">
        <v>1314</v>
      </c>
      <c r="B121" s="2095">
        <v>580</v>
      </c>
      <c r="C121" s="3216"/>
      <c r="D121" s="3216"/>
      <c r="E121" s="3216"/>
      <c r="F121" s="114"/>
      <c r="G121" s="114"/>
    </row>
    <row r="122" spans="1:7" ht="12.75" customHeight="1">
      <c r="A122" s="2075" t="s">
        <v>793</v>
      </c>
      <c r="B122" s="2095">
        <v>585</v>
      </c>
      <c r="C122" s="3216"/>
      <c r="D122" s="3216"/>
      <c r="E122" s="3216"/>
      <c r="F122" s="114"/>
      <c r="G122" s="114"/>
    </row>
    <row r="123" spans="1:7" ht="12.75" customHeight="1">
      <c r="A123" s="2359" t="s">
        <v>971</v>
      </c>
      <c r="B123" s="3129"/>
      <c r="C123" s="3129"/>
      <c r="D123" s="3129"/>
      <c r="E123" s="3129"/>
      <c r="F123" s="114"/>
      <c r="G123" s="114"/>
    </row>
    <row r="124" spans="1:7" ht="12.75" customHeight="1">
      <c r="A124" s="3086" t="s">
        <v>972</v>
      </c>
      <c r="B124" s="3130"/>
      <c r="C124" s="3130"/>
      <c r="D124" s="3130"/>
      <c r="E124" s="3130"/>
      <c r="F124" s="114"/>
      <c r="G124" s="114"/>
    </row>
    <row r="125" spans="1:7" ht="12.75" customHeight="1">
      <c r="A125" s="3101" t="s">
        <v>943</v>
      </c>
      <c r="B125" s="3119">
        <v>440</v>
      </c>
      <c r="C125" s="2022"/>
      <c r="D125" s="2022"/>
      <c r="E125" s="2022"/>
      <c r="F125" s="114"/>
      <c r="G125" s="114"/>
    </row>
    <row r="126" spans="1:7" ht="12.75" customHeight="1">
      <c r="A126" s="2359" t="s">
        <v>973</v>
      </c>
      <c r="B126" s="3129"/>
      <c r="C126" s="3129"/>
      <c r="D126" s="3129"/>
      <c r="E126" s="3129"/>
      <c r="F126" s="114"/>
      <c r="G126" s="114"/>
    </row>
    <row r="127" spans="1:7" ht="12.75" customHeight="1">
      <c r="A127" s="3101" t="s">
        <v>974</v>
      </c>
      <c r="B127" s="3119">
        <v>445</v>
      </c>
      <c r="C127" s="3124"/>
      <c r="D127" s="3124"/>
      <c r="E127" s="2022"/>
      <c r="F127" s="114"/>
      <c r="G127" s="114"/>
    </row>
    <row r="128" spans="1:7" ht="12.75" customHeight="1">
      <c r="A128" s="3102" t="s">
        <v>977</v>
      </c>
      <c r="B128" s="2028">
        <v>450</v>
      </c>
      <c r="C128" s="2050"/>
      <c r="D128" s="2050"/>
      <c r="E128" s="2050"/>
      <c r="F128" s="114"/>
      <c r="G128" s="114"/>
    </row>
    <row r="129" spans="1:7" ht="12.75" customHeight="1">
      <c r="A129" s="2361" t="s">
        <v>978</v>
      </c>
      <c r="B129" s="3123">
        <v>455</v>
      </c>
      <c r="C129" s="2050"/>
      <c r="D129" s="2050"/>
      <c r="E129" s="3124"/>
      <c r="F129" s="114"/>
      <c r="G129" s="114"/>
    </row>
    <row r="130" spans="1:7" ht="12.75" customHeight="1">
      <c r="A130" s="3104" t="s">
        <v>4818</v>
      </c>
      <c r="B130" s="2028">
        <v>460</v>
      </c>
      <c r="C130" s="2050"/>
      <c r="D130" s="2022"/>
      <c r="E130" s="2050"/>
      <c r="F130" s="114"/>
      <c r="G130" s="114"/>
    </row>
    <row r="131" spans="1:7" ht="12.75" customHeight="1">
      <c r="A131" s="2359" t="s">
        <v>979</v>
      </c>
      <c r="B131" s="3129"/>
      <c r="C131" s="3129"/>
      <c r="D131" s="3129"/>
      <c r="E131" s="3129"/>
      <c r="F131" s="114"/>
      <c r="G131" s="114"/>
    </row>
    <row r="132" spans="1:7" ht="12.75" customHeight="1">
      <c r="A132" s="3101" t="s">
        <v>980</v>
      </c>
      <c r="B132" s="3119">
        <v>465</v>
      </c>
      <c r="C132" s="3124"/>
      <c r="D132" s="3124"/>
      <c r="E132" s="2022"/>
      <c r="F132" s="114"/>
      <c r="G132" s="114"/>
    </row>
    <row r="133" spans="1:7" ht="12.75" customHeight="1">
      <c r="A133" s="3102" t="s">
        <v>981</v>
      </c>
      <c r="B133" s="2028">
        <v>470</v>
      </c>
      <c r="C133" s="2050"/>
      <c r="D133" s="2050"/>
      <c r="E133" s="2050"/>
      <c r="F133" s="114"/>
      <c r="G133" s="114"/>
    </row>
    <row r="134" spans="1:7" ht="12.75" customHeight="1">
      <c r="A134" s="3102" t="s">
        <v>982</v>
      </c>
      <c r="B134" s="2028">
        <v>475</v>
      </c>
      <c r="C134" s="2050"/>
      <c r="D134" s="2050"/>
      <c r="E134" s="2050"/>
      <c r="F134" s="114"/>
      <c r="G134" s="114"/>
    </row>
    <row r="135" spans="1:7" ht="12.75" customHeight="1">
      <c r="A135" s="3102" t="s">
        <v>983</v>
      </c>
      <c r="B135" s="2028">
        <v>480</v>
      </c>
      <c r="C135" s="2050"/>
      <c r="D135" s="2050"/>
      <c r="E135" s="2050"/>
      <c r="F135" s="114"/>
      <c r="G135" s="114"/>
    </row>
    <row r="136" spans="1:7" ht="12.75" customHeight="1">
      <c r="A136" s="3102" t="s">
        <v>985</v>
      </c>
      <c r="B136" s="2028">
        <v>485</v>
      </c>
      <c r="C136" s="2050"/>
      <c r="D136" s="2050"/>
      <c r="E136" s="2050"/>
      <c r="F136" s="114"/>
      <c r="G136" s="114"/>
    </row>
    <row r="137" spans="1:7" ht="12.75" customHeight="1">
      <c r="A137" s="3102" t="s">
        <v>986</v>
      </c>
      <c r="B137" s="2028">
        <v>490</v>
      </c>
      <c r="C137" s="2050"/>
      <c r="D137" s="2050"/>
      <c r="E137" s="2050"/>
      <c r="F137" s="114"/>
      <c r="G137" s="114"/>
    </row>
    <row r="138" spans="1:7" ht="12.75" customHeight="1">
      <c r="A138" s="2359" t="s">
        <v>989</v>
      </c>
      <c r="B138" s="3129"/>
      <c r="C138" s="3129"/>
      <c r="D138" s="3129"/>
      <c r="E138" s="3129"/>
      <c r="F138" s="114"/>
      <c r="G138" s="114"/>
    </row>
    <row r="139" spans="1:7" ht="12.75" customHeight="1">
      <c r="A139" s="3101" t="s">
        <v>990</v>
      </c>
      <c r="B139" s="3119">
        <v>495</v>
      </c>
      <c r="C139" s="2022"/>
      <c r="D139" s="2022"/>
      <c r="E139" s="2022"/>
      <c r="F139" s="114"/>
      <c r="G139" s="114"/>
    </row>
    <row r="140" spans="1:7" ht="12.75" customHeight="1">
      <c r="A140" s="2359" t="s">
        <v>991</v>
      </c>
      <c r="B140" s="3129"/>
      <c r="C140" s="3129"/>
      <c r="D140" s="3129"/>
      <c r="E140" s="3129"/>
      <c r="F140" s="114"/>
      <c r="G140" s="114"/>
    </row>
    <row r="141" spans="1:7" ht="12.75" customHeight="1">
      <c r="A141" s="3101" t="s">
        <v>992</v>
      </c>
      <c r="B141" s="3119">
        <v>500</v>
      </c>
      <c r="C141" s="3124"/>
      <c r="D141" s="3124"/>
      <c r="E141" s="2022"/>
      <c r="F141" s="114"/>
      <c r="G141" s="114"/>
    </row>
    <row r="142" spans="1:7" ht="12.75" customHeight="1">
      <c r="A142" s="3102" t="s">
        <v>993</v>
      </c>
      <c r="B142" s="2028">
        <v>505</v>
      </c>
      <c r="C142" s="2050"/>
      <c r="D142" s="2050"/>
      <c r="E142" s="2050"/>
      <c r="F142" s="114"/>
      <c r="G142" s="114"/>
    </row>
    <row r="143" spans="1:7" ht="12.75" customHeight="1">
      <c r="A143" s="3102" t="s">
        <v>994</v>
      </c>
      <c r="B143" s="2028">
        <v>510</v>
      </c>
      <c r="C143" s="2050"/>
      <c r="D143" s="2050"/>
      <c r="E143" s="2050"/>
      <c r="F143" s="128"/>
      <c r="G143" s="114"/>
    </row>
    <row r="144" spans="1:7" ht="12.75" customHeight="1">
      <c r="A144" s="3102" t="s">
        <v>995</v>
      </c>
      <c r="B144" s="2028">
        <v>515</v>
      </c>
      <c r="C144" s="2050"/>
      <c r="D144" s="2050"/>
      <c r="E144" s="2050"/>
      <c r="F144" s="128"/>
      <c r="G144" s="114"/>
    </row>
    <row r="145" spans="1:7" ht="12.75" customHeight="1">
      <c r="A145" s="3102" t="s">
        <v>996</v>
      </c>
      <c r="B145" s="2028">
        <v>520</v>
      </c>
      <c r="C145" s="2050"/>
      <c r="D145" s="2050"/>
      <c r="E145" s="2050"/>
      <c r="F145" s="114"/>
      <c r="G145" s="114"/>
    </row>
    <row r="146" spans="1:7" ht="12.75" customHeight="1">
      <c r="A146" s="3102" t="s">
        <v>997</v>
      </c>
      <c r="B146" s="2028">
        <v>525</v>
      </c>
      <c r="C146" s="2050"/>
      <c r="D146" s="2050"/>
      <c r="E146" s="2050"/>
      <c r="F146" s="114"/>
      <c r="G146" s="114"/>
    </row>
    <row r="147" spans="1:7" ht="12.75" customHeight="1">
      <c r="A147" s="3102" t="s">
        <v>998</v>
      </c>
      <c r="B147" s="2028">
        <v>530</v>
      </c>
      <c r="C147" s="2050"/>
      <c r="D147" s="2050"/>
      <c r="E147" s="2050"/>
      <c r="F147" s="114"/>
      <c r="G147" s="114"/>
    </row>
    <row r="148" spans="1:7" ht="12.75" customHeight="1">
      <c r="A148" s="2359" t="s">
        <v>1027</v>
      </c>
      <c r="B148" s="3129"/>
      <c r="C148" s="3129"/>
      <c r="D148" s="3129"/>
      <c r="E148" s="3129"/>
      <c r="F148" s="114"/>
      <c r="G148" s="114"/>
    </row>
    <row r="149" spans="1:7" ht="12.75" customHeight="1">
      <c r="A149" s="3101" t="s">
        <v>795</v>
      </c>
      <c r="B149" s="3119">
        <v>531</v>
      </c>
      <c r="C149" s="3124"/>
      <c r="D149" s="3124"/>
      <c r="E149" s="2022"/>
      <c r="F149" s="114"/>
      <c r="G149" s="114"/>
    </row>
    <row r="150" spans="1:7" ht="12.75" customHeight="1">
      <c r="A150" s="2361" t="s">
        <v>794</v>
      </c>
      <c r="B150" s="3123">
        <v>532</v>
      </c>
      <c r="C150" s="2050"/>
      <c r="D150" s="2050"/>
      <c r="E150" s="3124"/>
      <c r="F150" s="114"/>
      <c r="G150" s="114"/>
    </row>
    <row r="151" spans="1:7" ht="12.75" customHeight="1">
      <c r="A151" s="2362" t="s">
        <v>793</v>
      </c>
      <c r="B151" s="981">
        <v>533</v>
      </c>
      <c r="C151" s="991"/>
      <c r="D151" s="2050"/>
      <c r="E151" s="991"/>
      <c r="F151" s="114"/>
      <c r="G151" s="114"/>
    </row>
    <row r="152" spans="1:7" ht="12.75" customHeight="1">
      <c r="A152" s="2359" t="s">
        <v>1326</v>
      </c>
      <c r="B152" s="3129"/>
      <c r="C152" s="3129"/>
      <c r="D152" s="3129"/>
      <c r="E152" s="3129"/>
      <c r="F152" s="114"/>
      <c r="G152" s="114"/>
    </row>
    <row r="153" spans="1:7" ht="12.75" customHeight="1">
      <c r="A153" s="3086" t="s">
        <v>972</v>
      </c>
      <c r="B153" s="3130"/>
      <c r="C153" s="3130"/>
      <c r="D153" s="3130"/>
      <c r="E153" s="3130"/>
      <c r="F153" s="114"/>
      <c r="G153" s="114"/>
    </row>
    <row r="154" spans="1:7" ht="12.75" customHeight="1">
      <c r="A154" s="3101" t="s">
        <v>999</v>
      </c>
      <c r="B154" s="3125">
        <v>600</v>
      </c>
      <c r="C154" s="3484"/>
      <c r="D154" s="3124"/>
      <c r="E154" s="2022"/>
      <c r="F154" s="114"/>
      <c r="G154" s="114"/>
    </row>
    <row r="155" spans="1:7" ht="12.75" customHeight="1">
      <c r="A155" s="3483" t="s">
        <v>943</v>
      </c>
      <c r="B155" s="3127">
        <v>605</v>
      </c>
      <c r="C155" s="3484"/>
      <c r="D155" s="2050"/>
      <c r="E155" s="2050"/>
      <c r="F155" s="114"/>
      <c r="G155" s="114"/>
    </row>
    <row r="156" spans="1:7" ht="12.75" customHeight="1">
      <c r="A156" s="2359" t="s">
        <v>973</v>
      </c>
      <c r="B156" s="3129"/>
      <c r="C156" s="3129"/>
      <c r="D156" s="3129"/>
      <c r="E156" s="3129"/>
      <c r="F156" s="114"/>
      <c r="G156" s="114"/>
    </row>
    <row r="157" spans="1:7" ht="12.75" customHeight="1">
      <c r="A157" s="3101" t="s">
        <v>1000</v>
      </c>
      <c r="B157" s="3125">
        <v>610</v>
      </c>
      <c r="C157" s="3484"/>
      <c r="D157" s="3124"/>
      <c r="E157" s="2022"/>
      <c r="F157" s="114"/>
      <c r="G157" s="114"/>
    </row>
    <row r="158" spans="1:7" ht="12.75" customHeight="1">
      <c r="A158" s="3102" t="s">
        <v>977</v>
      </c>
      <c r="B158" s="3127">
        <v>615</v>
      </c>
      <c r="C158" s="3484"/>
      <c r="D158" s="2050"/>
      <c r="E158" s="2050"/>
      <c r="F158" s="114"/>
      <c r="G158" s="114"/>
    </row>
    <row r="159" spans="1:7" ht="12.75" customHeight="1">
      <c r="A159" s="2362" t="s">
        <v>978</v>
      </c>
      <c r="B159" s="3128">
        <v>620</v>
      </c>
      <c r="C159" s="3484"/>
      <c r="D159" s="2050"/>
      <c r="E159" s="991"/>
      <c r="F159" s="114"/>
      <c r="G159" s="114"/>
    </row>
    <row r="160" spans="1:7" ht="12.75" customHeight="1">
      <c r="A160" s="3104" t="s">
        <v>4818</v>
      </c>
      <c r="B160" s="3110">
        <v>625</v>
      </c>
      <c r="C160" s="3484"/>
      <c r="D160" s="2050"/>
      <c r="E160" s="991"/>
      <c r="F160" s="114"/>
      <c r="G160" s="114"/>
    </row>
    <row r="161" spans="1:7" ht="12.75" customHeight="1">
      <c r="A161" s="3104" t="s">
        <v>979</v>
      </c>
      <c r="B161" s="3111">
        <v>630</v>
      </c>
      <c r="C161" s="3484"/>
      <c r="D161" s="2050"/>
      <c r="E161" s="2050"/>
      <c r="F161" s="114"/>
      <c r="G161" s="114"/>
    </row>
    <row r="162" spans="1:7" ht="12.75" customHeight="1">
      <c r="A162" s="3104" t="s">
        <v>986</v>
      </c>
      <c r="B162" s="3111">
        <v>635</v>
      </c>
      <c r="C162" s="3484"/>
      <c r="D162" s="2050"/>
      <c r="E162" s="2050"/>
      <c r="F162" s="114"/>
      <c r="G162" s="114"/>
    </row>
    <row r="163" spans="1:7" ht="12.75" customHeight="1">
      <c r="A163" s="3104" t="s">
        <v>989</v>
      </c>
      <c r="B163" s="3111">
        <v>640</v>
      </c>
      <c r="C163" s="3484"/>
      <c r="D163" s="2050"/>
      <c r="E163" s="2050"/>
      <c r="F163" s="114"/>
      <c r="G163" s="114"/>
    </row>
    <row r="164" spans="1:7" ht="12.75" customHeight="1">
      <c r="A164" s="3104" t="s">
        <v>997</v>
      </c>
      <c r="B164" s="3111">
        <v>645</v>
      </c>
      <c r="C164" s="3484"/>
      <c r="D164" s="2050"/>
      <c r="E164" s="2050"/>
      <c r="F164" s="114"/>
      <c r="G164" s="114"/>
    </row>
    <row r="165" spans="1:7" ht="12.75" customHeight="1">
      <c r="A165" s="1025" t="s">
        <v>998</v>
      </c>
      <c r="B165" s="1012">
        <v>650</v>
      </c>
      <c r="C165" s="1011"/>
      <c r="D165" s="2050"/>
      <c r="E165" s="4615"/>
      <c r="F165" s="114"/>
      <c r="G165" s="114"/>
    </row>
    <row r="166" spans="1:7" ht="12.75" customHeight="1">
      <c r="A166" s="1198" t="s">
        <v>5153</v>
      </c>
      <c r="B166" s="2578" t="s">
        <v>4906</v>
      </c>
      <c r="C166" s="994">
        <f>SUM(C44:C165)</f>
        <v>0</v>
      </c>
      <c r="D166" s="994">
        <f t="shared" ref="D166:E166" si="0">SUM(D44:D165)</f>
        <v>0</v>
      </c>
      <c r="E166" s="994">
        <f t="shared" si="0"/>
        <v>0</v>
      </c>
      <c r="F166" s="114"/>
      <c r="G166" s="114"/>
    </row>
    <row r="167" spans="1:7" ht="12.75" customHeight="1">
      <c r="A167" s="6101" t="s">
        <v>4911</v>
      </c>
      <c r="B167" s="6101"/>
      <c r="C167" s="6101"/>
      <c r="D167" s="6101"/>
      <c r="E167" s="6101"/>
      <c r="F167" s="114"/>
      <c r="G167" s="678"/>
    </row>
    <row r="168" spans="1:7" ht="12.75" customHeight="1">
      <c r="A168" s="2864"/>
      <c r="B168" s="1192"/>
      <c r="C168" s="978"/>
      <c r="D168" s="978"/>
      <c r="E168" s="978"/>
      <c r="F168" s="114"/>
      <c r="G168" s="678"/>
    </row>
    <row r="169" spans="1:7" s="119" customFormat="1" ht="12.75" customHeight="1">
      <c r="A169" s="128"/>
      <c r="B169" s="1013"/>
      <c r="C169" s="1014"/>
      <c r="D169" s="1014"/>
      <c r="E169" s="1014"/>
      <c r="F169" s="114"/>
      <c r="G169" s="114"/>
    </row>
    <row r="170" spans="1:7" ht="12.75" customHeight="1">
      <c r="A170" s="114"/>
      <c r="B170" s="978"/>
      <c r="C170" s="978"/>
      <c r="D170" s="978"/>
      <c r="E170" s="978"/>
      <c r="F170" s="114"/>
      <c r="G170" s="114"/>
    </row>
    <row r="171" spans="1:7" ht="12.75" customHeight="1">
      <c r="A171" s="114"/>
      <c r="B171" s="978"/>
      <c r="C171" s="978"/>
      <c r="D171" s="978"/>
      <c r="E171" s="978"/>
      <c r="F171" s="114"/>
      <c r="G171" s="114"/>
    </row>
    <row r="172" spans="1:7" ht="12.75" customHeight="1">
      <c r="A172" s="114"/>
      <c r="B172" s="978"/>
      <c r="C172" s="978"/>
      <c r="D172" s="978"/>
      <c r="E172" s="978"/>
      <c r="F172" s="114"/>
      <c r="G172" s="114"/>
    </row>
  </sheetData>
  <sheetProtection algorithmName="SHA-512" hashValue="k4Lu7W5sqB2Jh/J4TgFQAu1Iiw67M5Qb8e0vtB6w34R9R/DjmfVthxwJNjJhUlJph1eSzhqAqUoxbuVjcDherg==" saltValue="hY+EDZLRbBi/NcDrYb+qHQ==" spinCount="100000" sheet="1" objects="1" scenarios="1"/>
  <mergeCells count="6">
    <mergeCell ref="A167:E167"/>
    <mergeCell ref="D1:E1"/>
    <mergeCell ref="D2:E2"/>
    <mergeCell ref="D32:E32"/>
    <mergeCell ref="D33:E33"/>
    <mergeCell ref="D34:E34"/>
  </mergeCells>
  <phoneticPr fontId="12" type="noConversion"/>
  <dataValidations count="2">
    <dataValidation type="whole" operator="greaterThanOrEqual" showInputMessage="1" showErrorMessage="1" errorTitle="Invalid Data Entry " error="Please enter a positive number or press the delete key or enter zero." sqref="C139:E139 C157:E165 E18 C149:E151 C23:E23 C21:E21 C132:E137 C10:D10 C44:E45 C67:E68 C81:E82 C91:E95 C84:E89 C70:E78 C101:E108 C47:E51 C125:E125 C15:E17 C19:D19 C154:E155 C141:E147 C127:E130 C98:E99 C54:E56 C58:E63">
      <formula1>0</formula1>
    </dataValidation>
    <dataValidation type="whole" operator="greaterThanOrEqual" showInputMessage="1" showErrorMessage="1" errorTitle="Invalid Data Entry" error="Please enter a positive number or press the delete key or enter a zero." sqref="C111:E112 C114:E122 D18">
      <formula1>0</formula1>
    </dataValidation>
  </dataValidations>
  <hyperlinks>
    <hyperlink ref="G1" location="Contents!F1" display="Return to Contents page"/>
  </hyperlinks>
  <printOptions horizontalCentered="1"/>
  <pageMargins left="0.75" right="0.75" top="0.5" bottom="0.5" header="0.3" footer="0.3"/>
  <pageSetup scale="86" fitToHeight="0" orientation="portrait" blackAndWhite="1" r:id="rId1"/>
  <headerFooter scaleWithDoc="0">
    <oddFooter>&amp;L&amp;"Open Sans Light,Regular"&amp;8&amp;D    &amp;T&amp;C&amp;"Open Sans Light,Regular"&amp;8Page &amp;P&amp;R&amp;"Open Sans Light,Regular"&amp;8&amp;A</oddFooter>
  </headerFooter>
  <rowBreaks count="1" manualBreakCount="1">
    <brk id="63" max="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4" tint="0.39997558519241921"/>
  </sheetPr>
  <dimension ref="A1:Z124"/>
  <sheetViews>
    <sheetView showGridLines="0" zoomScaleNormal="100" zoomScaleSheetLayoutView="100" workbookViewId="0">
      <pane ySplit="8" topLeftCell="A9" activePane="bottomLeft" state="frozen"/>
      <selection activeCell="B22" sqref="B22"/>
      <selection pane="bottomLeft" activeCell="B22" sqref="B22"/>
    </sheetView>
  </sheetViews>
  <sheetFormatPr defaultColWidth="10.6640625" defaultRowHeight="12.75" customHeight="1"/>
  <cols>
    <col min="1" max="1" width="40.6640625" style="42" customWidth="1"/>
    <col min="2" max="2" width="5.6640625" style="976" customWidth="1"/>
    <col min="3" max="5" width="14.33203125" style="977" customWidth="1"/>
    <col min="6" max="6" width="2.33203125" style="42" customWidth="1"/>
    <col min="7" max="7" width="21.44140625" style="42" customWidth="1"/>
    <col min="8" max="26" width="10.6640625" style="42"/>
    <col min="27" max="16384" width="10.6640625" style="43"/>
  </cols>
  <sheetData>
    <row r="1" spans="1:17" ht="12.75" customHeight="1">
      <c r="A1" s="1041" t="s">
        <v>809</v>
      </c>
      <c r="B1" s="1046">
        <f>OPEN!$B$4</f>
        <v>237</v>
      </c>
      <c r="C1" s="1040"/>
      <c r="D1" s="6111" t="s">
        <v>836</v>
      </c>
      <c r="E1" s="6111"/>
      <c r="F1" s="41"/>
      <c r="G1" s="304" t="s">
        <v>754</v>
      </c>
    </row>
    <row r="2" spans="1:17" ht="12.75" customHeight="1">
      <c r="A2" s="41"/>
      <c r="B2" s="948"/>
      <c r="C2" s="949"/>
      <c r="D2" s="6111" t="s">
        <v>921</v>
      </c>
      <c r="E2" s="6111"/>
      <c r="F2" s="41"/>
    </row>
    <row r="3" spans="1:17" ht="12.75" customHeight="1">
      <c r="A3" s="41"/>
      <c r="B3" s="948"/>
      <c r="C3" s="949"/>
      <c r="D3" s="949"/>
      <c r="E3" s="950" t="str">
        <f>OpenData!N2</f>
        <v>2021-2022</v>
      </c>
      <c r="F3" s="41"/>
    </row>
    <row r="4" spans="1:17" ht="12.75" customHeight="1">
      <c r="A4" s="41"/>
      <c r="B4" s="948"/>
      <c r="C4" s="949"/>
      <c r="D4" s="949"/>
      <c r="E4" s="950"/>
      <c r="F4" s="41"/>
    </row>
    <row r="5" spans="1:17" ht="12.75" customHeight="1">
      <c r="A5" s="41"/>
      <c r="B5" s="948"/>
      <c r="C5" s="951" t="s">
        <v>922</v>
      </c>
      <c r="D5" s="951" t="s">
        <v>922</v>
      </c>
      <c r="E5" s="951" t="s">
        <v>922</v>
      </c>
      <c r="F5" s="41"/>
    </row>
    <row r="6" spans="1:17" ht="12.75" customHeight="1">
      <c r="B6" s="952" t="s">
        <v>854</v>
      </c>
      <c r="C6" s="953" t="str">
        <f>OpenData!N4</f>
        <v>2019-2020</v>
      </c>
      <c r="D6" s="953" t="str">
        <f>OpenData!O4</f>
        <v>2020-2021</v>
      </c>
      <c r="E6" s="953" t="str">
        <f>OpenData!P4</f>
        <v>2021-2022</v>
      </c>
      <c r="F6" s="41"/>
      <c r="N6" s="44"/>
    </row>
    <row r="7" spans="1:17" ht="12.75" customHeight="1">
      <c r="A7" s="1032" t="s">
        <v>52</v>
      </c>
      <c r="B7" s="954">
        <v>12</v>
      </c>
      <c r="C7" s="955" t="s">
        <v>893</v>
      </c>
      <c r="D7" s="955" t="s">
        <v>893</v>
      </c>
      <c r="E7" s="955" t="s">
        <v>923</v>
      </c>
      <c r="F7" s="41"/>
      <c r="O7" s="45"/>
      <c r="P7" s="45"/>
      <c r="Q7" s="45"/>
    </row>
    <row r="8" spans="1:17" ht="12.75" customHeight="1">
      <c r="A8" s="46"/>
      <c r="B8" s="956" t="s">
        <v>858</v>
      </c>
      <c r="C8" s="957">
        <v>1</v>
      </c>
      <c r="D8" s="957">
        <v>2</v>
      </c>
      <c r="E8" s="957">
        <v>3</v>
      </c>
      <c r="F8" s="41"/>
      <c r="O8" s="45"/>
      <c r="P8" s="45"/>
      <c r="Q8" s="45"/>
    </row>
    <row r="9" spans="1:17" ht="12.75" customHeight="1">
      <c r="A9" s="1033" t="s">
        <v>1043</v>
      </c>
      <c r="B9" s="958">
        <v>1</v>
      </c>
      <c r="C9" s="959"/>
      <c r="D9" s="960">
        <f>C26</f>
        <v>0</v>
      </c>
      <c r="E9" s="961">
        <f>D26</f>
        <v>0</v>
      </c>
      <c r="F9" s="41"/>
      <c r="O9" s="45"/>
      <c r="P9" s="45"/>
      <c r="Q9" s="45"/>
    </row>
    <row r="10" spans="1:17" ht="12.75" customHeight="1">
      <c r="A10" s="3974" t="s">
        <v>4940</v>
      </c>
      <c r="B10" s="4453">
        <v>3</v>
      </c>
      <c r="C10" s="962"/>
      <c r="D10" s="4454"/>
      <c r="E10" s="3487"/>
      <c r="F10" s="41"/>
      <c r="O10" s="45"/>
      <c r="P10" s="45"/>
      <c r="Q10" s="45"/>
    </row>
    <row r="11" spans="1:17" ht="12.75" customHeight="1">
      <c r="A11" s="2364"/>
      <c r="B11" s="4455"/>
      <c r="C11" s="4455"/>
      <c r="D11" s="4455"/>
      <c r="E11" s="4459"/>
      <c r="F11" s="41"/>
      <c r="O11" s="45"/>
      <c r="P11" s="45"/>
      <c r="Q11" s="45"/>
    </row>
    <row r="12" spans="1:17" ht="12.75" customHeight="1">
      <c r="A12" s="4456" t="s">
        <v>4767</v>
      </c>
      <c r="B12" s="4457"/>
      <c r="C12" s="4457"/>
      <c r="D12" s="4457"/>
      <c r="E12" s="4458"/>
      <c r="F12" s="41"/>
      <c r="O12" s="45"/>
      <c r="P12" s="45"/>
      <c r="Q12" s="45"/>
    </row>
    <row r="13" spans="1:17" ht="12.75" customHeight="1">
      <c r="A13" s="3490" t="s">
        <v>1044</v>
      </c>
      <c r="B13" s="3498"/>
      <c r="C13" s="3498"/>
      <c r="D13" s="3498"/>
      <c r="E13" s="3498"/>
      <c r="F13" s="41"/>
      <c r="O13" s="45"/>
      <c r="P13" s="45"/>
      <c r="Q13" s="45"/>
    </row>
    <row r="14" spans="1:17" ht="12.75" customHeight="1">
      <c r="A14" s="3490" t="s">
        <v>53</v>
      </c>
      <c r="B14" s="3498"/>
      <c r="C14" s="3498"/>
      <c r="D14" s="3498"/>
      <c r="E14" s="3498"/>
      <c r="F14" s="41"/>
    </row>
    <row r="15" spans="1:17" ht="12.75" customHeight="1">
      <c r="A15" s="3491" t="s">
        <v>54</v>
      </c>
      <c r="B15" s="3499">
        <v>5</v>
      </c>
      <c r="C15" s="3500"/>
      <c r="D15" s="3500"/>
      <c r="E15" s="3500"/>
      <c r="F15" s="41"/>
      <c r="N15" s="44"/>
    </row>
    <row r="16" spans="1:17" ht="12.75" customHeight="1">
      <c r="A16" s="2366" t="s">
        <v>55</v>
      </c>
      <c r="B16" s="3501">
        <v>15</v>
      </c>
      <c r="C16" s="3502"/>
      <c r="D16" s="3502"/>
      <c r="E16" s="3500"/>
      <c r="F16" s="41"/>
      <c r="O16" s="47"/>
      <c r="P16" s="47"/>
      <c r="Q16" s="47"/>
    </row>
    <row r="17" spans="1:26" ht="12.75" customHeight="1">
      <c r="A17" s="2364" t="s">
        <v>18</v>
      </c>
      <c r="B17" s="3497"/>
      <c r="C17" s="3497"/>
      <c r="D17" s="3497"/>
      <c r="E17" s="3497"/>
      <c r="F17" s="41"/>
      <c r="O17" s="47"/>
      <c r="P17" s="47"/>
      <c r="Q17" s="47"/>
    </row>
    <row r="18" spans="1:26" ht="12.75" customHeight="1">
      <c r="A18" s="3491" t="s">
        <v>56</v>
      </c>
      <c r="B18" s="3499">
        <v>25</v>
      </c>
      <c r="C18" s="3500"/>
      <c r="D18" s="3500"/>
      <c r="E18" s="3500"/>
      <c r="F18" s="41"/>
      <c r="O18" s="47"/>
      <c r="P18" s="47"/>
      <c r="Q18" s="47"/>
    </row>
    <row r="19" spans="1:26" ht="12.75" customHeight="1">
      <c r="A19" s="3492" t="s">
        <v>57</v>
      </c>
      <c r="B19" s="3501">
        <v>35</v>
      </c>
      <c r="C19" s="3503"/>
      <c r="D19" s="3503"/>
      <c r="E19" s="3500"/>
      <c r="F19" s="41"/>
      <c r="O19" s="47"/>
      <c r="P19" s="47"/>
      <c r="Q19" s="47"/>
    </row>
    <row r="20" spans="1:26" ht="12.75" customHeight="1">
      <c r="A20" s="2364" t="s">
        <v>58</v>
      </c>
      <c r="B20" s="3497"/>
      <c r="C20" s="3497"/>
      <c r="D20" s="3497"/>
      <c r="E20" s="3497"/>
      <c r="F20" s="41"/>
    </row>
    <row r="21" spans="1:26" ht="12.75" customHeight="1">
      <c r="A21" s="3491" t="s">
        <v>59</v>
      </c>
      <c r="B21" s="3499">
        <v>45</v>
      </c>
      <c r="C21" s="3504">
        <f>'C06'!$C$266</f>
        <v>0</v>
      </c>
      <c r="D21" s="3504">
        <f>'C06'!$D$266</f>
        <v>0</v>
      </c>
      <c r="E21" s="3504">
        <f>'C06'!$E$266</f>
        <v>0</v>
      </c>
      <c r="F21" s="41"/>
      <c r="O21" s="47"/>
      <c r="P21" s="47"/>
      <c r="Q21" s="47"/>
    </row>
    <row r="22" spans="1:26" ht="12.75" customHeight="1">
      <c r="A22" s="1034" t="s">
        <v>932</v>
      </c>
      <c r="B22" s="966">
        <v>50</v>
      </c>
      <c r="C22" s="961">
        <f>'C08'!$C$272</f>
        <v>0</v>
      </c>
      <c r="D22" s="969">
        <f>'C08'!$D$272</f>
        <v>0</v>
      </c>
      <c r="E22" s="961">
        <f>'C08'!$E$272</f>
        <v>0</v>
      </c>
      <c r="F22" s="41"/>
    </row>
    <row r="23" spans="1:26" ht="12.75" customHeight="1">
      <c r="A23" s="1034" t="s">
        <v>41</v>
      </c>
      <c r="B23" s="966">
        <v>55</v>
      </c>
      <c r="C23" s="961">
        <f>'C053'!$C$229</f>
        <v>0</v>
      </c>
      <c r="D23" s="960">
        <f>'C053'!$D$229</f>
        <v>0</v>
      </c>
      <c r="E23" s="3810" t="s">
        <v>4905</v>
      </c>
      <c r="F23" s="41"/>
      <c r="H23" s="681"/>
    </row>
    <row r="24" spans="1:26" ht="12.75" customHeight="1">
      <c r="A24" s="1036" t="s">
        <v>933</v>
      </c>
      <c r="B24" s="970">
        <v>170</v>
      </c>
      <c r="C24" s="968">
        <f>SUM(C9:C23)</f>
        <v>0</v>
      </c>
      <c r="D24" s="969">
        <f>SUM(D9:D23)</f>
        <v>0</v>
      </c>
      <c r="E24" s="3504">
        <f>SUM(E9:E23)</f>
        <v>0</v>
      </c>
      <c r="F24" s="41"/>
      <c r="H24" s="681"/>
    </row>
    <row r="25" spans="1:26" ht="12.75" customHeight="1">
      <c r="A25" s="1035" t="s">
        <v>934</v>
      </c>
      <c r="B25" s="965">
        <v>175</v>
      </c>
      <c r="C25" s="961">
        <f>C121</f>
        <v>0</v>
      </c>
      <c r="D25" s="969">
        <f>D121</f>
        <v>0</v>
      </c>
      <c r="E25" s="961">
        <f>IF(E121&lt;=E24,E121,"ERROR")</f>
        <v>0</v>
      </c>
      <c r="F25" s="41"/>
      <c r="G25" s="322" t="str">
        <f>IF(E25="ERROR","Expenditures must be less than or equal to Resources Available","")</f>
        <v/>
      </c>
      <c r="H25" s="48"/>
    </row>
    <row r="26" spans="1:26" ht="12.75" customHeight="1">
      <c r="A26" s="1035" t="s">
        <v>935</v>
      </c>
      <c r="B26" s="965">
        <v>190</v>
      </c>
      <c r="C26" s="961">
        <f>SUM(C24-C25)</f>
        <v>0</v>
      </c>
      <c r="D26" s="969">
        <f>SUM(D24-D25)</f>
        <v>0</v>
      </c>
      <c r="E26" s="971">
        <f>IF(ISERROR(E24-E25),"NEGATIVE",E24-E25)</f>
        <v>0</v>
      </c>
      <c r="F26" s="41"/>
      <c r="G26" s="48"/>
      <c r="H26" s="48"/>
    </row>
    <row r="27" spans="1:26" ht="12.75" customHeight="1">
      <c r="A27" s="4460"/>
      <c r="B27" s="973"/>
      <c r="C27" s="974"/>
      <c r="D27" s="974"/>
      <c r="E27" s="4461"/>
      <c r="F27" s="41"/>
      <c r="G27" s="48"/>
      <c r="H27" s="48"/>
    </row>
    <row r="28" spans="1:26" s="3730" customFormat="1" ht="12.75" customHeight="1">
      <c r="A28" s="3726" t="str">
        <f>A1</f>
        <v>USD #</v>
      </c>
      <c r="B28" s="4446">
        <f>B1</f>
        <v>237</v>
      </c>
      <c r="C28" s="3726"/>
      <c r="D28" s="3726"/>
      <c r="E28" s="3726" t="str">
        <f>D1</f>
        <v>STATE OF KANSAS</v>
      </c>
      <c r="F28" s="3727"/>
      <c r="G28" s="3728"/>
      <c r="H28" s="3728"/>
      <c r="I28" s="3729"/>
      <c r="J28" s="3729"/>
      <c r="K28" s="3729"/>
      <c r="L28" s="3729"/>
      <c r="M28" s="3729"/>
      <c r="N28" s="3729"/>
      <c r="O28" s="3729"/>
      <c r="P28" s="3729"/>
      <c r="Q28" s="3729"/>
      <c r="R28" s="3729"/>
      <c r="S28" s="3729"/>
      <c r="T28" s="3729"/>
      <c r="U28" s="3729"/>
      <c r="V28" s="3729"/>
      <c r="W28" s="3729"/>
      <c r="X28" s="3729"/>
      <c r="Y28" s="3729"/>
      <c r="Z28" s="3729"/>
    </row>
    <row r="29" spans="1:26" ht="12.75" customHeight="1">
      <c r="A29" s="1037"/>
      <c r="B29" s="973"/>
      <c r="C29" s="974"/>
      <c r="D29" s="974"/>
      <c r="E29" s="972" t="str">
        <f>D2</f>
        <v>Budget Form USD-E</v>
      </c>
      <c r="F29" s="41"/>
      <c r="G29" s="48"/>
      <c r="H29" s="48"/>
    </row>
    <row r="30" spans="1:26" ht="12.75" customHeight="1">
      <c r="A30" s="1037"/>
      <c r="B30" s="973"/>
      <c r="C30" s="974"/>
      <c r="D30" s="974"/>
      <c r="E30" s="972" t="str">
        <f>E3</f>
        <v>2021-2022</v>
      </c>
      <c r="F30" s="41"/>
      <c r="G30" s="48"/>
      <c r="H30" s="48"/>
    </row>
    <row r="31" spans="1:26" ht="12.75" customHeight="1">
      <c r="A31" s="949"/>
      <c r="B31" s="948"/>
      <c r="C31" s="949"/>
      <c r="D31" s="949"/>
      <c r="E31" s="949"/>
      <c r="F31" s="41"/>
    </row>
    <row r="32" spans="1:26" ht="12.75" customHeight="1">
      <c r="A32" s="949"/>
      <c r="B32" s="948"/>
      <c r="C32" s="951" t="s">
        <v>922</v>
      </c>
      <c r="D32" s="951" t="s">
        <v>922</v>
      </c>
      <c r="E32" s="951" t="s">
        <v>922</v>
      </c>
      <c r="F32" s="41"/>
    </row>
    <row r="33" spans="1:6" ht="12.75" customHeight="1">
      <c r="A33" s="1032"/>
      <c r="B33" s="952" t="s">
        <v>854</v>
      </c>
      <c r="C33" s="953" t="str">
        <f>C6</f>
        <v>2019-2020</v>
      </c>
      <c r="D33" s="953" t="str">
        <f>D6</f>
        <v>2020-2021</v>
      </c>
      <c r="E33" s="953" t="str">
        <f>E6</f>
        <v>2021-2022</v>
      </c>
      <c r="F33" s="41"/>
    </row>
    <row r="34" spans="1:6" ht="12.75" customHeight="1">
      <c r="A34" s="1032" t="str">
        <f>A7</f>
        <v>ADULT SUPPLEMENTARY EDUCATION</v>
      </c>
      <c r="B34" s="954">
        <v>12</v>
      </c>
      <c r="C34" s="955" t="s">
        <v>893</v>
      </c>
      <c r="D34" s="955" t="s">
        <v>893</v>
      </c>
      <c r="E34" s="955" t="s">
        <v>923</v>
      </c>
      <c r="F34" s="41"/>
    </row>
    <row r="35" spans="1:6" ht="12.75" customHeight="1">
      <c r="A35" s="1037"/>
      <c r="B35" s="954" t="s">
        <v>858</v>
      </c>
      <c r="C35" s="4462">
        <v>1</v>
      </c>
      <c r="D35" s="4462">
        <v>2</v>
      </c>
      <c r="E35" s="4462">
        <v>3</v>
      </c>
      <c r="F35" s="41"/>
    </row>
    <row r="36" spans="1:6" ht="12.75" customHeight="1">
      <c r="A36" s="2364"/>
      <c r="B36" s="4463"/>
      <c r="C36" s="4464"/>
      <c r="D36" s="4464"/>
      <c r="E36" s="4465"/>
      <c r="F36" s="41"/>
    </row>
    <row r="37" spans="1:6" ht="12.75" customHeight="1">
      <c r="A37" s="4456" t="s">
        <v>60</v>
      </c>
      <c r="B37" s="4457"/>
      <c r="C37" s="4457"/>
      <c r="D37" s="4457"/>
      <c r="E37" s="4458"/>
      <c r="F37" s="41"/>
    </row>
    <row r="38" spans="1:6" ht="12.75" customHeight="1">
      <c r="A38" s="3489" t="s">
        <v>61</v>
      </c>
      <c r="B38" s="3505"/>
      <c r="C38" s="3505"/>
      <c r="D38" s="3505"/>
      <c r="E38" s="3505"/>
      <c r="F38" s="41"/>
    </row>
    <row r="39" spans="1:6" ht="12.75" customHeight="1">
      <c r="A39" s="3489" t="s">
        <v>972</v>
      </c>
      <c r="B39" s="3505"/>
      <c r="C39" s="3505"/>
      <c r="D39" s="3505"/>
      <c r="E39" s="3505"/>
      <c r="F39" s="41"/>
    </row>
    <row r="40" spans="1:6" ht="12.75" customHeight="1">
      <c r="A40" s="3493" t="s">
        <v>999</v>
      </c>
      <c r="B40" s="3499">
        <v>210</v>
      </c>
      <c r="C40" s="3500"/>
      <c r="D40" s="3500"/>
      <c r="E40" s="3500"/>
      <c r="F40" s="41"/>
    </row>
    <row r="41" spans="1:6" ht="12.75" customHeight="1">
      <c r="A41" s="3494" t="s">
        <v>943</v>
      </c>
      <c r="B41" s="3501">
        <v>215</v>
      </c>
      <c r="C41" s="3503"/>
      <c r="D41" s="3503"/>
      <c r="E41" s="3503"/>
      <c r="F41" s="41"/>
    </row>
    <row r="42" spans="1:6" ht="12.75" customHeight="1">
      <c r="A42" s="3488" t="s">
        <v>973</v>
      </c>
      <c r="B42" s="3506"/>
      <c r="C42" s="3506"/>
      <c r="D42" s="3506"/>
      <c r="E42" s="3506"/>
      <c r="F42" s="41"/>
    </row>
    <row r="43" spans="1:6" ht="12.75" customHeight="1">
      <c r="A43" s="3493" t="s">
        <v>974</v>
      </c>
      <c r="B43" s="3499">
        <v>220</v>
      </c>
      <c r="C43" s="3500"/>
      <c r="D43" s="3500"/>
      <c r="E43" s="3500"/>
      <c r="F43" s="41"/>
    </row>
    <row r="44" spans="1:6" ht="12.75" customHeight="1">
      <c r="A44" s="3494" t="s">
        <v>977</v>
      </c>
      <c r="B44" s="3501">
        <v>225</v>
      </c>
      <c r="C44" s="3503"/>
      <c r="D44" s="3503"/>
      <c r="E44" s="3503"/>
      <c r="F44" s="41"/>
    </row>
    <row r="45" spans="1:6" ht="12.75" customHeight="1">
      <c r="A45" s="3494" t="s">
        <v>978</v>
      </c>
      <c r="B45" s="3501">
        <v>230</v>
      </c>
      <c r="C45" s="3503"/>
      <c r="D45" s="3503"/>
      <c r="E45" s="3503"/>
      <c r="F45" s="41"/>
    </row>
    <row r="46" spans="1:6" ht="12.75" customHeight="1">
      <c r="A46" s="2365" t="s">
        <v>4818</v>
      </c>
      <c r="B46" s="3507">
        <v>235</v>
      </c>
      <c r="C46" s="3508"/>
      <c r="D46" s="3508"/>
      <c r="E46" s="3508"/>
      <c r="F46" s="41"/>
    </row>
    <row r="47" spans="1:6" ht="12.75" customHeight="1">
      <c r="A47" s="3495" t="s">
        <v>632</v>
      </c>
      <c r="B47" s="3509">
        <v>237</v>
      </c>
      <c r="C47" s="3508"/>
      <c r="D47" s="3508"/>
      <c r="E47" s="3508"/>
      <c r="F47" s="41"/>
    </row>
    <row r="48" spans="1:6" ht="12.75" customHeight="1">
      <c r="A48" s="3488" t="s">
        <v>986</v>
      </c>
      <c r="B48" s="3506"/>
      <c r="C48" s="3506"/>
      <c r="D48" s="3506"/>
      <c r="E48" s="3506"/>
      <c r="F48" s="41"/>
    </row>
    <row r="49" spans="1:6" ht="12.75" customHeight="1">
      <c r="A49" s="3493" t="s">
        <v>62</v>
      </c>
      <c r="B49" s="3499">
        <v>240</v>
      </c>
      <c r="C49" s="3500"/>
      <c r="D49" s="3500"/>
      <c r="E49" s="3500"/>
      <c r="F49" s="41"/>
    </row>
    <row r="50" spans="1:6" ht="12.75" customHeight="1">
      <c r="A50" s="3494" t="s">
        <v>988</v>
      </c>
      <c r="B50" s="3501">
        <v>245</v>
      </c>
      <c r="C50" s="3503"/>
      <c r="D50" s="3503"/>
      <c r="E50" s="3503"/>
      <c r="F50" s="41"/>
    </row>
    <row r="51" spans="1:6" ht="12.75" customHeight="1">
      <c r="A51" s="3488" t="s">
        <v>989</v>
      </c>
      <c r="B51" s="3506"/>
      <c r="C51" s="3506"/>
      <c r="D51" s="3506"/>
      <c r="E51" s="3506"/>
      <c r="F51" s="41"/>
    </row>
    <row r="52" spans="1:6" ht="12.75" customHeight="1">
      <c r="A52" s="3493" t="s">
        <v>769</v>
      </c>
      <c r="B52" s="3499">
        <v>250</v>
      </c>
      <c r="C52" s="3500"/>
      <c r="D52" s="3500"/>
      <c r="E52" s="3500"/>
      <c r="F52" s="41"/>
    </row>
    <row r="53" spans="1:6" ht="12.75" customHeight="1">
      <c r="A53" s="3493" t="s">
        <v>5150</v>
      </c>
      <c r="B53" s="3499">
        <v>255</v>
      </c>
      <c r="C53" s="3500"/>
      <c r="D53" s="3500"/>
      <c r="E53" s="3500"/>
      <c r="F53" s="41"/>
    </row>
    <row r="54" spans="1:6" ht="12.75" customHeight="1">
      <c r="A54" s="3494" t="s">
        <v>64</v>
      </c>
      <c r="B54" s="3501">
        <v>260</v>
      </c>
      <c r="C54" s="3503"/>
      <c r="D54" s="3503"/>
      <c r="E54" s="3503"/>
      <c r="F54" s="41"/>
    </row>
    <row r="55" spans="1:6" ht="12.75" customHeight="1">
      <c r="A55" s="3496" t="s">
        <v>936</v>
      </c>
      <c r="B55" s="3510">
        <v>263</v>
      </c>
      <c r="C55" s="3500"/>
      <c r="D55" s="3500"/>
      <c r="E55" s="3500"/>
      <c r="F55" s="41"/>
    </row>
    <row r="56" spans="1:6" ht="12.75" customHeight="1">
      <c r="A56" s="3493" t="s">
        <v>996</v>
      </c>
      <c r="B56" s="3499">
        <v>265</v>
      </c>
      <c r="C56" s="3500"/>
      <c r="D56" s="3500"/>
      <c r="E56" s="3500"/>
      <c r="F56" s="41"/>
    </row>
    <row r="57" spans="1:6" ht="12.75" customHeight="1">
      <c r="A57" s="3494" t="s">
        <v>997</v>
      </c>
      <c r="B57" s="3501">
        <v>270</v>
      </c>
      <c r="C57" s="3503"/>
      <c r="D57" s="3503"/>
      <c r="E57" s="3503"/>
      <c r="F57" s="41"/>
    </row>
    <row r="58" spans="1:6" ht="12.75" customHeight="1">
      <c r="A58" s="3494" t="s">
        <v>998</v>
      </c>
      <c r="B58" s="3501">
        <v>275</v>
      </c>
      <c r="C58" s="3503"/>
      <c r="D58" s="3503"/>
      <c r="E58" s="3503"/>
      <c r="F58" s="41"/>
    </row>
    <row r="59" spans="1:6" ht="12.75" customHeight="1">
      <c r="A59" s="3488" t="s">
        <v>65</v>
      </c>
      <c r="B59" s="3506"/>
      <c r="C59" s="3506"/>
      <c r="D59" s="3506"/>
      <c r="E59" s="3506"/>
      <c r="F59" s="41"/>
    </row>
    <row r="60" spans="1:6" ht="12.75" customHeight="1">
      <c r="A60" s="3489" t="s">
        <v>66</v>
      </c>
      <c r="B60" s="3505"/>
      <c r="C60" s="3505"/>
      <c r="D60" s="3505"/>
      <c r="E60" s="3505"/>
      <c r="F60" s="41"/>
    </row>
    <row r="61" spans="1:6" ht="12.75" customHeight="1">
      <c r="A61" s="3489" t="s">
        <v>972</v>
      </c>
      <c r="B61" s="3505"/>
      <c r="C61" s="3505"/>
      <c r="D61" s="3505"/>
      <c r="E61" s="3505"/>
      <c r="F61" s="41"/>
    </row>
    <row r="62" spans="1:6" ht="12.75" customHeight="1">
      <c r="A62" s="3493" t="s">
        <v>999</v>
      </c>
      <c r="B62" s="3499">
        <v>280</v>
      </c>
      <c r="C62" s="3500"/>
      <c r="D62" s="3500"/>
      <c r="E62" s="3500"/>
      <c r="F62" s="41"/>
    </row>
    <row r="63" spans="1:6" ht="12.75" customHeight="1">
      <c r="A63" s="3494" t="s">
        <v>943</v>
      </c>
      <c r="B63" s="3501">
        <v>285</v>
      </c>
      <c r="C63" s="3503"/>
      <c r="D63" s="3503"/>
      <c r="E63" s="3503"/>
      <c r="F63" s="41"/>
    </row>
    <row r="64" spans="1:6" ht="12.75" customHeight="1">
      <c r="A64" s="3488" t="s">
        <v>973</v>
      </c>
      <c r="B64" s="3506"/>
      <c r="C64" s="3506"/>
      <c r="D64" s="3506"/>
      <c r="E64" s="3506"/>
      <c r="F64" s="41"/>
    </row>
    <row r="65" spans="1:6" ht="12.75" customHeight="1">
      <c r="A65" s="3493" t="s">
        <v>974</v>
      </c>
      <c r="B65" s="3499">
        <v>290</v>
      </c>
      <c r="C65" s="3500"/>
      <c r="D65" s="3500"/>
      <c r="E65" s="3500"/>
      <c r="F65" s="41"/>
    </row>
    <row r="66" spans="1:6" ht="12.75" customHeight="1">
      <c r="A66" s="3494" t="s">
        <v>977</v>
      </c>
      <c r="B66" s="3501">
        <v>295</v>
      </c>
      <c r="C66" s="3503"/>
      <c r="D66" s="3503"/>
      <c r="E66" s="3503"/>
      <c r="F66" s="41"/>
    </row>
    <row r="67" spans="1:6" ht="12.75" customHeight="1">
      <c r="A67" s="3494" t="s">
        <v>978</v>
      </c>
      <c r="B67" s="3501">
        <v>300</v>
      </c>
      <c r="C67" s="3503"/>
      <c r="D67" s="3503"/>
      <c r="E67" s="3503"/>
      <c r="F67" s="41"/>
    </row>
    <row r="68" spans="1:6" ht="12.75" customHeight="1">
      <c r="A68" s="4466" t="s">
        <v>4818</v>
      </c>
      <c r="B68" s="3507">
        <v>305</v>
      </c>
      <c r="C68" s="3503"/>
      <c r="D68" s="3503"/>
      <c r="E68" s="3503"/>
      <c r="F68" s="41"/>
    </row>
    <row r="69" spans="1:6" ht="12.75" customHeight="1">
      <c r="A69" s="3496" t="s">
        <v>632</v>
      </c>
      <c r="B69" s="3513">
        <v>307</v>
      </c>
      <c r="C69" s="3500"/>
      <c r="D69" s="3500"/>
      <c r="E69" s="3500"/>
      <c r="F69" s="41"/>
    </row>
    <row r="70" spans="1:6" ht="12.75" customHeight="1">
      <c r="A70" s="3494" t="s">
        <v>986</v>
      </c>
      <c r="B70" s="3501">
        <v>310</v>
      </c>
      <c r="C70" s="3503"/>
      <c r="D70" s="3503"/>
      <c r="E70" s="3503"/>
      <c r="F70" s="41"/>
    </row>
    <row r="71" spans="1:6" ht="12.75" customHeight="1">
      <c r="A71" s="3494" t="s">
        <v>989</v>
      </c>
      <c r="B71" s="3501">
        <v>315</v>
      </c>
      <c r="C71" s="3503"/>
      <c r="D71" s="3503"/>
      <c r="E71" s="3503"/>
      <c r="F71" s="41"/>
    </row>
    <row r="72" spans="1:6" ht="12.75" customHeight="1">
      <c r="A72" s="3494" t="s">
        <v>997</v>
      </c>
      <c r="B72" s="3501">
        <v>320</v>
      </c>
      <c r="C72" s="3503"/>
      <c r="D72" s="3503"/>
      <c r="E72" s="3503"/>
      <c r="F72" s="41"/>
    </row>
    <row r="73" spans="1:6" ht="12.75" customHeight="1">
      <c r="A73" s="3494" t="s">
        <v>998</v>
      </c>
      <c r="B73" s="3501">
        <v>325</v>
      </c>
      <c r="C73" s="3503"/>
      <c r="D73" s="3503"/>
      <c r="E73" s="3503"/>
      <c r="F73" s="41"/>
    </row>
    <row r="74" spans="1:6" ht="12.75" customHeight="1">
      <c r="A74" s="3488" t="s">
        <v>67</v>
      </c>
      <c r="B74" s="3506"/>
      <c r="C74" s="3506"/>
      <c r="D74" s="3506"/>
      <c r="E74" s="3506"/>
      <c r="F74" s="41"/>
    </row>
    <row r="75" spans="1:6" ht="12.75" customHeight="1">
      <c r="A75" s="3489" t="s">
        <v>972</v>
      </c>
      <c r="B75" s="3505"/>
      <c r="C75" s="3505"/>
      <c r="D75" s="3505"/>
      <c r="E75" s="3505"/>
      <c r="F75" s="41"/>
    </row>
    <row r="76" spans="1:6" ht="12.75" customHeight="1">
      <c r="A76" s="3493" t="s">
        <v>999</v>
      </c>
      <c r="B76" s="3499">
        <v>330</v>
      </c>
      <c r="C76" s="3500"/>
      <c r="D76" s="3500"/>
      <c r="E76" s="3500"/>
      <c r="F76" s="41"/>
    </row>
    <row r="77" spans="1:6" ht="12.75" customHeight="1">
      <c r="A77" s="3494" t="s">
        <v>943</v>
      </c>
      <c r="B77" s="3501">
        <v>335</v>
      </c>
      <c r="C77" s="3503"/>
      <c r="D77" s="3503"/>
      <c r="E77" s="3503"/>
      <c r="F77" s="41"/>
    </row>
    <row r="78" spans="1:6" ht="12.75" customHeight="1">
      <c r="A78" s="3488" t="s">
        <v>973</v>
      </c>
      <c r="B78" s="3506"/>
      <c r="C78" s="3506"/>
      <c r="D78" s="3506"/>
      <c r="E78" s="3506"/>
      <c r="F78" s="41"/>
    </row>
    <row r="79" spans="1:6" ht="12.75" customHeight="1">
      <c r="A79" s="3493" t="s">
        <v>974</v>
      </c>
      <c r="B79" s="3499">
        <v>340</v>
      </c>
      <c r="C79" s="3500"/>
      <c r="D79" s="3500"/>
      <c r="E79" s="3500"/>
      <c r="F79" s="41"/>
    </row>
    <row r="80" spans="1:6" ht="12.75" customHeight="1">
      <c r="A80" s="3494" t="s">
        <v>977</v>
      </c>
      <c r="B80" s="3501">
        <v>345</v>
      </c>
      <c r="C80" s="3503"/>
      <c r="D80" s="3503"/>
      <c r="E80" s="3503"/>
      <c r="F80" s="41"/>
    </row>
    <row r="81" spans="1:6" ht="12.75" customHeight="1">
      <c r="A81" s="3494" t="s">
        <v>978</v>
      </c>
      <c r="B81" s="3501">
        <v>350</v>
      </c>
      <c r="C81" s="3503"/>
      <c r="D81" s="3503"/>
      <c r="E81" s="3503"/>
      <c r="F81" s="41"/>
    </row>
    <row r="82" spans="1:6" ht="12.75" customHeight="1">
      <c r="A82" s="4466" t="s">
        <v>4818</v>
      </c>
      <c r="B82" s="3499">
        <v>355</v>
      </c>
      <c r="C82" s="3500"/>
      <c r="D82" s="3500"/>
      <c r="E82" s="3500"/>
      <c r="F82" s="41"/>
    </row>
    <row r="83" spans="1:6" ht="12.75" customHeight="1">
      <c r="A83" s="3496" t="s">
        <v>632</v>
      </c>
      <c r="B83" s="3510">
        <v>357</v>
      </c>
      <c r="C83" s="3500"/>
      <c r="D83" s="3500"/>
      <c r="E83" s="3500"/>
      <c r="F83" s="41"/>
    </row>
    <row r="84" spans="1:6" ht="12.75" customHeight="1">
      <c r="A84" s="3494" t="s">
        <v>986</v>
      </c>
      <c r="B84" s="3501">
        <v>360</v>
      </c>
      <c r="C84" s="3503"/>
      <c r="D84" s="3503"/>
      <c r="E84" s="3503"/>
      <c r="F84" s="41"/>
    </row>
    <row r="85" spans="1:6" ht="12.75" customHeight="1">
      <c r="A85" s="3494" t="s">
        <v>989</v>
      </c>
      <c r="B85" s="3501">
        <v>365</v>
      </c>
      <c r="C85" s="3503"/>
      <c r="D85" s="3503"/>
      <c r="E85" s="3503"/>
      <c r="F85" s="41"/>
    </row>
    <row r="86" spans="1:6" ht="12.75" customHeight="1">
      <c r="A86" s="3493" t="s">
        <v>997</v>
      </c>
      <c r="B86" s="3499">
        <v>370</v>
      </c>
      <c r="C86" s="3500"/>
      <c r="D86" s="3500"/>
      <c r="E86" s="3500"/>
      <c r="F86" s="41"/>
    </row>
    <row r="87" spans="1:6" ht="12.75" customHeight="1">
      <c r="A87" s="3494" t="s">
        <v>998</v>
      </c>
      <c r="B87" s="3501">
        <v>375</v>
      </c>
      <c r="C87" s="3503"/>
      <c r="D87" s="3503"/>
      <c r="E87" s="3503"/>
      <c r="F87" s="41"/>
    </row>
    <row r="88" spans="1:6" ht="12.75" customHeight="1">
      <c r="A88" s="2359" t="s">
        <v>77</v>
      </c>
      <c r="B88" s="3129"/>
      <c r="C88" s="3129"/>
      <c r="D88" s="3129"/>
      <c r="E88" s="3129"/>
      <c r="F88" s="41"/>
    </row>
    <row r="89" spans="1:6" ht="12.75" customHeight="1">
      <c r="A89" s="3086" t="s">
        <v>972</v>
      </c>
      <c r="B89" s="3130"/>
      <c r="C89" s="3130"/>
      <c r="D89" s="3130"/>
      <c r="E89" s="3130"/>
      <c r="F89" s="41"/>
    </row>
    <row r="90" spans="1:6" ht="12.75" customHeight="1">
      <c r="A90" s="3101" t="s">
        <v>999</v>
      </c>
      <c r="B90" s="3510">
        <v>425</v>
      </c>
      <c r="C90" s="3500"/>
      <c r="D90" s="3511"/>
      <c r="E90" s="3511"/>
      <c r="F90" s="41"/>
    </row>
    <row r="91" spans="1:6" ht="12.75" customHeight="1">
      <c r="A91" s="3102" t="s">
        <v>943</v>
      </c>
      <c r="B91" s="3509">
        <v>430</v>
      </c>
      <c r="C91" s="3508"/>
      <c r="D91" s="3508"/>
      <c r="E91" s="3508"/>
      <c r="F91" s="41"/>
    </row>
    <row r="92" spans="1:6" ht="12.75" customHeight="1">
      <c r="A92" s="2359" t="s">
        <v>973</v>
      </c>
      <c r="B92" s="3129"/>
      <c r="C92" s="3129"/>
      <c r="D92" s="3129"/>
      <c r="E92" s="3129"/>
      <c r="F92" s="41"/>
    </row>
    <row r="93" spans="1:6" ht="12.75" customHeight="1">
      <c r="A93" s="3101" t="s">
        <v>974</v>
      </c>
      <c r="B93" s="3510">
        <v>435</v>
      </c>
      <c r="C93" s="3500"/>
      <c r="D93" s="3500"/>
      <c r="E93" s="3500"/>
      <c r="F93" s="41"/>
    </row>
    <row r="94" spans="1:6" ht="12.75" customHeight="1">
      <c r="A94" s="3101" t="s">
        <v>977</v>
      </c>
      <c r="B94" s="3512">
        <v>440</v>
      </c>
      <c r="C94" s="3511"/>
      <c r="D94" s="3511"/>
      <c r="E94" s="3500"/>
      <c r="F94" s="41"/>
    </row>
    <row r="95" spans="1:6" ht="12.75" customHeight="1">
      <c r="A95" s="3102" t="s">
        <v>978</v>
      </c>
      <c r="B95" s="3509">
        <v>445</v>
      </c>
      <c r="C95" s="3508"/>
      <c r="D95" s="3508"/>
      <c r="E95" s="3503"/>
      <c r="F95" s="41"/>
    </row>
    <row r="96" spans="1:6" ht="12.75" customHeight="1">
      <c r="A96" s="2365" t="s">
        <v>4818</v>
      </c>
      <c r="B96" s="3509">
        <v>450</v>
      </c>
      <c r="C96" s="3508"/>
      <c r="D96" s="3508"/>
      <c r="E96" s="3503"/>
      <c r="F96" s="41"/>
    </row>
    <row r="97" spans="1:6" ht="12.75" customHeight="1">
      <c r="A97" s="3102" t="s">
        <v>986</v>
      </c>
      <c r="B97" s="3509">
        <v>455</v>
      </c>
      <c r="C97" s="3508"/>
      <c r="D97" s="3508"/>
      <c r="E97" s="3503"/>
      <c r="F97" s="41"/>
    </row>
    <row r="98" spans="1:6" ht="12.75" customHeight="1">
      <c r="A98" s="3102" t="s">
        <v>989</v>
      </c>
      <c r="B98" s="3509">
        <v>460</v>
      </c>
      <c r="C98" s="3508"/>
      <c r="D98" s="3508"/>
      <c r="E98" s="3503"/>
      <c r="F98" s="41"/>
    </row>
    <row r="99" spans="1:6" ht="12.75" customHeight="1">
      <c r="A99" s="3102" t="s">
        <v>997</v>
      </c>
      <c r="B99" s="3509">
        <v>465</v>
      </c>
      <c r="C99" s="3508"/>
      <c r="D99" s="3508"/>
      <c r="E99" s="3503"/>
      <c r="F99" s="41"/>
    </row>
    <row r="100" spans="1:6" ht="12.75" customHeight="1">
      <c r="A100" s="3102" t="s">
        <v>998</v>
      </c>
      <c r="B100" s="3513">
        <v>470</v>
      </c>
      <c r="C100" s="3503"/>
      <c r="D100" s="3503"/>
      <c r="E100" s="3503"/>
      <c r="F100" s="41"/>
    </row>
    <row r="101" spans="1:6" ht="12.75" customHeight="1">
      <c r="A101" s="3488" t="s">
        <v>971</v>
      </c>
      <c r="B101" s="3506"/>
      <c r="C101" s="3506"/>
      <c r="D101" s="3506"/>
      <c r="E101" s="3506"/>
      <c r="F101" s="41"/>
    </row>
    <row r="102" spans="1:6" ht="12.75" customHeight="1">
      <c r="A102" s="3489" t="s">
        <v>972</v>
      </c>
      <c r="B102" s="3505"/>
      <c r="C102" s="3505"/>
      <c r="D102" s="3505"/>
      <c r="E102" s="3505"/>
      <c r="F102" s="41"/>
    </row>
    <row r="103" spans="1:6" ht="12.75" customHeight="1">
      <c r="A103" s="3493" t="s">
        <v>943</v>
      </c>
      <c r="B103" s="3499">
        <v>475</v>
      </c>
      <c r="C103" s="3500"/>
      <c r="D103" s="3500"/>
      <c r="E103" s="3500"/>
      <c r="F103" s="41"/>
    </row>
    <row r="104" spans="1:6" ht="12.75" customHeight="1">
      <c r="A104" s="3488" t="s">
        <v>973</v>
      </c>
      <c r="B104" s="3506"/>
      <c r="C104" s="3506"/>
      <c r="D104" s="3506"/>
      <c r="E104" s="3506"/>
      <c r="F104" s="41"/>
    </row>
    <row r="105" spans="1:6" ht="12.75" customHeight="1">
      <c r="A105" s="3493" t="s">
        <v>974</v>
      </c>
      <c r="B105" s="3499">
        <v>480</v>
      </c>
      <c r="C105" s="3500"/>
      <c r="D105" s="3500"/>
      <c r="E105" s="3500"/>
      <c r="F105" s="41"/>
    </row>
    <row r="106" spans="1:6" ht="12.75" customHeight="1">
      <c r="A106" s="2365" t="s">
        <v>977</v>
      </c>
      <c r="B106" s="3507">
        <v>485</v>
      </c>
      <c r="C106" s="3508"/>
      <c r="D106" s="3508"/>
      <c r="E106" s="3508"/>
      <c r="F106" s="41"/>
    </row>
    <row r="107" spans="1:6" ht="12.75" customHeight="1">
      <c r="A107" s="3494" t="s">
        <v>978</v>
      </c>
      <c r="B107" s="3501">
        <v>490</v>
      </c>
      <c r="C107" s="3503"/>
      <c r="D107" s="3503"/>
      <c r="E107" s="3503"/>
      <c r="F107" s="41"/>
    </row>
    <row r="108" spans="1:6" ht="12.75" customHeight="1">
      <c r="A108" s="2365" t="s">
        <v>4818</v>
      </c>
      <c r="B108" s="3507">
        <v>495</v>
      </c>
      <c r="C108" s="3508"/>
      <c r="D108" s="3508"/>
      <c r="E108" s="3508"/>
      <c r="F108" s="41"/>
    </row>
    <row r="109" spans="1:6" ht="12.75" customHeight="1">
      <c r="A109" s="3494" t="s">
        <v>979</v>
      </c>
      <c r="B109" s="3501">
        <v>500</v>
      </c>
      <c r="C109" s="3503"/>
      <c r="D109" s="3503"/>
      <c r="E109" s="3503"/>
      <c r="F109" s="41"/>
    </row>
    <row r="110" spans="1:6" ht="12.75" customHeight="1">
      <c r="A110" s="3494" t="s">
        <v>986</v>
      </c>
      <c r="B110" s="3501">
        <v>505</v>
      </c>
      <c r="C110" s="3503"/>
      <c r="D110" s="3503"/>
      <c r="E110" s="3503"/>
      <c r="F110" s="41"/>
    </row>
    <row r="111" spans="1:6" ht="12.75" customHeight="1">
      <c r="A111" s="3488" t="s">
        <v>989</v>
      </c>
      <c r="B111" s="3506"/>
      <c r="C111" s="3506"/>
      <c r="D111" s="3506"/>
      <c r="E111" s="3506"/>
      <c r="F111" s="41"/>
    </row>
    <row r="112" spans="1:6" ht="12.75" customHeight="1">
      <c r="A112" s="3493" t="s">
        <v>990</v>
      </c>
      <c r="B112" s="3499">
        <v>510</v>
      </c>
      <c r="C112" s="3500"/>
      <c r="D112" s="3500"/>
      <c r="E112" s="3500"/>
      <c r="F112" s="41"/>
    </row>
    <row r="113" spans="1:6" ht="12.75" customHeight="1">
      <c r="A113" s="3488" t="s">
        <v>991</v>
      </c>
      <c r="B113" s="3506"/>
      <c r="C113" s="3506"/>
      <c r="D113" s="3506"/>
      <c r="E113" s="3506"/>
      <c r="F113" s="41"/>
    </row>
    <row r="114" spans="1:6" ht="12.75" customHeight="1">
      <c r="A114" s="3493" t="s">
        <v>992</v>
      </c>
      <c r="B114" s="3499">
        <v>515</v>
      </c>
      <c r="C114" s="3500"/>
      <c r="D114" s="3500"/>
      <c r="E114" s="3500"/>
      <c r="F114" s="41"/>
    </row>
    <row r="115" spans="1:6" ht="12.75" customHeight="1">
      <c r="A115" s="3494" t="s">
        <v>993</v>
      </c>
      <c r="B115" s="3501">
        <v>520</v>
      </c>
      <c r="C115" s="3503"/>
      <c r="D115" s="3503"/>
      <c r="E115" s="3503"/>
      <c r="F115" s="41"/>
    </row>
    <row r="116" spans="1:6" ht="12.75" customHeight="1">
      <c r="A116" s="1039" t="s">
        <v>51</v>
      </c>
      <c r="B116" s="965">
        <v>525</v>
      </c>
      <c r="C116" s="959"/>
      <c r="D116" s="967"/>
      <c r="E116" s="959"/>
      <c r="F116" s="41"/>
    </row>
    <row r="117" spans="1:6" ht="12.75" customHeight="1">
      <c r="A117" s="1039" t="s">
        <v>995</v>
      </c>
      <c r="B117" s="965">
        <v>530</v>
      </c>
      <c r="C117" s="959"/>
      <c r="D117" s="967"/>
      <c r="E117" s="959"/>
      <c r="F117" s="41"/>
    </row>
    <row r="118" spans="1:6" ht="12.75" customHeight="1">
      <c r="A118" s="1038" t="s">
        <v>996</v>
      </c>
      <c r="B118" s="958">
        <v>535</v>
      </c>
      <c r="C118" s="963"/>
      <c r="D118" s="964"/>
      <c r="E118" s="963"/>
      <c r="F118" s="41"/>
    </row>
    <row r="119" spans="1:6" ht="12.75" customHeight="1">
      <c r="A119" s="1039" t="s">
        <v>997</v>
      </c>
      <c r="B119" s="965">
        <v>540</v>
      </c>
      <c r="C119" s="959"/>
      <c r="D119" s="967"/>
      <c r="E119" s="959"/>
      <c r="F119" s="41"/>
    </row>
    <row r="120" spans="1:6" ht="12.75" customHeight="1">
      <c r="A120" s="1038" t="s">
        <v>998</v>
      </c>
      <c r="B120" s="958">
        <v>545</v>
      </c>
      <c r="C120" s="963"/>
      <c r="D120" s="964"/>
      <c r="E120" s="963"/>
      <c r="F120" s="41"/>
    </row>
    <row r="121" spans="1:6" ht="12.75" customHeight="1">
      <c r="A121" s="1198" t="s">
        <v>5153</v>
      </c>
      <c r="B121" s="2578" t="s">
        <v>4906</v>
      </c>
      <c r="C121" s="961">
        <f>SUM(C40:C120)</f>
        <v>0</v>
      </c>
      <c r="D121" s="961">
        <f t="shared" ref="D121:E121" si="0">SUM(D40:D120)</f>
        <v>0</v>
      </c>
      <c r="E121" s="961">
        <f t="shared" si="0"/>
        <v>0</v>
      </c>
      <c r="F121" s="41"/>
    </row>
    <row r="122" spans="1:6" ht="12.75" customHeight="1">
      <c r="A122" s="6101" t="s">
        <v>4911</v>
      </c>
      <c r="B122" s="6101"/>
      <c r="C122" s="6101"/>
      <c r="D122" s="6101"/>
      <c r="E122" s="6101"/>
      <c r="F122" s="41"/>
    </row>
    <row r="123" spans="1:6" ht="12.75" customHeight="1">
      <c r="A123" s="2864"/>
      <c r="B123" s="1192"/>
      <c r="C123" s="975"/>
      <c r="D123" s="975"/>
      <c r="E123" s="975"/>
      <c r="F123" s="41"/>
    </row>
    <row r="124" spans="1:6" ht="12.75" customHeight="1">
      <c r="A124" s="41"/>
      <c r="B124" s="949"/>
      <c r="C124" s="949"/>
      <c r="D124" s="949"/>
      <c r="E124" s="949"/>
      <c r="F124" s="41"/>
    </row>
  </sheetData>
  <sheetProtection algorithmName="SHA-512" hashValue="dnY1xwpfs6gLfGp5L8mufIx9zYmyQgvKRlwl6OYUovcMLyPLJVMs6qQyQUIoOlP9H3+U6oR3BruCcBDxMaH6Ww==" saltValue="T2+BAwfjMfnQZrSq8OTkkQ==" spinCount="100000" sheet="1" objects="1" scenarios="1"/>
  <mergeCells count="3">
    <mergeCell ref="D1:E1"/>
    <mergeCell ref="D2:E2"/>
    <mergeCell ref="A122:E122"/>
  </mergeCells>
  <phoneticPr fontId="13" type="noConversion"/>
  <dataValidations count="2">
    <dataValidation type="whole" operator="greaterThanOrEqual" showInputMessage="1" showErrorMessage="1" errorTitle="Invalid Data Entry" error="Please enter a positive number or press the delete key or enter a zero." sqref="C103:E103 C105:E110 C112:E112 C114:E120 C65:E73 C79:E87 C62:E63 C40:E41 C43:E47 C49:E50 C52:E58 C10:D10 D16:E16 C76:E77 C15:E15 C93:E100 C90:E91 C18:E19">
      <formula1>0</formula1>
    </dataValidation>
    <dataValidation type="whole" operator="greaterThan" showInputMessage="1" showErrorMessage="1" errorTitle="Invalid beginning cash balance" error="Please enter a number or press the delete key or enter a zero." sqref="C9">
      <formula1>-1000000000</formula1>
    </dataValidation>
  </dataValidations>
  <hyperlinks>
    <hyperlink ref="G1" location="Contents!F1" display="Return to Contents page"/>
  </hyperlinks>
  <printOptions horizontalCentered="1"/>
  <pageMargins left="0.75" right="0.75" top="0.5" bottom="0.5" header="0.3" footer="0.3"/>
  <pageSetup scale="86" fitToHeight="0" orientation="portrait" blackAndWhite="1" r:id="rId1"/>
  <headerFooter scaleWithDoc="0">
    <oddFooter>&amp;L&amp;"Open Sans Light,Regular"&amp;8&amp;D    &amp;T&amp;C&amp;"Open Sans Light,Regular"&amp;8Page &amp;P&amp;R&amp;"Open Sans Light,Regular"&amp;8&amp;A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4" tint="0.39997558519241921"/>
  </sheetPr>
  <dimension ref="A1:Z170"/>
  <sheetViews>
    <sheetView showGridLines="0" zoomScaleNormal="100" zoomScaleSheetLayoutView="100" workbookViewId="0">
      <pane ySplit="8" topLeftCell="A9" activePane="bottomLeft" state="frozen"/>
      <selection activeCell="B22" sqref="B22"/>
      <selection pane="bottomLeft" activeCell="E9" sqref="E9"/>
    </sheetView>
  </sheetViews>
  <sheetFormatPr defaultColWidth="10.6640625" defaultRowHeight="12.75" customHeight="1"/>
  <cols>
    <col min="1" max="1" width="40.6640625" style="119" customWidth="1"/>
    <col min="2" max="2" width="5.6640625" style="1015" customWidth="1"/>
    <col min="3" max="5" width="14.33203125" style="1016" customWidth="1"/>
    <col min="6" max="6" width="2.33203125" style="119" customWidth="1"/>
    <col min="7" max="7" width="21.109375" style="119" customWidth="1"/>
    <col min="8" max="26" width="10.6640625" style="119"/>
    <col min="27" max="16384" width="10.6640625" style="116"/>
  </cols>
  <sheetData>
    <row r="1" spans="1:26" ht="12.75" customHeight="1">
      <c r="A1" s="947" t="s">
        <v>809</v>
      </c>
      <c r="B1" s="1046">
        <f>OPEN!B4</f>
        <v>237</v>
      </c>
      <c r="C1" s="978"/>
      <c r="D1" s="6109" t="s">
        <v>836</v>
      </c>
      <c r="E1" s="6109"/>
      <c r="F1" s="114"/>
      <c r="G1" s="304" t="s">
        <v>754</v>
      </c>
    </row>
    <row r="2" spans="1:26" ht="12.75" customHeight="1">
      <c r="A2" s="978"/>
      <c r="B2" s="979"/>
      <c r="C2" s="978"/>
      <c r="D2" s="6109" t="s">
        <v>921</v>
      </c>
      <c r="E2" s="6109"/>
      <c r="F2" s="114"/>
      <c r="G2" s="114"/>
    </row>
    <row r="3" spans="1:26" ht="12.75" customHeight="1">
      <c r="A3" s="978"/>
      <c r="B3" s="979"/>
      <c r="C3" s="978"/>
      <c r="D3" s="978"/>
      <c r="E3" s="947" t="str">
        <f>OpenData!N2</f>
        <v>2021-2022</v>
      </c>
      <c r="F3" s="114"/>
      <c r="G3" s="114"/>
    </row>
    <row r="4" spans="1:26" ht="12.75" customHeight="1">
      <c r="A4" s="978"/>
      <c r="B4" s="979"/>
      <c r="C4" s="978"/>
      <c r="D4" s="978"/>
      <c r="E4" s="978"/>
      <c r="F4" s="114"/>
      <c r="G4" s="114"/>
    </row>
    <row r="5" spans="1:26" ht="12.75" customHeight="1">
      <c r="A5" s="1042"/>
      <c r="B5" s="979"/>
      <c r="C5" s="980" t="s">
        <v>922</v>
      </c>
      <c r="D5" s="980" t="s">
        <v>922</v>
      </c>
      <c r="E5" s="980" t="s">
        <v>922</v>
      </c>
      <c r="F5" s="114"/>
      <c r="G5" s="114"/>
    </row>
    <row r="6" spans="1:26" ht="12.75" customHeight="1">
      <c r="A6" s="1023"/>
      <c r="B6" s="993" t="s">
        <v>854</v>
      </c>
      <c r="C6" s="982" t="str">
        <f>OpenData!N4</f>
        <v>2019-2020</v>
      </c>
      <c r="D6" s="982" t="str">
        <f>OpenData!O4</f>
        <v>2020-2021</v>
      </c>
      <c r="E6" s="982" t="str">
        <f>OpenData!P4</f>
        <v>2021-2022</v>
      </c>
      <c r="F6" s="114"/>
      <c r="G6" s="114"/>
      <c r="N6" s="120"/>
    </row>
    <row r="7" spans="1:26" ht="12.75" customHeight="1">
      <c r="A7" s="1023" t="s">
        <v>4772</v>
      </c>
      <c r="B7" s="983">
        <v>13</v>
      </c>
      <c r="C7" s="984" t="s">
        <v>893</v>
      </c>
      <c r="D7" s="984" t="s">
        <v>893</v>
      </c>
      <c r="E7" s="984" t="s">
        <v>923</v>
      </c>
      <c r="F7" s="114"/>
      <c r="G7" s="114"/>
      <c r="O7" s="121"/>
      <c r="P7" s="121"/>
      <c r="Q7" s="121"/>
    </row>
    <row r="8" spans="1:26" ht="12.75" customHeight="1">
      <c r="A8" s="1043"/>
      <c r="B8" s="985" t="s">
        <v>858</v>
      </c>
      <c r="C8" s="986">
        <v>1</v>
      </c>
      <c r="D8" s="986">
        <v>2</v>
      </c>
      <c r="E8" s="986">
        <v>3</v>
      </c>
      <c r="F8" s="114"/>
      <c r="G8" s="114"/>
      <c r="O8" s="121"/>
      <c r="P8" s="121"/>
      <c r="Q8" s="121"/>
    </row>
    <row r="9" spans="1:26" ht="12.75" customHeight="1">
      <c r="A9" s="2" t="s">
        <v>924</v>
      </c>
      <c r="B9" s="987">
        <v>1</v>
      </c>
      <c r="C9" s="988">
        <v>25769</v>
      </c>
      <c r="D9" s="989">
        <f>C30</f>
        <v>16546</v>
      </c>
      <c r="E9" s="989">
        <f>D30</f>
        <v>17328</v>
      </c>
      <c r="F9" s="114"/>
      <c r="G9" s="114"/>
      <c r="O9" s="121"/>
      <c r="P9" s="121"/>
      <c r="Q9" s="121"/>
    </row>
    <row r="10" spans="1:26" s="123" customFormat="1" ht="12.75" customHeight="1">
      <c r="A10" s="3974" t="s">
        <v>4940</v>
      </c>
      <c r="B10" s="981">
        <v>3</v>
      </c>
      <c r="C10" s="991"/>
      <c r="D10" s="991"/>
      <c r="E10" s="3141"/>
      <c r="F10" s="117"/>
      <c r="G10" s="117"/>
      <c r="H10" s="124"/>
      <c r="I10" s="124"/>
      <c r="J10" s="124"/>
      <c r="K10" s="124"/>
      <c r="L10" s="124"/>
      <c r="M10" s="124"/>
      <c r="N10" s="124"/>
      <c r="O10" s="125"/>
      <c r="P10" s="125"/>
      <c r="Q10" s="125"/>
      <c r="R10" s="124"/>
      <c r="S10" s="124"/>
      <c r="T10" s="124"/>
      <c r="U10" s="124"/>
      <c r="V10" s="124"/>
      <c r="W10" s="124"/>
      <c r="X10" s="124"/>
      <c r="Y10" s="124"/>
      <c r="Z10" s="124"/>
    </row>
    <row r="11" spans="1:26" s="123" customFormat="1" ht="12.75" customHeight="1">
      <c r="A11" s="3074"/>
      <c r="B11" s="4447"/>
      <c r="C11" s="4447"/>
      <c r="D11" s="4447"/>
      <c r="E11" s="4451"/>
      <c r="F11" s="117"/>
      <c r="G11" s="117"/>
      <c r="H11" s="124"/>
      <c r="I11" s="124"/>
      <c r="J11" s="124"/>
      <c r="K11" s="124"/>
      <c r="L11" s="124"/>
      <c r="M11" s="124"/>
      <c r="N11" s="124"/>
      <c r="O11" s="125"/>
      <c r="P11" s="125"/>
      <c r="Q11" s="125"/>
      <c r="R11" s="124"/>
      <c r="S11" s="124"/>
      <c r="T11" s="124"/>
      <c r="U11" s="124"/>
      <c r="V11" s="124"/>
      <c r="W11" s="124"/>
      <c r="X11" s="124"/>
      <c r="Y11" s="124"/>
      <c r="Z11" s="124"/>
    </row>
    <row r="12" spans="1:26" s="123" customFormat="1" ht="12.75" customHeight="1">
      <c r="A12" s="4448" t="s">
        <v>4767</v>
      </c>
      <c r="B12" s="4449"/>
      <c r="C12" s="4449"/>
      <c r="D12" s="4449"/>
      <c r="E12" s="4450"/>
      <c r="F12" s="117"/>
      <c r="G12" s="117"/>
      <c r="H12" s="124"/>
      <c r="I12" s="124"/>
      <c r="J12" s="124"/>
      <c r="K12" s="124"/>
      <c r="L12" s="124"/>
      <c r="M12" s="124"/>
      <c r="N12" s="124"/>
      <c r="O12" s="125"/>
      <c r="P12" s="125"/>
      <c r="Q12" s="125"/>
      <c r="R12" s="124"/>
      <c r="S12" s="124"/>
      <c r="T12" s="124"/>
      <c r="U12" s="124"/>
      <c r="V12" s="124"/>
      <c r="W12" s="124"/>
      <c r="X12" s="124"/>
      <c r="Y12" s="124"/>
      <c r="Z12" s="124"/>
    </row>
    <row r="13" spans="1:26" s="123" customFormat="1" ht="12.75" customHeight="1">
      <c r="A13" s="3086" t="s">
        <v>13</v>
      </c>
      <c r="B13" s="3130"/>
      <c r="C13" s="3130"/>
      <c r="D13" s="3130"/>
      <c r="E13" s="3130"/>
      <c r="F13" s="117"/>
      <c r="G13" s="117"/>
      <c r="H13" s="124"/>
      <c r="I13" s="124"/>
      <c r="J13" s="124"/>
      <c r="K13" s="124"/>
      <c r="L13" s="124"/>
      <c r="M13" s="124"/>
      <c r="N13" s="124"/>
      <c r="O13" s="125"/>
      <c r="P13" s="125"/>
      <c r="Q13" s="125"/>
      <c r="R13" s="124"/>
      <c r="S13" s="124"/>
      <c r="T13" s="124"/>
      <c r="U13" s="124"/>
      <c r="V13" s="124"/>
      <c r="W13" s="124"/>
      <c r="X13" s="124"/>
      <c r="Y13" s="124"/>
      <c r="Z13" s="124"/>
    </row>
    <row r="14" spans="1:26" s="123" customFormat="1" ht="12.75" customHeight="1">
      <c r="A14" s="3086" t="s">
        <v>645</v>
      </c>
      <c r="B14" s="3130"/>
      <c r="C14" s="3130"/>
      <c r="D14" s="3130"/>
      <c r="E14" s="3130"/>
      <c r="F14" s="117"/>
      <c r="G14" s="117"/>
      <c r="H14" s="124"/>
      <c r="I14" s="124"/>
      <c r="J14" s="124"/>
      <c r="K14" s="124"/>
      <c r="L14" s="124"/>
      <c r="M14" s="124"/>
      <c r="N14" s="124"/>
      <c r="O14" s="125"/>
      <c r="P14" s="125"/>
      <c r="Q14" s="125"/>
      <c r="R14" s="124"/>
      <c r="S14" s="124"/>
      <c r="T14" s="124"/>
      <c r="U14" s="124"/>
      <c r="V14" s="124"/>
      <c r="W14" s="124"/>
      <c r="X14" s="124"/>
      <c r="Y14" s="124"/>
      <c r="Z14" s="124"/>
    </row>
    <row r="15" spans="1:26" s="123" customFormat="1" ht="12.75" customHeight="1">
      <c r="A15" s="3101" t="s">
        <v>646</v>
      </c>
      <c r="B15" s="3119">
        <v>5</v>
      </c>
      <c r="C15" s="3134"/>
      <c r="D15" s="3134"/>
      <c r="E15" s="3131"/>
      <c r="F15" s="117"/>
      <c r="G15" s="117"/>
      <c r="H15" s="124"/>
      <c r="I15" s="124"/>
      <c r="J15" s="124"/>
      <c r="K15" s="124"/>
      <c r="L15" s="124"/>
      <c r="M15" s="124"/>
      <c r="N15" s="124"/>
      <c r="O15" s="124"/>
      <c r="P15" s="124"/>
      <c r="Q15" s="124"/>
      <c r="R15" s="124"/>
      <c r="S15" s="124"/>
      <c r="T15" s="124"/>
      <c r="U15" s="124"/>
      <c r="V15" s="124"/>
      <c r="W15" s="124"/>
      <c r="X15" s="124"/>
      <c r="Y15" s="124"/>
      <c r="Z15" s="124"/>
    </row>
    <row r="16" spans="1:26" s="123" customFormat="1" ht="12.75" customHeight="1">
      <c r="A16" s="3102" t="s">
        <v>647</v>
      </c>
      <c r="B16" s="2028">
        <v>15</v>
      </c>
      <c r="C16" s="3132"/>
      <c r="D16" s="3132"/>
      <c r="E16" s="3131"/>
      <c r="F16" s="117"/>
      <c r="G16" s="117"/>
      <c r="H16" s="124"/>
      <c r="I16" s="124"/>
      <c r="J16" s="124"/>
      <c r="K16" s="124"/>
      <c r="L16" s="124"/>
      <c r="M16" s="124"/>
      <c r="N16" s="126"/>
      <c r="O16" s="124"/>
      <c r="P16" s="124"/>
      <c r="Q16" s="124"/>
      <c r="R16" s="124"/>
      <c r="S16" s="124"/>
      <c r="T16" s="124"/>
      <c r="U16" s="124"/>
      <c r="V16" s="124"/>
      <c r="W16" s="124"/>
      <c r="X16" s="124"/>
      <c r="Y16" s="124"/>
      <c r="Z16" s="124"/>
    </row>
    <row r="17" spans="1:26" s="123" customFormat="1" ht="12.75" customHeight="1">
      <c r="A17" s="3102" t="s">
        <v>873</v>
      </c>
      <c r="B17" s="2028">
        <v>25</v>
      </c>
      <c r="C17" s="3132"/>
      <c r="D17" s="3132"/>
      <c r="E17" s="3139"/>
      <c r="F17" s="117"/>
      <c r="G17" s="117"/>
      <c r="H17" s="124"/>
      <c r="I17" s="124"/>
      <c r="J17" s="124"/>
      <c r="K17" s="124"/>
      <c r="L17" s="124"/>
      <c r="M17" s="124"/>
      <c r="N17" s="124"/>
      <c r="O17" s="127"/>
      <c r="P17" s="127"/>
      <c r="Q17" s="127"/>
      <c r="R17" s="124"/>
      <c r="S17" s="124"/>
      <c r="T17" s="124"/>
      <c r="U17" s="124"/>
      <c r="V17" s="124"/>
      <c r="W17" s="124"/>
      <c r="X17" s="124"/>
      <c r="Y17" s="124"/>
      <c r="Z17" s="124"/>
    </row>
    <row r="18" spans="1:26" s="123" customFormat="1" ht="12.75" customHeight="1">
      <c r="A18" s="3102" t="s">
        <v>71</v>
      </c>
      <c r="B18" s="2028">
        <v>35</v>
      </c>
      <c r="C18" s="3133"/>
      <c r="D18" s="3133"/>
      <c r="E18" s="3132"/>
      <c r="F18" s="117"/>
      <c r="G18" s="117"/>
      <c r="H18" s="124"/>
      <c r="I18" s="124"/>
      <c r="J18" s="124"/>
      <c r="K18" s="124"/>
      <c r="L18" s="124"/>
      <c r="M18" s="124"/>
      <c r="N18" s="124"/>
      <c r="O18" s="127"/>
      <c r="P18" s="127"/>
      <c r="Q18" s="127"/>
      <c r="R18" s="124"/>
      <c r="S18" s="124"/>
      <c r="T18" s="124"/>
      <c r="U18" s="124"/>
      <c r="V18" s="124"/>
      <c r="W18" s="124"/>
      <c r="X18" s="124"/>
      <c r="Y18" s="124"/>
      <c r="Z18" s="124"/>
    </row>
    <row r="19" spans="1:26" s="123" customFormat="1" ht="12.75" customHeight="1">
      <c r="A19" s="3102" t="s">
        <v>648</v>
      </c>
      <c r="B19" s="2028">
        <v>45</v>
      </c>
      <c r="C19" s="3132"/>
      <c r="D19" s="3132"/>
      <c r="E19" s="3485"/>
      <c r="F19" s="117"/>
      <c r="G19" s="117"/>
      <c r="H19" s="124"/>
      <c r="I19" s="124"/>
      <c r="J19" s="124"/>
      <c r="K19" s="124"/>
      <c r="L19" s="124"/>
      <c r="M19" s="124"/>
      <c r="N19" s="124"/>
      <c r="O19" s="127"/>
      <c r="P19" s="127"/>
      <c r="Q19" s="127"/>
      <c r="R19" s="124"/>
      <c r="S19" s="124"/>
      <c r="T19" s="124"/>
      <c r="U19" s="124"/>
      <c r="V19" s="124"/>
      <c r="W19" s="124"/>
      <c r="X19" s="124"/>
      <c r="Y19" s="124"/>
      <c r="Z19" s="124"/>
    </row>
    <row r="20" spans="1:26" s="123" customFormat="1" ht="12.75" customHeight="1">
      <c r="A20" s="3086" t="s">
        <v>18</v>
      </c>
      <c r="B20" s="3130"/>
      <c r="C20" s="3130"/>
      <c r="D20" s="3130"/>
      <c r="E20" s="3130"/>
      <c r="F20" s="117"/>
      <c r="G20" s="117"/>
      <c r="H20" s="124"/>
      <c r="I20" s="124"/>
      <c r="J20" s="124"/>
      <c r="K20" s="124"/>
      <c r="L20" s="124"/>
      <c r="M20" s="124"/>
      <c r="N20" s="124"/>
      <c r="O20" s="127"/>
      <c r="P20" s="127"/>
      <c r="Q20" s="127"/>
      <c r="R20" s="124"/>
      <c r="S20" s="124"/>
      <c r="T20" s="124"/>
      <c r="U20" s="124"/>
      <c r="V20" s="124"/>
      <c r="W20" s="124"/>
      <c r="X20" s="124"/>
      <c r="Y20" s="124"/>
      <c r="Z20" s="124"/>
    </row>
    <row r="21" spans="1:26" s="123" customFormat="1" ht="12.75" customHeight="1">
      <c r="A21" s="3101" t="s">
        <v>20</v>
      </c>
      <c r="B21" s="3119">
        <v>75</v>
      </c>
      <c r="C21" s="3131">
        <v>45390</v>
      </c>
      <c r="D21" s="3131">
        <v>47876</v>
      </c>
      <c r="E21" s="3131">
        <v>47876</v>
      </c>
      <c r="F21" s="117"/>
      <c r="G21" s="117"/>
      <c r="H21" s="124"/>
      <c r="I21" s="124"/>
      <c r="J21" s="124"/>
      <c r="K21" s="124"/>
      <c r="L21" s="124"/>
      <c r="M21" s="124"/>
      <c r="N21" s="124"/>
      <c r="O21" s="124"/>
      <c r="P21" s="124"/>
      <c r="Q21" s="124"/>
      <c r="R21" s="124"/>
      <c r="S21" s="124"/>
      <c r="T21" s="124"/>
      <c r="U21" s="124"/>
      <c r="V21" s="124"/>
      <c r="W21" s="124"/>
      <c r="X21" s="124"/>
      <c r="Y21" s="124"/>
      <c r="Z21" s="124"/>
    </row>
    <row r="22" spans="1:26" s="123" customFormat="1" ht="12.75" customHeight="1">
      <c r="A22" s="3084" t="s">
        <v>37</v>
      </c>
      <c r="B22" s="3136"/>
      <c r="C22" s="3136"/>
      <c r="D22" s="3136"/>
      <c r="E22" s="3136"/>
      <c r="F22" s="117"/>
      <c r="G22" s="117"/>
      <c r="H22" s="124"/>
      <c r="I22" s="124"/>
      <c r="J22" s="124"/>
      <c r="K22" s="124"/>
      <c r="L22" s="124"/>
      <c r="M22" s="124"/>
      <c r="N22" s="124"/>
      <c r="O22" s="124"/>
      <c r="P22" s="124"/>
      <c r="Q22" s="124"/>
      <c r="R22" s="124"/>
      <c r="S22" s="124"/>
      <c r="T22" s="124"/>
      <c r="U22" s="124"/>
      <c r="V22" s="124"/>
      <c r="W22" s="124"/>
      <c r="X22" s="124"/>
      <c r="Y22" s="124"/>
      <c r="Z22" s="124"/>
    </row>
    <row r="23" spans="1:26" s="123" customFormat="1" ht="12.75" customHeight="1">
      <c r="A23" s="3103" t="s">
        <v>631</v>
      </c>
      <c r="B23" s="3108">
        <v>115</v>
      </c>
      <c r="C23" s="3131">
        <v>747</v>
      </c>
      <c r="D23" s="3131">
        <v>533</v>
      </c>
      <c r="E23" s="3131">
        <v>533</v>
      </c>
      <c r="F23" s="117"/>
      <c r="G23" s="117"/>
      <c r="H23" s="124"/>
      <c r="I23" s="124"/>
      <c r="J23" s="124"/>
      <c r="K23" s="124"/>
      <c r="L23" s="124"/>
      <c r="M23" s="124"/>
      <c r="N23" s="124"/>
      <c r="O23" s="124"/>
      <c r="P23" s="124"/>
      <c r="Q23" s="124"/>
      <c r="R23" s="124"/>
      <c r="S23" s="124"/>
      <c r="T23" s="124"/>
      <c r="U23" s="124"/>
      <c r="V23" s="124"/>
      <c r="W23" s="124"/>
      <c r="X23" s="124"/>
      <c r="Y23" s="124"/>
      <c r="Z23" s="124"/>
    </row>
    <row r="24" spans="1:26" s="123" customFormat="1" ht="12.75" customHeight="1">
      <c r="A24" s="3084" t="s">
        <v>39</v>
      </c>
      <c r="B24" s="3136"/>
      <c r="C24" s="3136"/>
      <c r="D24" s="3136"/>
      <c r="E24" s="3136"/>
      <c r="F24" s="117"/>
      <c r="G24" s="117"/>
      <c r="H24" s="124"/>
      <c r="I24" s="124"/>
      <c r="J24" s="124"/>
      <c r="K24" s="124"/>
      <c r="L24" s="124"/>
      <c r="M24" s="124"/>
      <c r="N24" s="124"/>
      <c r="O24" s="124"/>
      <c r="P24" s="124"/>
      <c r="Q24" s="124"/>
      <c r="R24" s="124"/>
      <c r="S24" s="124"/>
      <c r="T24" s="124"/>
      <c r="U24" s="124"/>
      <c r="V24" s="124"/>
      <c r="W24" s="124"/>
      <c r="X24" s="124"/>
      <c r="Y24" s="124"/>
      <c r="Z24" s="124"/>
    </row>
    <row r="25" spans="1:26" s="123" customFormat="1" ht="12.75" customHeight="1">
      <c r="A25" s="3103" t="s">
        <v>40</v>
      </c>
      <c r="B25" s="3108">
        <v>135</v>
      </c>
      <c r="C25" s="3140">
        <f>'C06'!C283</f>
        <v>65000</v>
      </c>
      <c r="D25" s="3140">
        <f>'C06'!D283</f>
        <v>65000</v>
      </c>
      <c r="E25" s="3486">
        <f>'C06'!E283</f>
        <v>341656</v>
      </c>
      <c r="F25" s="117"/>
      <c r="G25" s="677"/>
      <c r="H25" s="124"/>
      <c r="I25" s="124"/>
      <c r="J25" s="124"/>
      <c r="K25" s="124"/>
      <c r="L25" s="124"/>
      <c r="M25" s="124"/>
      <c r="N25" s="124"/>
      <c r="O25" s="124"/>
      <c r="P25" s="124"/>
      <c r="Q25" s="124"/>
      <c r="R25" s="124"/>
      <c r="S25" s="124"/>
      <c r="T25" s="124"/>
      <c r="U25" s="124"/>
      <c r="V25" s="124"/>
      <c r="W25" s="124"/>
      <c r="X25" s="124"/>
      <c r="Y25" s="124"/>
      <c r="Z25" s="124"/>
    </row>
    <row r="26" spans="1:26" s="123" customFormat="1" ht="12.75" customHeight="1">
      <c r="A26" s="1026" t="s">
        <v>308</v>
      </c>
      <c r="B26" s="995">
        <v>140</v>
      </c>
      <c r="C26" s="996">
        <f>'C08'!C287</f>
        <v>250392</v>
      </c>
      <c r="D26" s="996">
        <f>'C08'!D287</f>
        <v>262000</v>
      </c>
      <c r="E26" s="997">
        <f>'C08'!E287</f>
        <v>113200</v>
      </c>
      <c r="F26" s="117"/>
      <c r="G26" s="677"/>
      <c r="H26" s="124"/>
      <c r="I26" s="124"/>
      <c r="J26" s="124"/>
      <c r="K26" s="124"/>
      <c r="L26" s="124"/>
      <c r="M26" s="124"/>
      <c r="N26" s="124"/>
      <c r="O26" s="124"/>
      <c r="P26" s="124"/>
      <c r="Q26" s="124"/>
      <c r="R26" s="124"/>
      <c r="S26" s="124"/>
      <c r="T26" s="124"/>
      <c r="U26" s="124"/>
      <c r="V26" s="124"/>
      <c r="W26" s="124"/>
      <c r="X26" s="124"/>
      <c r="Y26" s="124"/>
      <c r="Z26" s="124"/>
    </row>
    <row r="27" spans="1:26" s="123" customFormat="1" ht="12.75" customHeight="1">
      <c r="A27" s="1026" t="s">
        <v>41</v>
      </c>
      <c r="B27" s="995">
        <v>145</v>
      </c>
      <c r="C27" s="996">
        <f>'C053'!C243</f>
        <v>0</v>
      </c>
      <c r="D27" s="996">
        <f>'C053'!D243</f>
        <v>0</v>
      </c>
      <c r="E27" s="3810" t="s">
        <v>4905</v>
      </c>
      <c r="F27" s="117"/>
      <c r="G27" s="390"/>
      <c r="H27" s="590" t="s">
        <v>3037</v>
      </c>
      <c r="I27" s="124"/>
      <c r="J27" s="124"/>
      <c r="K27" s="124"/>
      <c r="L27" s="124"/>
      <c r="M27" s="124"/>
      <c r="N27" s="124"/>
      <c r="O27" s="124"/>
      <c r="P27" s="124"/>
      <c r="Q27" s="124"/>
      <c r="R27" s="124"/>
      <c r="S27" s="124"/>
      <c r="T27" s="124"/>
      <c r="U27" s="124"/>
      <c r="V27" s="124"/>
      <c r="W27" s="124"/>
      <c r="X27" s="124"/>
      <c r="Y27" s="124"/>
      <c r="Z27" s="124"/>
    </row>
    <row r="28" spans="1:26" s="123" customFormat="1" ht="12.75" customHeight="1">
      <c r="A28" s="1027" t="s">
        <v>653</v>
      </c>
      <c r="B28" s="998">
        <v>170</v>
      </c>
      <c r="C28" s="996">
        <f>SUM(C9:C27)</f>
        <v>387298</v>
      </c>
      <c r="D28" s="996">
        <f>SUM(D9:D27)</f>
        <v>391955</v>
      </c>
      <c r="E28" s="4452">
        <f>SUM(E9:E27)</f>
        <v>520593</v>
      </c>
      <c r="F28" s="117"/>
      <c r="G28" s="117"/>
      <c r="H28" s="591">
        <f>ROUND(SUM('F150'!J29+'F150'!J31)*OpenData!N25,0)</f>
        <v>341656</v>
      </c>
      <c r="I28" s="124"/>
      <c r="J28" s="124"/>
      <c r="K28" s="124"/>
      <c r="L28" s="124"/>
      <c r="M28" s="124"/>
      <c r="N28" s="124"/>
      <c r="O28" s="124"/>
      <c r="P28" s="124"/>
      <c r="Q28" s="124"/>
      <c r="R28" s="124"/>
      <c r="S28" s="124"/>
      <c r="T28" s="124"/>
      <c r="U28" s="124"/>
      <c r="V28" s="124"/>
      <c r="W28" s="124"/>
      <c r="X28" s="124"/>
      <c r="Y28" s="124"/>
      <c r="Z28" s="124"/>
    </row>
    <row r="29" spans="1:26" s="123" customFormat="1" ht="12.75" customHeight="1">
      <c r="A29" s="1026" t="s">
        <v>43</v>
      </c>
      <c r="B29" s="995">
        <v>175</v>
      </c>
      <c r="C29" s="996">
        <f>C166</f>
        <v>370752</v>
      </c>
      <c r="D29" s="996">
        <f>D166</f>
        <v>374627</v>
      </c>
      <c r="E29" s="999">
        <f>IF((E166&lt;=E28),E166,"ERROR")</f>
        <v>515106</v>
      </c>
      <c r="F29" s="117"/>
      <c r="G29" s="296" t="str">
        <f>IF(E29="ERROR","Expenditures must be less than or equal to Resources Available","")</f>
        <v/>
      </c>
      <c r="H29" s="124"/>
      <c r="I29" s="124"/>
      <c r="J29" s="124"/>
      <c r="K29" s="124"/>
      <c r="L29" s="124"/>
      <c r="M29" s="124"/>
      <c r="N29" s="124"/>
      <c r="O29" s="124"/>
      <c r="P29" s="124"/>
      <c r="Q29" s="124"/>
      <c r="R29" s="124"/>
      <c r="S29" s="124"/>
      <c r="T29" s="124"/>
      <c r="U29" s="124"/>
      <c r="V29" s="124"/>
      <c r="W29" s="124"/>
      <c r="X29" s="124"/>
      <c r="Y29" s="124"/>
      <c r="Z29" s="124"/>
    </row>
    <row r="30" spans="1:26" s="123" customFormat="1" ht="12.75" customHeight="1">
      <c r="A30" s="1028" t="s">
        <v>935</v>
      </c>
      <c r="B30" s="995">
        <v>190</v>
      </c>
      <c r="C30" s="996">
        <f>C28-C29</f>
        <v>16546</v>
      </c>
      <c r="D30" s="996">
        <f>D28-D29</f>
        <v>17328</v>
      </c>
      <c r="E30" s="1001">
        <f>IF(ISERROR(E28-E29), "NEGATIVE", E28-E29)</f>
        <v>5487</v>
      </c>
      <c r="F30" s="117"/>
      <c r="G30" s="678"/>
      <c r="H30" s="124"/>
      <c r="I30" s="124"/>
      <c r="J30" s="124"/>
      <c r="K30" s="124"/>
      <c r="L30" s="124"/>
      <c r="M30" s="124"/>
      <c r="N30" s="124"/>
      <c r="O30" s="124"/>
      <c r="P30" s="124"/>
      <c r="Q30" s="124"/>
      <c r="R30" s="124"/>
      <c r="S30" s="124"/>
      <c r="T30" s="124"/>
      <c r="U30" s="124"/>
      <c r="V30" s="124"/>
      <c r="W30" s="124"/>
      <c r="X30" s="124"/>
      <c r="Y30" s="124"/>
      <c r="Z30" s="124"/>
    </row>
    <row r="31" spans="1:26" s="123" customFormat="1" ht="12.75" customHeight="1">
      <c r="A31" s="1029"/>
      <c r="B31" s="1003"/>
      <c r="C31" s="1004"/>
      <c r="D31" s="1004"/>
      <c r="E31" s="1005"/>
      <c r="F31" s="117"/>
      <c r="G31" s="678"/>
      <c r="H31" s="124"/>
      <c r="I31" s="124"/>
      <c r="J31" s="124"/>
      <c r="K31" s="124"/>
      <c r="L31" s="124"/>
      <c r="M31" s="124"/>
      <c r="N31" s="124"/>
      <c r="O31" s="124"/>
      <c r="P31" s="124"/>
      <c r="Q31" s="124"/>
      <c r="R31" s="124"/>
      <c r="S31" s="124"/>
      <c r="T31" s="124"/>
      <c r="U31" s="124"/>
      <c r="V31" s="124"/>
      <c r="W31" s="124"/>
      <c r="X31" s="124"/>
      <c r="Y31" s="124"/>
      <c r="Z31" s="124"/>
    </row>
    <row r="32" spans="1:26" s="3724" customFormat="1" ht="12.75" customHeight="1">
      <c r="A32" s="946" t="str">
        <f>A1</f>
        <v>USD #</v>
      </c>
      <c r="B32" s="4446">
        <f>B1</f>
        <v>237</v>
      </c>
      <c r="C32" s="3731"/>
      <c r="D32" s="6110" t="str">
        <f>D1</f>
        <v>STATE OF KANSAS</v>
      </c>
      <c r="E32" s="6110"/>
      <c r="F32" s="941"/>
      <c r="G32" s="3732"/>
      <c r="H32" s="3723"/>
      <c r="I32" s="3723"/>
      <c r="J32" s="3723"/>
      <c r="K32" s="3723"/>
      <c r="L32" s="3723"/>
      <c r="M32" s="3723"/>
      <c r="N32" s="3723"/>
      <c r="O32" s="3723"/>
      <c r="P32" s="3723"/>
      <c r="Q32" s="3723"/>
      <c r="R32" s="3723"/>
      <c r="S32" s="3723"/>
      <c r="T32" s="3723"/>
      <c r="U32" s="3723"/>
      <c r="V32" s="3723"/>
      <c r="W32" s="3723"/>
      <c r="X32" s="3723"/>
      <c r="Y32" s="3723"/>
      <c r="Z32" s="3723"/>
    </row>
    <row r="33" spans="1:26" s="123" customFormat="1" ht="12.75" customHeight="1">
      <c r="A33" s="669"/>
      <c r="B33" s="936"/>
      <c r="C33" s="936"/>
      <c r="D33" s="6109" t="str">
        <f>D2</f>
        <v>Budget Form USD-E</v>
      </c>
      <c r="E33" s="6109"/>
      <c r="F33" s="117"/>
      <c r="G33" s="679"/>
      <c r="H33" s="124"/>
      <c r="I33" s="124"/>
      <c r="J33" s="124"/>
      <c r="K33" s="124"/>
      <c r="L33" s="124"/>
      <c r="M33" s="124"/>
      <c r="N33" s="124"/>
      <c r="O33" s="124"/>
      <c r="P33" s="124"/>
      <c r="Q33" s="124"/>
      <c r="R33" s="124"/>
      <c r="S33" s="124"/>
      <c r="T33" s="124"/>
      <c r="U33" s="124"/>
      <c r="V33" s="124"/>
      <c r="W33" s="124"/>
      <c r="X33" s="124"/>
      <c r="Y33" s="124"/>
      <c r="Z33" s="124"/>
    </row>
    <row r="34" spans="1:26" s="123" customFormat="1" ht="12.75" customHeight="1">
      <c r="A34" s="941"/>
      <c r="B34" s="980"/>
      <c r="C34" s="1030"/>
      <c r="D34" s="978"/>
      <c r="E34" s="947" t="str">
        <f>E3</f>
        <v>2021-2022</v>
      </c>
      <c r="F34" s="117"/>
      <c r="G34" s="117"/>
      <c r="H34" s="124"/>
      <c r="I34" s="124"/>
      <c r="J34" s="124"/>
      <c r="K34" s="124"/>
      <c r="L34" s="124"/>
      <c r="M34" s="124"/>
      <c r="N34" s="124"/>
      <c r="O34" s="124"/>
      <c r="P34" s="124"/>
      <c r="Q34" s="124"/>
      <c r="R34" s="124"/>
      <c r="S34" s="124"/>
      <c r="T34" s="124"/>
      <c r="U34" s="124"/>
      <c r="V34" s="124"/>
      <c r="W34" s="124"/>
      <c r="X34" s="124"/>
      <c r="Y34" s="124"/>
      <c r="Z34" s="124"/>
    </row>
    <row r="35" spans="1:26" s="123" customFormat="1" ht="12.75" customHeight="1">
      <c r="A35" s="941"/>
      <c r="B35" s="980"/>
      <c r="C35" s="1030"/>
      <c r="D35" s="978"/>
      <c r="E35" s="947"/>
      <c r="F35" s="117"/>
      <c r="G35" s="117"/>
      <c r="H35" s="124"/>
      <c r="I35" s="124"/>
      <c r="J35" s="124"/>
      <c r="K35" s="124"/>
      <c r="L35" s="124"/>
      <c r="M35" s="124"/>
      <c r="N35" s="124"/>
      <c r="O35" s="124"/>
      <c r="P35" s="124"/>
      <c r="Q35" s="124"/>
      <c r="R35" s="124"/>
      <c r="S35" s="124"/>
      <c r="T35" s="124"/>
      <c r="U35" s="124"/>
      <c r="V35" s="124"/>
      <c r="W35" s="124"/>
      <c r="X35" s="124"/>
      <c r="Y35" s="124"/>
      <c r="Z35" s="124"/>
    </row>
    <row r="36" spans="1:26" s="123" customFormat="1" ht="12.75" customHeight="1">
      <c r="A36" s="941"/>
      <c r="B36" s="979"/>
      <c r="C36" s="980" t="s">
        <v>922</v>
      </c>
      <c r="D36" s="980" t="s">
        <v>922</v>
      </c>
      <c r="E36" s="980" t="s">
        <v>922</v>
      </c>
      <c r="F36" s="117"/>
      <c r="G36" s="117"/>
      <c r="H36" s="124"/>
      <c r="I36" s="124"/>
      <c r="J36" s="124"/>
      <c r="K36" s="124"/>
      <c r="L36" s="124"/>
      <c r="M36" s="124"/>
      <c r="N36" s="124"/>
      <c r="O36" s="124"/>
      <c r="P36" s="124"/>
      <c r="Q36" s="124"/>
      <c r="R36" s="124"/>
      <c r="S36" s="124"/>
      <c r="T36" s="124"/>
      <c r="U36" s="124"/>
      <c r="V36" s="124"/>
      <c r="W36" s="124"/>
      <c r="X36" s="124"/>
      <c r="Y36" s="124"/>
      <c r="Z36" s="124"/>
    </row>
    <row r="37" spans="1:26" s="123" customFormat="1" ht="12.75" customHeight="1">
      <c r="A37" s="129"/>
      <c r="B37" s="993" t="s">
        <v>854</v>
      </c>
      <c r="C37" s="982" t="str">
        <f>C6</f>
        <v>2019-2020</v>
      </c>
      <c r="D37" s="982" t="str">
        <f>D6</f>
        <v>2020-2021</v>
      </c>
      <c r="E37" s="982" t="str">
        <f>E6</f>
        <v>2021-2022</v>
      </c>
      <c r="F37" s="117"/>
      <c r="G37" s="117"/>
      <c r="H37" s="124"/>
      <c r="I37" s="124"/>
      <c r="J37" s="124"/>
      <c r="K37" s="124"/>
      <c r="L37" s="124"/>
      <c r="M37" s="124"/>
      <c r="N37" s="124"/>
      <c r="O37" s="124"/>
      <c r="P37" s="124"/>
      <c r="Q37" s="124"/>
      <c r="R37" s="124"/>
      <c r="S37" s="124"/>
      <c r="T37" s="124"/>
      <c r="U37" s="124"/>
      <c r="V37" s="124"/>
      <c r="W37" s="124"/>
      <c r="X37" s="124"/>
      <c r="Y37" s="124"/>
      <c r="Z37" s="124"/>
    </row>
    <row r="38" spans="1:26" s="123" customFormat="1" ht="12.75" customHeight="1">
      <c r="A38" s="129" t="str">
        <f>A7</f>
        <v>AT-RISK (K-12)</v>
      </c>
      <c r="B38" s="1006">
        <v>13</v>
      </c>
      <c r="C38" s="984" t="s">
        <v>893</v>
      </c>
      <c r="D38" s="984" t="s">
        <v>893</v>
      </c>
      <c r="E38" s="984" t="s">
        <v>923</v>
      </c>
      <c r="F38" s="117"/>
      <c r="G38" s="117"/>
      <c r="H38" s="124"/>
      <c r="I38" s="124"/>
      <c r="J38" s="124"/>
      <c r="K38" s="124"/>
      <c r="L38" s="124"/>
      <c r="M38" s="124"/>
      <c r="N38" s="124"/>
      <c r="O38" s="124"/>
      <c r="P38" s="124"/>
      <c r="Q38" s="124"/>
      <c r="R38" s="124"/>
      <c r="S38" s="124"/>
      <c r="T38" s="124"/>
      <c r="U38" s="124"/>
      <c r="V38" s="124"/>
      <c r="W38" s="124"/>
      <c r="X38" s="124"/>
      <c r="Y38" s="124"/>
      <c r="Z38" s="124"/>
    </row>
    <row r="39" spans="1:26" s="123" customFormat="1" ht="12.75" customHeight="1">
      <c r="A39" s="1044"/>
      <c r="B39" s="1006" t="s">
        <v>858</v>
      </c>
      <c r="C39" s="986">
        <v>1</v>
      </c>
      <c r="D39" s="986">
        <v>2</v>
      </c>
      <c r="E39" s="986">
        <v>3</v>
      </c>
      <c r="F39" s="117"/>
      <c r="G39" s="117"/>
      <c r="H39" s="124"/>
      <c r="I39" s="124"/>
      <c r="J39" s="124"/>
      <c r="K39" s="124"/>
      <c r="L39" s="124"/>
      <c r="M39" s="124"/>
      <c r="N39" s="124"/>
      <c r="O39" s="124"/>
      <c r="P39" s="124"/>
      <c r="Q39" s="124"/>
      <c r="R39" s="124"/>
      <c r="S39" s="124"/>
      <c r="T39" s="124"/>
      <c r="U39" s="124"/>
      <c r="V39" s="124"/>
      <c r="W39" s="124"/>
      <c r="X39" s="124"/>
      <c r="Y39" s="124"/>
      <c r="Z39" s="124"/>
    </row>
    <row r="40" spans="1:26" s="123" customFormat="1" ht="12.75" customHeight="1">
      <c r="A40" s="3080"/>
      <c r="B40" s="4272"/>
      <c r="C40" s="4273"/>
      <c r="D40" s="4273"/>
      <c r="E40" s="4274"/>
      <c r="F40" s="117"/>
      <c r="G40" s="117"/>
      <c r="H40" s="124"/>
      <c r="I40" s="124"/>
      <c r="J40" s="124"/>
      <c r="K40" s="124"/>
      <c r="L40" s="124"/>
      <c r="M40" s="124"/>
      <c r="N40" s="124"/>
      <c r="O40" s="124"/>
      <c r="P40" s="124"/>
      <c r="Q40" s="124"/>
      <c r="R40" s="124"/>
      <c r="S40" s="124"/>
      <c r="T40" s="124"/>
      <c r="U40" s="124"/>
      <c r="V40" s="124"/>
      <c r="W40" s="124"/>
      <c r="X40" s="124"/>
      <c r="Y40" s="124"/>
      <c r="Z40" s="124"/>
    </row>
    <row r="41" spans="1:26" s="123" customFormat="1" ht="12.75" customHeight="1">
      <c r="A41" s="4275" t="s">
        <v>60</v>
      </c>
      <c r="B41" s="4276"/>
      <c r="C41" s="4276"/>
      <c r="D41" s="4276"/>
      <c r="E41" s="4277"/>
      <c r="F41" s="117"/>
      <c r="G41" s="117"/>
      <c r="H41" s="124"/>
      <c r="I41" s="124"/>
      <c r="J41" s="124"/>
      <c r="K41" s="124"/>
      <c r="L41" s="124"/>
      <c r="M41" s="124"/>
      <c r="N41" s="124"/>
      <c r="O41" s="124"/>
      <c r="P41" s="124"/>
      <c r="Q41" s="124"/>
      <c r="R41" s="124"/>
      <c r="S41" s="124"/>
      <c r="T41" s="124"/>
      <c r="U41" s="124"/>
      <c r="V41" s="124"/>
      <c r="W41" s="124"/>
      <c r="X41" s="124"/>
      <c r="Y41" s="124"/>
      <c r="Z41" s="124"/>
    </row>
    <row r="42" spans="1:26" s="123" customFormat="1" ht="12.75" customHeight="1">
      <c r="A42" s="3085" t="s">
        <v>940</v>
      </c>
      <c r="B42" s="3137"/>
      <c r="C42" s="3137"/>
      <c r="D42" s="3137"/>
      <c r="E42" s="3137"/>
      <c r="F42" s="117"/>
      <c r="G42" s="117"/>
      <c r="H42" s="124"/>
      <c r="I42" s="124"/>
      <c r="J42" s="124"/>
      <c r="K42" s="124"/>
      <c r="L42" s="124"/>
      <c r="M42" s="124"/>
      <c r="N42" s="124"/>
      <c r="O42" s="124"/>
      <c r="P42" s="124"/>
      <c r="Q42" s="124"/>
      <c r="R42" s="124"/>
      <c r="S42" s="124"/>
      <c r="T42" s="124"/>
      <c r="U42" s="124"/>
      <c r="V42" s="124"/>
      <c r="W42" s="124"/>
      <c r="X42" s="124"/>
      <c r="Y42" s="124"/>
      <c r="Z42" s="124"/>
    </row>
    <row r="43" spans="1:26" s="123" customFormat="1" ht="12.75" customHeight="1">
      <c r="A43" s="3085" t="s">
        <v>941</v>
      </c>
      <c r="B43" s="3137"/>
      <c r="C43" s="3137"/>
      <c r="D43" s="3137"/>
      <c r="E43" s="3137"/>
      <c r="F43" s="117"/>
      <c r="G43" s="117"/>
      <c r="H43" s="124"/>
      <c r="I43" s="124"/>
      <c r="J43" s="124"/>
      <c r="K43" s="124"/>
      <c r="L43" s="124"/>
      <c r="M43" s="124"/>
      <c r="N43" s="124"/>
      <c r="O43" s="124"/>
      <c r="P43" s="124"/>
      <c r="Q43" s="124"/>
      <c r="R43" s="124"/>
      <c r="S43" s="124"/>
      <c r="T43" s="124"/>
      <c r="U43" s="124"/>
      <c r="V43" s="124"/>
      <c r="W43" s="124"/>
      <c r="X43" s="124"/>
      <c r="Y43" s="124"/>
      <c r="Z43" s="124"/>
    </row>
    <row r="44" spans="1:26" s="123" customFormat="1" ht="12.75" customHeight="1">
      <c r="A44" s="3103" t="s">
        <v>942</v>
      </c>
      <c r="B44" s="3108">
        <v>210</v>
      </c>
      <c r="C44" s="3124">
        <v>290086</v>
      </c>
      <c r="D44" s="3124">
        <v>256420</v>
      </c>
      <c r="E44" s="2022">
        <v>300000</v>
      </c>
      <c r="F44" s="117"/>
      <c r="G44" s="117"/>
      <c r="H44" s="124"/>
      <c r="I44" s="124"/>
      <c r="J44" s="124"/>
      <c r="K44" s="124"/>
      <c r="L44" s="124"/>
      <c r="M44" s="124"/>
      <c r="N44" s="124"/>
      <c r="O44" s="124"/>
      <c r="P44" s="124"/>
      <c r="Q44" s="124"/>
      <c r="R44" s="124"/>
      <c r="S44" s="124"/>
      <c r="T44" s="124"/>
      <c r="U44" s="124"/>
      <c r="V44" s="124"/>
      <c r="W44" s="124"/>
      <c r="X44" s="124"/>
      <c r="Y44" s="124"/>
      <c r="Z44" s="124"/>
    </row>
    <row r="45" spans="1:26" s="123" customFormat="1" ht="12.75" customHeight="1">
      <c r="A45" s="3104" t="s">
        <v>302</v>
      </c>
      <c r="B45" s="3109">
        <v>215</v>
      </c>
      <c r="C45" s="2050">
        <v>50848</v>
      </c>
      <c r="D45" s="2050">
        <v>57201</v>
      </c>
      <c r="E45" s="2050">
        <v>60100</v>
      </c>
      <c r="F45" s="117"/>
      <c r="G45" s="117"/>
      <c r="H45" s="124"/>
      <c r="I45" s="124"/>
      <c r="J45" s="124"/>
      <c r="K45" s="124"/>
      <c r="L45" s="124"/>
      <c r="M45" s="124"/>
      <c r="N45" s="124"/>
      <c r="O45" s="124"/>
      <c r="P45" s="124"/>
      <c r="Q45" s="124"/>
      <c r="R45" s="124"/>
      <c r="S45" s="124"/>
      <c r="T45" s="124"/>
      <c r="U45" s="124"/>
      <c r="V45" s="124"/>
      <c r="W45" s="124"/>
      <c r="X45" s="124"/>
      <c r="Y45" s="124"/>
      <c r="Z45" s="124"/>
    </row>
    <row r="46" spans="1:26" s="123" customFormat="1" ht="12.75" customHeight="1">
      <c r="A46" s="3084" t="s">
        <v>944</v>
      </c>
      <c r="B46" s="3136"/>
      <c r="C46" s="3136"/>
      <c r="D46" s="3136"/>
      <c r="E46" s="3136"/>
      <c r="F46" s="117"/>
      <c r="G46" s="117"/>
      <c r="H46" s="124"/>
      <c r="I46" s="124"/>
      <c r="J46" s="124"/>
      <c r="K46" s="124"/>
      <c r="L46" s="124"/>
      <c r="M46" s="124"/>
      <c r="N46" s="124"/>
      <c r="O46" s="124"/>
      <c r="P46" s="124"/>
      <c r="Q46" s="124"/>
      <c r="R46" s="124"/>
      <c r="S46" s="124"/>
      <c r="T46" s="124"/>
      <c r="U46" s="124"/>
      <c r="V46" s="124"/>
      <c r="W46" s="124"/>
      <c r="X46" s="124"/>
      <c r="Y46" s="124"/>
      <c r="Z46" s="124"/>
    </row>
    <row r="47" spans="1:26" s="123" customFormat="1" ht="12.75" customHeight="1">
      <c r="A47" s="3103" t="s">
        <v>945</v>
      </c>
      <c r="B47" s="3108">
        <v>220</v>
      </c>
      <c r="C47" s="3124"/>
      <c r="D47" s="3124"/>
      <c r="E47" s="2022">
        <v>72000</v>
      </c>
      <c r="F47" s="117"/>
      <c r="G47" s="117"/>
      <c r="H47" s="124"/>
      <c r="I47" s="124"/>
      <c r="J47" s="124"/>
      <c r="K47" s="124"/>
      <c r="L47" s="124"/>
      <c r="M47" s="124"/>
      <c r="N47" s="124"/>
      <c r="O47" s="124"/>
      <c r="P47" s="124"/>
      <c r="Q47" s="124"/>
      <c r="R47" s="124"/>
      <c r="S47" s="124"/>
      <c r="T47" s="124"/>
      <c r="U47" s="124"/>
      <c r="V47" s="124"/>
      <c r="W47" s="124"/>
      <c r="X47" s="124"/>
      <c r="Y47" s="124"/>
      <c r="Z47" s="124"/>
    </row>
    <row r="48" spans="1:26" s="123" customFormat="1" ht="12.75" customHeight="1">
      <c r="A48" s="3104" t="s">
        <v>946</v>
      </c>
      <c r="B48" s="3109">
        <v>225</v>
      </c>
      <c r="C48" s="2050">
        <v>23878</v>
      </c>
      <c r="D48" s="2050">
        <v>26713</v>
      </c>
      <c r="E48" s="2050">
        <v>26713</v>
      </c>
      <c r="F48" s="117"/>
      <c r="G48" s="117"/>
      <c r="H48" s="124"/>
      <c r="I48" s="124"/>
      <c r="J48" s="124"/>
      <c r="K48" s="124"/>
      <c r="L48" s="124"/>
      <c r="M48" s="124"/>
      <c r="N48" s="124"/>
      <c r="O48" s="124"/>
      <c r="P48" s="124"/>
      <c r="Q48" s="124"/>
      <c r="R48" s="124"/>
      <c r="S48" s="124"/>
      <c r="T48" s="124"/>
      <c r="U48" s="124"/>
      <c r="V48" s="124"/>
      <c r="W48" s="124"/>
      <c r="X48" s="124"/>
      <c r="Y48" s="124"/>
      <c r="Z48" s="124"/>
    </row>
    <row r="49" spans="1:26" s="123" customFormat="1" ht="12.75" customHeight="1">
      <c r="A49" s="3104" t="s">
        <v>947</v>
      </c>
      <c r="B49" s="3109">
        <v>230</v>
      </c>
      <c r="C49" s="2050">
        <v>298</v>
      </c>
      <c r="D49" s="2050">
        <v>341</v>
      </c>
      <c r="E49" s="2050">
        <v>341</v>
      </c>
      <c r="F49" s="117"/>
      <c r="G49" s="117"/>
      <c r="H49" s="124"/>
      <c r="I49" s="124"/>
      <c r="J49" s="124"/>
      <c r="K49" s="124"/>
      <c r="L49" s="124"/>
      <c r="M49" s="124"/>
      <c r="N49" s="124"/>
      <c r="O49" s="124"/>
      <c r="P49" s="124"/>
      <c r="Q49" s="124"/>
      <c r="R49" s="124"/>
      <c r="S49" s="124"/>
      <c r="T49" s="124"/>
      <c r="U49" s="124"/>
      <c r="V49" s="124"/>
      <c r="W49" s="124"/>
      <c r="X49" s="124"/>
      <c r="Y49" s="124"/>
      <c r="Z49" s="124"/>
    </row>
    <row r="50" spans="1:26" s="123" customFormat="1" ht="12.75" customHeight="1">
      <c r="A50" s="3104" t="s">
        <v>4818</v>
      </c>
      <c r="B50" s="3109">
        <v>235</v>
      </c>
      <c r="C50" s="2050">
        <v>768</v>
      </c>
      <c r="D50" s="2050">
        <v>215</v>
      </c>
      <c r="E50" s="2050">
        <v>215</v>
      </c>
      <c r="F50" s="117"/>
      <c r="G50" s="117"/>
      <c r="H50" s="124"/>
      <c r="I50" s="124"/>
      <c r="J50" s="124"/>
      <c r="K50" s="124"/>
      <c r="L50" s="124"/>
      <c r="M50" s="124"/>
      <c r="N50" s="124"/>
      <c r="O50" s="124"/>
      <c r="P50" s="124"/>
      <c r="Q50" s="124"/>
      <c r="R50" s="124"/>
      <c r="S50" s="124"/>
      <c r="T50" s="124"/>
      <c r="U50" s="124"/>
      <c r="V50" s="124"/>
      <c r="W50" s="124"/>
      <c r="X50" s="124"/>
      <c r="Y50" s="124"/>
      <c r="Z50" s="124"/>
    </row>
    <row r="51" spans="1:26" s="123" customFormat="1" ht="12.75" customHeight="1">
      <c r="A51" s="3481" t="s">
        <v>632</v>
      </c>
      <c r="B51" s="3110">
        <v>237</v>
      </c>
      <c r="C51" s="2050"/>
      <c r="D51" s="2050"/>
      <c r="E51" s="991"/>
      <c r="F51" s="117"/>
      <c r="G51" s="117"/>
      <c r="H51" s="124"/>
      <c r="I51" s="124"/>
      <c r="J51" s="124"/>
      <c r="K51" s="124"/>
      <c r="L51" s="124"/>
      <c r="M51" s="124"/>
      <c r="N51" s="124"/>
      <c r="O51" s="124"/>
      <c r="P51" s="124"/>
      <c r="Q51" s="124"/>
      <c r="R51" s="124"/>
      <c r="S51" s="124"/>
      <c r="T51" s="124"/>
      <c r="U51" s="124"/>
      <c r="V51" s="124"/>
      <c r="W51" s="124"/>
      <c r="X51" s="124"/>
      <c r="Y51" s="124"/>
      <c r="Z51" s="124"/>
    </row>
    <row r="52" spans="1:26" s="123" customFormat="1" ht="12.75" customHeight="1">
      <c r="A52" s="3084" t="s">
        <v>950</v>
      </c>
      <c r="B52" s="3136"/>
      <c r="C52" s="3136"/>
      <c r="D52" s="3136"/>
      <c r="E52" s="3136"/>
      <c r="F52" s="117"/>
      <c r="G52" s="117"/>
      <c r="H52" s="124"/>
      <c r="I52" s="124"/>
      <c r="J52" s="124"/>
      <c r="K52" s="124"/>
      <c r="L52" s="124"/>
      <c r="M52" s="124"/>
      <c r="N52" s="124"/>
      <c r="O52" s="124"/>
      <c r="P52" s="124"/>
      <c r="Q52" s="124"/>
      <c r="R52" s="124"/>
      <c r="S52" s="124"/>
      <c r="T52" s="124"/>
      <c r="U52" s="124"/>
      <c r="V52" s="124"/>
      <c r="W52" s="124"/>
      <c r="X52" s="124"/>
      <c r="Y52" s="124"/>
      <c r="Z52" s="124"/>
    </row>
    <row r="53" spans="1:26" s="123" customFormat="1" ht="12.75" customHeight="1">
      <c r="A53" s="3085" t="s">
        <v>951</v>
      </c>
      <c r="B53" s="3137"/>
      <c r="C53" s="3137"/>
      <c r="D53" s="3137"/>
      <c r="E53" s="3137"/>
      <c r="F53" s="117"/>
      <c r="G53" s="117"/>
      <c r="H53" s="124"/>
      <c r="I53" s="124"/>
      <c r="J53" s="124"/>
      <c r="K53" s="124"/>
      <c r="L53" s="124"/>
      <c r="M53" s="124"/>
      <c r="N53" s="124"/>
      <c r="O53" s="124"/>
      <c r="P53" s="124"/>
      <c r="Q53" s="124"/>
      <c r="R53" s="124"/>
      <c r="S53" s="124"/>
      <c r="T53" s="124"/>
      <c r="U53" s="124"/>
      <c r="V53" s="124"/>
      <c r="W53" s="124"/>
      <c r="X53" s="124"/>
      <c r="Y53" s="124"/>
      <c r="Z53" s="124"/>
    </row>
    <row r="54" spans="1:26" s="123" customFormat="1" ht="12.75" customHeight="1">
      <c r="A54" s="3103" t="s">
        <v>952</v>
      </c>
      <c r="B54" s="3108">
        <v>240</v>
      </c>
      <c r="C54" s="3124"/>
      <c r="D54" s="3124"/>
      <c r="E54" s="2022"/>
      <c r="F54" s="117"/>
      <c r="G54" s="117"/>
      <c r="H54" s="124"/>
      <c r="I54" s="124"/>
      <c r="J54" s="124"/>
      <c r="K54" s="124"/>
      <c r="L54" s="124"/>
      <c r="M54" s="124"/>
      <c r="N54" s="124"/>
      <c r="O54" s="124"/>
      <c r="P54" s="124"/>
      <c r="Q54" s="124"/>
      <c r="R54" s="124"/>
      <c r="S54" s="124"/>
      <c r="T54" s="124"/>
      <c r="U54" s="124"/>
      <c r="V54" s="124"/>
      <c r="W54" s="124"/>
      <c r="X54" s="124"/>
      <c r="Y54" s="124"/>
      <c r="Z54" s="124"/>
    </row>
    <row r="55" spans="1:26" s="123" customFormat="1" ht="12.75" customHeight="1">
      <c r="A55" s="3104" t="s">
        <v>4879</v>
      </c>
      <c r="B55" s="3109">
        <v>245</v>
      </c>
      <c r="C55" s="2050"/>
      <c r="D55" s="2050"/>
      <c r="E55" s="2050"/>
      <c r="F55" s="117"/>
      <c r="G55" s="117"/>
      <c r="H55" s="124"/>
      <c r="I55" s="124"/>
      <c r="J55" s="124"/>
      <c r="K55" s="124"/>
      <c r="L55" s="124"/>
      <c r="M55" s="124"/>
      <c r="N55" s="124"/>
      <c r="O55" s="124"/>
      <c r="P55" s="124"/>
      <c r="Q55" s="124"/>
      <c r="R55" s="124"/>
      <c r="S55" s="124"/>
      <c r="T55" s="124"/>
      <c r="U55" s="124"/>
      <c r="V55" s="124"/>
      <c r="W55" s="124"/>
      <c r="X55" s="124"/>
      <c r="Y55" s="124"/>
      <c r="Z55" s="124"/>
    </row>
    <row r="56" spans="1:26" s="123" customFormat="1" ht="12.75" customHeight="1">
      <c r="A56" s="3104" t="s">
        <v>954</v>
      </c>
      <c r="B56" s="3109">
        <v>250</v>
      </c>
      <c r="C56" s="2050"/>
      <c r="D56" s="2050"/>
      <c r="E56" s="2050"/>
      <c r="F56" s="117"/>
      <c r="G56" s="117"/>
      <c r="H56" s="124"/>
      <c r="I56" s="124"/>
      <c r="J56" s="124"/>
      <c r="K56" s="124"/>
      <c r="L56" s="124"/>
      <c r="M56" s="124"/>
      <c r="N56" s="124"/>
      <c r="O56" s="124"/>
      <c r="P56" s="124"/>
      <c r="Q56" s="124"/>
      <c r="R56" s="124"/>
      <c r="S56" s="124"/>
      <c r="T56" s="124"/>
      <c r="U56" s="124"/>
      <c r="V56" s="124"/>
      <c r="W56" s="124"/>
      <c r="X56" s="124"/>
      <c r="Y56" s="124"/>
      <c r="Z56" s="124"/>
    </row>
    <row r="57" spans="1:26" s="123" customFormat="1" ht="12.75" customHeight="1">
      <c r="A57" s="3084" t="s">
        <v>955</v>
      </c>
      <c r="B57" s="3136"/>
      <c r="C57" s="3136"/>
      <c r="D57" s="3136"/>
      <c r="E57" s="3136"/>
      <c r="F57" s="117"/>
      <c r="G57" s="117"/>
      <c r="H57" s="124"/>
      <c r="I57" s="124"/>
      <c r="J57" s="124"/>
      <c r="K57" s="124"/>
      <c r="L57" s="124"/>
      <c r="M57" s="124"/>
      <c r="N57" s="124"/>
      <c r="O57" s="124"/>
      <c r="P57" s="124"/>
      <c r="Q57" s="124"/>
      <c r="R57" s="124"/>
      <c r="S57" s="124"/>
      <c r="T57" s="124"/>
      <c r="U57" s="124"/>
      <c r="V57" s="124"/>
      <c r="W57" s="124"/>
      <c r="X57" s="124"/>
      <c r="Y57" s="124"/>
      <c r="Z57" s="124"/>
    </row>
    <row r="58" spans="1:26" s="123" customFormat="1" ht="12.75" customHeight="1">
      <c r="A58" s="3103" t="s">
        <v>956</v>
      </c>
      <c r="B58" s="3108">
        <v>255</v>
      </c>
      <c r="C58" s="3124">
        <v>10</v>
      </c>
      <c r="D58" s="3124">
        <v>388</v>
      </c>
      <c r="E58" s="2022">
        <v>388</v>
      </c>
      <c r="F58" s="117"/>
      <c r="G58" s="117"/>
      <c r="H58" s="124"/>
      <c r="I58" s="124"/>
      <c r="J58" s="124"/>
      <c r="K58" s="124"/>
      <c r="L58" s="124"/>
      <c r="M58" s="124"/>
      <c r="N58" s="124"/>
      <c r="O58" s="124"/>
      <c r="P58" s="124"/>
      <c r="Q58" s="124"/>
      <c r="R58" s="124"/>
      <c r="S58" s="124"/>
      <c r="T58" s="124"/>
      <c r="U58" s="124"/>
      <c r="V58" s="124"/>
      <c r="W58" s="124"/>
      <c r="X58" s="124"/>
      <c r="Y58" s="124"/>
      <c r="Z58" s="124"/>
    </row>
    <row r="59" spans="1:26" s="123" customFormat="1" ht="12.75" customHeight="1">
      <c r="A59" s="3104" t="s">
        <v>957</v>
      </c>
      <c r="B59" s="3109">
        <v>260</v>
      </c>
      <c r="C59" s="2050"/>
      <c r="D59" s="2050"/>
      <c r="E59" s="2050"/>
      <c r="F59" s="117"/>
      <c r="G59" s="117"/>
      <c r="H59" s="124"/>
      <c r="I59" s="124"/>
      <c r="J59" s="124"/>
      <c r="K59" s="124"/>
      <c r="L59" s="124"/>
      <c r="M59" s="124"/>
      <c r="N59" s="124"/>
      <c r="O59" s="124"/>
      <c r="P59" s="124"/>
      <c r="Q59" s="124"/>
      <c r="R59" s="124"/>
      <c r="S59" s="124"/>
      <c r="T59" s="124"/>
      <c r="U59" s="124"/>
      <c r="V59" s="124"/>
      <c r="W59" s="124"/>
      <c r="X59" s="124"/>
      <c r="Y59" s="124"/>
      <c r="Z59" s="124"/>
    </row>
    <row r="60" spans="1:26" s="123" customFormat="1" ht="12.75" customHeight="1">
      <c r="A60" s="3482" t="s">
        <v>936</v>
      </c>
      <c r="B60" s="3111">
        <v>263</v>
      </c>
      <c r="C60" s="2050"/>
      <c r="D60" s="2050">
        <v>6056</v>
      </c>
      <c r="E60" s="2050">
        <v>6056</v>
      </c>
      <c r="F60" s="117"/>
      <c r="G60" s="117"/>
      <c r="H60" s="124"/>
      <c r="I60" s="124"/>
      <c r="J60" s="124"/>
      <c r="K60" s="124"/>
      <c r="L60" s="124"/>
      <c r="M60" s="124"/>
      <c r="N60" s="124"/>
      <c r="O60" s="124"/>
      <c r="P60" s="124"/>
      <c r="Q60" s="124"/>
      <c r="R60" s="124"/>
      <c r="S60" s="124"/>
      <c r="T60" s="124"/>
      <c r="U60" s="124"/>
      <c r="V60" s="124"/>
      <c r="W60" s="124"/>
      <c r="X60" s="124"/>
      <c r="Y60" s="124"/>
      <c r="Z60" s="124"/>
    </row>
    <row r="61" spans="1:26" s="123" customFormat="1" ht="12.75" customHeight="1">
      <c r="A61" s="3104" t="s">
        <v>958</v>
      </c>
      <c r="B61" s="3109">
        <v>265</v>
      </c>
      <c r="C61" s="2050"/>
      <c r="D61" s="2050">
        <v>986</v>
      </c>
      <c r="E61" s="2050">
        <v>986</v>
      </c>
      <c r="F61" s="117"/>
      <c r="G61" s="117"/>
      <c r="H61" s="124"/>
      <c r="I61" s="124"/>
      <c r="J61" s="124"/>
      <c r="K61" s="124"/>
      <c r="L61" s="124"/>
      <c r="M61" s="124"/>
      <c r="N61" s="124"/>
      <c r="O61" s="124"/>
      <c r="P61" s="124"/>
      <c r="Q61" s="124"/>
      <c r="R61" s="124"/>
      <c r="S61" s="124"/>
      <c r="T61" s="124"/>
      <c r="U61" s="124"/>
      <c r="V61" s="124"/>
      <c r="W61" s="124"/>
      <c r="X61" s="124"/>
      <c r="Y61" s="124"/>
      <c r="Z61" s="124"/>
    </row>
    <row r="62" spans="1:26" s="123" customFormat="1" ht="12.75" customHeight="1">
      <c r="A62" s="3104" t="s">
        <v>959</v>
      </c>
      <c r="B62" s="3109">
        <v>270</v>
      </c>
      <c r="C62" s="2050"/>
      <c r="D62" s="2050">
        <v>4055</v>
      </c>
      <c r="E62" s="2050">
        <v>4055</v>
      </c>
      <c r="F62" s="117"/>
      <c r="G62" s="117"/>
      <c r="H62" s="124"/>
      <c r="I62" s="124"/>
      <c r="J62" s="124"/>
      <c r="K62" s="124"/>
      <c r="L62" s="124"/>
      <c r="M62" s="124"/>
      <c r="N62" s="124"/>
      <c r="O62" s="124"/>
      <c r="P62" s="124"/>
      <c r="Q62" s="124"/>
      <c r="R62" s="124"/>
      <c r="S62" s="124"/>
      <c r="T62" s="124"/>
      <c r="U62" s="124"/>
      <c r="V62" s="124"/>
      <c r="W62" s="124"/>
      <c r="X62" s="124"/>
      <c r="Y62" s="124"/>
      <c r="Z62" s="124"/>
    </row>
    <row r="63" spans="1:26" s="123" customFormat="1" ht="12.75" customHeight="1">
      <c r="A63" s="3104" t="s">
        <v>960</v>
      </c>
      <c r="B63" s="3109">
        <v>275</v>
      </c>
      <c r="C63" s="2050"/>
      <c r="D63" s="2050"/>
      <c r="E63" s="2050"/>
      <c r="F63" s="117"/>
      <c r="G63" s="117"/>
      <c r="H63" s="124"/>
      <c r="I63" s="124"/>
      <c r="J63" s="124"/>
      <c r="K63" s="124"/>
      <c r="L63" s="124"/>
      <c r="M63" s="124"/>
      <c r="N63" s="124"/>
      <c r="O63" s="124"/>
      <c r="P63" s="124"/>
      <c r="Q63" s="124"/>
      <c r="R63" s="124"/>
      <c r="S63" s="124"/>
      <c r="T63" s="124"/>
      <c r="U63" s="124"/>
      <c r="V63" s="124"/>
      <c r="W63" s="124"/>
      <c r="X63" s="124"/>
      <c r="Y63" s="124"/>
      <c r="Z63" s="124"/>
    </row>
    <row r="64" spans="1:26" s="123" customFormat="1" ht="12.75" customHeight="1">
      <c r="A64" s="2359" t="s">
        <v>65</v>
      </c>
      <c r="B64" s="3129"/>
      <c r="C64" s="3129"/>
      <c r="D64" s="3129"/>
      <c r="E64" s="3129"/>
      <c r="F64" s="117"/>
      <c r="G64" s="680"/>
      <c r="H64" s="124"/>
      <c r="I64" s="124"/>
      <c r="J64" s="124"/>
      <c r="K64" s="124"/>
      <c r="L64" s="124"/>
      <c r="M64" s="124"/>
      <c r="N64" s="124"/>
      <c r="O64" s="124"/>
      <c r="P64" s="124"/>
      <c r="Q64" s="124"/>
      <c r="R64" s="124"/>
      <c r="S64" s="124"/>
      <c r="T64" s="124"/>
      <c r="U64" s="124"/>
      <c r="V64" s="124"/>
      <c r="W64" s="124"/>
      <c r="X64" s="124"/>
      <c r="Y64" s="124"/>
      <c r="Z64" s="124"/>
    </row>
    <row r="65" spans="1:26" s="123" customFormat="1" ht="12.75" customHeight="1">
      <c r="A65" s="3086" t="s">
        <v>66</v>
      </c>
      <c r="B65" s="3130"/>
      <c r="C65" s="3130"/>
      <c r="D65" s="3130"/>
      <c r="E65" s="3130"/>
      <c r="F65" s="117"/>
      <c r="G65" s="680"/>
      <c r="H65" s="124"/>
      <c r="I65" s="124"/>
      <c r="J65" s="124"/>
      <c r="K65" s="124"/>
      <c r="L65" s="124"/>
      <c r="M65" s="124"/>
      <c r="N65" s="124"/>
      <c r="O65" s="124"/>
      <c r="P65" s="124"/>
      <c r="Q65" s="124"/>
      <c r="R65" s="124"/>
      <c r="S65" s="124"/>
      <c r="T65" s="124"/>
      <c r="U65" s="124"/>
      <c r="V65" s="124"/>
      <c r="W65" s="124"/>
      <c r="X65" s="124"/>
      <c r="Y65" s="124"/>
      <c r="Z65" s="124"/>
    </row>
    <row r="66" spans="1:26" s="123" customFormat="1" ht="12.75" customHeight="1">
      <c r="A66" s="3085" t="s">
        <v>972</v>
      </c>
      <c r="B66" s="3137"/>
      <c r="C66" s="3137"/>
      <c r="D66" s="3137"/>
      <c r="E66" s="3137"/>
      <c r="F66" s="117"/>
      <c r="G66" s="680"/>
      <c r="H66" s="124"/>
      <c r="I66" s="124"/>
      <c r="J66" s="124"/>
      <c r="K66" s="124"/>
      <c r="L66" s="124"/>
      <c r="M66" s="124"/>
      <c r="N66" s="124"/>
      <c r="O66" s="124"/>
      <c r="P66" s="124"/>
      <c r="Q66" s="124"/>
      <c r="R66" s="124"/>
      <c r="S66" s="124"/>
      <c r="T66" s="124"/>
      <c r="U66" s="124"/>
      <c r="V66" s="124"/>
      <c r="W66" s="124"/>
      <c r="X66" s="124"/>
      <c r="Y66" s="124"/>
      <c r="Z66" s="124"/>
    </row>
    <row r="67" spans="1:26" s="123" customFormat="1" ht="12.75" customHeight="1">
      <c r="A67" s="3103" t="s">
        <v>999</v>
      </c>
      <c r="B67" s="3108">
        <v>280</v>
      </c>
      <c r="C67" s="3124"/>
      <c r="D67" s="3124"/>
      <c r="E67" s="2022"/>
      <c r="F67" s="117"/>
      <c r="G67" s="680"/>
      <c r="H67" s="124"/>
      <c r="I67" s="124"/>
      <c r="J67" s="124"/>
      <c r="K67" s="124"/>
      <c r="L67" s="124"/>
      <c r="M67" s="124"/>
      <c r="N67" s="124"/>
      <c r="O67" s="124"/>
      <c r="P67" s="124"/>
      <c r="Q67" s="124"/>
      <c r="R67" s="124"/>
      <c r="S67" s="124"/>
      <c r="T67" s="124"/>
      <c r="U67" s="124"/>
      <c r="V67" s="124"/>
      <c r="W67" s="124"/>
      <c r="X67" s="124"/>
      <c r="Y67" s="124"/>
      <c r="Z67" s="124"/>
    </row>
    <row r="68" spans="1:26" s="123" customFormat="1" ht="12.75" customHeight="1">
      <c r="A68" s="3104" t="s">
        <v>943</v>
      </c>
      <c r="B68" s="3109">
        <v>285</v>
      </c>
      <c r="C68" s="2050"/>
      <c r="D68" s="2050"/>
      <c r="E68" s="2050"/>
      <c r="F68" s="117"/>
      <c r="G68" s="680"/>
      <c r="H68" s="124"/>
      <c r="I68" s="124"/>
      <c r="J68" s="124"/>
      <c r="K68" s="124"/>
      <c r="L68" s="124"/>
      <c r="M68" s="124"/>
      <c r="N68" s="124"/>
      <c r="O68" s="124"/>
      <c r="P68" s="124"/>
      <c r="Q68" s="124"/>
      <c r="R68" s="124"/>
      <c r="S68" s="124"/>
      <c r="T68" s="124"/>
      <c r="U68" s="124"/>
      <c r="V68" s="124"/>
      <c r="W68" s="124"/>
      <c r="X68" s="124"/>
      <c r="Y68" s="124"/>
      <c r="Z68" s="124"/>
    </row>
    <row r="69" spans="1:26" ht="12.75" customHeight="1">
      <c r="A69" s="3084" t="s">
        <v>973</v>
      </c>
      <c r="B69" s="3136"/>
      <c r="C69" s="3136"/>
      <c r="D69" s="3136"/>
      <c r="E69" s="3136"/>
      <c r="F69" s="114"/>
      <c r="G69" s="114"/>
    </row>
    <row r="70" spans="1:26" ht="12.75" customHeight="1">
      <c r="A70" s="3103" t="s">
        <v>974</v>
      </c>
      <c r="B70" s="3108">
        <v>290</v>
      </c>
      <c r="C70" s="3124"/>
      <c r="D70" s="3124"/>
      <c r="E70" s="2022"/>
      <c r="F70" s="114"/>
      <c r="G70" s="114"/>
    </row>
    <row r="71" spans="1:26" ht="12.75" customHeight="1">
      <c r="A71" s="3104" t="s">
        <v>977</v>
      </c>
      <c r="B71" s="3109">
        <v>295</v>
      </c>
      <c r="C71" s="2050"/>
      <c r="D71" s="2050"/>
      <c r="E71" s="2050"/>
      <c r="F71" s="114"/>
      <c r="G71" s="114"/>
    </row>
    <row r="72" spans="1:26" ht="12.75" customHeight="1">
      <c r="A72" s="3104" t="s">
        <v>978</v>
      </c>
      <c r="B72" s="3109">
        <v>300</v>
      </c>
      <c r="C72" s="2050"/>
      <c r="D72" s="2050"/>
      <c r="E72" s="2050"/>
      <c r="F72" s="114"/>
      <c r="G72" s="114"/>
    </row>
    <row r="73" spans="1:26" ht="12.75" customHeight="1">
      <c r="A73" s="3104" t="s">
        <v>4818</v>
      </c>
      <c r="B73" s="3114">
        <v>305</v>
      </c>
      <c r="C73" s="2050"/>
      <c r="D73" s="2050"/>
      <c r="E73" s="991"/>
      <c r="F73" s="114"/>
      <c r="G73" s="114"/>
    </row>
    <row r="74" spans="1:26" ht="12.75" customHeight="1">
      <c r="A74" s="3481" t="s">
        <v>979</v>
      </c>
      <c r="B74" s="3110">
        <v>307</v>
      </c>
      <c r="C74" s="2050"/>
      <c r="D74" s="2050"/>
      <c r="E74" s="991"/>
      <c r="F74" s="114"/>
      <c r="G74" s="114"/>
    </row>
    <row r="75" spans="1:26" ht="12.75" customHeight="1">
      <c r="A75" s="3104" t="s">
        <v>986</v>
      </c>
      <c r="B75" s="3109">
        <v>310</v>
      </c>
      <c r="C75" s="2050"/>
      <c r="D75" s="2050"/>
      <c r="E75" s="2050"/>
      <c r="F75" s="114"/>
      <c r="G75" s="114"/>
    </row>
    <row r="76" spans="1:26" ht="12.75" customHeight="1">
      <c r="A76" s="3104" t="s">
        <v>989</v>
      </c>
      <c r="B76" s="3109">
        <v>315</v>
      </c>
      <c r="C76" s="2050"/>
      <c r="D76" s="2050"/>
      <c r="E76" s="2050"/>
      <c r="F76" s="114"/>
      <c r="G76" s="114"/>
    </row>
    <row r="77" spans="1:26" ht="12.75" customHeight="1">
      <c r="A77" s="3104" t="s">
        <v>997</v>
      </c>
      <c r="B77" s="3109">
        <v>320</v>
      </c>
      <c r="C77" s="2050"/>
      <c r="D77" s="2050"/>
      <c r="E77" s="2050"/>
      <c r="F77" s="114"/>
      <c r="G77" s="114"/>
    </row>
    <row r="78" spans="1:26" ht="12.75" customHeight="1">
      <c r="A78" s="3104" t="s">
        <v>998</v>
      </c>
      <c r="B78" s="3109">
        <v>325</v>
      </c>
      <c r="C78" s="2050"/>
      <c r="D78" s="2050"/>
      <c r="E78" s="2050"/>
      <c r="F78" s="114"/>
      <c r="G78" s="114"/>
    </row>
    <row r="79" spans="1:26" ht="12.75" customHeight="1">
      <c r="A79" s="3084" t="s">
        <v>256</v>
      </c>
      <c r="B79" s="3136"/>
      <c r="C79" s="3136"/>
      <c r="D79" s="3136"/>
      <c r="E79" s="3136"/>
      <c r="F79" s="114"/>
      <c r="G79" s="114"/>
    </row>
    <row r="80" spans="1:26" ht="12.75" customHeight="1">
      <c r="A80" s="3085" t="s">
        <v>972</v>
      </c>
      <c r="B80" s="3137"/>
      <c r="C80" s="3137"/>
      <c r="D80" s="3137"/>
      <c r="E80" s="3137"/>
      <c r="F80" s="114"/>
      <c r="G80" s="114"/>
    </row>
    <row r="81" spans="1:7" ht="12.75" customHeight="1">
      <c r="A81" s="3103" t="s">
        <v>999</v>
      </c>
      <c r="B81" s="3108">
        <v>330</v>
      </c>
      <c r="C81" s="3124">
        <v>2585</v>
      </c>
      <c r="D81" s="3124">
        <v>12542</v>
      </c>
      <c r="E81" s="2022">
        <v>12542</v>
      </c>
      <c r="F81" s="114"/>
      <c r="G81" s="114"/>
    </row>
    <row r="82" spans="1:7" ht="12.75" customHeight="1">
      <c r="A82" s="3104" t="s">
        <v>943</v>
      </c>
      <c r="B82" s="3109">
        <v>335</v>
      </c>
      <c r="C82" s="2050">
        <v>1936</v>
      </c>
      <c r="D82" s="2050">
        <v>8434</v>
      </c>
      <c r="E82" s="2050">
        <v>8434</v>
      </c>
      <c r="F82" s="114"/>
      <c r="G82" s="114"/>
    </row>
    <row r="83" spans="1:7" ht="12.75" customHeight="1">
      <c r="A83" s="3084" t="s">
        <v>973</v>
      </c>
      <c r="B83" s="3136"/>
      <c r="C83" s="3136"/>
      <c r="D83" s="3136"/>
      <c r="E83" s="3136"/>
      <c r="F83" s="114"/>
      <c r="G83" s="114"/>
    </row>
    <row r="84" spans="1:7" ht="12.75" customHeight="1">
      <c r="A84" s="3103" t="s">
        <v>974</v>
      </c>
      <c r="B84" s="3108">
        <v>340</v>
      </c>
      <c r="C84" s="3124"/>
      <c r="D84" s="3124"/>
      <c r="E84" s="2022"/>
      <c r="F84" s="114"/>
      <c r="G84" s="114"/>
    </row>
    <row r="85" spans="1:7" ht="12.75" customHeight="1">
      <c r="A85" s="3104" t="s">
        <v>977</v>
      </c>
      <c r="B85" s="3109">
        <v>345</v>
      </c>
      <c r="C85" s="2050">
        <v>343</v>
      </c>
      <c r="D85" s="2050">
        <v>1276</v>
      </c>
      <c r="E85" s="2050">
        <v>1276</v>
      </c>
      <c r="F85" s="114"/>
      <c r="G85" s="114"/>
    </row>
    <row r="86" spans="1:7" ht="12.75" customHeight="1">
      <c r="A86" s="3104" t="s">
        <v>978</v>
      </c>
      <c r="B86" s="3109">
        <v>350</v>
      </c>
      <c r="C86" s="2050"/>
      <c r="D86" s="2050"/>
      <c r="E86" s="2050"/>
      <c r="F86" s="114"/>
      <c r="G86" s="114"/>
    </row>
    <row r="87" spans="1:7" ht="12.75" customHeight="1">
      <c r="A87" s="3104" t="s">
        <v>4818</v>
      </c>
      <c r="B87" s="3114">
        <v>355</v>
      </c>
      <c r="C87" s="2050"/>
      <c r="D87" s="2050"/>
      <c r="E87" s="991"/>
      <c r="F87" s="114"/>
      <c r="G87" s="114"/>
    </row>
    <row r="88" spans="1:7" ht="12.75" customHeight="1">
      <c r="A88" s="3481" t="s">
        <v>979</v>
      </c>
      <c r="B88" s="3110">
        <v>357</v>
      </c>
      <c r="C88" s="2050"/>
      <c r="D88" s="2050"/>
      <c r="E88" s="991"/>
      <c r="F88" s="114"/>
      <c r="G88" s="114"/>
    </row>
    <row r="89" spans="1:7" ht="12.75" customHeight="1">
      <c r="A89" s="3104" t="s">
        <v>986</v>
      </c>
      <c r="B89" s="3109">
        <v>360</v>
      </c>
      <c r="C89" s="2050"/>
      <c r="D89" s="2050"/>
      <c r="E89" s="2050"/>
      <c r="F89" s="114"/>
      <c r="G89" s="114"/>
    </row>
    <row r="90" spans="1:7" ht="12.75" customHeight="1">
      <c r="A90" s="3084" t="s">
        <v>989</v>
      </c>
      <c r="B90" s="3136"/>
      <c r="C90" s="3136"/>
      <c r="D90" s="3136"/>
      <c r="E90" s="3136"/>
      <c r="F90" s="114"/>
      <c r="G90" s="114"/>
    </row>
    <row r="91" spans="1:7" ht="12.75" customHeight="1">
      <c r="A91" s="2363" t="s">
        <v>5140</v>
      </c>
      <c r="B91" s="3116">
        <v>365</v>
      </c>
      <c r="C91" s="3124"/>
      <c r="D91" s="3124"/>
      <c r="E91" s="3124"/>
      <c r="F91" s="114"/>
      <c r="G91" s="114"/>
    </row>
    <row r="92" spans="1:7" ht="12.75" customHeight="1">
      <c r="A92" s="2360" t="s">
        <v>690</v>
      </c>
      <c r="B92" s="3114">
        <v>370</v>
      </c>
      <c r="C92" s="2050"/>
      <c r="D92" s="2050"/>
      <c r="E92" s="991"/>
      <c r="F92" s="114"/>
      <c r="G92" s="114"/>
    </row>
    <row r="93" spans="1:7" ht="12.75" customHeight="1">
      <c r="A93" s="3104" t="s">
        <v>996</v>
      </c>
      <c r="B93" s="3109">
        <v>375</v>
      </c>
      <c r="C93" s="2050"/>
      <c r="D93" s="2050"/>
      <c r="E93" s="2050"/>
      <c r="F93" s="114"/>
      <c r="G93" s="114"/>
    </row>
    <row r="94" spans="1:7" ht="12.75" customHeight="1">
      <c r="A94" s="3104" t="s">
        <v>997</v>
      </c>
      <c r="B94" s="3109">
        <v>380</v>
      </c>
      <c r="C94" s="2050"/>
      <c r="D94" s="2050"/>
      <c r="E94" s="2050"/>
      <c r="F94" s="114"/>
      <c r="G94" s="114"/>
    </row>
    <row r="95" spans="1:7" ht="12.75" customHeight="1">
      <c r="A95" s="3104" t="s">
        <v>998</v>
      </c>
      <c r="B95" s="3109">
        <v>385</v>
      </c>
      <c r="C95" s="2050"/>
      <c r="D95" s="2050"/>
      <c r="E95" s="2050"/>
      <c r="F95" s="114"/>
      <c r="G95" s="114"/>
    </row>
    <row r="96" spans="1:7" ht="12.75" customHeight="1">
      <c r="A96" s="2359" t="s">
        <v>77</v>
      </c>
      <c r="B96" s="3129"/>
      <c r="C96" s="3129"/>
      <c r="D96" s="3129"/>
      <c r="E96" s="3129"/>
      <c r="F96" s="114"/>
      <c r="G96" s="114"/>
    </row>
    <row r="97" spans="1:7" ht="12.75" customHeight="1">
      <c r="A97" s="3086" t="s">
        <v>972</v>
      </c>
      <c r="B97" s="3130"/>
      <c r="C97" s="3130"/>
      <c r="D97" s="3130"/>
      <c r="E97" s="3130"/>
      <c r="F97" s="114"/>
      <c r="G97" s="114"/>
    </row>
    <row r="98" spans="1:7" ht="12.75" customHeight="1">
      <c r="A98" s="3101" t="s">
        <v>999</v>
      </c>
      <c r="B98" s="3119">
        <v>390</v>
      </c>
      <c r="C98" s="3124"/>
      <c r="D98" s="3124"/>
      <c r="E98" s="2022">
        <v>22000</v>
      </c>
      <c r="F98" s="114"/>
      <c r="G98" s="114"/>
    </row>
    <row r="99" spans="1:7" ht="12.75" customHeight="1">
      <c r="A99" s="3102" t="s">
        <v>943</v>
      </c>
      <c r="B99" s="2028">
        <v>395</v>
      </c>
      <c r="C99" s="2050"/>
      <c r="D99" s="2050"/>
      <c r="E99" s="2050"/>
      <c r="F99" s="114"/>
      <c r="G99" s="114"/>
    </row>
    <row r="100" spans="1:7" ht="12.75" customHeight="1">
      <c r="A100" s="2359" t="s">
        <v>973</v>
      </c>
      <c r="B100" s="3129"/>
      <c r="C100" s="3129"/>
      <c r="D100" s="3129"/>
      <c r="E100" s="3129"/>
      <c r="F100" s="128"/>
      <c r="G100" s="114"/>
    </row>
    <row r="101" spans="1:7" ht="12.75" customHeight="1">
      <c r="A101" s="3101" t="s">
        <v>974</v>
      </c>
      <c r="B101" s="3119">
        <v>400</v>
      </c>
      <c r="C101" s="3124"/>
      <c r="D101" s="3124"/>
      <c r="E101" s="2022"/>
      <c r="F101" s="128"/>
      <c r="G101" s="114"/>
    </row>
    <row r="102" spans="1:7" ht="12.75" customHeight="1">
      <c r="A102" s="3101" t="s">
        <v>977</v>
      </c>
      <c r="B102" s="3119">
        <v>405</v>
      </c>
      <c r="C102" s="2050"/>
      <c r="D102" s="2050"/>
      <c r="E102" s="2022"/>
      <c r="F102" s="128"/>
      <c r="G102" s="114"/>
    </row>
    <row r="103" spans="1:7" ht="12.75" customHeight="1">
      <c r="A103" s="3102" t="s">
        <v>978</v>
      </c>
      <c r="B103" s="2028">
        <v>410</v>
      </c>
      <c r="C103" s="2050"/>
      <c r="D103" s="2050"/>
      <c r="E103" s="2050"/>
      <c r="F103" s="128"/>
      <c r="G103" s="114"/>
    </row>
    <row r="104" spans="1:7" ht="12.75" customHeight="1">
      <c r="A104" s="3104" t="s">
        <v>4818</v>
      </c>
      <c r="B104" s="981">
        <v>415</v>
      </c>
      <c r="C104" s="2050"/>
      <c r="D104" s="2050"/>
      <c r="E104" s="991"/>
      <c r="F104" s="128"/>
      <c r="G104" s="114"/>
    </row>
    <row r="105" spans="1:7" ht="12.75" customHeight="1">
      <c r="A105" s="3102" t="s">
        <v>986</v>
      </c>
      <c r="B105" s="2028">
        <v>420</v>
      </c>
      <c r="C105" s="2050"/>
      <c r="D105" s="2050"/>
      <c r="E105" s="2050"/>
      <c r="F105" s="128"/>
      <c r="G105" s="114"/>
    </row>
    <row r="106" spans="1:7" ht="12.75" customHeight="1">
      <c r="A106" s="3102" t="s">
        <v>989</v>
      </c>
      <c r="B106" s="2028">
        <v>425</v>
      </c>
      <c r="C106" s="2050"/>
      <c r="D106" s="2050"/>
      <c r="E106" s="2050"/>
      <c r="F106" s="114"/>
      <c r="G106" s="114"/>
    </row>
    <row r="107" spans="1:7" ht="12.75" customHeight="1">
      <c r="A107" s="3102" t="s">
        <v>997</v>
      </c>
      <c r="B107" s="2028">
        <v>430</v>
      </c>
      <c r="C107" s="2050"/>
      <c r="D107" s="2050"/>
      <c r="E107" s="2050"/>
      <c r="F107" s="114"/>
      <c r="G107" s="114"/>
    </row>
    <row r="108" spans="1:7" ht="12.75" customHeight="1">
      <c r="A108" s="3102" t="s">
        <v>998</v>
      </c>
      <c r="B108" s="2028">
        <v>435</v>
      </c>
      <c r="C108" s="2050"/>
      <c r="D108" s="2050"/>
      <c r="E108" s="2050"/>
      <c r="F108" s="114"/>
      <c r="G108" s="114"/>
    </row>
    <row r="109" spans="1:7" ht="12.75" customHeight="1">
      <c r="A109" s="2068" t="s">
        <v>1320</v>
      </c>
      <c r="B109" s="2092"/>
      <c r="C109" s="2092"/>
      <c r="D109" s="2092"/>
      <c r="E109" s="2092"/>
      <c r="F109" s="114"/>
      <c r="G109" s="114"/>
    </row>
    <row r="110" spans="1:7" ht="12.75" customHeight="1">
      <c r="A110" s="2069" t="s">
        <v>1144</v>
      </c>
      <c r="B110" s="2093"/>
      <c r="C110" s="2093"/>
      <c r="D110" s="2093"/>
      <c r="E110" s="2093"/>
      <c r="F110" s="114"/>
      <c r="G110" s="114"/>
    </row>
    <row r="111" spans="1:7" ht="12.75" customHeight="1">
      <c r="A111" s="2074" t="s">
        <v>1321</v>
      </c>
      <c r="B111" s="2094">
        <v>535</v>
      </c>
      <c r="C111" s="3214"/>
      <c r="D111" s="3214"/>
      <c r="E111" s="3215"/>
      <c r="F111" s="114"/>
      <c r="G111" s="114"/>
    </row>
    <row r="112" spans="1:7" ht="12.75" customHeight="1">
      <c r="A112" s="2075" t="s">
        <v>1308</v>
      </c>
      <c r="B112" s="2095">
        <v>540</v>
      </c>
      <c r="C112" s="3216"/>
      <c r="D112" s="3216"/>
      <c r="E112" s="3216"/>
      <c r="F112" s="114"/>
      <c r="G112" s="114"/>
    </row>
    <row r="113" spans="1:7" ht="12.75" customHeight="1">
      <c r="A113" s="2068" t="s">
        <v>794</v>
      </c>
      <c r="B113" s="2092"/>
      <c r="C113" s="2092"/>
      <c r="D113" s="2092"/>
      <c r="E113" s="2092"/>
      <c r="F113" s="114"/>
      <c r="G113" s="114"/>
    </row>
    <row r="114" spans="1:7" ht="12.75" customHeight="1">
      <c r="A114" s="2074" t="s">
        <v>1323</v>
      </c>
      <c r="B114" s="2096">
        <v>545</v>
      </c>
      <c r="C114" s="3214"/>
      <c r="D114" s="3214"/>
      <c r="E114" s="3214"/>
      <c r="F114" s="114"/>
      <c r="G114" s="114"/>
    </row>
    <row r="115" spans="1:7" ht="12.75" customHeight="1">
      <c r="A115" s="2075" t="s">
        <v>1322</v>
      </c>
      <c r="B115" s="2095">
        <v>550</v>
      </c>
      <c r="C115" s="3216"/>
      <c r="D115" s="3216"/>
      <c r="E115" s="3216"/>
      <c r="F115" s="114"/>
      <c r="G115" s="114"/>
    </row>
    <row r="116" spans="1:7" ht="12.75" customHeight="1">
      <c r="A116" s="2075" t="s">
        <v>1324</v>
      </c>
      <c r="B116" s="2095">
        <v>555</v>
      </c>
      <c r="C116" s="3216"/>
      <c r="D116" s="3216"/>
      <c r="E116" s="3216"/>
      <c r="F116" s="114"/>
      <c r="G116" s="114"/>
    </row>
    <row r="117" spans="1:7" ht="12.75" customHeight="1">
      <c r="A117" s="3104" t="s">
        <v>4818</v>
      </c>
      <c r="B117" s="2095">
        <v>560</v>
      </c>
      <c r="C117" s="3216"/>
      <c r="D117" s="3216"/>
      <c r="E117" s="3216"/>
      <c r="F117" s="114"/>
      <c r="G117" s="114"/>
    </row>
    <row r="118" spans="1:7" ht="12.75" customHeight="1">
      <c r="A118" s="2075" t="s">
        <v>632</v>
      </c>
      <c r="B118" s="2095">
        <v>565</v>
      </c>
      <c r="C118" s="3216"/>
      <c r="D118" s="3216"/>
      <c r="E118" s="3216"/>
      <c r="F118" s="114"/>
      <c r="G118" s="114"/>
    </row>
    <row r="119" spans="1:7" ht="12.75" customHeight="1">
      <c r="A119" s="2075" t="s">
        <v>610</v>
      </c>
      <c r="B119" s="2095">
        <v>570</v>
      </c>
      <c r="C119" s="3216"/>
      <c r="D119" s="3216"/>
      <c r="E119" s="3216"/>
      <c r="F119" s="114"/>
      <c r="G119" s="114"/>
    </row>
    <row r="120" spans="1:7" ht="12.75" customHeight="1">
      <c r="A120" s="2075" t="s">
        <v>1313</v>
      </c>
      <c r="B120" s="2095">
        <v>575</v>
      </c>
      <c r="C120" s="3216"/>
      <c r="D120" s="3216"/>
      <c r="E120" s="3216"/>
      <c r="F120" s="114"/>
      <c r="G120" s="114"/>
    </row>
    <row r="121" spans="1:7" ht="12.75" customHeight="1">
      <c r="A121" s="2075" t="s">
        <v>1314</v>
      </c>
      <c r="B121" s="2095">
        <v>580</v>
      </c>
      <c r="C121" s="3216"/>
      <c r="D121" s="3216"/>
      <c r="E121" s="3216"/>
      <c r="F121" s="114"/>
      <c r="G121" s="114"/>
    </row>
    <row r="122" spans="1:7" ht="12.75" customHeight="1">
      <c r="A122" s="2075" t="s">
        <v>793</v>
      </c>
      <c r="B122" s="2095">
        <v>585</v>
      </c>
      <c r="C122" s="3216"/>
      <c r="D122" s="3216"/>
      <c r="E122" s="3216"/>
      <c r="F122" s="114"/>
      <c r="G122" s="114"/>
    </row>
    <row r="123" spans="1:7" ht="12.75" customHeight="1">
      <c r="A123" s="2359" t="s">
        <v>971</v>
      </c>
      <c r="B123" s="3129"/>
      <c r="C123" s="3129"/>
      <c r="D123" s="3129"/>
      <c r="E123" s="3129"/>
      <c r="F123" s="114"/>
      <c r="G123" s="114"/>
    </row>
    <row r="124" spans="1:7" ht="12.75" customHeight="1">
      <c r="A124" s="3086" t="s">
        <v>972</v>
      </c>
      <c r="B124" s="3130"/>
      <c r="C124" s="3130"/>
      <c r="D124" s="3130"/>
      <c r="E124" s="3130"/>
      <c r="F124" s="114"/>
      <c r="G124" s="114"/>
    </row>
    <row r="125" spans="1:7" ht="12.75" customHeight="1">
      <c r="A125" s="3101" t="s">
        <v>943</v>
      </c>
      <c r="B125" s="3119">
        <v>440</v>
      </c>
      <c r="C125" s="2022"/>
      <c r="D125" s="2022"/>
      <c r="E125" s="2022"/>
      <c r="F125" s="114"/>
      <c r="G125" s="114"/>
    </row>
    <row r="126" spans="1:7" ht="12.75" customHeight="1">
      <c r="A126" s="2359" t="s">
        <v>973</v>
      </c>
      <c r="B126" s="3129"/>
      <c r="C126" s="3129"/>
      <c r="D126" s="3129"/>
      <c r="E126" s="3129"/>
      <c r="F126" s="114"/>
      <c r="G126" s="114"/>
    </row>
    <row r="127" spans="1:7" ht="12.75" customHeight="1">
      <c r="A127" s="3101" t="s">
        <v>974</v>
      </c>
      <c r="B127" s="3119">
        <v>445</v>
      </c>
      <c r="C127" s="3124"/>
      <c r="D127" s="3124"/>
      <c r="E127" s="2022"/>
      <c r="F127" s="114"/>
      <c r="G127" s="114"/>
    </row>
    <row r="128" spans="1:7" ht="12.75" customHeight="1">
      <c r="A128" s="3102" t="s">
        <v>977</v>
      </c>
      <c r="B128" s="2028">
        <v>450</v>
      </c>
      <c r="C128" s="2050"/>
      <c r="D128" s="2050"/>
      <c r="E128" s="2050"/>
      <c r="F128" s="114"/>
      <c r="G128" s="114"/>
    </row>
    <row r="129" spans="1:7" ht="12.75" customHeight="1">
      <c r="A129" s="2361" t="s">
        <v>978</v>
      </c>
      <c r="B129" s="3123">
        <v>455</v>
      </c>
      <c r="C129" s="2050"/>
      <c r="D129" s="2050"/>
      <c r="E129" s="3124"/>
      <c r="F129" s="114"/>
      <c r="G129" s="114"/>
    </row>
    <row r="130" spans="1:7" ht="12.75" customHeight="1">
      <c r="A130" s="3104" t="s">
        <v>4818</v>
      </c>
      <c r="B130" s="2028">
        <v>460</v>
      </c>
      <c r="C130" s="2050"/>
      <c r="D130" s="2050"/>
      <c r="E130" s="2050"/>
      <c r="F130" s="114"/>
      <c r="G130" s="114"/>
    </row>
    <row r="131" spans="1:7" ht="12.75" customHeight="1">
      <c r="A131" s="2359" t="s">
        <v>979</v>
      </c>
      <c r="B131" s="3129"/>
      <c r="C131" s="3129"/>
      <c r="D131" s="3129"/>
      <c r="E131" s="3129"/>
      <c r="F131" s="114"/>
      <c r="G131" s="114"/>
    </row>
    <row r="132" spans="1:7" ht="12.75" customHeight="1">
      <c r="A132" s="3101" t="s">
        <v>980</v>
      </c>
      <c r="B132" s="3119">
        <v>465</v>
      </c>
      <c r="C132" s="3124"/>
      <c r="D132" s="3124"/>
      <c r="E132" s="2022"/>
      <c r="F132" s="114"/>
      <c r="G132" s="114"/>
    </row>
    <row r="133" spans="1:7" ht="12.75" customHeight="1">
      <c r="A133" s="3102" t="s">
        <v>981</v>
      </c>
      <c r="B133" s="2028">
        <v>470</v>
      </c>
      <c r="C133" s="2050"/>
      <c r="D133" s="2050"/>
      <c r="E133" s="2050"/>
      <c r="F133" s="114"/>
      <c r="G133" s="114"/>
    </row>
    <row r="134" spans="1:7" ht="12.75" customHeight="1">
      <c r="A134" s="3102" t="s">
        <v>982</v>
      </c>
      <c r="B134" s="2028">
        <v>475</v>
      </c>
      <c r="C134" s="2050"/>
      <c r="D134" s="2050"/>
      <c r="E134" s="2050"/>
      <c r="F134" s="114"/>
      <c r="G134" s="114"/>
    </row>
    <row r="135" spans="1:7" ht="12.75" customHeight="1">
      <c r="A135" s="3102" t="s">
        <v>983</v>
      </c>
      <c r="B135" s="2028">
        <v>480</v>
      </c>
      <c r="C135" s="2050"/>
      <c r="D135" s="2050"/>
      <c r="E135" s="2050"/>
      <c r="F135" s="114"/>
      <c r="G135" s="114"/>
    </row>
    <row r="136" spans="1:7" ht="12.75" customHeight="1">
      <c r="A136" s="3102" t="s">
        <v>985</v>
      </c>
      <c r="B136" s="2028">
        <v>485</v>
      </c>
      <c r="C136" s="2050"/>
      <c r="D136" s="2050"/>
      <c r="E136" s="2050"/>
      <c r="F136" s="114"/>
      <c r="G136" s="114"/>
    </row>
    <row r="137" spans="1:7" ht="12.75" customHeight="1">
      <c r="A137" s="3102" t="s">
        <v>986</v>
      </c>
      <c r="B137" s="2028">
        <v>490</v>
      </c>
      <c r="C137" s="2050"/>
      <c r="D137" s="2050"/>
      <c r="E137" s="2050"/>
      <c r="F137" s="114"/>
      <c r="G137" s="114"/>
    </row>
    <row r="138" spans="1:7" ht="12.75" customHeight="1">
      <c r="A138" s="2359" t="s">
        <v>989</v>
      </c>
      <c r="B138" s="3129"/>
      <c r="C138" s="3129"/>
      <c r="D138" s="3129"/>
      <c r="E138" s="3129"/>
      <c r="F138" s="114"/>
      <c r="G138" s="114"/>
    </row>
    <row r="139" spans="1:7" ht="12.75" customHeight="1">
      <c r="A139" s="3101" t="s">
        <v>990</v>
      </c>
      <c r="B139" s="3119">
        <v>495</v>
      </c>
      <c r="C139" s="2022"/>
      <c r="D139" s="2022"/>
      <c r="E139" s="2022"/>
      <c r="F139" s="114"/>
      <c r="G139" s="114"/>
    </row>
    <row r="140" spans="1:7" ht="12.75" customHeight="1">
      <c r="A140" s="2359" t="s">
        <v>991</v>
      </c>
      <c r="B140" s="3129"/>
      <c r="C140" s="3129"/>
      <c r="D140" s="3129"/>
      <c r="E140" s="3129"/>
      <c r="F140" s="114"/>
      <c r="G140" s="114"/>
    </row>
    <row r="141" spans="1:7" ht="12.75" customHeight="1">
      <c r="A141" s="3101" t="s">
        <v>992</v>
      </c>
      <c r="B141" s="3119">
        <v>500</v>
      </c>
      <c r="C141" s="3124"/>
      <c r="D141" s="3124"/>
      <c r="E141" s="2022"/>
      <c r="F141" s="114"/>
      <c r="G141" s="114"/>
    </row>
    <row r="142" spans="1:7" ht="12.75" customHeight="1">
      <c r="A142" s="3102" t="s">
        <v>993</v>
      </c>
      <c r="B142" s="2028">
        <v>505</v>
      </c>
      <c r="C142" s="2050"/>
      <c r="D142" s="2050"/>
      <c r="E142" s="2050"/>
      <c r="F142" s="114"/>
      <c r="G142" s="114"/>
    </row>
    <row r="143" spans="1:7" ht="12.75" customHeight="1">
      <c r="A143" s="3102" t="s">
        <v>994</v>
      </c>
      <c r="B143" s="2028">
        <v>510</v>
      </c>
      <c r="C143" s="2050"/>
      <c r="D143" s="2050"/>
      <c r="E143" s="2050"/>
      <c r="F143" s="128"/>
      <c r="G143" s="114"/>
    </row>
    <row r="144" spans="1:7" ht="12.75" customHeight="1">
      <c r="A144" s="3102" t="s">
        <v>995</v>
      </c>
      <c r="B144" s="2028">
        <v>515</v>
      </c>
      <c r="C144" s="2050"/>
      <c r="D144" s="2050"/>
      <c r="E144" s="2050"/>
      <c r="F144" s="128"/>
      <c r="G144" s="114"/>
    </row>
    <row r="145" spans="1:7" ht="12.75" customHeight="1">
      <c r="A145" s="3102" t="s">
        <v>996</v>
      </c>
      <c r="B145" s="2028">
        <v>520</v>
      </c>
      <c r="C145" s="2050"/>
      <c r="D145" s="2050"/>
      <c r="E145" s="2050"/>
      <c r="F145" s="114"/>
      <c r="G145" s="114"/>
    </row>
    <row r="146" spans="1:7" ht="12.75" customHeight="1">
      <c r="A146" s="3102" t="s">
        <v>997</v>
      </c>
      <c r="B146" s="2028">
        <v>525</v>
      </c>
      <c r="C146" s="2050"/>
      <c r="D146" s="2050"/>
      <c r="E146" s="2050"/>
      <c r="F146" s="114"/>
      <c r="G146" s="114"/>
    </row>
    <row r="147" spans="1:7" ht="12.75" customHeight="1">
      <c r="A147" s="3102" t="s">
        <v>998</v>
      </c>
      <c r="B147" s="2028">
        <v>530</v>
      </c>
      <c r="C147" s="2050"/>
      <c r="D147" s="2050"/>
      <c r="E147" s="2050"/>
      <c r="F147" s="114"/>
      <c r="G147" s="114"/>
    </row>
    <row r="148" spans="1:7" ht="12.75" customHeight="1">
      <c r="A148" s="2359" t="s">
        <v>1027</v>
      </c>
      <c r="B148" s="3129"/>
      <c r="C148" s="3129"/>
      <c r="D148" s="3129"/>
      <c r="E148" s="3129"/>
      <c r="F148" s="114"/>
      <c r="G148" s="114"/>
    </row>
    <row r="149" spans="1:7" ht="12.75" customHeight="1">
      <c r="A149" s="3101" t="s">
        <v>795</v>
      </c>
      <c r="B149" s="3119">
        <v>531</v>
      </c>
      <c r="C149" s="3124"/>
      <c r="D149" s="3124"/>
      <c r="E149" s="2022"/>
      <c r="F149" s="114"/>
      <c r="G149" s="114"/>
    </row>
    <row r="150" spans="1:7" ht="12.75" customHeight="1">
      <c r="A150" s="2361" t="s">
        <v>794</v>
      </c>
      <c r="B150" s="3123">
        <v>532</v>
      </c>
      <c r="C150" s="2050"/>
      <c r="D150" s="2050"/>
      <c r="E150" s="3124"/>
      <c r="F150" s="114"/>
      <c r="G150" s="114"/>
    </row>
    <row r="151" spans="1:7" ht="12.75" customHeight="1">
      <c r="A151" s="2362" t="s">
        <v>998</v>
      </c>
      <c r="B151" s="981">
        <v>533</v>
      </c>
      <c r="C151" s="991"/>
      <c r="D151" s="2050"/>
      <c r="E151" s="991"/>
      <c r="F151" s="114"/>
      <c r="G151" s="114"/>
    </row>
    <row r="152" spans="1:7" ht="12.75" customHeight="1">
      <c r="A152" s="2359" t="s">
        <v>1326</v>
      </c>
      <c r="B152" s="3129"/>
      <c r="C152" s="3129"/>
      <c r="D152" s="3129"/>
      <c r="E152" s="3129"/>
      <c r="F152" s="114"/>
      <c r="G152" s="114"/>
    </row>
    <row r="153" spans="1:7" ht="12.75" customHeight="1">
      <c r="A153" s="3086" t="s">
        <v>972</v>
      </c>
      <c r="B153" s="3130"/>
      <c r="C153" s="3130"/>
      <c r="D153" s="3130"/>
      <c r="E153" s="3130"/>
      <c r="F153" s="114"/>
      <c r="G153" s="114"/>
    </row>
    <row r="154" spans="1:7" ht="12.75" customHeight="1">
      <c r="A154" s="3101" t="s">
        <v>999</v>
      </c>
      <c r="B154" s="3125">
        <v>600</v>
      </c>
      <c r="C154" s="3484"/>
      <c r="D154" s="3124"/>
      <c r="E154" s="2022"/>
      <c r="F154" s="114"/>
      <c r="G154" s="114"/>
    </row>
    <row r="155" spans="1:7" ht="12.75" customHeight="1">
      <c r="A155" s="3483" t="s">
        <v>943</v>
      </c>
      <c r="B155" s="3127">
        <v>605</v>
      </c>
      <c r="C155" s="3484"/>
      <c r="D155" s="2050"/>
      <c r="E155" s="2050"/>
      <c r="F155" s="114"/>
      <c r="G155" s="114"/>
    </row>
    <row r="156" spans="1:7" ht="12.75" customHeight="1">
      <c r="A156" s="2359" t="s">
        <v>973</v>
      </c>
      <c r="B156" s="3129"/>
      <c r="C156" s="3129"/>
      <c r="D156" s="3129"/>
      <c r="E156" s="3129"/>
      <c r="F156" s="114"/>
      <c r="G156" s="114"/>
    </row>
    <row r="157" spans="1:7" ht="12.75" customHeight="1">
      <c r="A157" s="3101" t="s">
        <v>1000</v>
      </c>
      <c r="B157" s="3125">
        <v>610</v>
      </c>
      <c r="C157" s="3484"/>
      <c r="D157" s="3124"/>
      <c r="E157" s="2022"/>
      <c r="F157" s="114"/>
      <c r="G157" s="114"/>
    </row>
    <row r="158" spans="1:7" ht="12.75" customHeight="1">
      <c r="A158" s="3102" t="s">
        <v>977</v>
      </c>
      <c r="B158" s="3127">
        <v>615</v>
      </c>
      <c r="C158" s="3484"/>
      <c r="D158" s="2050"/>
      <c r="E158" s="2050"/>
      <c r="F158" s="114"/>
      <c r="G158" s="114"/>
    </row>
    <row r="159" spans="1:7" ht="12.75" customHeight="1">
      <c r="A159" s="2362" t="s">
        <v>978</v>
      </c>
      <c r="B159" s="3128">
        <v>620</v>
      </c>
      <c r="C159" s="3484"/>
      <c r="D159" s="2050"/>
      <c r="E159" s="991"/>
      <c r="F159" s="114"/>
      <c r="G159" s="114"/>
    </row>
    <row r="160" spans="1:7" ht="12.75" customHeight="1">
      <c r="A160" s="3104" t="s">
        <v>4818</v>
      </c>
      <c r="B160" s="3110">
        <v>625</v>
      </c>
      <c r="C160" s="3484"/>
      <c r="D160" s="2050"/>
      <c r="E160" s="991"/>
      <c r="F160" s="114"/>
      <c r="G160" s="114"/>
    </row>
    <row r="161" spans="1:7" ht="12.75" customHeight="1">
      <c r="A161" s="3104" t="s">
        <v>979</v>
      </c>
      <c r="B161" s="3111">
        <v>630</v>
      </c>
      <c r="C161" s="3484"/>
      <c r="D161" s="2050"/>
      <c r="E161" s="2050"/>
      <c r="F161" s="114"/>
      <c r="G161" s="114"/>
    </row>
    <row r="162" spans="1:7" ht="12.75" customHeight="1">
      <c r="A162" s="3104" t="s">
        <v>986</v>
      </c>
      <c r="B162" s="3111">
        <v>635</v>
      </c>
      <c r="C162" s="3484"/>
      <c r="D162" s="2050"/>
      <c r="E162" s="2050"/>
      <c r="F162" s="114"/>
      <c r="G162" s="114"/>
    </row>
    <row r="163" spans="1:7" ht="12.75" customHeight="1">
      <c r="A163" s="3104" t="s">
        <v>989</v>
      </c>
      <c r="B163" s="3111">
        <v>640</v>
      </c>
      <c r="C163" s="3484"/>
      <c r="D163" s="2050"/>
      <c r="E163" s="2050"/>
      <c r="F163" s="114"/>
      <c r="G163" s="114"/>
    </row>
    <row r="164" spans="1:7" ht="12.75" customHeight="1">
      <c r="A164" s="1026" t="s">
        <v>997</v>
      </c>
      <c r="B164" s="1008">
        <v>645</v>
      </c>
      <c r="C164" s="1011"/>
      <c r="D164" s="1007"/>
      <c r="E164" s="1007"/>
      <c r="F164" s="114"/>
      <c r="G164" s="114"/>
    </row>
    <row r="165" spans="1:7" ht="12.75" customHeight="1">
      <c r="A165" s="1025" t="s">
        <v>998</v>
      </c>
      <c r="B165" s="1012">
        <v>650</v>
      </c>
      <c r="C165" s="1011"/>
      <c r="D165" s="2050"/>
      <c r="E165" s="4615"/>
      <c r="F165" s="114"/>
      <c r="G165" s="114"/>
    </row>
    <row r="166" spans="1:7" ht="12.75" customHeight="1">
      <c r="A166" s="1198" t="s">
        <v>5153</v>
      </c>
      <c r="B166" s="2578" t="s">
        <v>4906</v>
      </c>
      <c r="C166" s="1000">
        <f>SUM(C44:C165)</f>
        <v>370752</v>
      </c>
      <c r="D166" s="1000">
        <f t="shared" ref="D166:E166" si="0">SUM(D44:D165)</f>
        <v>374627</v>
      </c>
      <c r="E166" s="1381">
        <f t="shared" si="0"/>
        <v>515106</v>
      </c>
      <c r="F166" s="114"/>
      <c r="G166" s="114"/>
    </row>
    <row r="167" spans="1:7" ht="12.75" customHeight="1">
      <c r="A167" s="6101" t="s">
        <v>4911</v>
      </c>
      <c r="B167" s="6101"/>
      <c r="C167" s="6101"/>
      <c r="D167" s="6101"/>
      <c r="E167" s="6101"/>
      <c r="F167" s="114"/>
      <c r="G167" s="453"/>
    </row>
    <row r="168" spans="1:7" ht="12.75" customHeight="1">
      <c r="A168" s="2864"/>
      <c r="B168" s="1192"/>
      <c r="C168" s="978"/>
      <c r="D168" s="978"/>
      <c r="E168" s="978"/>
      <c r="F168" s="114"/>
      <c r="G168" s="678"/>
    </row>
    <row r="169" spans="1:7" s="119" customFormat="1" ht="12.75" customHeight="1">
      <c r="A169" s="128"/>
      <c r="B169" s="1013"/>
      <c r="C169" s="1014"/>
      <c r="D169" s="1014"/>
      <c r="E169" s="1014"/>
      <c r="F169" s="114"/>
      <c r="G169" s="114"/>
    </row>
    <row r="170" spans="1:7" s="119" customFormat="1" ht="12.75" customHeight="1">
      <c r="A170" s="114"/>
      <c r="B170" s="978"/>
      <c r="C170" s="978"/>
      <c r="D170" s="978"/>
      <c r="E170" s="978"/>
      <c r="F170" s="114"/>
      <c r="G170" s="114"/>
    </row>
  </sheetData>
  <sheetProtection algorithmName="SHA-512" hashValue="mneiWpM12a8PSDCJ/RxDbxNrNW5VNwgXUfgUmeQYjv7YREwU6JpnLPl71m4sTCrgUymvwuokrVKjTByPkFPz4A==" saltValue="sLzuR6sgD0/o3D7zezrkuw==" spinCount="100000" sheet="1" objects="1" scenarios="1"/>
  <mergeCells count="5">
    <mergeCell ref="D1:E1"/>
    <mergeCell ref="D2:E2"/>
    <mergeCell ref="D32:E32"/>
    <mergeCell ref="D33:E33"/>
    <mergeCell ref="A167:E167"/>
  </mergeCells>
  <phoneticPr fontId="13" type="noConversion"/>
  <dataValidations count="2">
    <dataValidation type="whole" operator="greaterThanOrEqual" showInputMessage="1" showErrorMessage="1" errorTitle="Invalid Data Entry " error="Please enter a positive number or press the delete key or enter zero." sqref="C139:E139 C157:E165 E18 C125:E125 C47:E51 C101:E108 C70:E78 C84:E89 C91:E95 C81:E82 C67:E68 C44:E45 C10:D10 C132:E137 C21:E21 C23:E23 C149:E151 C15:E17 C19:D19 C154:E155 C141:E147 C127:E130 C98:E99 C54:E56 C58:E63">
      <formula1>0</formula1>
    </dataValidation>
    <dataValidation type="whole" operator="greaterThanOrEqual" showInputMessage="1" showErrorMessage="1" errorTitle="Invalid Data Entry" error="Please enter a positive number or press the delete key or enter a zero." sqref="C111:E112 C114:E122 D18">
      <formula1>0</formula1>
    </dataValidation>
  </dataValidations>
  <hyperlinks>
    <hyperlink ref="G1" location="Contents!F1" display="Return to Contents page"/>
  </hyperlinks>
  <printOptions horizontalCentered="1"/>
  <pageMargins left="0.75" right="0.75" top="0.5" bottom="0.5" header="0.3" footer="0.3"/>
  <pageSetup scale="86" fitToHeight="0" orientation="portrait" blackAndWhite="1" r:id="rId1"/>
  <headerFooter scaleWithDoc="0">
    <oddFooter>&amp;L&amp;"Open Sans Light,Regular"&amp;8&amp;D    &amp;T&amp;C&amp;"Open Sans Light,Regular"&amp;8Page &amp;P&amp;R&amp;"Open Sans Light,Regular"&amp;8&amp;A</oddFooter>
  </headerFooter>
  <rowBreaks count="1" manualBreakCount="1">
    <brk id="63" max="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tint="0.39997558519241921"/>
  </sheetPr>
  <dimension ref="A1:Z167"/>
  <sheetViews>
    <sheetView showGridLines="0" zoomScaleNormal="100" zoomScaleSheetLayoutView="100" workbookViewId="0">
      <pane ySplit="8" topLeftCell="A9" activePane="bottomLeft" state="frozen"/>
      <selection activeCell="B22" sqref="B22"/>
      <selection pane="bottomLeft" activeCell="B22" sqref="B22"/>
    </sheetView>
  </sheetViews>
  <sheetFormatPr defaultColWidth="10.6640625" defaultRowHeight="12.75" customHeight="1"/>
  <cols>
    <col min="1" max="1" width="40.6640625" style="51" customWidth="1"/>
    <col min="2" max="2" width="5.6640625" style="1075" customWidth="1"/>
    <col min="3" max="5" width="14.33203125" style="1051" customWidth="1"/>
    <col min="6" max="6" width="2.33203125" style="51" customWidth="1"/>
    <col min="7" max="7" width="21.33203125" style="51" customWidth="1"/>
    <col min="8" max="26" width="10.6640625" style="51"/>
    <col min="27" max="16384" width="10.6640625" style="50"/>
  </cols>
  <sheetData>
    <row r="1" spans="1:17" ht="12.75" customHeight="1">
      <c r="A1" s="1045" t="s">
        <v>809</v>
      </c>
      <c r="B1" s="1046">
        <f>OPEN!$B$4</f>
        <v>237</v>
      </c>
      <c r="C1" s="1046"/>
      <c r="D1" s="6112" t="s">
        <v>836</v>
      </c>
      <c r="E1" s="6112"/>
      <c r="F1" s="49"/>
      <c r="G1" s="304" t="s">
        <v>754</v>
      </c>
    </row>
    <row r="2" spans="1:17" ht="12.75" customHeight="1">
      <c r="A2" s="1047"/>
      <c r="B2" s="1048"/>
      <c r="C2" s="1047"/>
      <c r="D2" s="6112" t="s">
        <v>921</v>
      </c>
      <c r="E2" s="6112"/>
      <c r="F2" s="49"/>
    </row>
    <row r="3" spans="1:17" ht="12.75" customHeight="1">
      <c r="A3" s="1047"/>
      <c r="B3" s="1048"/>
      <c r="C3" s="1047"/>
      <c r="D3" s="1047"/>
      <c r="E3" s="1049" t="str">
        <f>OpenData!N2</f>
        <v>2021-2022</v>
      </c>
      <c r="F3" s="49"/>
    </row>
    <row r="4" spans="1:17" ht="12.75" customHeight="1">
      <c r="A4" s="1047"/>
      <c r="B4" s="1048"/>
      <c r="C4" s="1047"/>
      <c r="D4" s="1047"/>
      <c r="E4" s="1047"/>
      <c r="F4" s="49"/>
    </row>
    <row r="5" spans="1:17" ht="12.75" customHeight="1">
      <c r="A5" s="1047"/>
      <c r="B5" s="1048"/>
      <c r="C5" s="1050" t="s">
        <v>922</v>
      </c>
      <c r="D5" s="1050" t="s">
        <v>922</v>
      </c>
      <c r="E5" s="1050" t="s">
        <v>922</v>
      </c>
      <c r="F5" s="49"/>
    </row>
    <row r="6" spans="1:17" ht="12.75" customHeight="1">
      <c r="A6" s="1051"/>
      <c r="B6" s="1052" t="s">
        <v>854</v>
      </c>
      <c r="C6" s="1053" t="str">
        <f>OpenData!N4</f>
        <v>2019-2020</v>
      </c>
      <c r="D6" s="1053" t="str">
        <f>OpenData!O4</f>
        <v>2020-2021</v>
      </c>
      <c r="E6" s="1053" t="str">
        <f>OpenData!P4</f>
        <v>2021-2022</v>
      </c>
      <c r="F6" s="49"/>
      <c r="N6" s="52"/>
    </row>
    <row r="7" spans="1:17" ht="12.75" customHeight="1">
      <c r="A7" s="1054" t="s">
        <v>70</v>
      </c>
      <c r="B7" s="1055">
        <v>14</v>
      </c>
      <c r="C7" s="1056" t="s">
        <v>893</v>
      </c>
      <c r="D7" s="1056" t="s">
        <v>893</v>
      </c>
      <c r="E7" s="1056" t="s">
        <v>923</v>
      </c>
      <c r="F7" s="49"/>
      <c r="O7" s="53"/>
      <c r="P7" s="53"/>
      <c r="Q7" s="53"/>
    </row>
    <row r="8" spans="1:17" ht="12.75" customHeight="1">
      <c r="A8" s="1057"/>
      <c r="B8" s="1058" t="s">
        <v>858</v>
      </c>
      <c r="C8" s="1059">
        <v>1</v>
      </c>
      <c r="D8" s="1059">
        <v>2</v>
      </c>
      <c r="E8" s="1059">
        <v>3</v>
      </c>
      <c r="F8" s="49"/>
      <c r="O8" s="53"/>
      <c r="P8" s="53"/>
      <c r="Q8" s="53"/>
    </row>
    <row r="9" spans="1:17" ht="12.75" customHeight="1">
      <c r="A9" s="1079" t="s">
        <v>1043</v>
      </c>
      <c r="B9" s="1060">
        <v>1</v>
      </c>
      <c r="C9" s="1061">
        <v>1000</v>
      </c>
      <c r="D9" s="1062">
        <f>C25</f>
        <v>2035</v>
      </c>
      <c r="E9" s="1063">
        <f>D25</f>
        <v>1947</v>
      </c>
      <c r="F9" s="49"/>
      <c r="O9" s="53"/>
      <c r="P9" s="53"/>
      <c r="Q9" s="53"/>
    </row>
    <row r="10" spans="1:17" ht="12.75" customHeight="1">
      <c r="A10" s="3974" t="s">
        <v>4940</v>
      </c>
      <c r="B10" s="3460">
        <v>3</v>
      </c>
      <c r="C10" s="1076"/>
      <c r="D10" s="1076"/>
      <c r="E10" s="3451"/>
      <c r="F10" s="49"/>
      <c r="O10" s="53"/>
      <c r="P10" s="53"/>
      <c r="Q10" s="53"/>
    </row>
    <row r="11" spans="1:17" ht="12.75" customHeight="1">
      <c r="A11" s="3447"/>
      <c r="B11" s="4432"/>
      <c r="C11" s="4432"/>
      <c r="D11" s="4432"/>
      <c r="E11" s="4436"/>
      <c r="F11" s="49"/>
      <c r="O11" s="53"/>
      <c r="P11" s="53"/>
      <c r="Q11" s="53"/>
    </row>
    <row r="12" spans="1:17" ht="12.75" customHeight="1">
      <c r="A12" s="4433" t="s">
        <v>4767</v>
      </c>
      <c r="B12" s="4434"/>
      <c r="C12" s="4434"/>
      <c r="D12" s="4434"/>
      <c r="E12" s="4435"/>
      <c r="F12" s="49"/>
      <c r="O12" s="53"/>
      <c r="P12" s="53"/>
      <c r="Q12" s="53"/>
    </row>
    <row r="13" spans="1:17" ht="12.75" customHeight="1">
      <c r="A13" s="3448" t="s">
        <v>13</v>
      </c>
      <c r="B13" s="3462"/>
      <c r="C13" s="3462"/>
      <c r="D13" s="3462"/>
      <c r="E13" s="3462"/>
      <c r="F13" s="49"/>
      <c r="O13" s="54"/>
      <c r="P13" s="54"/>
      <c r="Q13" s="54"/>
    </row>
    <row r="14" spans="1:17" ht="12.75" customHeight="1">
      <c r="A14" s="3452" t="s">
        <v>71</v>
      </c>
      <c r="B14" s="3463">
        <v>5</v>
      </c>
      <c r="C14" s="3464"/>
      <c r="D14" s="3464"/>
      <c r="E14" s="3465"/>
      <c r="F14" s="49"/>
      <c r="O14" s="53"/>
      <c r="P14" s="53"/>
      <c r="Q14" s="53"/>
    </row>
    <row r="15" spans="1:17" ht="12.75" customHeight="1">
      <c r="A15" s="3453" t="s">
        <v>18</v>
      </c>
      <c r="B15" s="3466">
        <v>15</v>
      </c>
      <c r="C15" s="2051"/>
      <c r="D15" s="2051"/>
      <c r="E15" s="3465"/>
      <c r="F15" s="49"/>
    </row>
    <row r="16" spans="1:17" ht="12.75" customHeight="1">
      <c r="A16" s="3447" t="s">
        <v>37</v>
      </c>
      <c r="B16" s="3461"/>
      <c r="C16" s="3461"/>
      <c r="D16" s="3461"/>
      <c r="E16" s="3461"/>
      <c r="F16" s="49"/>
      <c r="N16" s="52"/>
    </row>
    <row r="17" spans="1:26" ht="12.75" customHeight="1">
      <c r="A17" s="3452" t="s">
        <v>72</v>
      </c>
      <c r="B17" s="3463">
        <v>35</v>
      </c>
      <c r="C17" s="3465"/>
      <c r="D17" s="3465"/>
      <c r="E17" s="3465"/>
      <c r="F17" s="49"/>
      <c r="O17" s="55"/>
      <c r="P17" s="55"/>
      <c r="Q17" s="55"/>
    </row>
    <row r="18" spans="1:26" ht="12.75" customHeight="1">
      <c r="A18" s="3454" t="s">
        <v>1138</v>
      </c>
      <c r="B18" s="3138">
        <v>40</v>
      </c>
      <c r="C18" s="3467"/>
      <c r="D18" s="3467"/>
      <c r="E18" s="3467"/>
      <c r="F18" s="49"/>
      <c r="O18" s="55"/>
      <c r="P18" s="55"/>
      <c r="Q18" s="55"/>
    </row>
    <row r="19" spans="1:26" ht="12.75" customHeight="1">
      <c r="A19" s="3447" t="s">
        <v>39</v>
      </c>
      <c r="B19" s="3461"/>
      <c r="C19" s="3461"/>
      <c r="D19" s="3461"/>
      <c r="E19" s="3461"/>
      <c r="F19" s="49"/>
      <c r="O19" s="55"/>
      <c r="P19" s="55"/>
      <c r="Q19" s="55"/>
    </row>
    <row r="20" spans="1:26" ht="12.75" customHeight="1">
      <c r="A20" s="3452" t="s">
        <v>40</v>
      </c>
      <c r="B20" s="3463">
        <v>45</v>
      </c>
      <c r="C20" s="3468">
        <f>'C06'!C267</f>
        <v>0</v>
      </c>
      <c r="D20" s="3468">
        <f>'C06'!D267</f>
        <v>0</v>
      </c>
      <c r="E20" s="3468">
        <f>'C06'!E267</f>
        <v>0</v>
      </c>
      <c r="F20" s="49"/>
      <c r="G20" s="682"/>
      <c r="O20" s="55"/>
      <c r="P20" s="55"/>
      <c r="Q20" s="55"/>
    </row>
    <row r="21" spans="1:26" ht="12.75" customHeight="1">
      <c r="A21" s="3453" t="s">
        <v>73</v>
      </c>
      <c r="B21" s="3466">
        <v>50</v>
      </c>
      <c r="C21" s="1077">
        <f>'C08'!$C$273</f>
        <v>1035</v>
      </c>
      <c r="D21" s="1077">
        <f>'C08'!$D$273</f>
        <v>912</v>
      </c>
      <c r="E21" s="1077">
        <f>'C08'!$E$273</f>
        <v>912</v>
      </c>
      <c r="F21" s="49"/>
      <c r="H21" s="592" t="s">
        <v>3037</v>
      </c>
      <c r="O21" s="55"/>
      <c r="P21" s="55"/>
      <c r="Q21" s="55"/>
    </row>
    <row r="22" spans="1:26" ht="12.75" customHeight="1">
      <c r="A22" s="1080" t="s">
        <v>41</v>
      </c>
      <c r="B22" s="1064">
        <v>55</v>
      </c>
      <c r="C22" s="1067">
        <f>'C053'!C230</f>
        <v>0</v>
      </c>
      <c r="D22" s="1068">
        <f>'C053'!D230</f>
        <v>0</v>
      </c>
      <c r="E22" s="3810" t="s">
        <v>4905</v>
      </c>
      <c r="F22" s="49"/>
      <c r="G22" s="682"/>
      <c r="H22" s="593">
        <f>ROUND('F150'!J19*OpenData!N25,0)</f>
        <v>2824</v>
      </c>
    </row>
    <row r="23" spans="1:26" ht="12.75" customHeight="1">
      <c r="A23" s="1081" t="s">
        <v>933</v>
      </c>
      <c r="B23" s="1071">
        <v>170</v>
      </c>
      <c r="C23" s="1067">
        <f>SUM(C9:C22)</f>
        <v>2035</v>
      </c>
      <c r="D23" s="1068">
        <f>SUM(D9:D22)</f>
        <v>2947</v>
      </c>
      <c r="E23" s="3468">
        <f>SUM(E9:E22)</f>
        <v>2859</v>
      </c>
      <c r="F23" s="49"/>
      <c r="G23" s="391"/>
      <c r="O23" s="55"/>
      <c r="P23" s="55"/>
      <c r="Q23" s="55"/>
    </row>
    <row r="24" spans="1:26" ht="12.75" customHeight="1">
      <c r="A24" s="1082" t="s">
        <v>43</v>
      </c>
      <c r="B24" s="1064">
        <v>175</v>
      </c>
      <c r="C24" s="1069">
        <f>C162</f>
        <v>0</v>
      </c>
      <c r="D24" s="1070">
        <f>D162</f>
        <v>1000</v>
      </c>
      <c r="E24" s="1069">
        <f>IF((E162&lt;=E23),E162,"ERROR")</f>
        <v>1000</v>
      </c>
      <c r="F24" s="49"/>
      <c r="G24" s="426" t="str">
        <f>IF(E24="ERROR","Expenditures must be less than or equal to Resources Available","")</f>
        <v/>
      </c>
    </row>
    <row r="25" spans="1:26" ht="12.75" customHeight="1">
      <c r="A25" s="1082" t="s">
        <v>935</v>
      </c>
      <c r="B25" s="1072">
        <v>190</v>
      </c>
      <c r="C25" s="1069">
        <f>C23-C24</f>
        <v>2035</v>
      </c>
      <c r="D25" s="1077">
        <f>D23-D24</f>
        <v>1947</v>
      </c>
      <c r="E25" s="1078">
        <f>IF(ISERROR(E23-E24),"Negative",E23-E24)</f>
        <v>1859</v>
      </c>
      <c r="F25" s="49"/>
      <c r="G25" s="678"/>
    </row>
    <row r="26" spans="1:26" ht="12.75" customHeight="1">
      <c r="A26" s="4429"/>
      <c r="B26" s="4430"/>
      <c r="C26" s="4431"/>
      <c r="D26" s="4431"/>
      <c r="E26" s="3913"/>
      <c r="F26" s="49"/>
      <c r="G26" s="678"/>
    </row>
    <row r="27" spans="1:26" s="3738" customFormat="1" ht="12.75" customHeight="1">
      <c r="A27" s="3733" t="str">
        <f>A1</f>
        <v>USD #</v>
      </c>
      <c r="B27" s="4446">
        <f>B1</f>
        <v>237</v>
      </c>
      <c r="C27" s="3734"/>
      <c r="D27" s="6113" t="str">
        <f>D1</f>
        <v>STATE OF KANSAS</v>
      </c>
      <c r="E27" s="6113"/>
      <c r="F27" s="3735"/>
      <c r="G27" s="3736"/>
      <c r="H27" s="3737"/>
      <c r="I27" s="3737"/>
      <c r="J27" s="3737"/>
      <c r="K27" s="3737"/>
      <c r="L27" s="3737"/>
      <c r="M27" s="3737"/>
      <c r="N27" s="3737"/>
      <c r="O27" s="3737"/>
      <c r="P27" s="3737"/>
      <c r="Q27" s="3737"/>
      <c r="R27" s="3737"/>
      <c r="S27" s="3737"/>
      <c r="T27" s="3737"/>
      <c r="U27" s="3737"/>
      <c r="V27" s="3737"/>
      <c r="W27" s="3737"/>
      <c r="X27" s="3737"/>
      <c r="Y27" s="3737"/>
      <c r="Z27" s="3737"/>
    </row>
    <row r="28" spans="1:26" ht="12.75" customHeight="1">
      <c r="A28" s="936"/>
      <c r="B28" s="936"/>
      <c r="C28" s="936"/>
      <c r="D28" s="6114" t="str">
        <f>D2</f>
        <v>Budget Form USD-E</v>
      </c>
      <c r="E28" s="6114"/>
      <c r="F28" s="49"/>
      <c r="G28" s="683"/>
    </row>
    <row r="29" spans="1:26" ht="12.75" customHeight="1">
      <c r="A29" s="936"/>
      <c r="B29" s="936"/>
      <c r="C29" s="936"/>
      <c r="D29" s="936"/>
      <c r="E29" s="1073" t="str">
        <f>E3</f>
        <v>2021-2022</v>
      </c>
      <c r="F29" s="49"/>
      <c r="G29" s="683"/>
    </row>
    <row r="30" spans="1:26" s="51" customFormat="1" ht="12.75" customHeight="1">
      <c r="A30" s="1047"/>
      <c r="B30" s="1048"/>
      <c r="C30" s="1047"/>
      <c r="D30" s="1047"/>
      <c r="E30" s="1047"/>
      <c r="F30" s="49"/>
    </row>
    <row r="31" spans="1:26" ht="12.75" customHeight="1">
      <c r="A31" s="1047"/>
      <c r="B31" s="1048"/>
      <c r="C31" s="1050" t="s">
        <v>922</v>
      </c>
      <c r="D31" s="1050" t="s">
        <v>922</v>
      </c>
      <c r="E31" s="1050" t="s">
        <v>922</v>
      </c>
      <c r="F31" s="49"/>
    </row>
    <row r="32" spans="1:26" ht="12.75" customHeight="1">
      <c r="A32" s="1054"/>
      <c r="B32" s="1052" t="s">
        <v>854</v>
      </c>
      <c r="C32" s="1053" t="str">
        <f>C6</f>
        <v>2019-2020</v>
      </c>
      <c r="D32" s="1053" t="str">
        <f>D6</f>
        <v>2020-2021</v>
      </c>
      <c r="E32" s="1053" t="str">
        <f>E6</f>
        <v>2021-2022</v>
      </c>
      <c r="F32" s="49"/>
    </row>
    <row r="33" spans="1:6" ht="12.75" customHeight="1">
      <c r="A33" s="1054" t="str">
        <f>A7</f>
        <v>BILINGUAL EDUCATION</v>
      </c>
      <c r="B33" s="1055">
        <v>14</v>
      </c>
      <c r="C33" s="1056" t="s">
        <v>893</v>
      </c>
      <c r="D33" s="1056" t="s">
        <v>893</v>
      </c>
      <c r="E33" s="1056" t="s">
        <v>923</v>
      </c>
      <c r="F33" s="49"/>
    </row>
    <row r="34" spans="1:6" ht="12.75" customHeight="1">
      <c r="A34" s="4437"/>
      <c r="B34" s="1055" t="s">
        <v>858</v>
      </c>
      <c r="C34" s="4438">
        <v>1</v>
      </c>
      <c r="D34" s="4438">
        <v>2</v>
      </c>
      <c r="E34" s="4438">
        <v>3</v>
      </c>
      <c r="F34" s="49"/>
    </row>
    <row r="35" spans="1:6" ht="12.75" customHeight="1">
      <c r="A35" s="3449"/>
      <c r="B35" s="4439"/>
      <c r="C35" s="4440"/>
      <c r="D35" s="4440"/>
      <c r="E35" s="4441"/>
      <c r="F35" s="49"/>
    </row>
    <row r="36" spans="1:6" ht="12.75" customHeight="1">
      <c r="A36" s="4442" t="s">
        <v>60</v>
      </c>
      <c r="B36" s="4443"/>
      <c r="C36" s="4443"/>
      <c r="D36" s="4443"/>
      <c r="E36" s="4444"/>
      <c r="F36" s="49"/>
    </row>
    <row r="37" spans="1:6" ht="12.75" customHeight="1">
      <c r="A37" s="3448" t="s">
        <v>61</v>
      </c>
      <c r="B37" s="3462"/>
      <c r="C37" s="3462"/>
      <c r="D37" s="3462"/>
      <c r="E37" s="3462"/>
      <c r="F37" s="49"/>
    </row>
    <row r="38" spans="1:6" ht="12.75" customHeight="1">
      <c r="A38" s="3448" t="s">
        <v>972</v>
      </c>
      <c r="B38" s="3462"/>
      <c r="C38" s="3462"/>
      <c r="D38" s="3462"/>
      <c r="E38" s="3462"/>
      <c r="F38" s="49"/>
    </row>
    <row r="39" spans="1:6" ht="12.75" customHeight="1">
      <c r="A39" s="3452" t="s">
        <v>999</v>
      </c>
      <c r="B39" s="3463">
        <v>210</v>
      </c>
      <c r="C39" s="3465"/>
      <c r="D39" s="3465"/>
      <c r="E39" s="3465"/>
      <c r="F39" s="49"/>
    </row>
    <row r="40" spans="1:6" ht="12.75" customHeight="1">
      <c r="A40" s="3453" t="s">
        <v>943</v>
      </c>
      <c r="B40" s="3466">
        <v>215</v>
      </c>
      <c r="C40" s="2051"/>
      <c r="D40" s="2051">
        <v>1000</v>
      </c>
      <c r="E40" s="2051">
        <v>1000</v>
      </c>
      <c r="F40" s="49"/>
    </row>
    <row r="41" spans="1:6" ht="12.75" customHeight="1">
      <c r="A41" s="3447" t="s">
        <v>973</v>
      </c>
      <c r="B41" s="3461"/>
      <c r="C41" s="3461"/>
      <c r="D41" s="3461"/>
      <c r="E41" s="3461"/>
      <c r="F41" s="49"/>
    </row>
    <row r="42" spans="1:6" ht="12.75" customHeight="1">
      <c r="A42" s="3452" t="s">
        <v>974</v>
      </c>
      <c r="B42" s="3463">
        <v>220</v>
      </c>
      <c r="C42" s="3465"/>
      <c r="D42" s="3465"/>
      <c r="E42" s="3465"/>
      <c r="F42" s="49"/>
    </row>
    <row r="43" spans="1:6" ht="12.75" customHeight="1">
      <c r="A43" s="3453" t="s">
        <v>977</v>
      </c>
      <c r="B43" s="3466">
        <v>225</v>
      </c>
      <c r="C43" s="2051"/>
      <c r="D43" s="2051"/>
      <c r="E43" s="2051"/>
      <c r="F43" s="49"/>
    </row>
    <row r="44" spans="1:6" ht="12.75" customHeight="1">
      <c r="A44" s="3453" t="s">
        <v>978</v>
      </c>
      <c r="B44" s="3466">
        <v>230</v>
      </c>
      <c r="C44" s="2051"/>
      <c r="D44" s="2051"/>
      <c r="E44" s="2051"/>
      <c r="F44" s="49"/>
    </row>
    <row r="45" spans="1:6" ht="12.75" customHeight="1">
      <c r="A45" s="2367" t="s">
        <v>4818</v>
      </c>
      <c r="B45" s="3460">
        <v>235</v>
      </c>
      <c r="C45" s="1076"/>
      <c r="D45" s="1076"/>
      <c r="E45" s="1076"/>
      <c r="F45" s="49"/>
    </row>
    <row r="46" spans="1:6" ht="12.75" customHeight="1">
      <c r="A46" s="3455" t="s">
        <v>632</v>
      </c>
      <c r="B46" s="3469">
        <v>237</v>
      </c>
      <c r="C46" s="1076"/>
      <c r="D46" s="1076"/>
      <c r="E46" s="1076"/>
      <c r="F46" s="49"/>
    </row>
    <row r="47" spans="1:6" ht="12.75" customHeight="1">
      <c r="A47" s="3447" t="s">
        <v>986</v>
      </c>
      <c r="B47" s="3461"/>
      <c r="C47" s="3461"/>
      <c r="D47" s="3461"/>
      <c r="E47" s="3461"/>
      <c r="F47" s="49"/>
    </row>
    <row r="48" spans="1:6" ht="12.75" customHeight="1">
      <c r="A48" s="3448" t="s">
        <v>62</v>
      </c>
      <c r="B48" s="3462"/>
      <c r="C48" s="3462"/>
      <c r="D48" s="3462"/>
      <c r="E48" s="3462"/>
      <c r="F48" s="49"/>
    </row>
    <row r="49" spans="1:6" ht="12.75" customHeight="1">
      <c r="A49" s="3452" t="s">
        <v>74</v>
      </c>
      <c r="B49" s="3463">
        <v>240</v>
      </c>
      <c r="C49" s="3465"/>
      <c r="D49" s="3465"/>
      <c r="E49" s="3465"/>
      <c r="F49" s="49"/>
    </row>
    <row r="50" spans="1:6" ht="12.75" customHeight="1">
      <c r="A50" s="3452" t="s">
        <v>75</v>
      </c>
      <c r="B50" s="3463">
        <v>245</v>
      </c>
      <c r="C50" s="3465"/>
      <c r="D50" s="3465"/>
      <c r="E50" s="3465"/>
      <c r="F50" s="49"/>
    </row>
    <row r="51" spans="1:6" ht="12.75" customHeight="1">
      <c r="A51" s="3453" t="s">
        <v>76</v>
      </c>
      <c r="B51" s="3466">
        <v>250</v>
      </c>
      <c r="C51" s="2051"/>
      <c r="D51" s="2051"/>
      <c r="E51" s="2051"/>
      <c r="F51" s="49"/>
    </row>
    <row r="52" spans="1:6" ht="12.75" customHeight="1">
      <c r="A52" s="3452" t="s">
        <v>988</v>
      </c>
      <c r="B52" s="3463">
        <v>255</v>
      </c>
      <c r="C52" s="3465"/>
      <c r="D52" s="3465"/>
      <c r="E52" s="3465"/>
      <c r="F52" s="49"/>
    </row>
    <row r="53" spans="1:6" ht="12.75" customHeight="1">
      <c r="A53" s="3447" t="s">
        <v>989</v>
      </c>
      <c r="B53" s="3461"/>
      <c r="C53" s="3461"/>
      <c r="D53" s="3461"/>
      <c r="E53" s="3461"/>
      <c r="F53" s="49"/>
    </row>
    <row r="54" spans="1:6" ht="12.75" customHeight="1">
      <c r="A54" s="3452" t="s">
        <v>63</v>
      </c>
      <c r="B54" s="3463">
        <v>260</v>
      </c>
      <c r="C54" s="3465"/>
      <c r="D54" s="3465"/>
      <c r="E54" s="3465"/>
      <c r="F54" s="49"/>
    </row>
    <row r="55" spans="1:6" ht="12.75" customHeight="1">
      <c r="A55" s="3453" t="s">
        <v>64</v>
      </c>
      <c r="B55" s="3466">
        <v>265</v>
      </c>
      <c r="C55" s="2051"/>
      <c r="D55" s="2051"/>
      <c r="E55" s="2051"/>
      <c r="F55" s="49"/>
    </row>
    <row r="56" spans="1:6" ht="12.75" customHeight="1">
      <c r="A56" s="3456" t="s">
        <v>936</v>
      </c>
      <c r="B56" s="3470">
        <v>267</v>
      </c>
      <c r="C56" s="2051"/>
      <c r="D56" s="2051"/>
      <c r="E56" s="2051"/>
      <c r="F56" s="49"/>
    </row>
    <row r="57" spans="1:6" ht="12.75" customHeight="1">
      <c r="A57" s="3453" t="s">
        <v>996</v>
      </c>
      <c r="B57" s="3466">
        <v>270</v>
      </c>
      <c r="C57" s="2051"/>
      <c r="D57" s="2051"/>
      <c r="E57" s="2051"/>
      <c r="F57" s="49"/>
    </row>
    <row r="58" spans="1:6" ht="12.75" customHeight="1">
      <c r="A58" s="3453" t="s">
        <v>997</v>
      </c>
      <c r="B58" s="3466">
        <v>275</v>
      </c>
      <c r="C58" s="2051"/>
      <c r="D58" s="2051"/>
      <c r="E58" s="2051"/>
      <c r="F58" s="49"/>
    </row>
    <row r="59" spans="1:6" ht="12.75" customHeight="1">
      <c r="A59" s="3453" t="s">
        <v>998</v>
      </c>
      <c r="B59" s="3466">
        <v>280</v>
      </c>
      <c r="C59" s="2051"/>
      <c r="D59" s="2051"/>
      <c r="E59" s="2051"/>
      <c r="F59" s="49"/>
    </row>
    <row r="60" spans="1:6" ht="12.75" customHeight="1">
      <c r="A60" s="3447" t="s">
        <v>65</v>
      </c>
      <c r="B60" s="3461"/>
      <c r="C60" s="3461"/>
      <c r="D60" s="3461"/>
      <c r="E60" s="3461"/>
      <c r="F60" s="49"/>
    </row>
    <row r="61" spans="1:6" ht="12.75" customHeight="1">
      <c r="A61" s="3448" t="s">
        <v>66</v>
      </c>
      <c r="B61" s="3462"/>
      <c r="C61" s="3462"/>
      <c r="D61" s="3462"/>
      <c r="E61" s="3462"/>
      <c r="F61" s="49"/>
    </row>
    <row r="62" spans="1:6" ht="12.75" customHeight="1">
      <c r="A62" s="3448" t="s">
        <v>972</v>
      </c>
      <c r="B62" s="3462"/>
      <c r="C62" s="3462"/>
      <c r="D62" s="3462"/>
      <c r="E62" s="3462"/>
      <c r="F62" s="49"/>
    </row>
    <row r="63" spans="1:6" ht="12.75" customHeight="1">
      <c r="A63" s="3452" t="s">
        <v>999</v>
      </c>
      <c r="B63" s="3463">
        <v>285</v>
      </c>
      <c r="C63" s="3465"/>
      <c r="D63" s="3465"/>
      <c r="E63" s="3465"/>
      <c r="F63" s="49"/>
    </row>
    <row r="64" spans="1:6" ht="12.75" customHeight="1">
      <c r="A64" s="3452" t="s">
        <v>943</v>
      </c>
      <c r="B64" s="3463">
        <v>290</v>
      </c>
      <c r="C64" s="3465"/>
      <c r="D64" s="3465"/>
      <c r="E64" s="3465"/>
      <c r="F64" s="49"/>
    </row>
    <row r="65" spans="1:6" ht="12.75" customHeight="1">
      <c r="A65" s="3447" t="s">
        <v>973</v>
      </c>
      <c r="B65" s="3461"/>
      <c r="C65" s="3461"/>
      <c r="D65" s="3461"/>
      <c r="E65" s="3461"/>
      <c r="F65" s="49"/>
    </row>
    <row r="66" spans="1:6" ht="12.75" customHeight="1">
      <c r="A66" s="3452" t="s">
        <v>974</v>
      </c>
      <c r="B66" s="3463">
        <v>295</v>
      </c>
      <c r="C66" s="3465"/>
      <c r="D66" s="3465"/>
      <c r="E66" s="3465"/>
      <c r="F66" s="49"/>
    </row>
    <row r="67" spans="1:6" ht="12.75" customHeight="1">
      <c r="A67" s="2367" t="s">
        <v>977</v>
      </c>
      <c r="B67" s="3460">
        <v>300</v>
      </c>
      <c r="C67" s="1076"/>
      <c r="D67" s="1076"/>
      <c r="E67" s="1076"/>
      <c r="F67" s="49"/>
    </row>
    <row r="68" spans="1:6" ht="12.75" customHeight="1">
      <c r="A68" s="3453" t="s">
        <v>978</v>
      </c>
      <c r="B68" s="3466">
        <v>305</v>
      </c>
      <c r="C68" s="2051"/>
      <c r="D68" s="2051"/>
      <c r="E68" s="2051"/>
      <c r="F68" s="49"/>
    </row>
    <row r="69" spans="1:6" ht="12.75" customHeight="1">
      <c r="A69" s="3453" t="s">
        <v>4818</v>
      </c>
      <c r="B69" s="3466">
        <v>310</v>
      </c>
      <c r="C69" s="2051"/>
      <c r="D69" s="2051"/>
      <c r="E69" s="2051"/>
      <c r="F69" s="49"/>
    </row>
    <row r="70" spans="1:6" ht="12.75" customHeight="1">
      <c r="A70" s="3456" t="s">
        <v>632</v>
      </c>
      <c r="B70" s="3470">
        <v>313</v>
      </c>
      <c r="C70" s="2051"/>
      <c r="D70" s="2051"/>
      <c r="E70" s="2051"/>
      <c r="F70" s="49"/>
    </row>
    <row r="71" spans="1:6" ht="12.75" customHeight="1">
      <c r="A71" s="2367" t="s">
        <v>986</v>
      </c>
      <c r="B71" s="3460">
        <v>315</v>
      </c>
      <c r="C71" s="1076"/>
      <c r="D71" s="1076"/>
      <c r="E71" s="1076"/>
      <c r="F71" s="49"/>
    </row>
    <row r="72" spans="1:6" ht="12.75" customHeight="1">
      <c r="A72" s="3453" t="s">
        <v>989</v>
      </c>
      <c r="B72" s="3466">
        <v>320</v>
      </c>
      <c r="C72" s="2051"/>
      <c r="D72" s="2051"/>
      <c r="E72" s="2051"/>
      <c r="F72" s="49"/>
    </row>
    <row r="73" spans="1:6" ht="12.75" customHeight="1">
      <c r="A73" s="3453" t="s">
        <v>997</v>
      </c>
      <c r="B73" s="3466">
        <v>325</v>
      </c>
      <c r="C73" s="2051"/>
      <c r="D73" s="2051"/>
      <c r="E73" s="2051"/>
      <c r="F73" s="49"/>
    </row>
    <row r="74" spans="1:6" ht="12.75" customHeight="1">
      <c r="A74" s="3453" t="s">
        <v>998</v>
      </c>
      <c r="B74" s="3466">
        <v>330</v>
      </c>
      <c r="C74" s="2051"/>
      <c r="D74" s="2051"/>
      <c r="E74" s="2051"/>
      <c r="F74" s="49"/>
    </row>
    <row r="75" spans="1:6" ht="12.75" customHeight="1">
      <c r="A75" s="3447" t="s">
        <v>67</v>
      </c>
      <c r="B75" s="3461"/>
      <c r="C75" s="3461"/>
      <c r="D75" s="3461"/>
      <c r="E75" s="3461"/>
      <c r="F75" s="49"/>
    </row>
    <row r="76" spans="1:6" ht="12.75" customHeight="1">
      <c r="A76" s="3448" t="s">
        <v>972</v>
      </c>
      <c r="B76" s="3462"/>
      <c r="C76" s="3462"/>
      <c r="D76" s="3462"/>
      <c r="E76" s="3462"/>
      <c r="F76" s="49"/>
    </row>
    <row r="77" spans="1:6" ht="12.75" customHeight="1">
      <c r="A77" s="3452" t="s">
        <v>999</v>
      </c>
      <c r="B77" s="3463">
        <v>335</v>
      </c>
      <c r="C77" s="3465"/>
      <c r="D77" s="3465"/>
      <c r="E77" s="3465"/>
      <c r="F77" s="49"/>
    </row>
    <row r="78" spans="1:6" ht="12.75" customHeight="1">
      <c r="A78" s="3453" t="s">
        <v>943</v>
      </c>
      <c r="B78" s="3466">
        <v>340</v>
      </c>
      <c r="C78" s="2051"/>
      <c r="D78" s="2051"/>
      <c r="E78" s="2051"/>
      <c r="F78" s="49"/>
    </row>
    <row r="79" spans="1:6" ht="12.75" customHeight="1">
      <c r="A79" s="3447" t="s">
        <v>973</v>
      </c>
      <c r="B79" s="3461"/>
      <c r="C79" s="3461"/>
      <c r="D79" s="3461"/>
      <c r="E79" s="3461"/>
      <c r="F79" s="49"/>
    </row>
    <row r="80" spans="1:6" ht="12.75" customHeight="1">
      <c r="A80" s="3452" t="s">
        <v>974</v>
      </c>
      <c r="B80" s="3463">
        <v>345</v>
      </c>
      <c r="C80" s="3465"/>
      <c r="D80" s="3465"/>
      <c r="E80" s="3465"/>
      <c r="F80" s="49"/>
    </row>
    <row r="81" spans="1:6" ht="12.75" customHeight="1">
      <c r="A81" s="3453" t="s">
        <v>977</v>
      </c>
      <c r="B81" s="3466">
        <v>350</v>
      </c>
      <c r="C81" s="2051"/>
      <c r="D81" s="2051"/>
      <c r="E81" s="2051"/>
      <c r="F81" s="49"/>
    </row>
    <row r="82" spans="1:6" ht="12.75" customHeight="1">
      <c r="A82" s="3453" t="s">
        <v>978</v>
      </c>
      <c r="B82" s="3466">
        <v>355</v>
      </c>
      <c r="C82" s="2051"/>
      <c r="D82" s="2051"/>
      <c r="E82" s="2051"/>
      <c r="F82" s="49"/>
    </row>
    <row r="83" spans="1:6" ht="12.75" customHeight="1">
      <c r="A83" s="4445" t="s">
        <v>4818</v>
      </c>
      <c r="B83" s="3463">
        <v>360</v>
      </c>
      <c r="C83" s="3465"/>
      <c r="D83" s="3465"/>
      <c r="E83" s="3465"/>
      <c r="F83" s="49"/>
    </row>
    <row r="84" spans="1:6" ht="12.75" customHeight="1">
      <c r="A84" s="3457" t="s">
        <v>632</v>
      </c>
      <c r="B84" s="3471">
        <v>363</v>
      </c>
      <c r="C84" s="3465"/>
      <c r="D84" s="3465"/>
      <c r="E84" s="3465"/>
      <c r="F84" s="49"/>
    </row>
    <row r="85" spans="1:6" ht="12.75" customHeight="1">
      <c r="A85" s="3453" t="s">
        <v>986</v>
      </c>
      <c r="B85" s="3466">
        <v>365</v>
      </c>
      <c r="C85" s="2051"/>
      <c r="D85" s="2051"/>
      <c r="E85" s="2051"/>
      <c r="F85" s="49"/>
    </row>
    <row r="86" spans="1:6" ht="12.75" customHeight="1">
      <c r="A86" s="3447" t="s">
        <v>989</v>
      </c>
      <c r="B86" s="3461"/>
      <c r="C86" s="3461"/>
      <c r="D86" s="3461"/>
      <c r="E86" s="3461"/>
      <c r="F86" s="49"/>
    </row>
    <row r="87" spans="1:6" ht="12.75" customHeight="1">
      <c r="A87" s="3452" t="s">
        <v>5150</v>
      </c>
      <c r="B87" s="3463">
        <v>370</v>
      </c>
      <c r="C87" s="3465"/>
      <c r="D87" s="3465"/>
      <c r="E87" s="3465"/>
      <c r="F87" s="49"/>
    </row>
    <row r="88" spans="1:6" ht="12.75" customHeight="1">
      <c r="A88" s="3452" t="s">
        <v>691</v>
      </c>
      <c r="B88" s="3463">
        <v>375</v>
      </c>
      <c r="C88" s="3465"/>
      <c r="D88" s="3465"/>
      <c r="E88" s="3465"/>
      <c r="F88" s="49"/>
    </row>
    <row r="89" spans="1:6" ht="12.75" customHeight="1">
      <c r="A89" s="2367" t="s">
        <v>996</v>
      </c>
      <c r="B89" s="3460">
        <v>380</v>
      </c>
      <c r="C89" s="1076"/>
      <c r="D89" s="1076"/>
      <c r="E89" s="1076"/>
      <c r="F89" s="49"/>
    </row>
    <row r="90" spans="1:6" ht="12.75" customHeight="1">
      <c r="A90" s="3453" t="s">
        <v>997</v>
      </c>
      <c r="B90" s="3466">
        <v>385</v>
      </c>
      <c r="C90" s="2051"/>
      <c r="D90" s="2051"/>
      <c r="E90" s="2051"/>
      <c r="F90" s="49"/>
    </row>
    <row r="91" spans="1:6" ht="12.75" customHeight="1">
      <c r="A91" s="2367" t="s">
        <v>998</v>
      </c>
      <c r="B91" s="3460">
        <v>390</v>
      </c>
      <c r="C91" s="1076"/>
      <c r="D91" s="1076"/>
      <c r="E91" s="1076"/>
      <c r="F91" s="49"/>
    </row>
    <row r="92" spans="1:6" ht="12.75" customHeight="1">
      <c r="A92" s="3447" t="s">
        <v>77</v>
      </c>
      <c r="B92" s="3461"/>
      <c r="C92" s="3461"/>
      <c r="D92" s="3461"/>
      <c r="E92" s="3461"/>
      <c r="F92" s="49"/>
    </row>
    <row r="93" spans="1:6" ht="12.75" customHeight="1">
      <c r="A93" s="3448" t="s">
        <v>972</v>
      </c>
      <c r="B93" s="3462"/>
      <c r="C93" s="3462"/>
      <c r="D93" s="3462"/>
      <c r="E93" s="3462"/>
      <c r="F93" s="49"/>
    </row>
    <row r="94" spans="1:6" ht="12.75" customHeight="1">
      <c r="A94" s="3452" t="s">
        <v>999</v>
      </c>
      <c r="B94" s="3463">
        <v>395</v>
      </c>
      <c r="C94" s="3465"/>
      <c r="D94" s="3465"/>
      <c r="E94" s="3465"/>
      <c r="F94" s="49"/>
    </row>
    <row r="95" spans="1:6" ht="12.75" customHeight="1">
      <c r="A95" s="3453" t="s">
        <v>943</v>
      </c>
      <c r="B95" s="3466">
        <v>400</v>
      </c>
      <c r="C95" s="2051"/>
      <c r="D95" s="2051"/>
      <c r="E95" s="2051"/>
      <c r="F95" s="49"/>
    </row>
    <row r="96" spans="1:6" ht="12.75" customHeight="1">
      <c r="A96" s="3447" t="s">
        <v>973</v>
      </c>
      <c r="B96" s="3461"/>
      <c r="C96" s="3461"/>
      <c r="D96" s="3461"/>
      <c r="E96" s="3461"/>
      <c r="F96" s="49"/>
    </row>
    <row r="97" spans="1:6" ht="12.75" customHeight="1">
      <c r="A97" s="3452" t="s">
        <v>974</v>
      </c>
      <c r="B97" s="3463">
        <v>405</v>
      </c>
      <c r="C97" s="3465"/>
      <c r="D97" s="3465"/>
      <c r="E97" s="3465"/>
      <c r="F97" s="49"/>
    </row>
    <row r="98" spans="1:6" ht="12.75" customHeight="1">
      <c r="A98" s="3452" t="s">
        <v>977</v>
      </c>
      <c r="B98" s="3463">
        <v>410</v>
      </c>
      <c r="C98" s="3465"/>
      <c r="D98" s="3465"/>
      <c r="E98" s="3465"/>
      <c r="F98" s="49"/>
    </row>
    <row r="99" spans="1:6" ht="12.75" customHeight="1">
      <c r="A99" s="3453" t="s">
        <v>978</v>
      </c>
      <c r="B99" s="3466">
        <v>415</v>
      </c>
      <c r="C99" s="2051"/>
      <c r="D99" s="2051"/>
      <c r="E99" s="2051"/>
      <c r="F99" s="49"/>
    </row>
    <row r="100" spans="1:6" ht="12.75" customHeight="1">
      <c r="A100" s="4445" t="s">
        <v>4818</v>
      </c>
      <c r="B100" s="3463">
        <v>420</v>
      </c>
      <c r="C100" s="3465"/>
      <c r="D100" s="3465"/>
      <c r="E100" s="3465"/>
      <c r="F100" s="49"/>
    </row>
    <row r="101" spans="1:6" ht="12.75" customHeight="1">
      <c r="A101" s="3453" t="s">
        <v>986</v>
      </c>
      <c r="B101" s="3466">
        <v>425</v>
      </c>
      <c r="C101" s="2051"/>
      <c r="D101" s="2051"/>
      <c r="E101" s="2051"/>
      <c r="F101" s="49"/>
    </row>
    <row r="102" spans="1:6" ht="12.75" customHeight="1">
      <c r="A102" s="3453" t="s">
        <v>989</v>
      </c>
      <c r="B102" s="3466">
        <v>430</v>
      </c>
      <c r="C102" s="2051"/>
      <c r="D102" s="2051"/>
      <c r="E102" s="2051"/>
      <c r="F102" s="49"/>
    </row>
    <row r="103" spans="1:6" ht="12.75" customHeight="1">
      <c r="A103" s="3453" t="s">
        <v>997</v>
      </c>
      <c r="B103" s="3466">
        <v>435</v>
      </c>
      <c r="C103" s="2051"/>
      <c r="D103" s="2051"/>
      <c r="E103" s="2051"/>
      <c r="F103" s="49"/>
    </row>
    <row r="104" spans="1:6" ht="12.75" customHeight="1">
      <c r="A104" s="3453" t="s">
        <v>998</v>
      </c>
      <c r="B104" s="3466">
        <v>440</v>
      </c>
      <c r="C104" s="2051"/>
      <c r="D104" s="2051"/>
      <c r="E104" s="2051"/>
      <c r="F104" s="49"/>
    </row>
    <row r="105" spans="1:6" ht="12.75" customHeight="1">
      <c r="A105" s="2068" t="s">
        <v>1320</v>
      </c>
      <c r="B105" s="2092"/>
      <c r="C105" s="2092"/>
      <c r="D105" s="2092"/>
      <c r="E105" s="2092"/>
      <c r="F105" s="49"/>
    </row>
    <row r="106" spans="1:6" ht="12.75" customHeight="1">
      <c r="A106" s="2069" t="s">
        <v>1144</v>
      </c>
      <c r="B106" s="2093"/>
      <c r="C106" s="2093"/>
      <c r="D106" s="2093"/>
      <c r="E106" s="2093"/>
      <c r="F106" s="49"/>
    </row>
    <row r="107" spans="1:6" ht="12.75" customHeight="1">
      <c r="A107" s="2074" t="s">
        <v>1321</v>
      </c>
      <c r="B107" s="2094">
        <v>540</v>
      </c>
      <c r="C107" s="3214"/>
      <c r="D107" s="3214"/>
      <c r="E107" s="3215"/>
      <c r="F107" s="49"/>
    </row>
    <row r="108" spans="1:6" ht="12.75" customHeight="1">
      <c r="A108" s="2075" t="s">
        <v>1308</v>
      </c>
      <c r="B108" s="2095">
        <v>545</v>
      </c>
      <c r="C108" s="3216"/>
      <c r="D108" s="3216"/>
      <c r="E108" s="3216"/>
      <c r="F108" s="49"/>
    </row>
    <row r="109" spans="1:6" ht="12.75" customHeight="1">
      <c r="A109" s="2068" t="s">
        <v>794</v>
      </c>
      <c r="B109" s="2092"/>
      <c r="C109" s="2092"/>
      <c r="D109" s="2092"/>
      <c r="E109" s="2092"/>
      <c r="F109" s="49"/>
    </row>
    <row r="110" spans="1:6" ht="12.75" customHeight="1">
      <c r="A110" s="2074" t="s">
        <v>1323</v>
      </c>
      <c r="B110" s="2096">
        <v>550</v>
      </c>
      <c r="C110" s="3214"/>
      <c r="D110" s="3214"/>
      <c r="E110" s="3214"/>
      <c r="F110" s="49"/>
    </row>
    <row r="111" spans="1:6" ht="12.75" customHeight="1">
      <c r="A111" s="2075" t="s">
        <v>1322</v>
      </c>
      <c r="B111" s="2095">
        <v>555</v>
      </c>
      <c r="C111" s="3216"/>
      <c r="D111" s="3216"/>
      <c r="E111" s="3216"/>
      <c r="F111" s="49"/>
    </row>
    <row r="112" spans="1:6" ht="12.75" customHeight="1">
      <c r="A112" s="2075" t="s">
        <v>1324</v>
      </c>
      <c r="B112" s="2095">
        <v>560</v>
      </c>
      <c r="C112" s="3216"/>
      <c r="D112" s="3216"/>
      <c r="E112" s="3216"/>
      <c r="F112" s="49"/>
    </row>
    <row r="113" spans="1:6" ht="12.75" customHeight="1">
      <c r="A113" s="4445" t="s">
        <v>4818</v>
      </c>
      <c r="B113" s="2095">
        <v>565</v>
      </c>
      <c r="C113" s="3216"/>
      <c r="D113" s="3216"/>
      <c r="E113" s="3216"/>
      <c r="F113" s="49"/>
    </row>
    <row r="114" spans="1:6" ht="12.75" customHeight="1">
      <c r="A114" s="2075" t="s">
        <v>632</v>
      </c>
      <c r="B114" s="2095">
        <v>570</v>
      </c>
      <c r="C114" s="3216"/>
      <c r="D114" s="3216"/>
      <c r="E114" s="3216"/>
      <c r="F114" s="49"/>
    </row>
    <row r="115" spans="1:6" ht="12.75" customHeight="1">
      <c r="A115" s="2075" t="s">
        <v>610</v>
      </c>
      <c r="B115" s="2095">
        <v>575</v>
      </c>
      <c r="C115" s="3216"/>
      <c r="D115" s="3216"/>
      <c r="E115" s="3216"/>
      <c r="F115" s="49"/>
    </row>
    <row r="116" spans="1:6" ht="12.75" customHeight="1">
      <c r="A116" s="2075" t="s">
        <v>1313</v>
      </c>
      <c r="B116" s="2095">
        <v>580</v>
      </c>
      <c r="C116" s="3216"/>
      <c r="D116" s="3216"/>
      <c r="E116" s="3216"/>
      <c r="F116" s="49"/>
    </row>
    <row r="117" spans="1:6" ht="12.75" customHeight="1">
      <c r="A117" s="2075" t="s">
        <v>1314</v>
      </c>
      <c r="B117" s="2095">
        <v>585</v>
      </c>
      <c r="C117" s="3216"/>
      <c r="D117" s="3216"/>
      <c r="E117" s="3216"/>
      <c r="F117" s="49"/>
    </row>
    <row r="118" spans="1:6" ht="12.75" customHeight="1">
      <c r="A118" s="2075" t="s">
        <v>793</v>
      </c>
      <c r="B118" s="2095">
        <v>590</v>
      </c>
      <c r="C118" s="3216"/>
      <c r="D118" s="3216"/>
      <c r="E118" s="3216"/>
      <c r="F118" s="49"/>
    </row>
    <row r="119" spans="1:6" ht="12.75" customHeight="1">
      <c r="A119" s="3447" t="s">
        <v>971</v>
      </c>
      <c r="B119" s="3461"/>
      <c r="C119" s="3461"/>
      <c r="D119" s="3461"/>
      <c r="E119" s="3461"/>
      <c r="F119" s="49"/>
    </row>
    <row r="120" spans="1:6" ht="12.75" customHeight="1">
      <c r="A120" s="3448" t="s">
        <v>972</v>
      </c>
      <c r="B120" s="3462"/>
      <c r="C120" s="3462"/>
      <c r="D120" s="3462"/>
      <c r="E120" s="3462"/>
      <c r="F120" s="49"/>
    </row>
    <row r="121" spans="1:6" ht="12.75" customHeight="1">
      <c r="A121" s="3452" t="s">
        <v>943</v>
      </c>
      <c r="B121" s="3463">
        <v>445</v>
      </c>
      <c r="C121" s="3465"/>
      <c r="D121" s="3465"/>
      <c r="E121" s="3465"/>
      <c r="F121" s="49"/>
    </row>
    <row r="122" spans="1:6" ht="12.75" customHeight="1">
      <c r="A122" s="3447" t="s">
        <v>973</v>
      </c>
      <c r="B122" s="3461"/>
      <c r="C122" s="3461"/>
      <c r="D122" s="3461"/>
      <c r="E122" s="3461"/>
      <c r="F122" s="49"/>
    </row>
    <row r="123" spans="1:6" ht="12.75" customHeight="1">
      <c r="A123" s="3452" t="s">
        <v>974</v>
      </c>
      <c r="B123" s="3463">
        <v>450</v>
      </c>
      <c r="C123" s="3465"/>
      <c r="D123" s="3465"/>
      <c r="E123" s="3465"/>
      <c r="F123" s="49"/>
    </row>
    <row r="124" spans="1:6" ht="12.75" customHeight="1">
      <c r="A124" s="3453" t="s">
        <v>977</v>
      </c>
      <c r="B124" s="3466">
        <v>455</v>
      </c>
      <c r="C124" s="2051"/>
      <c r="D124" s="2051"/>
      <c r="E124" s="2051"/>
      <c r="F124" s="49"/>
    </row>
    <row r="125" spans="1:6" ht="12.75" customHeight="1">
      <c r="A125" s="2367" t="s">
        <v>978</v>
      </c>
      <c r="B125" s="3466">
        <v>460</v>
      </c>
      <c r="C125" s="2051"/>
      <c r="D125" s="2051"/>
      <c r="E125" s="2051"/>
      <c r="F125" s="49"/>
    </row>
    <row r="126" spans="1:6" ht="12.75" customHeight="1">
      <c r="A126" s="4445" t="s">
        <v>4818</v>
      </c>
      <c r="B126" s="3463">
        <v>465</v>
      </c>
      <c r="C126" s="3465"/>
      <c r="D126" s="3465"/>
      <c r="E126" s="3465"/>
      <c r="F126" s="49"/>
    </row>
    <row r="127" spans="1:6" ht="12.75" customHeight="1">
      <c r="A127" s="3449" t="s">
        <v>979</v>
      </c>
      <c r="B127" s="3472"/>
      <c r="C127" s="3472"/>
      <c r="D127" s="3472"/>
      <c r="E127" s="3472"/>
      <c r="F127" s="49"/>
    </row>
    <row r="128" spans="1:6" ht="12.75" customHeight="1">
      <c r="A128" s="3458" t="s">
        <v>980</v>
      </c>
      <c r="B128" s="3473">
        <v>470</v>
      </c>
      <c r="C128" s="3465"/>
      <c r="D128" s="3465"/>
      <c r="E128" s="3465"/>
      <c r="F128" s="49"/>
    </row>
    <row r="129" spans="1:6" ht="12.75" customHeight="1">
      <c r="A129" s="3459" t="s">
        <v>981</v>
      </c>
      <c r="B129" s="3474">
        <v>475</v>
      </c>
      <c r="C129" s="2051"/>
      <c r="D129" s="2051"/>
      <c r="E129" s="2051"/>
      <c r="F129" s="49"/>
    </row>
    <row r="130" spans="1:6" ht="12.75" customHeight="1">
      <c r="A130" s="3459" t="s">
        <v>982</v>
      </c>
      <c r="B130" s="3474">
        <v>480</v>
      </c>
      <c r="C130" s="2051"/>
      <c r="D130" s="2051"/>
      <c r="E130" s="2051"/>
      <c r="F130" s="49"/>
    </row>
    <row r="131" spans="1:6" ht="12.75" customHeight="1">
      <c r="A131" s="3459" t="s">
        <v>983</v>
      </c>
      <c r="B131" s="3474">
        <v>485</v>
      </c>
      <c r="C131" s="2051"/>
      <c r="D131" s="2051"/>
      <c r="E131" s="2051"/>
      <c r="F131" s="49"/>
    </row>
    <row r="132" spans="1:6" ht="12.75" customHeight="1">
      <c r="A132" s="3459" t="s">
        <v>985</v>
      </c>
      <c r="B132" s="3474">
        <v>490</v>
      </c>
      <c r="C132" s="2051"/>
      <c r="D132" s="2051"/>
      <c r="E132" s="2051"/>
      <c r="F132" s="49"/>
    </row>
    <row r="133" spans="1:6" ht="12.75" customHeight="1">
      <c r="A133" s="3459" t="s">
        <v>986</v>
      </c>
      <c r="B133" s="3474">
        <v>495</v>
      </c>
      <c r="C133" s="2051"/>
      <c r="D133" s="2051"/>
      <c r="E133" s="2051"/>
      <c r="F133" s="49"/>
    </row>
    <row r="134" spans="1:6" ht="12.75" customHeight="1">
      <c r="A134" s="3449" t="s">
        <v>989</v>
      </c>
      <c r="B134" s="3472"/>
      <c r="C134" s="3472"/>
      <c r="D134" s="3472"/>
      <c r="E134" s="3472"/>
      <c r="F134" s="49"/>
    </row>
    <row r="135" spans="1:6" ht="12.75" customHeight="1">
      <c r="A135" s="3458" t="s">
        <v>990</v>
      </c>
      <c r="B135" s="3473">
        <v>500</v>
      </c>
      <c r="C135" s="3465"/>
      <c r="D135" s="3465"/>
      <c r="E135" s="3465"/>
      <c r="F135" s="49"/>
    </row>
    <row r="136" spans="1:6" ht="12.75" customHeight="1">
      <c r="A136" s="3449" t="s">
        <v>991</v>
      </c>
      <c r="B136" s="3472"/>
      <c r="C136" s="3472"/>
      <c r="D136" s="3472"/>
      <c r="E136" s="3472"/>
      <c r="F136" s="49"/>
    </row>
    <row r="137" spans="1:6" ht="12.75" customHeight="1">
      <c r="A137" s="3458" t="s">
        <v>992</v>
      </c>
      <c r="B137" s="3473">
        <v>505</v>
      </c>
      <c r="C137" s="3465"/>
      <c r="D137" s="3465"/>
      <c r="E137" s="3465"/>
      <c r="F137" s="49"/>
    </row>
    <row r="138" spans="1:6" ht="12.75" customHeight="1">
      <c r="A138" s="3459" t="s">
        <v>993</v>
      </c>
      <c r="B138" s="3474">
        <v>510</v>
      </c>
      <c r="C138" s="2051"/>
      <c r="D138" s="2051"/>
      <c r="E138" s="2051"/>
      <c r="F138" s="49"/>
    </row>
    <row r="139" spans="1:6" ht="12.75" customHeight="1">
      <c r="A139" s="3459" t="s">
        <v>51</v>
      </c>
      <c r="B139" s="3474">
        <v>515</v>
      </c>
      <c r="C139" s="2051"/>
      <c r="D139" s="2051"/>
      <c r="E139" s="2051"/>
      <c r="F139" s="58"/>
    </row>
    <row r="140" spans="1:6" ht="12.75" customHeight="1">
      <c r="A140" s="3459" t="s">
        <v>995</v>
      </c>
      <c r="B140" s="3474">
        <v>520</v>
      </c>
      <c r="C140" s="2051"/>
      <c r="D140" s="2051"/>
      <c r="E140" s="2051"/>
      <c r="F140" s="58"/>
    </row>
    <row r="141" spans="1:6" ht="12.75" customHeight="1">
      <c r="A141" s="3459" t="s">
        <v>996</v>
      </c>
      <c r="B141" s="3474">
        <v>525</v>
      </c>
      <c r="C141" s="2051"/>
      <c r="D141" s="2051"/>
      <c r="E141" s="2051"/>
      <c r="F141" s="49"/>
    </row>
    <row r="142" spans="1:6" ht="12.75" customHeight="1">
      <c r="A142" s="3459" t="s">
        <v>997</v>
      </c>
      <c r="B142" s="3474">
        <v>530</v>
      </c>
      <c r="C142" s="2051"/>
      <c r="D142" s="2051"/>
      <c r="E142" s="2051"/>
      <c r="F142" s="49"/>
    </row>
    <row r="143" spans="1:6" ht="12.75" customHeight="1">
      <c r="A143" s="2368" t="s">
        <v>998</v>
      </c>
      <c r="B143" s="3475">
        <v>535</v>
      </c>
      <c r="C143" s="1076"/>
      <c r="D143" s="1076"/>
      <c r="E143" s="1076"/>
      <c r="F143" s="49"/>
    </row>
    <row r="144" spans="1:6" ht="12.75" customHeight="1">
      <c r="A144" s="3449" t="s">
        <v>1027</v>
      </c>
      <c r="B144" s="3472"/>
      <c r="C144" s="3472"/>
      <c r="D144" s="3472"/>
      <c r="E144" s="3472"/>
      <c r="F144" s="49"/>
    </row>
    <row r="145" spans="1:6" ht="12.75" customHeight="1">
      <c r="A145" s="3458" t="s">
        <v>795</v>
      </c>
      <c r="B145" s="3473">
        <v>536</v>
      </c>
      <c r="C145" s="3465"/>
      <c r="D145" s="3465"/>
      <c r="E145" s="3465"/>
      <c r="F145" s="49"/>
    </row>
    <row r="146" spans="1:6" ht="12.75" customHeight="1">
      <c r="A146" s="2369" t="s">
        <v>794</v>
      </c>
      <c r="B146" s="3476">
        <v>537</v>
      </c>
      <c r="C146" s="3467"/>
      <c r="D146" s="3467"/>
      <c r="E146" s="3467"/>
      <c r="F146" s="49"/>
    </row>
    <row r="147" spans="1:6" ht="12.75" customHeight="1">
      <c r="A147" s="2368" t="s">
        <v>998</v>
      </c>
      <c r="B147" s="3475">
        <v>538</v>
      </c>
      <c r="C147" s="1076"/>
      <c r="D147" s="1076"/>
      <c r="E147" s="1076"/>
      <c r="F147" s="49"/>
    </row>
    <row r="148" spans="1:6" ht="12.75" customHeight="1">
      <c r="A148" s="3449" t="s">
        <v>1326</v>
      </c>
      <c r="B148" s="3472"/>
      <c r="C148" s="3472"/>
      <c r="D148" s="3472"/>
      <c r="E148" s="3472"/>
      <c r="F148" s="49"/>
    </row>
    <row r="149" spans="1:6" ht="12.75" customHeight="1">
      <c r="A149" s="3450" t="s">
        <v>972</v>
      </c>
      <c r="B149" s="3477"/>
      <c r="C149" s="3477"/>
      <c r="D149" s="3477"/>
      <c r="E149" s="3477"/>
      <c r="F149" s="49"/>
    </row>
    <row r="150" spans="1:6" ht="12.75" customHeight="1">
      <c r="A150" s="3458" t="s">
        <v>999</v>
      </c>
      <c r="B150" s="3478">
        <v>600</v>
      </c>
      <c r="C150" s="3479"/>
      <c r="D150" s="3465"/>
      <c r="E150" s="3465"/>
      <c r="F150" s="49"/>
    </row>
    <row r="151" spans="1:6" ht="12.75" customHeight="1">
      <c r="A151" s="3459" t="s">
        <v>943</v>
      </c>
      <c r="B151" s="3480">
        <v>605</v>
      </c>
      <c r="C151" s="3479"/>
      <c r="D151" s="2051"/>
      <c r="E151" s="2051"/>
      <c r="F151" s="49"/>
    </row>
    <row r="152" spans="1:6" ht="12.75" customHeight="1">
      <c r="A152" s="3449" t="s">
        <v>973</v>
      </c>
      <c r="B152" s="3472"/>
      <c r="C152" s="3472"/>
      <c r="D152" s="3472"/>
      <c r="E152" s="3472"/>
      <c r="F152" s="49"/>
    </row>
    <row r="153" spans="1:6" ht="12.75" customHeight="1">
      <c r="A153" s="3458" t="s">
        <v>1000</v>
      </c>
      <c r="B153" s="3478">
        <v>610</v>
      </c>
      <c r="C153" s="3479"/>
      <c r="D153" s="3465"/>
      <c r="E153" s="3465"/>
      <c r="F153" s="49"/>
    </row>
    <row r="154" spans="1:6" ht="12.75" customHeight="1">
      <c r="A154" s="3459" t="s">
        <v>977</v>
      </c>
      <c r="B154" s="3480">
        <v>615</v>
      </c>
      <c r="C154" s="3479"/>
      <c r="D154" s="2051"/>
      <c r="E154" s="2051"/>
      <c r="F154" s="49"/>
    </row>
    <row r="155" spans="1:6" ht="12.75" customHeight="1">
      <c r="A155" s="3459" t="s">
        <v>978</v>
      </c>
      <c r="B155" s="3480">
        <v>620</v>
      </c>
      <c r="C155" s="3479"/>
      <c r="D155" s="2051"/>
      <c r="E155" s="2051"/>
      <c r="F155" s="49"/>
    </row>
    <row r="156" spans="1:6" ht="12.75" customHeight="1">
      <c r="A156" s="4445" t="s">
        <v>4818</v>
      </c>
      <c r="B156" s="3478">
        <v>625</v>
      </c>
      <c r="C156" s="3479"/>
      <c r="D156" s="3465"/>
      <c r="E156" s="3465"/>
      <c r="F156" s="49"/>
    </row>
    <row r="157" spans="1:6" ht="12.75" customHeight="1">
      <c r="A157" s="3459" t="s">
        <v>979</v>
      </c>
      <c r="B157" s="3480">
        <v>630</v>
      </c>
      <c r="C157" s="3479"/>
      <c r="D157" s="2051"/>
      <c r="E157" s="2051"/>
      <c r="F157" s="49"/>
    </row>
    <row r="158" spans="1:6" ht="12.75" customHeight="1">
      <c r="A158" s="3459" t="s">
        <v>986</v>
      </c>
      <c r="B158" s="3480">
        <v>635</v>
      </c>
      <c r="C158" s="3479"/>
      <c r="D158" s="2051"/>
      <c r="E158" s="2051"/>
      <c r="F158" s="49"/>
    </row>
    <row r="159" spans="1:6" ht="12.75" customHeight="1">
      <c r="A159" s="3459" t="s">
        <v>989</v>
      </c>
      <c r="B159" s="3480">
        <v>640</v>
      </c>
      <c r="C159" s="3479"/>
      <c r="D159" s="2051"/>
      <c r="E159" s="2051"/>
      <c r="F159" s="49"/>
    </row>
    <row r="160" spans="1:6" ht="12.75" customHeight="1">
      <c r="A160" s="57" t="s">
        <v>997</v>
      </c>
      <c r="B160" s="465">
        <v>645</v>
      </c>
      <c r="C160" s="1074"/>
      <c r="D160" s="1066"/>
      <c r="E160" s="1065"/>
      <c r="F160" s="49"/>
    </row>
    <row r="161" spans="1:7" ht="12.75" customHeight="1">
      <c r="A161" s="56" t="s">
        <v>998</v>
      </c>
      <c r="B161" s="466">
        <v>650</v>
      </c>
      <c r="C161" s="1074"/>
      <c r="D161" s="4632"/>
      <c r="E161" s="2051"/>
      <c r="F161" s="49"/>
    </row>
    <row r="162" spans="1:7" ht="12.75" customHeight="1">
      <c r="A162" s="1198" t="s">
        <v>5153</v>
      </c>
      <c r="B162" s="2578" t="s">
        <v>4906</v>
      </c>
      <c r="C162" s="1067">
        <f>SUM(C39:C161)</f>
        <v>0</v>
      </c>
      <c r="D162" s="1067">
        <f t="shared" ref="D162:E162" si="0">SUM(D39:D161)</f>
        <v>1000</v>
      </c>
      <c r="E162" s="1067">
        <f t="shared" si="0"/>
        <v>1000</v>
      </c>
      <c r="F162" s="49"/>
    </row>
    <row r="163" spans="1:7" ht="12.75" customHeight="1">
      <c r="A163" s="6101" t="s">
        <v>4911</v>
      </c>
      <c r="B163" s="6101"/>
      <c r="C163" s="6101"/>
      <c r="D163" s="6101"/>
      <c r="E163" s="6101"/>
      <c r="F163" s="49"/>
      <c r="G163" s="678"/>
    </row>
    <row r="164" spans="1:7" ht="12.75" customHeight="1">
      <c r="A164" s="4629"/>
      <c r="B164" s="4629"/>
      <c r="C164" s="4629"/>
      <c r="D164" s="4629"/>
      <c r="E164" s="4629"/>
      <c r="F164" s="49"/>
      <c r="G164" s="678"/>
    </row>
    <row r="165" spans="1:7" ht="12.75" customHeight="1">
      <c r="A165" s="4629"/>
      <c r="B165" s="4629"/>
      <c r="C165" s="4629"/>
      <c r="D165" s="4629"/>
      <c r="E165" s="4629"/>
      <c r="F165" s="49"/>
      <c r="G165" s="678"/>
    </row>
    <row r="166" spans="1:7" ht="12.75" customHeight="1">
      <c r="A166" s="4629"/>
      <c r="B166" s="4629"/>
      <c r="C166" s="4629"/>
      <c r="D166" s="4629"/>
      <c r="E166" s="4629"/>
      <c r="F166" s="49"/>
      <c r="G166" s="678"/>
    </row>
    <row r="167" spans="1:7" ht="12.75" customHeight="1">
      <c r="A167" s="2864"/>
      <c r="B167" s="1192"/>
      <c r="C167" s="1047"/>
      <c r="D167" s="1047"/>
      <c r="E167" s="1047"/>
      <c r="F167" s="49"/>
      <c r="G167" s="678"/>
    </row>
  </sheetData>
  <sheetProtection algorithmName="SHA-512" hashValue="FeVAbQwDZdX9boodxcnQSvFBy9dGr/fdQgk9aQW9pOLKHaIhfLNSlb/Z+Gg68wUB9i9M72rqY4xzLR6aGzndwA==" saltValue="aGWPYW+ExfhMEon3p3BA5g==" spinCount="100000" sheet="1" objects="1" scenarios="1"/>
  <mergeCells count="5">
    <mergeCell ref="D1:E1"/>
    <mergeCell ref="D2:E2"/>
    <mergeCell ref="D27:E27"/>
    <mergeCell ref="D28:E28"/>
    <mergeCell ref="A163:E163"/>
  </mergeCells>
  <phoneticPr fontId="13" type="noConversion"/>
  <dataValidations count="2">
    <dataValidation type="whole" operator="greaterThanOrEqual" showInputMessage="1" showErrorMessage="1" errorTitle="Invalid Data Entry" error="Please enter a number or press the delete key or enter zero." sqref="C87:E91 C15:E15 C94:E95 C77:E78 C80:E85 C69:D74 H73 D69:E70 C145:E147 E14 C153:E161 C135:E135 C128:E133 C123:E126 E71:E74 C42:E46 C50:D50 E50:E51 C51:E52 C54:E59 C66:E68 C63:E64 C17:E18 C10:D10 C97:E104 C150:E151 C137:E143 C121:E121 C39:E40">
      <formula1>0</formula1>
    </dataValidation>
    <dataValidation type="whole" operator="greaterThanOrEqual" showInputMessage="1" showErrorMessage="1" errorTitle="Invalid Data Entry" error="Please enter a positive number or press the delete key or enter a zero." sqref="C107:E108 C110:E118 D14">
      <formula1>0</formula1>
    </dataValidation>
  </dataValidations>
  <hyperlinks>
    <hyperlink ref="G1" location="Contents!F1" display="Return to Contents page"/>
  </hyperlinks>
  <printOptions horizontalCentered="1"/>
  <pageMargins left="0.75" right="0.75" top="0.5" bottom="0.5" header="0.3" footer="0.3"/>
  <pageSetup scale="86" fitToHeight="0" orientation="portrait" blackAndWhite="1" r:id="rId1"/>
  <headerFooter scaleWithDoc="0">
    <oddFooter>&amp;L&amp;"Open Sans Light,Regular"&amp;8&amp;D    &amp;T&amp;C&amp;"Open Sans Light,Regular"&amp;8Page &amp;P&amp;R&amp;"Open Sans Light,Regular"&amp;8&amp;A</oddFooter>
  </headerFooter>
  <rowBreaks count="1" manualBreakCount="1">
    <brk id="121" max="4"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4" tint="0.39997558519241921"/>
  </sheetPr>
  <dimension ref="A1:Q163"/>
  <sheetViews>
    <sheetView showGridLines="0" zoomScaleNormal="100" zoomScaleSheetLayoutView="100" workbookViewId="0">
      <pane ySplit="8" topLeftCell="A9" activePane="bottomLeft" state="frozen"/>
      <selection activeCell="B22" sqref="B22"/>
      <selection pane="bottomLeft" activeCell="B22" sqref="B22"/>
    </sheetView>
  </sheetViews>
  <sheetFormatPr defaultColWidth="10.6640625" defaultRowHeight="12.75" customHeight="1"/>
  <cols>
    <col min="1" max="1" width="40.6640625" style="133" customWidth="1"/>
    <col min="2" max="2" width="5.6640625" style="1114" customWidth="1"/>
    <col min="3" max="5" width="14.33203125" style="1115" customWidth="1"/>
    <col min="6" max="6" width="2.33203125" style="133" customWidth="1"/>
    <col min="7" max="7" width="20.88671875" style="133" customWidth="1"/>
    <col min="8" max="16384" width="10.6640625" style="133"/>
  </cols>
  <sheetData>
    <row r="1" spans="1:17" ht="12.75" customHeight="1">
      <c r="A1" s="1083" t="s">
        <v>809</v>
      </c>
      <c r="B1" s="4414">
        <f>OPEN!B4</f>
        <v>237</v>
      </c>
      <c r="C1" s="1084"/>
      <c r="D1" s="6115" t="s">
        <v>836</v>
      </c>
      <c r="E1" s="6115"/>
      <c r="F1" s="131"/>
      <c r="G1" s="304" t="s">
        <v>754</v>
      </c>
    </row>
    <row r="2" spans="1:17" ht="12.75" customHeight="1">
      <c r="A2" s="1084"/>
      <c r="B2" s="1085"/>
      <c r="C2" s="1084"/>
      <c r="D2" s="6115" t="s">
        <v>921</v>
      </c>
      <c r="E2" s="6115"/>
      <c r="F2" s="131"/>
    </row>
    <row r="3" spans="1:17" ht="12.75" customHeight="1">
      <c r="A3" s="1084"/>
      <c r="B3" s="1085"/>
      <c r="C3" s="1084"/>
      <c r="D3" s="1084"/>
      <c r="E3" s="1083" t="str">
        <f>OpenData!N2</f>
        <v>2021-2022</v>
      </c>
      <c r="F3" s="131"/>
    </row>
    <row r="4" spans="1:17" ht="12.75" customHeight="1">
      <c r="A4" s="1084"/>
      <c r="B4" s="1085"/>
      <c r="C4" s="1084"/>
      <c r="D4" s="1084"/>
      <c r="E4" s="1084"/>
      <c r="F4" s="131"/>
    </row>
    <row r="5" spans="1:17" ht="12.75" customHeight="1">
      <c r="A5" s="1084"/>
      <c r="B5" s="1085"/>
      <c r="C5" s="1086" t="s">
        <v>922</v>
      </c>
      <c r="D5" s="1086" t="s">
        <v>922</v>
      </c>
      <c r="E5" s="1086" t="s">
        <v>922</v>
      </c>
      <c r="F5" s="131"/>
    </row>
    <row r="6" spans="1:17" ht="12.75" customHeight="1">
      <c r="A6" s="1087"/>
      <c r="B6" s="1088" t="s">
        <v>854</v>
      </c>
      <c r="C6" s="1089" t="str">
        <f>OpenData!N4</f>
        <v>2019-2020</v>
      </c>
      <c r="D6" s="1089" t="str">
        <f>OpenData!O4</f>
        <v>2020-2021</v>
      </c>
      <c r="E6" s="1089" t="str">
        <f>OpenData!P4</f>
        <v>2021-2022</v>
      </c>
      <c r="F6" s="131"/>
      <c r="N6" s="134"/>
    </row>
    <row r="7" spans="1:17" ht="12.75" customHeight="1">
      <c r="A7" s="1087" t="s">
        <v>87</v>
      </c>
      <c r="B7" s="1090">
        <v>15</v>
      </c>
      <c r="C7" s="1091" t="s">
        <v>893</v>
      </c>
      <c r="D7" s="1091" t="s">
        <v>893</v>
      </c>
      <c r="E7" s="1091" t="s">
        <v>923</v>
      </c>
      <c r="F7" s="131"/>
      <c r="O7" s="135"/>
      <c r="P7" s="135"/>
      <c r="Q7" s="135"/>
    </row>
    <row r="8" spans="1:17" ht="12.75" customHeight="1">
      <c r="A8" s="1092"/>
      <c r="B8" s="1093" t="s">
        <v>858</v>
      </c>
      <c r="C8" s="1094">
        <v>1</v>
      </c>
      <c r="D8" s="1094">
        <v>2</v>
      </c>
      <c r="E8" s="1094">
        <v>3</v>
      </c>
      <c r="F8" s="131"/>
      <c r="O8" s="135"/>
      <c r="P8" s="135"/>
      <c r="Q8" s="135"/>
    </row>
    <row r="9" spans="1:17" ht="12.75" customHeight="1">
      <c r="A9" s="1095" t="s">
        <v>1043</v>
      </c>
      <c r="B9" s="1096">
        <v>1</v>
      </c>
      <c r="C9" s="1097"/>
      <c r="D9" s="1098">
        <f>C26</f>
        <v>0</v>
      </c>
      <c r="E9" s="1098">
        <f>D26</f>
        <v>0</v>
      </c>
      <c r="F9" s="131"/>
      <c r="O9" s="135"/>
      <c r="P9" s="135"/>
      <c r="Q9" s="135"/>
    </row>
    <row r="10" spans="1:17" ht="12.75" customHeight="1">
      <c r="A10" s="3974" t="s">
        <v>4940</v>
      </c>
      <c r="B10" s="3446">
        <v>3</v>
      </c>
      <c r="C10" s="3434"/>
      <c r="D10" s="3434"/>
      <c r="E10" s="1987"/>
      <c r="F10" s="131"/>
      <c r="O10" s="135"/>
      <c r="P10" s="135"/>
      <c r="Q10" s="135"/>
    </row>
    <row r="11" spans="1:17" ht="12.75" customHeight="1">
      <c r="A11" s="2297"/>
      <c r="B11" s="4200"/>
      <c r="C11" s="4200"/>
      <c r="D11" s="4200"/>
      <c r="E11" s="2912"/>
      <c r="F11" s="131"/>
      <c r="O11" s="135"/>
      <c r="P11" s="135"/>
      <c r="Q11" s="135"/>
    </row>
    <row r="12" spans="1:17" ht="12.75" customHeight="1">
      <c r="A12" s="4415" t="s">
        <v>4767</v>
      </c>
      <c r="B12" s="4416"/>
      <c r="C12" s="4416"/>
      <c r="D12" s="4416"/>
      <c r="E12" s="4417"/>
      <c r="F12" s="131"/>
      <c r="O12" s="135"/>
      <c r="P12" s="135"/>
      <c r="Q12" s="135"/>
    </row>
    <row r="13" spans="1:17" ht="12.75" customHeight="1">
      <c r="A13" s="2371" t="s">
        <v>13</v>
      </c>
      <c r="B13" s="3428"/>
      <c r="C13" s="3428"/>
      <c r="D13" s="3428"/>
      <c r="E13" s="3428"/>
      <c r="F13" s="131"/>
      <c r="O13" s="135"/>
      <c r="P13" s="135"/>
      <c r="Q13" s="135"/>
    </row>
    <row r="14" spans="1:17" ht="12.75" customHeight="1">
      <c r="A14" s="2371" t="s">
        <v>645</v>
      </c>
      <c r="B14" s="3428"/>
      <c r="C14" s="3428"/>
      <c r="D14" s="3428"/>
      <c r="E14" s="3428"/>
      <c r="F14" s="131"/>
    </row>
    <row r="15" spans="1:17" ht="12.75" customHeight="1">
      <c r="A15" s="3426" t="s">
        <v>655</v>
      </c>
      <c r="B15" s="3443">
        <v>5</v>
      </c>
      <c r="C15" s="2928"/>
      <c r="D15" s="2929"/>
      <c r="E15" s="2928"/>
      <c r="F15" s="131"/>
      <c r="N15" s="134"/>
    </row>
    <row r="16" spans="1:17" ht="25.5" customHeight="1">
      <c r="A16" s="4428" t="s">
        <v>5157</v>
      </c>
      <c r="B16" s="3443">
        <v>25</v>
      </c>
      <c r="C16" s="2928"/>
      <c r="D16" s="3431"/>
      <c r="E16" s="2929"/>
      <c r="F16" s="131"/>
      <c r="O16" s="136"/>
      <c r="P16" s="136"/>
      <c r="Q16" s="136"/>
    </row>
    <row r="17" spans="1:17" ht="12.75" customHeight="1">
      <c r="A17" s="2374" t="s">
        <v>71</v>
      </c>
      <c r="B17" s="3446">
        <v>35</v>
      </c>
      <c r="C17" s="2928"/>
      <c r="D17" s="3431"/>
      <c r="E17" s="3133"/>
      <c r="F17" s="131"/>
      <c r="O17" s="136"/>
      <c r="P17" s="136"/>
      <c r="Q17" s="136"/>
    </row>
    <row r="18" spans="1:17" ht="12.75" customHeight="1">
      <c r="A18" s="2370" t="s">
        <v>18</v>
      </c>
      <c r="B18" s="3427"/>
      <c r="C18" s="3427"/>
      <c r="D18" s="3427"/>
      <c r="E18" s="3427"/>
      <c r="F18" s="131"/>
    </row>
    <row r="19" spans="1:17" ht="12.75" customHeight="1">
      <c r="A19" s="3426" t="s">
        <v>20</v>
      </c>
      <c r="B19" s="3443">
        <v>75</v>
      </c>
      <c r="C19" s="2928"/>
      <c r="D19" s="2928"/>
      <c r="E19" s="2928"/>
      <c r="F19" s="131"/>
    </row>
    <row r="20" spans="1:17" ht="12.75" customHeight="1">
      <c r="A20" s="2372" t="s">
        <v>39</v>
      </c>
      <c r="B20" s="3432"/>
      <c r="C20" s="3432"/>
      <c r="D20" s="3432"/>
      <c r="E20" s="3432"/>
      <c r="F20" s="131"/>
    </row>
    <row r="21" spans="1:17" ht="12.75" customHeight="1">
      <c r="A21" s="3415" t="s">
        <v>40</v>
      </c>
      <c r="B21" s="3429">
        <v>135</v>
      </c>
      <c r="C21" s="2932">
        <f>'C06'!C268</f>
        <v>0</v>
      </c>
      <c r="D21" s="2932">
        <f>'C06'!D268</f>
        <v>0</v>
      </c>
      <c r="E21" s="2932">
        <f>'C06'!E268</f>
        <v>0</v>
      </c>
      <c r="F21" s="131"/>
      <c r="G21" s="583"/>
    </row>
    <row r="22" spans="1:17" ht="12.75" customHeight="1">
      <c r="A22" s="137" t="s">
        <v>308</v>
      </c>
      <c r="B22" s="1101">
        <v>140</v>
      </c>
      <c r="C22" s="1100">
        <f>'C08'!C274</f>
        <v>0</v>
      </c>
      <c r="D22" s="1102">
        <f>'C08'!D274</f>
        <v>0</v>
      </c>
      <c r="E22" s="1098">
        <f>'C08'!E274</f>
        <v>0</v>
      </c>
      <c r="F22" s="131"/>
      <c r="H22" s="481" t="s">
        <v>3037</v>
      </c>
    </row>
    <row r="23" spans="1:17" ht="12.75" customHeight="1">
      <c r="A23" s="137" t="s">
        <v>41</v>
      </c>
      <c r="B23" s="1101">
        <v>145</v>
      </c>
      <c r="C23" s="1100">
        <f>'C053'!C231</f>
        <v>0</v>
      </c>
      <c r="D23" s="1103">
        <f>'C053'!D231</f>
        <v>0</v>
      </c>
      <c r="E23" s="3810" t="s">
        <v>4905</v>
      </c>
      <c r="F23" s="131"/>
      <c r="G23" s="481"/>
      <c r="H23" s="594">
        <f>'F150'!J44</f>
        <v>0</v>
      </c>
    </row>
    <row r="24" spans="1:17" ht="12.75" customHeight="1">
      <c r="A24" s="140" t="s">
        <v>42</v>
      </c>
      <c r="B24" s="1104">
        <v>170</v>
      </c>
      <c r="C24" s="1100">
        <f>SUM(C9:C23)</f>
        <v>0</v>
      </c>
      <c r="D24" s="1105">
        <f>SUM(D9:D23)</f>
        <v>0</v>
      </c>
      <c r="E24" s="2932">
        <f>SUM(E9:E23)</f>
        <v>0</v>
      </c>
      <c r="F24" s="131"/>
      <c r="G24" s="482"/>
    </row>
    <row r="25" spans="1:17" ht="12.75" customHeight="1">
      <c r="A25" s="137" t="s">
        <v>43</v>
      </c>
      <c r="B25" s="1101">
        <v>175</v>
      </c>
      <c r="C25" s="1098">
        <f>C158</f>
        <v>0</v>
      </c>
      <c r="D25" s="1103">
        <f>D158</f>
        <v>0</v>
      </c>
      <c r="E25" s="1098">
        <f>IF((E158&lt;=E24),E158,"ERROR")</f>
        <v>0</v>
      </c>
      <c r="F25" s="131"/>
      <c r="G25" s="330" t="str">
        <f>IF(E25="ERROR","Expenditures must be less than or equal to the Resources Available","")</f>
        <v/>
      </c>
      <c r="H25" s="386"/>
    </row>
    <row r="26" spans="1:17" ht="12.75" customHeight="1">
      <c r="A26" s="137" t="s">
        <v>247</v>
      </c>
      <c r="B26" s="1101">
        <v>190</v>
      </c>
      <c r="C26" s="1098">
        <f>SUM(C24-C25)</f>
        <v>0</v>
      </c>
      <c r="D26" s="1117">
        <f>SUM(D24-D25)</f>
        <v>0</v>
      </c>
      <c r="E26" s="1118">
        <f>IF(ISERROR(E24-E25),"NEGATIVE", E24-E25)</f>
        <v>0</v>
      </c>
      <c r="F26" s="131"/>
      <c r="G26" s="418"/>
      <c r="H26" s="386"/>
    </row>
    <row r="27" spans="1:17" ht="12.75" customHeight="1">
      <c r="A27" s="4418"/>
      <c r="B27" s="4419"/>
      <c r="C27" s="1102"/>
      <c r="D27" s="1102"/>
      <c r="E27" s="4420"/>
      <c r="F27" s="131"/>
      <c r="G27" s="418"/>
      <c r="H27" s="386"/>
    </row>
    <row r="28" spans="1:17" s="3741" customFormat="1" ht="12.75" customHeight="1">
      <c r="A28" s="130" t="str">
        <f>A1</f>
        <v>USD #</v>
      </c>
      <c r="B28" s="3739">
        <f>B1</f>
        <v>237</v>
      </c>
      <c r="C28" s="3740"/>
      <c r="D28" s="6116" t="str">
        <f>D1</f>
        <v>STATE OF KANSAS</v>
      </c>
      <c r="E28" s="6116"/>
      <c r="F28" s="3740"/>
    </row>
    <row r="29" spans="1:17" ht="12.75" customHeight="1">
      <c r="A29" s="282"/>
      <c r="B29" s="936"/>
      <c r="C29" s="936"/>
      <c r="D29" s="6115" t="str">
        <f>D2</f>
        <v>Budget Form USD-E</v>
      </c>
      <c r="E29" s="6115"/>
      <c r="F29" s="131"/>
    </row>
    <row r="30" spans="1:17" ht="12.75" customHeight="1">
      <c r="A30" s="141"/>
      <c r="B30" s="1106"/>
      <c r="C30" s="1106"/>
      <c r="D30" s="1106"/>
      <c r="E30" s="1083" t="str">
        <f>E3</f>
        <v>2021-2022</v>
      </c>
      <c r="F30" s="141"/>
    </row>
    <row r="31" spans="1:17" ht="12.75" customHeight="1">
      <c r="A31" s="130"/>
      <c r="B31" s="1085"/>
      <c r="C31" s="1084"/>
      <c r="D31" s="1084"/>
      <c r="E31" s="1083"/>
      <c r="F31" s="131"/>
    </row>
    <row r="32" spans="1:17" ht="12.75" customHeight="1">
      <c r="A32" s="131"/>
      <c r="B32" s="1085"/>
      <c r="C32" s="1086" t="s">
        <v>922</v>
      </c>
      <c r="D32" s="1086" t="s">
        <v>922</v>
      </c>
      <c r="E32" s="1086" t="s">
        <v>922</v>
      </c>
      <c r="F32" s="131"/>
    </row>
    <row r="33" spans="1:6" ht="12.75" customHeight="1">
      <c r="A33" s="132"/>
      <c r="B33" s="1088" t="s">
        <v>854</v>
      </c>
      <c r="C33" s="1089" t="str">
        <f>C6</f>
        <v>2019-2020</v>
      </c>
      <c r="D33" s="1089" t="str">
        <f>D6</f>
        <v>2020-2021</v>
      </c>
      <c r="E33" s="1089" t="str">
        <f>E6</f>
        <v>2021-2022</v>
      </c>
      <c r="F33" s="131"/>
    </row>
    <row r="34" spans="1:6" ht="12.75" customHeight="1">
      <c r="A34" s="132" t="str">
        <f>A7</f>
        <v>VIRTUAL EDUCATION</v>
      </c>
      <c r="B34" s="1090">
        <f>B7</f>
        <v>15</v>
      </c>
      <c r="C34" s="1091" t="s">
        <v>893</v>
      </c>
      <c r="D34" s="1091" t="s">
        <v>893</v>
      </c>
      <c r="E34" s="1091" t="s">
        <v>923</v>
      </c>
      <c r="F34" s="131"/>
    </row>
    <row r="35" spans="1:6" ht="12.75" customHeight="1">
      <c r="A35" s="1116"/>
      <c r="B35" s="1090" t="s">
        <v>858</v>
      </c>
      <c r="C35" s="1094">
        <v>1</v>
      </c>
      <c r="D35" s="1094">
        <v>2</v>
      </c>
      <c r="E35" s="1094">
        <v>3</v>
      </c>
      <c r="F35" s="131"/>
    </row>
    <row r="36" spans="1:6" ht="12.75" customHeight="1">
      <c r="A36" s="4421"/>
      <c r="B36" s="4422"/>
      <c r="C36" s="4423"/>
      <c r="D36" s="4423"/>
      <c r="E36" s="4424"/>
      <c r="F36" s="131"/>
    </row>
    <row r="37" spans="1:6" ht="12.75" customHeight="1">
      <c r="A37" s="4425" t="s">
        <v>60</v>
      </c>
      <c r="B37" s="4426"/>
      <c r="C37" s="4426"/>
      <c r="D37" s="4426"/>
      <c r="E37" s="4427"/>
      <c r="F37" s="131"/>
    </row>
    <row r="38" spans="1:6" ht="12.75" customHeight="1">
      <c r="A38" s="2371" t="s">
        <v>940</v>
      </c>
      <c r="B38" s="3428"/>
      <c r="C38" s="3428"/>
      <c r="D38" s="3428"/>
      <c r="E38" s="3428"/>
      <c r="F38" s="131"/>
    </row>
    <row r="39" spans="1:6" ht="12.75" customHeight="1">
      <c r="A39" s="2371" t="s">
        <v>941</v>
      </c>
      <c r="B39" s="3428"/>
      <c r="C39" s="3428"/>
      <c r="D39" s="3428"/>
      <c r="E39" s="3428"/>
      <c r="F39" s="131"/>
    </row>
    <row r="40" spans="1:6" ht="12.75" customHeight="1">
      <c r="A40" s="3415" t="s">
        <v>942</v>
      </c>
      <c r="B40" s="3429">
        <v>210</v>
      </c>
      <c r="C40" s="2928"/>
      <c r="D40" s="2929"/>
      <c r="E40" s="2928"/>
      <c r="F40" s="131"/>
    </row>
    <row r="41" spans="1:6" ht="12.75" customHeight="1">
      <c r="A41" s="3416" t="s">
        <v>603</v>
      </c>
      <c r="B41" s="3430">
        <v>215</v>
      </c>
      <c r="C41" s="2928"/>
      <c r="D41" s="3431"/>
      <c r="E41" s="3431"/>
      <c r="F41" s="131"/>
    </row>
    <row r="42" spans="1:6" ht="12.75" customHeight="1">
      <c r="A42" s="2372" t="s">
        <v>944</v>
      </c>
      <c r="B42" s="3432"/>
      <c r="C42" s="3432"/>
      <c r="D42" s="3432"/>
      <c r="E42" s="3432"/>
      <c r="F42" s="131"/>
    </row>
    <row r="43" spans="1:6" ht="12.75" customHeight="1">
      <c r="A43" s="3415" t="s">
        <v>945</v>
      </c>
      <c r="B43" s="3429">
        <v>220</v>
      </c>
      <c r="C43" s="2928"/>
      <c r="D43" s="2929"/>
      <c r="E43" s="2928"/>
      <c r="F43" s="131"/>
    </row>
    <row r="44" spans="1:6" ht="12.75" customHeight="1">
      <c r="A44" s="3416" t="s">
        <v>946</v>
      </c>
      <c r="B44" s="3430">
        <v>225</v>
      </c>
      <c r="C44" s="2928"/>
      <c r="D44" s="3431"/>
      <c r="E44" s="3431"/>
      <c r="F44" s="131"/>
    </row>
    <row r="45" spans="1:6" ht="12.75" customHeight="1">
      <c r="A45" s="3416" t="s">
        <v>947</v>
      </c>
      <c r="B45" s="3430">
        <v>230</v>
      </c>
      <c r="C45" s="2928"/>
      <c r="D45" s="3431"/>
      <c r="E45" s="3431"/>
      <c r="F45" s="131"/>
    </row>
    <row r="46" spans="1:6" ht="12.75" customHeight="1">
      <c r="A46" s="3415" t="s">
        <v>4818</v>
      </c>
      <c r="B46" s="3433">
        <v>235</v>
      </c>
      <c r="C46" s="2928"/>
      <c r="D46" s="3431"/>
      <c r="E46" s="3434"/>
      <c r="F46" s="131"/>
    </row>
    <row r="47" spans="1:6" ht="12.75" customHeight="1">
      <c r="A47" s="3417" t="s">
        <v>632</v>
      </c>
      <c r="B47" s="3435">
        <v>237</v>
      </c>
      <c r="C47" s="2928"/>
      <c r="D47" s="3431"/>
      <c r="E47" s="3434"/>
      <c r="F47" s="131"/>
    </row>
    <row r="48" spans="1:6" ht="12.75" customHeight="1">
      <c r="A48" s="2372" t="s">
        <v>950</v>
      </c>
      <c r="B48" s="3432"/>
      <c r="C48" s="3432"/>
      <c r="D48" s="3432"/>
      <c r="E48" s="3432"/>
      <c r="F48" s="131"/>
    </row>
    <row r="49" spans="1:6" ht="12.75" customHeight="1">
      <c r="A49" s="3409" t="s">
        <v>951</v>
      </c>
      <c r="B49" s="3436"/>
      <c r="C49" s="3436"/>
      <c r="D49" s="3436"/>
      <c r="E49" s="3436"/>
      <c r="F49" s="131"/>
    </row>
    <row r="50" spans="1:6" ht="12.75" customHeight="1">
      <c r="A50" s="3415" t="s">
        <v>952</v>
      </c>
      <c r="B50" s="3429">
        <v>240</v>
      </c>
      <c r="C50" s="2928"/>
      <c r="D50" s="2929"/>
      <c r="E50" s="2928"/>
      <c r="F50" s="131"/>
    </row>
    <row r="51" spans="1:6" ht="12.75" customHeight="1">
      <c r="A51" s="3416" t="s">
        <v>1712</v>
      </c>
      <c r="B51" s="3430">
        <v>245</v>
      </c>
      <c r="C51" s="2928"/>
      <c r="D51" s="3431"/>
      <c r="E51" s="3431"/>
      <c r="F51" s="131"/>
    </row>
    <row r="52" spans="1:6" ht="12.75" customHeight="1">
      <c r="A52" s="3416" t="s">
        <v>954</v>
      </c>
      <c r="B52" s="3430">
        <v>250</v>
      </c>
      <c r="C52" s="2928"/>
      <c r="D52" s="3431"/>
      <c r="E52" s="3431"/>
      <c r="F52" s="131"/>
    </row>
    <row r="53" spans="1:6" ht="12.75" customHeight="1">
      <c r="A53" s="2372" t="s">
        <v>955</v>
      </c>
      <c r="B53" s="3432"/>
      <c r="C53" s="3432"/>
      <c r="D53" s="3432"/>
      <c r="E53" s="3432"/>
      <c r="F53" s="131"/>
    </row>
    <row r="54" spans="1:6" ht="12.75" customHeight="1">
      <c r="A54" s="3415" t="s">
        <v>956</v>
      </c>
      <c r="B54" s="3429">
        <v>255</v>
      </c>
      <c r="C54" s="2928"/>
      <c r="D54" s="2929"/>
      <c r="E54" s="2928"/>
      <c r="F54" s="131"/>
    </row>
    <row r="55" spans="1:6" ht="12.75" customHeight="1">
      <c r="A55" s="3416" t="s">
        <v>957</v>
      </c>
      <c r="B55" s="3430">
        <v>260</v>
      </c>
      <c r="C55" s="2928"/>
      <c r="D55" s="3431"/>
      <c r="E55" s="3431"/>
      <c r="F55" s="131"/>
    </row>
    <row r="56" spans="1:6" ht="12.75" customHeight="1">
      <c r="A56" s="3418" t="s">
        <v>238</v>
      </c>
      <c r="B56" s="3437">
        <v>263</v>
      </c>
      <c r="C56" s="2928"/>
      <c r="D56" s="3431"/>
      <c r="E56" s="2928"/>
      <c r="F56" s="131"/>
    </row>
    <row r="57" spans="1:6" ht="12.75" customHeight="1">
      <c r="A57" s="3415" t="s">
        <v>958</v>
      </c>
      <c r="B57" s="3429">
        <v>265</v>
      </c>
      <c r="C57" s="2928"/>
      <c r="D57" s="3431"/>
      <c r="E57" s="2928"/>
      <c r="F57" s="131"/>
    </row>
    <row r="58" spans="1:6" ht="12.75" customHeight="1">
      <c r="A58" s="3416" t="s">
        <v>959</v>
      </c>
      <c r="B58" s="3430">
        <v>270</v>
      </c>
      <c r="C58" s="2928"/>
      <c r="D58" s="3431"/>
      <c r="E58" s="3431"/>
      <c r="F58" s="131"/>
    </row>
    <row r="59" spans="1:6" ht="12.75" customHeight="1">
      <c r="A59" s="3416" t="s">
        <v>960</v>
      </c>
      <c r="B59" s="3430">
        <v>275</v>
      </c>
      <c r="C59" s="2928"/>
      <c r="D59" s="3431"/>
      <c r="E59" s="3431"/>
      <c r="F59" s="131"/>
    </row>
    <row r="60" spans="1:6" ht="12.75" customHeight="1">
      <c r="A60" s="2372" t="s">
        <v>961</v>
      </c>
      <c r="B60" s="3432"/>
      <c r="C60" s="3432"/>
      <c r="D60" s="3432"/>
      <c r="E60" s="3432"/>
      <c r="F60" s="131"/>
    </row>
    <row r="61" spans="1:6" ht="12.75" customHeight="1">
      <c r="A61" s="3409" t="s">
        <v>962</v>
      </c>
      <c r="B61" s="3436"/>
      <c r="C61" s="3436"/>
      <c r="D61" s="3436"/>
      <c r="E61" s="3436"/>
      <c r="F61" s="131"/>
    </row>
    <row r="62" spans="1:6" ht="12.75" customHeight="1">
      <c r="A62" s="3409" t="s">
        <v>941</v>
      </c>
      <c r="B62" s="3436"/>
      <c r="C62" s="3436"/>
      <c r="D62" s="3436"/>
      <c r="E62" s="3436"/>
      <c r="F62" s="131"/>
    </row>
    <row r="63" spans="1:6" ht="12.75" customHeight="1">
      <c r="A63" s="3415" t="s">
        <v>942</v>
      </c>
      <c r="B63" s="3429">
        <v>280</v>
      </c>
      <c r="C63" s="2928"/>
      <c r="D63" s="2929"/>
      <c r="E63" s="2928"/>
      <c r="F63" s="131"/>
    </row>
    <row r="64" spans="1:6" ht="12.75" customHeight="1">
      <c r="A64" s="3416" t="s">
        <v>605</v>
      </c>
      <c r="B64" s="3430">
        <v>285</v>
      </c>
      <c r="C64" s="2928"/>
      <c r="D64" s="3431"/>
      <c r="E64" s="3431"/>
      <c r="F64" s="131"/>
    </row>
    <row r="65" spans="1:6" ht="12.75" customHeight="1">
      <c r="A65" s="2372" t="s">
        <v>944</v>
      </c>
      <c r="B65" s="3432"/>
      <c r="C65" s="3432"/>
      <c r="D65" s="3432"/>
      <c r="E65" s="3432"/>
      <c r="F65" s="131"/>
    </row>
    <row r="66" spans="1:6" ht="12.75" customHeight="1">
      <c r="A66" s="3415" t="s">
        <v>945</v>
      </c>
      <c r="B66" s="3429">
        <v>290</v>
      </c>
      <c r="C66" s="2928"/>
      <c r="D66" s="2929"/>
      <c r="E66" s="2928"/>
      <c r="F66" s="131"/>
    </row>
    <row r="67" spans="1:6" ht="12.75" customHeight="1">
      <c r="A67" s="3416" t="s">
        <v>946</v>
      </c>
      <c r="B67" s="3430">
        <v>295</v>
      </c>
      <c r="C67" s="2928"/>
      <c r="D67" s="3431"/>
      <c r="E67" s="3431"/>
      <c r="F67" s="131"/>
    </row>
    <row r="68" spans="1:6" ht="12.75" customHeight="1">
      <c r="A68" s="3415" t="s">
        <v>947</v>
      </c>
      <c r="B68" s="3429">
        <v>300</v>
      </c>
      <c r="C68" s="2928"/>
      <c r="D68" s="3431"/>
      <c r="E68" s="2928"/>
      <c r="F68" s="131"/>
    </row>
    <row r="69" spans="1:6" ht="12.75" customHeight="1">
      <c r="A69" s="3415" t="s">
        <v>4818</v>
      </c>
      <c r="B69" s="3430">
        <v>305</v>
      </c>
      <c r="C69" s="2928"/>
      <c r="D69" s="3431"/>
      <c r="E69" s="3431"/>
      <c r="F69" s="131"/>
    </row>
    <row r="70" spans="1:6" ht="12.75" customHeight="1">
      <c r="A70" s="3419" t="s">
        <v>632</v>
      </c>
      <c r="B70" s="3438">
        <v>307</v>
      </c>
      <c r="C70" s="2928"/>
      <c r="D70" s="3431"/>
      <c r="E70" s="3431"/>
      <c r="F70" s="131"/>
    </row>
    <row r="71" spans="1:6" ht="12.75" customHeight="1">
      <c r="A71" s="3416" t="s">
        <v>950</v>
      </c>
      <c r="B71" s="3430">
        <v>310</v>
      </c>
      <c r="C71" s="2928"/>
      <c r="D71" s="3431"/>
      <c r="E71" s="3431"/>
      <c r="F71" s="131"/>
    </row>
    <row r="72" spans="1:6" ht="12.75" customHeight="1">
      <c r="A72" s="3416" t="s">
        <v>955</v>
      </c>
      <c r="B72" s="3430">
        <v>315</v>
      </c>
      <c r="C72" s="2928"/>
      <c r="D72" s="3431"/>
      <c r="E72" s="3431"/>
      <c r="F72" s="131"/>
    </row>
    <row r="73" spans="1:6" ht="12.75" customHeight="1">
      <c r="A73" s="3416" t="s">
        <v>959</v>
      </c>
      <c r="B73" s="3430">
        <v>320</v>
      </c>
      <c r="C73" s="2928"/>
      <c r="D73" s="3431"/>
      <c r="E73" s="3431"/>
      <c r="F73" s="131"/>
    </row>
    <row r="74" spans="1:6" ht="12.75" customHeight="1">
      <c r="A74" s="3416" t="s">
        <v>960</v>
      </c>
      <c r="B74" s="3430">
        <v>325</v>
      </c>
      <c r="C74" s="2928"/>
      <c r="D74" s="3431"/>
      <c r="E74" s="3431"/>
      <c r="F74" s="131"/>
    </row>
    <row r="75" spans="1:6" ht="12.75" customHeight="1">
      <c r="A75" s="2372" t="s">
        <v>963</v>
      </c>
      <c r="B75" s="3432"/>
      <c r="C75" s="3432"/>
      <c r="D75" s="3432"/>
      <c r="E75" s="3432"/>
      <c r="F75" s="131"/>
    </row>
    <row r="76" spans="1:6" ht="12.75" customHeight="1">
      <c r="A76" s="3409" t="s">
        <v>941</v>
      </c>
      <c r="B76" s="3436"/>
      <c r="C76" s="3436"/>
      <c r="D76" s="3436"/>
      <c r="E76" s="3436"/>
      <c r="F76" s="131"/>
    </row>
    <row r="77" spans="1:6" ht="12.75" customHeight="1">
      <c r="A77" s="3415" t="s">
        <v>942</v>
      </c>
      <c r="B77" s="3429">
        <v>330</v>
      </c>
      <c r="C77" s="2928"/>
      <c r="D77" s="2929"/>
      <c r="E77" s="2928"/>
      <c r="F77" s="131"/>
    </row>
    <row r="78" spans="1:6" ht="12.75" customHeight="1">
      <c r="A78" s="3416" t="s">
        <v>605</v>
      </c>
      <c r="B78" s="3430">
        <v>335</v>
      </c>
      <c r="C78" s="2928"/>
      <c r="D78" s="3431"/>
      <c r="E78" s="3431"/>
      <c r="F78" s="131"/>
    </row>
    <row r="79" spans="1:6" ht="12.75" customHeight="1">
      <c r="A79" s="2372" t="s">
        <v>944</v>
      </c>
      <c r="B79" s="3432"/>
      <c r="C79" s="3432"/>
      <c r="D79" s="3432"/>
      <c r="E79" s="3432"/>
      <c r="F79" s="131"/>
    </row>
    <row r="80" spans="1:6" ht="12.75" customHeight="1">
      <c r="A80" s="3415" t="s">
        <v>945</v>
      </c>
      <c r="B80" s="3429">
        <v>340</v>
      </c>
      <c r="C80" s="2928"/>
      <c r="D80" s="2929"/>
      <c r="E80" s="2928"/>
      <c r="F80" s="131"/>
    </row>
    <row r="81" spans="1:6" ht="12.75" customHeight="1">
      <c r="A81" s="3416" t="s">
        <v>946</v>
      </c>
      <c r="B81" s="3430">
        <v>345</v>
      </c>
      <c r="C81" s="2928"/>
      <c r="D81" s="3431"/>
      <c r="E81" s="3431"/>
      <c r="F81" s="131"/>
    </row>
    <row r="82" spans="1:6" ht="12.75" customHeight="1">
      <c r="A82" s="3416" t="s">
        <v>947</v>
      </c>
      <c r="B82" s="3430">
        <v>350</v>
      </c>
      <c r="C82" s="2928"/>
      <c r="D82" s="3431"/>
      <c r="E82" s="3431"/>
      <c r="F82" s="131"/>
    </row>
    <row r="83" spans="1:6" ht="12.75" customHeight="1">
      <c r="A83" s="3415" t="s">
        <v>4818</v>
      </c>
      <c r="B83" s="3430">
        <v>355</v>
      </c>
      <c r="C83" s="2928"/>
      <c r="D83" s="3431"/>
      <c r="E83" s="3431"/>
      <c r="F83" s="131"/>
    </row>
    <row r="84" spans="1:6" ht="12.75" customHeight="1">
      <c r="A84" s="3419" t="s">
        <v>632</v>
      </c>
      <c r="B84" s="3438">
        <v>357</v>
      </c>
      <c r="C84" s="2928"/>
      <c r="D84" s="3431"/>
      <c r="E84" s="3431"/>
      <c r="F84" s="131"/>
    </row>
    <row r="85" spans="1:6" ht="12.75" customHeight="1">
      <c r="A85" s="3416" t="s">
        <v>950</v>
      </c>
      <c r="B85" s="3430">
        <v>360</v>
      </c>
      <c r="C85" s="2928"/>
      <c r="D85" s="3431"/>
      <c r="E85" s="3431"/>
      <c r="F85" s="131"/>
    </row>
    <row r="86" spans="1:6" ht="12.75" customHeight="1">
      <c r="A86" s="3410" t="s">
        <v>955</v>
      </c>
      <c r="B86" s="3439"/>
      <c r="C86" s="3439"/>
      <c r="D86" s="3439"/>
      <c r="E86" s="3439"/>
      <c r="F86" s="131"/>
    </row>
    <row r="87" spans="1:6" ht="12.75" customHeight="1">
      <c r="A87" s="3420" t="s">
        <v>301</v>
      </c>
      <c r="B87" s="3429">
        <v>365</v>
      </c>
      <c r="C87" s="2928"/>
      <c r="D87" s="2929"/>
      <c r="E87" s="2928"/>
      <c r="F87" s="131"/>
    </row>
    <row r="88" spans="1:6" ht="12.75" customHeight="1">
      <c r="A88" s="3421" t="s">
        <v>685</v>
      </c>
      <c r="B88" s="3440">
        <v>370</v>
      </c>
      <c r="C88" s="2928"/>
      <c r="D88" s="3431"/>
      <c r="E88" s="3431"/>
      <c r="F88" s="131"/>
    </row>
    <row r="89" spans="1:6" ht="12.75" customHeight="1">
      <c r="A89" s="3421" t="s">
        <v>958</v>
      </c>
      <c r="B89" s="3440">
        <v>375</v>
      </c>
      <c r="C89" s="2928"/>
      <c r="D89" s="3431"/>
      <c r="E89" s="3431"/>
      <c r="F89" s="131"/>
    </row>
    <row r="90" spans="1:6" ht="12.75" customHeight="1">
      <c r="A90" s="3421" t="s">
        <v>997</v>
      </c>
      <c r="B90" s="3440">
        <v>380</v>
      </c>
      <c r="C90" s="2928"/>
      <c r="D90" s="3431"/>
      <c r="E90" s="3431"/>
      <c r="F90" s="131"/>
    </row>
    <row r="91" spans="1:6" ht="12.75" customHeight="1">
      <c r="A91" s="3421" t="s">
        <v>998</v>
      </c>
      <c r="B91" s="3440">
        <v>385</v>
      </c>
      <c r="C91" s="2928"/>
      <c r="D91" s="3431"/>
      <c r="E91" s="3431"/>
      <c r="F91" s="131"/>
    </row>
    <row r="92" spans="1:6" ht="12.75" customHeight="1">
      <c r="A92" s="3411" t="s">
        <v>77</v>
      </c>
      <c r="B92" s="3441"/>
      <c r="C92" s="3441"/>
      <c r="D92" s="3441"/>
      <c r="E92" s="3441"/>
      <c r="F92" s="131"/>
    </row>
    <row r="93" spans="1:6" ht="12.75" customHeight="1">
      <c r="A93" s="3412" t="s">
        <v>972</v>
      </c>
      <c r="B93" s="3442"/>
      <c r="C93" s="3442"/>
      <c r="D93" s="3442"/>
      <c r="E93" s="3442"/>
      <c r="F93" s="131"/>
    </row>
    <row r="94" spans="1:6" ht="12.75" customHeight="1">
      <c r="A94" s="3422" t="s">
        <v>999</v>
      </c>
      <c r="B94" s="3443">
        <v>445</v>
      </c>
      <c r="C94" s="2928"/>
      <c r="D94" s="2929"/>
      <c r="E94" s="2928"/>
      <c r="F94" s="131"/>
    </row>
    <row r="95" spans="1:6" ht="12.75" customHeight="1">
      <c r="A95" s="3421" t="s">
        <v>943</v>
      </c>
      <c r="B95" s="3440">
        <v>450</v>
      </c>
      <c r="C95" s="2928"/>
      <c r="D95" s="3431"/>
      <c r="E95" s="3431"/>
      <c r="F95" s="131"/>
    </row>
    <row r="96" spans="1:6" ht="12.75" customHeight="1">
      <c r="A96" s="3411" t="s">
        <v>973</v>
      </c>
      <c r="B96" s="3441"/>
      <c r="C96" s="3441"/>
      <c r="D96" s="3441"/>
      <c r="E96" s="3441"/>
      <c r="F96" s="131"/>
    </row>
    <row r="97" spans="1:6" ht="12.75" customHeight="1">
      <c r="A97" s="3422" t="s">
        <v>974</v>
      </c>
      <c r="B97" s="3443">
        <v>455</v>
      </c>
      <c r="C97" s="2928"/>
      <c r="D97" s="2929"/>
      <c r="E97" s="2928"/>
      <c r="F97" s="131"/>
    </row>
    <row r="98" spans="1:6" ht="12.75" customHeight="1">
      <c r="A98" s="3421" t="s">
        <v>977</v>
      </c>
      <c r="B98" s="3440">
        <v>460</v>
      </c>
      <c r="C98" s="2928"/>
      <c r="D98" s="3431"/>
      <c r="E98" s="3431"/>
      <c r="F98" s="131"/>
    </row>
    <row r="99" spans="1:6" ht="12.75" customHeight="1">
      <c r="A99" s="3422" t="s">
        <v>978</v>
      </c>
      <c r="B99" s="3443">
        <v>465</v>
      </c>
      <c r="C99" s="2928"/>
      <c r="D99" s="3431"/>
      <c r="E99" s="2928"/>
      <c r="F99" s="131"/>
    </row>
    <row r="100" spans="1:6" ht="12.75" customHeight="1">
      <c r="A100" s="3415" t="s">
        <v>4818</v>
      </c>
      <c r="B100" s="3440">
        <v>470</v>
      </c>
      <c r="C100" s="2928"/>
      <c r="D100" s="3431"/>
      <c r="E100" s="3431"/>
      <c r="F100" s="131"/>
    </row>
    <row r="101" spans="1:6" ht="12.75" customHeight="1">
      <c r="A101" s="3422" t="s">
        <v>986</v>
      </c>
      <c r="B101" s="3443">
        <v>475</v>
      </c>
      <c r="C101" s="2928"/>
      <c r="D101" s="3431"/>
      <c r="E101" s="2928"/>
      <c r="F101" s="131"/>
    </row>
    <row r="102" spans="1:6" ht="12.75" customHeight="1">
      <c r="A102" s="3421" t="s">
        <v>989</v>
      </c>
      <c r="B102" s="3440">
        <v>480</v>
      </c>
      <c r="C102" s="2928"/>
      <c r="D102" s="3431"/>
      <c r="E102" s="3431"/>
      <c r="F102" s="131"/>
    </row>
    <row r="103" spans="1:6" ht="12.75" customHeight="1">
      <c r="A103" s="3421" t="s">
        <v>997</v>
      </c>
      <c r="B103" s="3440">
        <v>485</v>
      </c>
      <c r="C103" s="2928"/>
      <c r="D103" s="3431"/>
      <c r="E103" s="3431"/>
      <c r="F103" s="131"/>
    </row>
    <row r="104" spans="1:6" ht="12.75" customHeight="1">
      <c r="A104" s="3421" t="s">
        <v>998</v>
      </c>
      <c r="B104" s="3440">
        <v>490</v>
      </c>
      <c r="C104" s="2928"/>
      <c r="D104" s="3431"/>
      <c r="E104" s="3431"/>
      <c r="F104" s="131"/>
    </row>
    <row r="105" spans="1:6" ht="12.75" customHeight="1">
      <c r="A105" s="3413" t="s">
        <v>1320</v>
      </c>
      <c r="B105" s="3444"/>
      <c r="C105" s="3444"/>
      <c r="D105" s="3444"/>
      <c r="E105" s="3444"/>
      <c r="F105" s="131"/>
    </row>
    <row r="106" spans="1:6" ht="12.75" customHeight="1">
      <c r="A106" s="3414" t="s">
        <v>1144</v>
      </c>
      <c r="B106" s="3445"/>
      <c r="C106" s="3445"/>
      <c r="D106" s="3445"/>
      <c r="E106" s="3445"/>
      <c r="F106" s="131"/>
    </row>
    <row r="107" spans="1:6" ht="12.75" customHeight="1">
      <c r="A107" s="3423" t="s">
        <v>1321</v>
      </c>
      <c r="B107" s="2094">
        <v>590</v>
      </c>
      <c r="C107" s="3214"/>
      <c r="D107" s="3214"/>
      <c r="E107" s="3215"/>
      <c r="F107" s="131"/>
    </row>
    <row r="108" spans="1:6" ht="12.75" customHeight="1">
      <c r="A108" s="3424" t="s">
        <v>1308</v>
      </c>
      <c r="B108" s="2095">
        <v>595</v>
      </c>
      <c r="C108" s="3216"/>
      <c r="D108" s="3216"/>
      <c r="E108" s="3216"/>
      <c r="F108" s="131"/>
    </row>
    <row r="109" spans="1:6" ht="12.75" customHeight="1">
      <c r="A109" s="3413" t="s">
        <v>794</v>
      </c>
      <c r="B109" s="3444"/>
      <c r="C109" s="3444"/>
      <c r="D109" s="3444"/>
      <c r="E109" s="3444"/>
      <c r="F109" s="131"/>
    </row>
    <row r="110" spans="1:6" ht="12.75" customHeight="1">
      <c r="A110" s="3423" t="s">
        <v>1323</v>
      </c>
      <c r="B110" s="2096">
        <v>600</v>
      </c>
      <c r="C110" s="3214"/>
      <c r="D110" s="3214"/>
      <c r="E110" s="3214"/>
      <c r="F110" s="131"/>
    </row>
    <row r="111" spans="1:6" ht="12.75" customHeight="1">
      <c r="A111" s="3424" t="s">
        <v>1322</v>
      </c>
      <c r="B111" s="2095">
        <v>605</v>
      </c>
      <c r="C111" s="3216"/>
      <c r="D111" s="3216"/>
      <c r="E111" s="3216"/>
      <c r="F111" s="131"/>
    </row>
    <row r="112" spans="1:6" ht="12.75" customHeight="1">
      <c r="A112" s="3424" t="s">
        <v>1324</v>
      </c>
      <c r="B112" s="2095">
        <v>610</v>
      </c>
      <c r="C112" s="3216"/>
      <c r="D112" s="3216"/>
      <c r="E112" s="3216"/>
      <c r="F112" s="131"/>
    </row>
    <row r="113" spans="1:6" ht="12.75" customHeight="1">
      <c r="A113" s="3415" t="s">
        <v>4818</v>
      </c>
      <c r="B113" s="2095">
        <v>615</v>
      </c>
      <c r="C113" s="3216"/>
      <c r="D113" s="3216"/>
      <c r="E113" s="3216"/>
      <c r="F113" s="131"/>
    </row>
    <row r="114" spans="1:6" ht="12.75" customHeight="1">
      <c r="A114" s="3424" t="s">
        <v>632</v>
      </c>
      <c r="B114" s="2095">
        <v>620</v>
      </c>
      <c r="C114" s="3216"/>
      <c r="D114" s="3216"/>
      <c r="E114" s="3216"/>
      <c r="F114" s="131"/>
    </row>
    <row r="115" spans="1:6" ht="12.75" customHeight="1">
      <c r="A115" s="3424" t="s">
        <v>610</v>
      </c>
      <c r="B115" s="2095">
        <v>625</v>
      </c>
      <c r="C115" s="3216"/>
      <c r="D115" s="3216"/>
      <c r="E115" s="3216"/>
      <c r="F115" s="131"/>
    </row>
    <row r="116" spans="1:6" ht="12.75" customHeight="1">
      <c r="A116" s="3424" t="s">
        <v>1313</v>
      </c>
      <c r="B116" s="2095">
        <v>630</v>
      </c>
      <c r="C116" s="3216"/>
      <c r="D116" s="3216"/>
      <c r="E116" s="3216"/>
      <c r="F116" s="131"/>
    </row>
    <row r="117" spans="1:6" ht="12.75" customHeight="1">
      <c r="A117" s="3424" t="s">
        <v>1314</v>
      </c>
      <c r="B117" s="2095">
        <v>635</v>
      </c>
      <c r="C117" s="3216"/>
      <c r="D117" s="3216"/>
      <c r="E117" s="3216"/>
      <c r="F117" s="131"/>
    </row>
    <row r="118" spans="1:6" ht="12.75" customHeight="1">
      <c r="A118" s="3424" t="s">
        <v>793</v>
      </c>
      <c r="B118" s="2095">
        <v>640</v>
      </c>
      <c r="C118" s="3216"/>
      <c r="D118" s="3216"/>
      <c r="E118" s="3216"/>
      <c r="F118" s="131"/>
    </row>
    <row r="119" spans="1:6" ht="12.75" customHeight="1">
      <c r="A119" s="3411" t="s">
        <v>971</v>
      </c>
      <c r="B119" s="3441"/>
      <c r="C119" s="3441"/>
      <c r="D119" s="3441"/>
      <c r="E119" s="3441"/>
      <c r="F119" s="141"/>
    </row>
    <row r="120" spans="1:6" ht="12.75" customHeight="1">
      <c r="A120" s="3412" t="s">
        <v>972</v>
      </c>
      <c r="B120" s="3442"/>
      <c r="C120" s="3442"/>
      <c r="D120" s="3442"/>
      <c r="E120" s="3442"/>
      <c r="F120" s="141"/>
    </row>
    <row r="121" spans="1:6" ht="12.75" customHeight="1">
      <c r="A121" s="3422" t="s">
        <v>943</v>
      </c>
      <c r="B121" s="3443">
        <v>495</v>
      </c>
      <c r="C121" s="2928"/>
      <c r="D121" s="2928"/>
      <c r="E121" s="2928"/>
      <c r="F121" s="131"/>
    </row>
    <row r="122" spans="1:6" ht="12.75" customHeight="1">
      <c r="A122" s="3411" t="s">
        <v>973</v>
      </c>
      <c r="B122" s="3441"/>
      <c r="C122" s="3441"/>
      <c r="D122" s="3441"/>
      <c r="E122" s="3441"/>
      <c r="F122" s="131"/>
    </row>
    <row r="123" spans="1:6" ht="12.75" customHeight="1">
      <c r="A123" s="3422" t="s">
        <v>974</v>
      </c>
      <c r="B123" s="3443">
        <v>500</v>
      </c>
      <c r="C123" s="2928"/>
      <c r="D123" s="2929"/>
      <c r="E123" s="2928"/>
      <c r="F123" s="131"/>
    </row>
    <row r="124" spans="1:6" ht="12.75" customHeight="1">
      <c r="A124" s="3421" t="s">
        <v>977</v>
      </c>
      <c r="B124" s="3440">
        <v>505</v>
      </c>
      <c r="C124" s="2928"/>
      <c r="D124" s="3431"/>
      <c r="E124" s="3431"/>
      <c r="F124" s="131"/>
    </row>
    <row r="125" spans="1:6" ht="12.75" customHeight="1">
      <c r="A125" s="3421" t="s">
        <v>978</v>
      </c>
      <c r="B125" s="3440">
        <v>510</v>
      </c>
      <c r="C125" s="2928"/>
      <c r="D125" s="3431"/>
      <c r="E125" s="3431"/>
      <c r="F125" s="131"/>
    </row>
    <row r="126" spans="1:6" ht="12.75" customHeight="1">
      <c r="A126" s="3415" t="s">
        <v>4818</v>
      </c>
      <c r="B126" s="3443">
        <v>515</v>
      </c>
      <c r="C126" s="2928"/>
      <c r="D126" s="3431"/>
      <c r="E126" s="2928"/>
      <c r="F126" s="131"/>
    </row>
    <row r="127" spans="1:6" ht="12.75" customHeight="1">
      <c r="A127" s="3411" t="s">
        <v>979</v>
      </c>
      <c r="B127" s="3441"/>
      <c r="C127" s="3441"/>
      <c r="D127" s="3441"/>
      <c r="E127" s="3441"/>
      <c r="F127" s="131"/>
    </row>
    <row r="128" spans="1:6" ht="12.75" customHeight="1">
      <c r="A128" s="3422" t="s">
        <v>980</v>
      </c>
      <c r="B128" s="3443">
        <v>520</v>
      </c>
      <c r="C128" s="2928"/>
      <c r="D128" s="2929"/>
      <c r="E128" s="2928"/>
      <c r="F128" s="131"/>
    </row>
    <row r="129" spans="1:6" ht="12.75" customHeight="1">
      <c r="A129" s="3421" t="s">
        <v>981</v>
      </c>
      <c r="B129" s="3440">
        <v>525</v>
      </c>
      <c r="C129" s="2928"/>
      <c r="D129" s="3431"/>
      <c r="E129" s="3431"/>
      <c r="F129" s="131"/>
    </row>
    <row r="130" spans="1:6" ht="12.75" customHeight="1">
      <c r="A130" s="2373" t="s">
        <v>982</v>
      </c>
      <c r="B130" s="3446">
        <v>530</v>
      </c>
      <c r="C130" s="2928"/>
      <c r="D130" s="3431"/>
      <c r="E130" s="3434"/>
      <c r="F130" s="131"/>
    </row>
    <row r="131" spans="1:6" ht="12.75" customHeight="1">
      <c r="A131" s="3425" t="s">
        <v>983</v>
      </c>
      <c r="B131" s="3430">
        <v>535</v>
      </c>
      <c r="C131" s="2928"/>
      <c r="D131" s="3431"/>
      <c r="E131" s="3431"/>
      <c r="F131" s="131"/>
    </row>
    <row r="132" spans="1:6" ht="12.75" customHeight="1">
      <c r="A132" s="3420" t="s">
        <v>985</v>
      </c>
      <c r="B132" s="3429">
        <v>540</v>
      </c>
      <c r="C132" s="2928"/>
      <c r="D132" s="3431"/>
      <c r="E132" s="2928"/>
      <c r="F132" s="131"/>
    </row>
    <row r="133" spans="1:6" ht="12.75" customHeight="1">
      <c r="A133" s="3425" t="s">
        <v>986</v>
      </c>
      <c r="B133" s="3430">
        <v>545</v>
      </c>
      <c r="C133" s="2928"/>
      <c r="D133" s="3431"/>
      <c r="E133" s="3431"/>
      <c r="F133" s="131"/>
    </row>
    <row r="134" spans="1:6" ht="12.75" customHeight="1">
      <c r="A134" s="3410" t="s">
        <v>989</v>
      </c>
      <c r="B134" s="3439"/>
      <c r="C134" s="3439"/>
      <c r="D134" s="3439"/>
      <c r="E134" s="3439"/>
      <c r="F134" s="131"/>
    </row>
    <row r="135" spans="1:6" ht="12.75" customHeight="1">
      <c r="A135" s="3420" t="s">
        <v>990</v>
      </c>
      <c r="B135" s="3429">
        <v>550</v>
      </c>
      <c r="C135" s="2928"/>
      <c r="D135" s="2928"/>
      <c r="E135" s="2928"/>
      <c r="F135" s="131"/>
    </row>
    <row r="136" spans="1:6" ht="12.75" customHeight="1">
      <c r="A136" s="3410" t="s">
        <v>991</v>
      </c>
      <c r="B136" s="3439"/>
      <c r="C136" s="3439"/>
      <c r="D136" s="3439"/>
      <c r="E136" s="3439"/>
      <c r="F136" s="131"/>
    </row>
    <row r="137" spans="1:6" ht="12.75" customHeight="1">
      <c r="A137" s="3422" t="s">
        <v>992</v>
      </c>
      <c r="B137" s="3443">
        <v>555</v>
      </c>
      <c r="C137" s="2928"/>
      <c r="D137" s="2929"/>
      <c r="E137" s="2928"/>
      <c r="F137" s="131"/>
    </row>
    <row r="138" spans="1:6" ht="12.75" customHeight="1">
      <c r="A138" s="3421" t="s">
        <v>993</v>
      </c>
      <c r="B138" s="3440">
        <v>560</v>
      </c>
      <c r="C138" s="2928"/>
      <c r="D138" s="3431"/>
      <c r="E138" s="3431"/>
      <c r="F138" s="131"/>
    </row>
    <row r="139" spans="1:6" ht="12.75" customHeight="1">
      <c r="A139" s="3421" t="s">
        <v>51</v>
      </c>
      <c r="B139" s="3440">
        <v>565</v>
      </c>
      <c r="C139" s="2928"/>
      <c r="D139" s="3431"/>
      <c r="E139" s="3431"/>
      <c r="F139" s="131"/>
    </row>
    <row r="140" spans="1:6" ht="12.75" customHeight="1">
      <c r="A140" s="3421" t="s">
        <v>995</v>
      </c>
      <c r="B140" s="3440">
        <v>570</v>
      </c>
      <c r="C140" s="2928"/>
      <c r="D140" s="3431"/>
      <c r="E140" s="3431"/>
      <c r="F140" s="131"/>
    </row>
    <row r="141" spans="1:6" ht="12.75" customHeight="1">
      <c r="A141" s="3416" t="s">
        <v>958</v>
      </c>
      <c r="B141" s="3430">
        <v>575</v>
      </c>
      <c r="C141" s="2928"/>
      <c r="D141" s="3431"/>
      <c r="E141" s="3431"/>
      <c r="F141" s="131"/>
    </row>
    <row r="142" spans="1:6" ht="12.75" customHeight="1">
      <c r="A142" s="3416" t="s">
        <v>959</v>
      </c>
      <c r="B142" s="3430">
        <v>580</v>
      </c>
      <c r="C142" s="2928"/>
      <c r="D142" s="3431"/>
      <c r="E142" s="3431"/>
      <c r="F142" s="131"/>
    </row>
    <row r="143" spans="1:6" ht="12.75" customHeight="1">
      <c r="A143" s="3415" t="s">
        <v>960</v>
      </c>
      <c r="B143" s="3429">
        <v>585</v>
      </c>
      <c r="C143" s="2929"/>
      <c r="D143" s="3431"/>
      <c r="E143" s="2928"/>
      <c r="F143" s="131"/>
    </row>
    <row r="144" spans="1:6" ht="12.75" customHeight="1">
      <c r="A144" s="2372" t="s">
        <v>1327</v>
      </c>
      <c r="B144" s="3432"/>
      <c r="C144" s="3432"/>
      <c r="D144" s="3432"/>
      <c r="E144" s="3432"/>
      <c r="F144" s="131"/>
    </row>
    <row r="145" spans="1:7" ht="12.75" customHeight="1">
      <c r="A145" s="3409" t="s">
        <v>941</v>
      </c>
      <c r="B145" s="3436"/>
      <c r="C145" s="3436"/>
      <c r="D145" s="3436"/>
      <c r="E145" s="3436"/>
      <c r="F145" s="131"/>
    </row>
    <row r="146" spans="1:7" ht="12.75" customHeight="1">
      <c r="A146" s="3415" t="s">
        <v>942</v>
      </c>
      <c r="B146" s="3437">
        <v>650</v>
      </c>
      <c r="C146" s="2930"/>
      <c r="D146" s="2929"/>
      <c r="E146" s="2928"/>
      <c r="F146" s="131"/>
    </row>
    <row r="147" spans="1:7" ht="12.75" customHeight="1">
      <c r="A147" s="3416" t="s">
        <v>300</v>
      </c>
      <c r="B147" s="3438">
        <v>655</v>
      </c>
      <c r="C147" s="2930"/>
      <c r="D147" s="3431"/>
      <c r="E147" s="3431"/>
      <c r="F147" s="131"/>
    </row>
    <row r="148" spans="1:7" ht="12.75" customHeight="1">
      <c r="A148" s="2372" t="s">
        <v>944</v>
      </c>
      <c r="B148" s="3432"/>
      <c r="C148" s="3432"/>
      <c r="D148" s="3432"/>
      <c r="E148" s="3432"/>
      <c r="F148" s="131"/>
    </row>
    <row r="149" spans="1:7" ht="12.75" customHeight="1">
      <c r="A149" s="3415" t="s">
        <v>295</v>
      </c>
      <c r="B149" s="3437">
        <v>660</v>
      </c>
      <c r="C149" s="2930"/>
      <c r="D149" s="2929"/>
      <c r="E149" s="2928"/>
      <c r="F149" s="131"/>
    </row>
    <row r="150" spans="1:7" ht="12.75" customHeight="1">
      <c r="A150" s="3416" t="s">
        <v>946</v>
      </c>
      <c r="B150" s="3438">
        <v>665</v>
      </c>
      <c r="C150" s="2930"/>
      <c r="D150" s="3431"/>
      <c r="E150" s="3431"/>
      <c r="F150" s="131"/>
    </row>
    <row r="151" spans="1:7" ht="12.75" customHeight="1">
      <c r="A151" s="3416" t="s">
        <v>947</v>
      </c>
      <c r="B151" s="3438">
        <v>670</v>
      </c>
      <c r="C151" s="2930"/>
      <c r="D151" s="3431"/>
      <c r="E151" s="3431"/>
      <c r="F151" s="131"/>
    </row>
    <row r="152" spans="1:7" ht="12.75" customHeight="1">
      <c r="A152" s="3415" t="s">
        <v>4818</v>
      </c>
      <c r="B152" s="3437">
        <v>675</v>
      </c>
      <c r="C152" s="2930"/>
      <c r="D152" s="3431"/>
      <c r="E152" s="2928"/>
      <c r="F152" s="131"/>
    </row>
    <row r="153" spans="1:7" ht="12.75" customHeight="1">
      <c r="A153" s="3416" t="s">
        <v>968</v>
      </c>
      <c r="B153" s="3438">
        <v>680</v>
      </c>
      <c r="C153" s="2930"/>
      <c r="D153" s="3431"/>
      <c r="E153" s="3431"/>
      <c r="F153" s="131"/>
    </row>
    <row r="154" spans="1:7" ht="12.75" customHeight="1">
      <c r="A154" s="3415" t="s">
        <v>950</v>
      </c>
      <c r="B154" s="3437">
        <v>685</v>
      </c>
      <c r="C154" s="2930"/>
      <c r="D154" s="3431"/>
      <c r="E154" s="2928"/>
      <c r="F154" s="131"/>
    </row>
    <row r="155" spans="1:7" ht="12.75" customHeight="1">
      <c r="A155" s="3416" t="s">
        <v>955</v>
      </c>
      <c r="B155" s="3438">
        <v>690</v>
      </c>
      <c r="C155" s="2930"/>
      <c r="D155" s="3431"/>
      <c r="E155" s="3431"/>
      <c r="F155" s="131"/>
    </row>
    <row r="156" spans="1:7" ht="12.75" customHeight="1">
      <c r="A156" s="139" t="s">
        <v>959</v>
      </c>
      <c r="B156" s="1112">
        <v>695</v>
      </c>
      <c r="C156" s="1113"/>
      <c r="D156" s="1109"/>
      <c r="E156" s="1108"/>
      <c r="F156" s="131"/>
    </row>
    <row r="157" spans="1:7" ht="12.75" customHeight="1">
      <c r="A157" s="138" t="s">
        <v>960</v>
      </c>
      <c r="B157" s="1111">
        <v>700</v>
      </c>
      <c r="C157" s="1113"/>
      <c r="D157" s="1099"/>
      <c r="E157" s="1110"/>
      <c r="F157" s="131"/>
    </row>
    <row r="158" spans="1:7" ht="12.75" customHeight="1">
      <c r="A158" s="1198" t="s">
        <v>5153</v>
      </c>
      <c r="B158" s="2578" t="s">
        <v>4906</v>
      </c>
      <c r="C158" s="1100">
        <f>SUM(C40:C157)</f>
        <v>0</v>
      </c>
      <c r="D158" s="1100">
        <f t="shared" ref="D158:E158" si="0">SUM(D40:D157)</f>
        <v>0</v>
      </c>
      <c r="E158" s="1100">
        <f t="shared" si="0"/>
        <v>0</v>
      </c>
      <c r="F158" s="131"/>
    </row>
    <row r="159" spans="1:7" ht="12.75" customHeight="1">
      <c r="A159" s="6101" t="s">
        <v>4911</v>
      </c>
      <c r="B159" s="6101"/>
      <c r="C159" s="6101"/>
      <c r="D159" s="6101"/>
      <c r="E159" s="6101"/>
      <c r="F159" s="131"/>
      <c r="G159" s="417"/>
    </row>
    <row r="160" spans="1:7" ht="12.75" customHeight="1">
      <c r="A160" s="2864"/>
      <c r="B160" s="1192"/>
      <c r="C160" s="1084"/>
      <c r="D160" s="1084"/>
      <c r="E160" s="1084"/>
      <c r="F160" s="131"/>
      <c r="G160" s="417"/>
    </row>
    <row r="161" spans="1:6" ht="12.75" customHeight="1">
      <c r="A161" s="131"/>
      <c r="B161" s="1084"/>
      <c r="C161" s="1084"/>
      <c r="D161" s="1084"/>
      <c r="E161" s="1084"/>
      <c r="F161" s="131"/>
    </row>
    <row r="162" spans="1:6" ht="12.75" customHeight="1">
      <c r="A162" s="131"/>
      <c r="B162" s="1084"/>
      <c r="C162" s="1084"/>
      <c r="D162" s="1084"/>
      <c r="E162" s="1084"/>
      <c r="F162" s="131"/>
    </row>
    <row r="163" spans="1:6" ht="12.75" customHeight="1">
      <c r="A163" s="131"/>
      <c r="B163" s="1084"/>
      <c r="C163" s="1084"/>
      <c r="D163" s="1084"/>
      <c r="E163" s="1084"/>
      <c r="F163" s="131"/>
    </row>
  </sheetData>
  <sheetProtection algorithmName="SHA-512" hashValue="eFsFQQIbl377tGGkoF365MtNGZYlziKbEyV56lrtgesv82TFb+oAM/5ZED1NqH/OgaKjrDxIiSQm/jzIe4E3iw==" saltValue="2AaHal15MOo/qKWYnCYvJQ==" spinCount="100000" sheet="1" objects="1" scenarios="1"/>
  <mergeCells count="5">
    <mergeCell ref="D1:E1"/>
    <mergeCell ref="D2:E2"/>
    <mergeCell ref="D28:E28"/>
    <mergeCell ref="D29:E29"/>
    <mergeCell ref="A159:E159"/>
  </mergeCells>
  <phoneticPr fontId="13" type="noConversion"/>
  <dataValidations count="4">
    <dataValidation type="whole" operator="greaterThanOrEqual" showInputMessage="1" showErrorMessage="1" errorTitle="Invalid Data Entry " error="Please enter a positive number or press the delete key or enter zero." sqref="E15:E16 C94:E95 C10:D10 C54:E59 C128:E133 C135:E135 C137:E143 C146:E147 C40:E41 C66:E74 C50:E52 C123:E126 C121:E121 C77:E78 C80:E85 C87:E91 C19:E19 C149:E157 C97:E104 C15:D17 C63:E64 C43:E47">
      <formula1>0</formula1>
    </dataValidation>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a zero." sqref="C110:E118 C107:E108">
      <formula1>0</formula1>
    </dataValidation>
    <dataValidation operator="greaterThanOrEqual" errorTitle="Invalid Data Entry " error="Please enter a positive number or press the delete key or enter zero." sqref="E17"/>
  </dataValidations>
  <hyperlinks>
    <hyperlink ref="G1" location="Contents!F1" display="Return to Contents page"/>
  </hyperlinks>
  <printOptions horizontalCentered="1"/>
  <pageMargins left="0.75" right="0.75" top="0.5" bottom="0.5" header="0.3" footer="0.3"/>
  <pageSetup scale="86" fitToHeight="0" orientation="portrait" blackAndWhite="1" r:id="rId1"/>
  <headerFooter scaleWithDoc="0">
    <oddFooter>&amp;L&amp;"Open Sans Light,Regular"&amp;8&amp;D    &amp;T&amp;C&amp;"Open Sans Light,Regular"&amp;8Page &amp;P&amp;R&amp;"Open Sans Light,Regular"&amp;8&amp;A</oddFooter>
  </headerFooter>
  <rowBreaks count="2" manualBreakCount="2">
    <brk id="64" max="4" man="1"/>
    <brk id="118" max="4"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tabColor theme="6" tint="-0.249977111117893"/>
  </sheetPr>
  <dimension ref="A1:R1042"/>
  <sheetViews>
    <sheetView showGridLines="0" topLeftCell="A43" zoomScale="105" zoomScaleNormal="105" zoomScaleSheetLayoutView="100" workbookViewId="0"/>
  </sheetViews>
  <sheetFormatPr defaultColWidth="12.44140625" defaultRowHeight="13.2"/>
  <cols>
    <col min="1" max="1" width="4.109375" style="4889" bestFit="1" customWidth="1"/>
    <col min="2" max="2" width="40.109375" style="4889" customWidth="1"/>
    <col min="3" max="3" width="7" style="4889" customWidth="1"/>
    <col min="4" max="4" width="2.6640625" style="4889" customWidth="1"/>
    <col min="5" max="5" width="14.6640625" style="4889" customWidth="1"/>
    <col min="6" max="6" width="3" style="4889" customWidth="1"/>
    <col min="7" max="7" width="14.6640625" style="4889" customWidth="1"/>
    <col min="8" max="8" width="3" style="4889" customWidth="1"/>
    <col min="9" max="9" width="17.44140625" style="4889" customWidth="1"/>
    <col min="10" max="10" width="3" style="4889" customWidth="1"/>
    <col min="11" max="11" width="14.6640625" style="4889" customWidth="1"/>
    <col min="12" max="12" width="3" style="4889" customWidth="1"/>
    <col min="13" max="13" width="14.6640625" style="4889" customWidth="1"/>
    <col min="14" max="14" width="3" style="4889" customWidth="1"/>
    <col min="15" max="15" width="20.6640625" style="4889" customWidth="1"/>
    <col min="16" max="16" width="10.109375" style="4889" customWidth="1"/>
    <col min="17" max="17" width="40.44140625" style="4889" customWidth="1"/>
    <col min="18" max="18" width="13.33203125" style="4889" customWidth="1"/>
    <col min="19" max="16384" width="12.44140625" style="4889"/>
  </cols>
  <sheetData>
    <row r="1" spans="2:17" ht="15" customHeight="1">
      <c r="B1" s="4888" t="s">
        <v>1511</v>
      </c>
      <c r="M1" s="4890" t="s">
        <v>1407</v>
      </c>
      <c r="O1" s="4891" t="s">
        <v>754</v>
      </c>
    </row>
    <row r="2" spans="2:17" ht="13.5" customHeight="1">
      <c r="B2" s="4888" t="s">
        <v>1406</v>
      </c>
      <c r="C2" s="4892"/>
      <c r="D2" s="4892"/>
      <c r="G2" s="4893" t="s">
        <v>1408</v>
      </c>
      <c r="H2" s="4893"/>
      <c r="I2" s="4894" t="str">
        <f>OPEN!$B$3</f>
        <v>237 - Smith Center</v>
      </c>
      <c r="J2" s="4895"/>
      <c r="K2" s="4895"/>
      <c r="L2" s="4893" t="s">
        <v>1409</v>
      </c>
      <c r="M2" s="4896">
        <f>OPEN!$B$4</f>
        <v>237</v>
      </c>
    </row>
    <row r="3" spans="2:17">
      <c r="B3" s="4897">
        <f>OpenData!$N$3</f>
        <v>44348</v>
      </c>
      <c r="F3" s="4898"/>
      <c r="K3" s="4893" t="s">
        <v>879</v>
      </c>
      <c r="M3" s="4899" t="s">
        <v>1410</v>
      </c>
    </row>
    <row r="4" spans="2:17" ht="6.75" customHeight="1">
      <c r="E4" s="4900"/>
      <c r="F4" s="4900"/>
      <c r="G4" s="4900"/>
      <c r="H4" s="4900"/>
      <c r="I4" s="4900"/>
      <c r="J4" s="4900"/>
      <c r="K4" s="4901"/>
      <c r="L4" s="4901"/>
      <c r="M4" s="4900"/>
    </row>
    <row r="5" spans="2:17" ht="12.75" customHeight="1">
      <c r="B5" s="4900" t="str">
        <f>OpenData!$N$2</f>
        <v>2021-2022</v>
      </c>
      <c r="C5" s="4900"/>
      <c r="D5" s="4900"/>
      <c r="E5" s="4900"/>
      <c r="F5" s="4900"/>
      <c r="G5" s="4900"/>
      <c r="H5" s="4900"/>
      <c r="I5" s="4900"/>
      <c r="J5" s="4900"/>
      <c r="K5" s="4900"/>
      <c r="L5" s="4900"/>
      <c r="M5" s="4900"/>
    </row>
    <row r="6" spans="2:17" ht="12.75" customHeight="1">
      <c r="B6" s="4900" t="s">
        <v>1411</v>
      </c>
      <c r="C6" s="4900"/>
      <c r="D6" s="4900"/>
      <c r="E6" s="4900"/>
      <c r="F6" s="4900"/>
      <c r="G6" s="4900"/>
      <c r="H6" s="4900"/>
      <c r="I6" s="4900"/>
      <c r="J6" s="4900"/>
      <c r="K6" s="4900"/>
      <c r="L6" s="4900"/>
      <c r="M6" s="4900"/>
    </row>
    <row r="7" spans="2:17" ht="12.75" customHeight="1">
      <c r="B7" s="4900" t="s">
        <v>1412</v>
      </c>
      <c r="C7" s="4900"/>
      <c r="D7" s="4900"/>
      <c r="E7" s="4900"/>
      <c r="F7" s="4900"/>
      <c r="G7" s="4900"/>
      <c r="H7" s="4900"/>
      <c r="I7" s="4900"/>
      <c r="J7" s="4900"/>
      <c r="K7" s="4900"/>
      <c r="L7" s="4900"/>
      <c r="M7" s="4900"/>
    </row>
    <row r="8" spans="2:17" s="4901" customFormat="1" ht="12.75" customHeight="1">
      <c r="B8" s="4902" t="s">
        <v>1413</v>
      </c>
      <c r="C8" s="4902"/>
      <c r="D8" s="4902"/>
      <c r="E8" s="4900"/>
      <c r="F8" s="4900"/>
      <c r="G8" s="4900"/>
      <c r="H8" s="4900"/>
      <c r="I8" s="4900"/>
      <c r="J8" s="4900"/>
      <c r="K8" s="4900"/>
      <c r="L8" s="4900"/>
      <c r="M8" s="4900"/>
      <c r="N8" s="4889"/>
      <c r="O8" s="4889"/>
      <c r="P8" s="4889"/>
      <c r="Q8" s="4889"/>
    </row>
    <row r="9" spans="2:17" ht="6.75" customHeight="1"/>
    <row r="10" spans="2:17">
      <c r="E10" s="4898"/>
      <c r="F10" s="4898"/>
      <c r="G10" s="4898" t="s">
        <v>1414</v>
      </c>
      <c r="H10" s="4898"/>
      <c r="I10" s="4898" t="s">
        <v>1415</v>
      </c>
      <c r="J10" s="4898"/>
      <c r="K10" s="4898" t="s">
        <v>1416</v>
      </c>
      <c r="L10" s="4898"/>
      <c r="M10" s="4898"/>
    </row>
    <row r="11" spans="2:17">
      <c r="E11" s="4898" t="s">
        <v>813</v>
      </c>
      <c r="F11" s="4898"/>
      <c r="G11" s="4898" t="s">
        <v>813</v>
      </c>
      <c r="H11" s="4898"/>
      <c r="I11" s="4898" t="s">
        <v>1417</v>
      </c>
      <c r="J11" s="4898"/>
      <c r="K11" s="4898" t="s">
        <v>1418</v>
      </c>
      <c r="L11" s="4898"/>
      <c r="M11" s="4898" t="s">
        <v>1419</v>
      </c>
    </row>
    <row r="12" spans="2:17">
      <c r="E12" s="4898" t="s">
        <v>896</v>
      </c>
      <c r="F12" s="4898"/>
      <c r="G12" s="4898" t="s">
        <v>896</v>
      </c>
      <c r="H12" s="4898"/>
      <c r="I12" s="4898" t="s">
        <v>896</v>
      </c>
      <c r="J12" s="4898"/>
      <c r="K12" s="4898" t="str">
        <f>IF(M2=113,"Fund #1-USD 441","Fund #1")</f>
        <v>Fund #1</v>
      </c>
      <c r="L12" s="4898"/>
      <c r="M12" s="4898" t="str">
        <f>IF(M2=114,"Fund #406", "Fund")</f>
        <v>Fund</v>
      </c>
    </row>
    <row r="13" spans="2:17" ht="5.25" customHeight="1"/>
    <row r="14" spans="2:17">
      <c r="B14" s="4889" t="str">
        <f>"1.  County Treasurer Balance 6/30/"&amp;OpenData!$Q$5&amp; " *"</f>
        <v>1.  County Treasurer Balance 6/30/2021 *</v>
      </c>
      <c r="E14" s="4903"/>
      <c r="F14" s="4904"/>
      <c r="G14" s="4905">
        <f>G195+G369+G547+G719+G891</f>
        <v>0</v>
      </c>
      <c r="H14" s="4904"/>
      <c r="I14" s="4905">
        <f>I195+I369+I547+I719+I891</f>
        <v>0</v>
      </c>
      <c r="J14" s="4904"/>
      <c r="K14" s="4905">
        <f>K195+K369+K547+K719+K891</f>
        <v>0</v>
      </c>
      <c r="L14" s="4904"/>
      <c r="M14" s="4905">
        <f>M195+M369+M547+M719+M891</f>
        <v>0</v>
      </c>
    </row>
    <row r="15" spans="2:17" ht="3.75" customHeight="1">
      <c r="B15" s="4906"/>
      <c r="C15" s="4906"/>
      <c r="D15" s="4906"/>
      <c r="E15" s="4907"/>
      <c r="F15" s="4907"/>
      <c r="G15" s="4907"/>
      <c r="H15" s="4907"/>
      <c r="I15" s="4907"/>
      <c r="J15" s="4907"/>
      <c r="K15" s="4907"/>
      <c r="L15" s="4907"/>
      <c r="M15" s="4907"/>
    </row>
    <row r="16" spans="2:17">
      <c r="B16" s="4889" t="str">
        <f>"2.  "&amp;OpenData!$P$5&amp;" Actual Taxes Levied*"</f>
        <v>2.  2020 Actual Taxes Levied*</v>
      </c>
      <c r="E16" s="4903"/>
      <c r="F16" s="4904"/>
      <c r="G16" s="4905">
        <f>G197+G371+G549+G721+G893</f>
        <v>991595</v>
      </c>
      <c r="H16" s="4904"/>
      <c r="I16" s="4905">
        <f>I197+I371+I549+I721+I893</f>
        <v>403614</v>
      </c>
      <c r="J16" s="4904"/>
      <c r="K16" s="4905">
        <f>K197+K371+K549+K721+K893</f>
        <v>0</v>
      </c>
      <c r="L16" s="4904"/>
      <c r="M16" s="4905">
        <f>M197+M371+M549+M721+M893</f>
        <v>0</v>
      </c>
    </row>
    <row r="17" spans="2:16" ht="5.0999999999999996" customHeight="1">
      <c r="E17" s="4908"/>
      <c r="F17" s="4904"/>
      <c r="G17" s="4904"/>
      <c r="H17" s="4904"/>
      <c r="I17" s="4904"/>
      <c r="J17" s="4904"/>
      <c r="K17" s="4904"/>
      <c r="L17" s="4904"/>
      <c r="M17" s="4904"/>
    </row>
    <row r="18" spans="2:16">
      <c r="B18" s="4889" t="s">
        <v>1420</v>
      </c>
      <c r="C18" s="4909">
        <v>3</v>
      </c>
      <c r="E18" s="4903"/>
      <c r="F18" s="4904"/>
      <c r="G18" s="4905">
        <f>G16*$C$18/100</f>
        <v>29748</v>
      </c>
      <c r="H18" s="4904"/>
      <c r="I18" s="4905">
        <f>I16*$C$18/100</f>
        <v>12108</v>
      </c>
      <c r="J18" s="4904"/>
      <c r="K18" s="4905">
        <f>K16*$C$18/100</f>
        <v>0</v>
      </c>
      <c r="L18" s="4904"/>
      <c r="M18" s="4905">
        <f>M16*$C$18/100</f>
        <v>0</v>
      </c>
    </row>
    <row r="19" spans="2:16" ht="5.0999999999999996" customHeight="1">
      <c r="E19" s="4908"/>
      <c r="F19" s="4904"/>
      <c r="G19" s="4904"/>
      <c r="H19" s="4904"/>
      <c r="I19" s="4904"/>
      <c r="J19" s="4904"/>
      <c r="K19" s="4904"/>
      <c r="L19" s="4904"/>
      <c r="M19" s="4904"/>
    </row>
    <row r="20" spans="2:16">
      <c r="B20" s="4889" t="str">
        <f>"4.  Less:  Jan. 20, "&amp; OpenData!$Q$5&amp;" Taxes received**"</f>
        <v>4.  Less:  Jan. 20, 2021 Taxes received**</v>
      </c>
      <c r="C20" s="4893"/>
      <c r="E20" s="4903"/>
      <c r="F20" s="4904"/>
      <c r="G20" s="4905">
        <f>G201+G375+G553+G725+G897</f>
        <v>697879</v>
      </c>
      <c r="H20" s="4904"/>
      <c r="I20" s="4905">
        <f>I201+I375+I553+I725+I897</f>
        <v>286752</v>
      </c>
      <c r="J20" s="4904"/>
      <c r="K20" s="4905">
        <f>K201+K375+K553+K725+K897</f>
        <v>0</v>
      </c>
      <c r="L20" s="4904"/>
      <c r="M20" s="4905">
        <f>M201+M375+M553+M725+M897</f>
        <v>0</v>
      </c>
    </row>
    <row r="21" spans="2:16" ht="5.0999999999999996" customHeight="1">
      <c r="E21" s="4908"/>
      <c r="F21" s="4904"/>
      <c r="G21" s="4904"/>
      <c r="H21" s="4904"/>
      <c r="I21" s="4904"/>
      <c r="J21" s="4904"/>
      <c r="K21" s="4904"/>
      <c r="L21" s="4904"/>
      <c r="M21" s="4904"/>
      <c r="P21" s="4910"/>
    </row>
    <row r="22" spans="2:16">
      <c r="B22" s="4889" t="str">
        <f>"5.  Less:  Mar. 20, "&amp;OpenData!$Q$5&amp;"  Taxes received**"</f>
        <v>5.  Less:  Mar. 20, 2021  Taxes received**</v>
      </c>
      <c r="E22" s="4903"/>
      <c r="F22" s="4904"/>
      <c r="G22" s="4905">
        <f>G203+G377+G555+G727+G899</f>
        <v>13769</v>
      </c>
      <c r="H22" s="4904"/>
      <c r="I22" s="4905">
        <f>I203+I377+I555+I727+I899</f>
        <v>5759</v>
      </c>
      <c r="J22" s="4904"/>
      <c r="K22" s="4905">
        <f>K203+K377+K555+K727+K899</f>
        <v>0</v>
      </c>
      <c r="L22" s="4904"/>
      <c r="M22" s="4905">
        <f>M203+M377+M555+M727+M899</f>
        <v>0</v>
      </c>
    </row>
    <row r="23" spans="2:16" ht="5.0999999999999996" customHeight="1">
      <c r="E23" s="4908"/>
      <c r="F23" s="4904"/>
      <c r="G23" s="4904"/>
      <c r="H23" s="4904"/>
      <c r="I23" s="4904"/>
      <c r="J23" s="4904"/>
      <c r="K23" s="4904"/>
      <c r="L23" s="4904"/>
      <c r="M23" s="4904"/>
    </row>
    <row r="24" spans="2:16">
      <c r="B24" s="4889" t="str">
        <f>"6.  Less:  June 5,  "&amp;OpenData!$Q$5&amp;" Taxes received**"</f>
        <v>6.  Less:  June 5,  2021 Taxes received**</v>
      </c>
      <c r="E24" s="4903"/>
      <c r="F24" s="4904"/>
      <c r="G24" s="4905">
        <f>G205+G379+G557+G729+G901</f>
        <v>240327</v>
      </c>
      <c r="H24" s="4904"/>
      <c r="I24" s="4905">
        <f>I205+I379+I557+I729+I901</f>
        <v>98662</v>
      </c>
      <c r="J24" s="4904"/>
      <c r="K24" s="4905">
        <f>K205+K379+K557+K729+K901</f>
        <v>0</v>
      </c>
      <c r="L24" s="4904"/>
      <c r="M24" s="4905">
        <f>M205+M379+M557+M729+M901</f>
        <v>0</v>
      </c>
    </row>
    <row r="25" spans="2:16" ht="5.0999999999999996" customHeight="1">
      <c r="E25" s="4908"/>
      <c r="F25" s="4904"/>
      <c r="G25" s="4904"/>
      <c r="H25" s="4904"/>
      <c r="I25" s="4904"/>
      <c r="J25" s="4904"/>
      <c r="K25" s="4904"/>
      <c r="L25" s="4904"/>
      <c r="M25" s="4904"/>
    </row>
    <row r="26" spans="2:16">
      <c r="B26" s="4889" t="s">
        <v>1421</v>
      </c>
      <c r="E26" s="4903"/>
      <c r="F26" s="4904"/>
      <c r="G26" s="4905">
        <f>G207+G381+G559+G731+G903</f>
        <v>0</v>
      </c>
      <c r="H26" s="4904"/>
      <c r="I26" s="4905">
        <f>I207+I381+I559+I731+I903</f>
        <v>0</v>
      </c>
      <c r="J26" s="4904"/>
      <c r="K26" s="4905">
        <f>K207+K381+K559+K731+K903</f>
        <v>0</v>
      </c>
      <c r="L26" s="4904"/>
      <c r="M26" s="4905">
        <f>M207+M381+M559+M731+M903</f>
        <v>0</v>
      </c>
    </row>
    <row r="27" spans="2:16" ht="5.0999999999999996" customHeight="1">
      <c r="E27" s="4908"/>
      <c r="F27" s="4904"/>
      <c r="G27" s="4904"/>
      <c r="H27" s="4904"/>
      <c r="I27" s="4904"/>
      <c r="J27" s="4904"/>
      <c r="K27" s="4904"/>
      <c r="L27" s="4904"/>
      <c r="M27" s="4904"/>
    </row>
    <row r="28" spans="2:16">
      <c r="B28" s="4889" t="s">
        <v>1422</v>
      </c>
      <c r="E28" s="4903"/>
      <c r="F28" s="4904"/>
      <c r="G28" s="4905">
        <f>G209+G383+G561+G733+G905</f>
        <v>0</v>
      </c>
      <c r="H28" s="4904"/>
      <c r="I28" s="4905">
        <f>I209+I383+I561+I733+I905</f>
        <v>0</v>
      </c>
      <c r="J28" s="4904"/>
      <c r="K28" s="4905">
        <f>K209+K383+K561+K733+K905</f>
        <v>0</v>
      </c>
      <c r="L28" s="4904"/>
      <c r="M28" s="4905">
        <f>M209+M383+M561+M733+M905</f>
        <v>0</v>
      </c>
    </row>
    <row r="29" spans="2:16" ht="15" customHeight="1">
      <c r="B29" s="4889" t="s">
        <v>1423</v>
      </c>
      <c r="E29" s="4903"/>
      <c r="F29" s="4904"/>
      <c r="G29" s="4911">
        <f>G210+G384+G562+G734+G906</f>
        <v>0</v>
      </c>
      <c r="H29" s="4904"/>
      <c r="I29" s="4911">
        <f>I210+I384+I562+I734+I906</f>
        <v>0</v>
      </c>
      <c r="J29" s="4904"/>
      <c r="K29" s="4911">
        <f>K210+K384+K562+K734+K906</f>
        <v>0</v>
      </c>
      <c r="L29" s="4904"/>
      <c r="M29" s="4911">
        <f>M210+M384+M562+M734+M906</f>
        <v>0</v>
      </c>
    </row>
    <row r="30" spans="2:16">
      <c r="B30" s="4889" t="s">
        <v>1424</v>
      </c>
      <c r="E30" s="4903"/>
      <c r="F30" s="4904"/>
      <c r="G30" s="4905">
        <f>SUM(G18:G29)</f>
        <v>981723</v>
      </c>
      <c r="H30" s="4904"/>
      <c r="I30" s="4905">
        <f>SUM(I18:I29)</f>
        <v>403281</v>
      </c>
      <c r="J30" s="4904"/>
      <c r="K30" s="4905">
        <f>SUM(K18:K29)</f>
        <v>0</v>
      </c>
      <c r="L30" s="4904"/>
      <c r="M30" s="4905">
        <f>SUM(M18:M29)</f>
        <v>0</v>
      </c>
    </row>
    <row r="31" spans="2:16" ht="5.0999999999999996" customHeight="1">
      <c r="E31" s="4908"/>
      <c r="F31" s="4904"/>
      <c r="G31" s="4904"/>
      <c r="H31" s="4904"/>
      <c r="I31" s="4904"/>
      <c r="J31" s="4904"/>
      <c r="K31" s="4904"/>
      <c r="L31" s="4904"/>
      <c r="M31" s="4904"/>
    </row>
    <row r="32" spans="2:16">
      <c r="B32" s="4889" t="str">
        <f>"11. "&amp;OpenData!$P$5&amp;" taxes receivable (taxes in process"</f>
        <v>11. 2020 taxes receivable (taxes in process</v>
      </c>
      <c r="E32" s="4908"/>
      <c r="F32" s="4904"/>
      <c r="G32" s="4904"/>
      <c r="H32" s="4904"/>
      <c r="I32" s="4904"/>
      <c r="J32" s="4904"/>
      <c r="K32" s="4904"/>
      <c r="L32" s="4904"/>
      <c r="M32" s="4904"/>
    </row>
    <row r="33" spans="2:18">
      <c r="B33" s="4889" t="str">
        <f>"     of collection 6/30/"&amp;OpenData!$Q$5&amp;") (Line 2 less Line 10)"</f>
        <v xml:space="preserve">     of collection 6/30/2021) (Line 2 less Line 10)</v>
      </c>
      <c r="E33" s="4903"/>
      <c r="F33" s="4904"/>
      <c r="G33" s="4905">
        <f>IF(G30&lt;=0,0,G16-G30)</f>
        <v>9872</v>
      </c>
      <c r="H33" s="4904"/>
      <c r="I33" s="4905">
        <f>IF(I30&lt;=0,0,I16-I30)</f>
        <v>333</v>
      </c>
      <c r="J33" s="4904"/>
      <c r="K33" s="4905">
        <f>IF(K30&lt;=0,0,(K16-K30))</f>
        <v>0</v>
      </c>
      <c r="L33" s="4904"/>
      <c r="M33" s="4905">
        <f>IF(M30&lt;=0,0,M16-M30)</f>
        <v>0</v>
      </c>
    </row>
    <row r="34" spans="2:18" ht="2.25" customHeight="1">
      <c r="E34" s="4908"/>
      <c r="F34" s="4904"/>
      <c r="G34" s="4908"/>
      <c r="H34" s="4904"/>
      <c r="I34" s="4908"/>
      <c r="J34" s="4904"/>
      <c r="K34" s="4908"/>
      <c r="L34" s="4904"/>
      <c r="M34" s="4908"/>
    </row>
    <row r="35" spans="2:18">
      <c r="B35" s="4889" t="s">
        <v>1425</v>
      </c>
      <c r="E35" s="4908"/>
      <c r="F35" s="4904"/>
      <c r="G35" s="4904"/>
      <c r="H35" s="4904"/>
      <c r="I35" s="4904"/>
      <c r="J35" s="4904"/>
      <c r="K35" s="4904"/>
      <c r="L35" s="4904"/>
      <c r="M35" s="4904"/>
    </row>
    <row r="36" spans="2:18">
      <c r="B36" s="4889" t="s">
        <v>1426</v>
      </c>
      <c r="E36" s="4908"/>
      <c r="F36" s="4904"/>
      <c r="G36" s="4904"/>
      <c r="H36" s="4904"/>
      <c r="I36" s="4904"/>
      <c r="J36" s="4904"/>
      <c r="K36" s="4904"/>
      <c r="L36" s="4904"/>
      <c r="M36" s="4904"/>
    </row>
    <row r="37" spans="2:18">
      <c r="B37" s="4889" t="str">
        <f>"     (7-1-"&amp;OpenData!$Q$5&amp;" to 12-31-"&amp;OpenData!$S$5&amp;") (Line 3 x 75%)"</f>
        <v xml:space="preserve">     (7-1-2021 to 12-31-2022) (Line 3 x 75%)</v>
      </c>
      <c r="E37" s="4903"/>
      <c r="F37" s="4904"/>
      <c r="G37" s="4905">
        <f>SUM(G18*0.75)</f>
        <v>22311</v>
      </c>
      <c r="H37" s="4904"/>
      <c r="I37" s="4905">
        <f>SUM(I18*0.75)</f>
        <v>9081</v>
      </c>
      <c r="J37" s="4904"/>
      <c r="K37" s="4905">
        <f>SUM(K18*0.75)</f>
        <v>0</v>
      </c>
      <c r="L37" s="4904"/>
      <c r="M37" s="4905">
        <f>SUM(M18*0.75)</f>
        <v>0</v>
      </c>
    </row>
    <row r="38" spans="2:18" ht="3" customHeight="1">
      <c r="B38" s="4910"/>
      <c r="C38" s="4910"/>
      <c r="D38" s="4910"/>
      <c r="E38" s="4912"/>
      <c r="F38" s="4912"/>
      <c r="G38" s="4912"/>
      <c r="H38" s="4912"/>
      <c r="I38" s="4912"/>
      <c r="J38" s="4912"/>
      <c r="K38" s="4912"/>
      <c r="L38" s="4912"/>
      <c r="M38" s="4912"/>
    </row>
    <row r="39" spans="2:18" ht="14.25" customHeight="1">
      <c r="B39" s="4913" t="s">
        <v>1427</v>
      </c>
      <c r="C39" s="4914"/>
      <c r="D39" s="4914"/>
      <c r="E39" s="4915"/>
      <c r="F39" s="4916"/>
      <c r="G39" s="4915">
        <f>IF(G16&lt;&gt;0,(G20+G22+G24+G26+G28)/G16*100,0)</f>
        <v>96.004000000000005</v>
      </c>
      <c r="H39" s="4916" t="s">
        <v>886</v>
      </c>
      <c r="I39" s="4915">
        <f>IF(I16&lt;&gt;0,(I20+I22+I24+I26+I28)/I16*100,0)</f>
        <v>96.918000000000006</v>
      </c>
      <c r="J39" s="4916" t="s">
        <v>886</v>
      </c>
      <c r="K39" s="4915">
        <f>IF(K16&lt;&gt;0,(K20+K22+K24+K26+K28)/K16*100,0)</f>
        <v>0</v>
      </c>
      <c r="L39" s="4916" t="s">
        <v>886</v>
      </c>
      <c r="M39" s="4915">
        <f>IF(M16&lt;&gt;0,(M20+M22+M24+M26+M28)/M16*100,0)</f>
        <v>0</v>
      </c>
      <c r="N39" s="4917" t="s">
        <v>886</v>
      </c>
      <c r="P39" s="4910"/>
    </row>
    <row r="40" spans="2:18" ht="14.25" customHeight="1">
      <c r="B40" s="4918" t="s">
        <v>1428</v>
      </c>
      <c r="C40" s="4918"/>
      <c r="D40" s="4918"/>
      <c r="E40" s="4918"/>
      <c r="F40" s="4918"/>
      <c r="G40" s="4918"/>
      <c r="H40" s="4918"/>
      <c r="I40" s="4918"/>
      <c r="J40" s="4918"/>
      <c r="K40" s="4918"/>
      <c r="L40" s="4918"/>
      <c r="M40" s="4918"/>
    </row>
    <row r="41" spans="2:18" ht="14.25" customHeight="1">
      <c r="B41" s="4889" t="str">
        <f>"1.  Estimated percent of distribution of "&amp;OpenData!$Q$5&amp;" tax dollars:"</f>
        <v>1.  Estimated percent of distribution of 2021 tax dollars:</v>
      </c>
      <c r="F41" s="4889" t="s">
        <v>907</v>
      </c>
      <c r="G41" s="4919" t="str">
        <f>OpenData!$S$8</f>
        <v>Jan. 20, 2022</v>
      </c>
      <c r="I41" s="4909">
        <v>59</v>
      </c>
      <c r="K41" s="4919" t="str">
        <f>OpenData!$T$8</f>
        <v>Sept. 20, 2022</v>
      </c>
      <c r="M41" s="4909">
        <v>6</v>
      </c>
    </row>
    <row r="42" spans="2:18" ht="14.25" customHeight="1">
      <c r="B42" s="4920"/>
      <c r="C42" s="4920"/>
      <c r="D42" s="4920"/>
      <c r="E42" s="4920"/>
      <c r="F42" s="4920"/>
      <c r="G42" s="4919" t="str">
        <f>OpenData!$S$9</f>
        <v>Mar. 20, 2022</v>
      </c>
      <c r="H42" s="4920"/>
      <c r="I42" s="4909">
        <v>2</v>
      </c>
      <c r="K42" s="4919" t="str">
        <f>OpenData!$T$9</f>
        <v>Oct. 31, 2022</v>
      </c>
      <c r="M42" s="4921">
        <v>6</v>
      </c>
    </row>
    <row r="43" spans="2:18" ht="14.25" customHeight="1">
      <c r="B43" s="4922"/>
      <c r="C43" s="4923"/>
      <c r="E43" s="4924"/>
      <c r="F43" s="4922"/>
      <c r="G43" s="4919">
        <f>OpenData!$S$10</f>
        <v>44717</v>
      </c>
      <c r="I43" s="4909">
        <v>27</v>
      </c>
      <c r="K43" s="4925" t="str">
        <f>IF(I44&gt;=G39,"**WARNING:  Est. collection rate may","")</f>
        <v/>
      </c>
      <c r="M43" s="4926"/>
      <c r="R43" s="4927"/>
    </row>
    <row r="44" spans="2:18" ht="14.25" customHeight="1">
      <c r="B44" s="4889" t="s">
        <v>1429</v>
      </c>
      <c r="G44" s="4928"/>
      <c r="H44" s="4889" t="s">
        <v>907</v>
      </c>
      <c r="I44" s="4929">
        <f>SUM(I41:I43)</f>
        <v>88</v>
      </c>
      <c r="K44" s="4925" t="str">
        <f>IF(I44&gt;=G39,"be too high based upon prior year LOB percent collected.","")</f>
        <v/>
      </c>
      <c r="M44" s="4910"/>
    </row>
    <row r="45" spans="2:18" ht="14.25" customHeight="1">
      <c r="B45" s="4889" t="str">
        <f>"3.  "&amp;OpenData!$Q$5&amp;" General Fund Assessed Valuation"</f>
        <v>3.  2021 General Fund Assessed Valuation</v>
      </c>
      <c r="H45" s="4889" t="s">
        <v>907</v>
      </c>
      <c r="I45" s="4905">
        <f>OPEN!A16</f>
        <v>47913507</v>
      </c>
      <c r="K45" s="4889" t="s">
        <v>884</v>
      </c>
      <c r="M45" s="4929">
        <f>I41+I42+I43+M41+M42</f>
        <v>100</v>
      </c>
      <c r="O45" s="4930" t="str">
        <f>IF(OR(M45&gt;100,M45&lt;100),"&lt;-- Should be 100%!"," ")</f>
        <v xml:space="preserve"> </v>
      </c>
    </row>
    <row r="46" spans="2:18" ht="14.25" customHeight="1">
      <c r="B46" s="4889" t="str">
        <f>"4.  "&amp;OpenData!$P$4&amp;" Tax Levied (20 mills x "&amp;OpenData!$Q$5&amp;" General Fund Assessed Valuation***)"</f>
        <v>4.  2021-2022 Tax Levied (20 mills x 2021 General Fund Assessed Valuation***)</v>
      </c>
      <c r="C46" s="4931"/>
      <c r="D46" s="4931"/>
      <c r="H46" s="4889" t="s">
        <v>907</v>
      </c>
      <c r="I46" s="4905">
        <f>I45*0.02</f>
        <v>958270</v>
      </c>
      <c r="M46" s="4890" t="s">
        <v>1430</v>
      </c>
    </row>
    <row r="47" spans="2:18" ht="14.25" customHeight="1">
      <c r="B47" s="4920" t="str">
        <f>"5.  "&amp;OpenData!$P$4&amp;" Est. Tax Levy to be received 1-1-"&amp;OpenData!$S$5&amp;" to 6-30-"&amp;OpenData!$S$5&amp;" (Line 2 x Line 4)"</f>
        <v>5.  2021-2022 Est. Tax Levy to be received 1-1-2022 to 6-30-2022 (Line 2 x Line 4)</v>
      </c>
      <c r="C47" s="4920"/>
      <c r="D47" s="4920"/>
      <c r="E47" s="4920"/>
      <c r="F47" s="4920"/>
      <c r="G47" s="4920"/>
      <c r="H47" s="4920" t="s">
        <v>907</v>
      </c>
      <c r="I47" s="4905">
        <f>I44/100*I46</f>
        <v>843278</v>
      </c>
    </row>
    <row r="48" spans="2:18">
      <c r="B48" s="4889" t="str">
        <f>"*Amounts are available from the County Treasurer.       **These Jan.-June, "&amp;OpenData!$Q$5&amp;" amounts are available from the County Treasurer.  (Should correspond to school records"</f>
        <v>*Amounts are available from the County Treasurer.       **These Jan.-June, 2021 amounts are available from the County Treasurer.  (Should correspond to school records</v>
      </c>
    </row>
    <row r="49" spans="2:18">
      <c r="B49" s="4889" t="s">
        <v>1431</v>
      </c>
    </row>
    <row r="50" spans="2:18" ht="14.25" customHeight="1">
      <c r="B50" s="4889" t="s">
        <v>1432</v>
      </c>
      <c r="M50" s="4890"/>
    </row>
    <row r="51" spans="2:18">
      <c r="B51" s="4892" t="str">
        <f>$B$1</f>
        <v>Kansas Department of Education</v>
      </c>
      <c r="C51" s="4892"/>
      <c r="D51" s="4892"/>
      <c r="G51" s="4893"/>
      <c r="H51" s="4932"/>
      <c r="I51" s="4910"/>
      <c r="J51" s="4910"/>
      <c r="K51" s="4893"/>
      <c r="M51" s="4890" t="s">
        <v>1433</v>
      </c>
    </row>
    <row r="52" spans="2:18">
      <c r="B52" s="4933" t="str">
        <f>$B$2</f>
        <v>Form 0-135-110</v>
      </c>
      <c r="G52" s="4893" t="s">
        <v>1408</v>
      </c>
      <c r="H52" s="4895"/>
      <c r="I52" s="4894" t="str">
        <f>I2</f>
        <v>237 - Smith Center</v>
      </c>
      <c r="J52" s="4895"/>
      <c r="K52" s="4934"/>
      <c r="L52" s="4893" t="s">
        <v>1409</v>
      </c>
      <c r="M52" s="4896">
        <f>M2</f>
        <v>237</v>
      </c>
    </row>
    <row r="53" spans="2:18" ht="14.1" customHeight="1">
      <c r="B53" s="4933">
        <f>$B$3</f>
        <v>44348</v>
      </c>
      <c r="E53" s="4900"/>
      <c r="F53" s="4900"/>
      <c r="G53" s="4900"/>
      <c r="H53" s="4900"/>
      <c r="I53" s="4900"/>
      <c r="J53" s="4900"/>
      <c r="K53" s="4893" t="s">
        <v>879</v>
      </c>
      <c r="L53" s="4901"/>
      <c r="M53" s="4899" t="str">
        <f>M3</f>
        <v>COMBINED</v>
      </c>
    </row>
    <row r="54" spans="2:18">
      <c r="B54" s="4900" t="str">
        <f>B5</f>
        <v>2021-2022</v>
      </c>
      <c r="C54" s="4900"/>
      <c r="D54" s="4900"/>
      <c r="E54" s="4900"/>
      <c r="F54" s="4900"/>
      <c r="G54" s="4900"/>
      <c r="H54" s="4900"/>
      <c r="I54" s="4900"/>
      <c r="J54" s="4900"/>
      <c r="K54" s="4900"/>
      <c r="L54" s="4900"/>
      <c r="M54" s="4900"/>
    </row>
    <row r="55" spans="2:18">
      <c r="B55" s="4917" t="s">
        <v>1411</v>
      </c>
      <c r="C55" s="4900"/>
      <c r="D55" s="4900"/>
      <c r="E55" s="4900"/>
      <c r="F55" s="4900"/>
      <c r="G55" s="4900"/>
      <c r="H55" s="4900"/>
      <c r="I55" s="4900"/>
      <c r="J55" s="4900"/>
      <c r="K55" s="4900"/>
      <c r="L55" s="4900"/>
      <c r="M55" s="4900"/>
    </row>
    <row r="56" spans="2:18">
      <c r="B56" s="4900" t="s">
        <v>1412</v>
      </c>
      <c r="C56" s="4900"/>
      <c r="D56" s="4900"/>
      <c r="E56" s="4900"/>
      <c r="F56" s="4900"/>
      <c r="G56" s="4900"/>
      <c r="H56" s="4900"/>
      <c r="I56" s="4900"/>
      <c r="J56" s="4900"/>
      <c r="K56" s="4900"/>
      <c r="L56" s="4900"/>
      <c r="M56" s="4900"/>
    </row>
    <row r="57" spans="2:18">
      <c r="B57" s="4902" t="s">
        <v>1413</v>
      </c>
      <c r="C57" s="4902"/>
      <c r="D57" s="4902"/>
      <c r="E57" s="4900"/>
      <c r="F57" s="4900"/>
      <c r="G57" s="4900"/>
      <c r="H57" s="4900"/>
      <c r="I57" s="4900"/>
      <c r="J57" s="4900"/>
      <c r="K57" s="4900"/>
      <c r="L57" s="4900"/>
      <c r="M57" s="4900"/>
    </row>
    <row r="58" spans="2:18" ht="5.0999999999999996" customHeight="1">
      <c r="E58" s="4898"/>
      <c r="F58" s="4898"/>
      <c r="G58" s="4898"/>
      <c r="H58" s="4898"/>
      <c r="I58" s="4898"/>
      <c r="J58" s="4898"/>
      <c r="K58" s="4898"/>
      <c r="L58" s="4898"/>
      <c r="M58" s="4898"/>
    </row>
    <row r="59" spans="2:18">
      <c r="E59" s="4898" t="s">
        <v>1434</v>
      </c>
      <c r="F59" s="4898"/>
      <c r="G59" s="4898" t="s">
        <v>1435</v>
      </c>
      <c r="H59" s="4898"/>
      <c r="I59" s="4898" t="s">
        <v>1436</v>
      </c>
      <c r="J59" s="4898"/>
      <c r="K59" s="4898" t="s">
        <v>1437</v>
      </c>
      <c r="M59" s="661"/>
    </row>
    <row r="60" spans="2:18">
      <c r="E60" s="4898" t="s">
        <v>1438</v>
      </c>
      <c r="F60" s="4898"/>
      <c r="G60" s="4898" t="s">
        <v>1439</v>
      </c>
      <c r="H60" s="4898"/>
      <c r="I60" s="4898" t="s">
        <v>1440</v>
      </c>
      <c r="J60" s="4898"/>
      <c r="K60" s="4898" t="str">
        <f>IF(M2=113,"Int. #2-USD 488","Interest #2")</f>
        <v>Interest #2</v>
      </c>
      <c r="M60" s="661"/>
    </row>
    <row r="61" spans="2:18" ht="5.0999999999999996" customHeight="1">
      <c r="M61" s="661"/>
    </row>
    <row r="62" spans="2:18" ht="12.75" customHeight="1">
      <c r="B62" s="4889" t="str">
        <f>B14</f>
        <v>1.  County Treasurer Balance 6/30/2021 *</v>
      </c>
      <c r="E62" s="4905">
        <f>E241+E417+E595+E767+E932</f>
        <v>0</v>
      </c>
      <c r="F62" s="4904"/>
      <c r="G62" s="4905">
        <f>G241+G417+G595+G767+G932</f>
        <v>0</v>
      </c>
      <c r="H62" s="4904"/>
      <c r="I62" s="4903"/>
      <c r="J62" s="4904"/>
      <c r="K62" s="4905">
        <f>K241+K417+K595+K767+K932</f>
        <v>0</v>
      </c>
      <c r="L62" s="4935"/>
      <c r="M62" s="661"/>
      <c r="R62" s="4900"/>
    </row>
    <row r="63" spans="2:18" ht="5.25" customHeight="1">
      <c r="B63" s="4906"/>
      <c r="C63" s="4906"/>
      <c r="D63" s="4906"/>
      <c r="E63" s="4907"/>
      <c r="F63" s="4907"/>
      <c r="G63" s="4907"/>
      <c r="H63" s="4907"/>
      <c r="I63" s="4907"/>
      <c r="J63" s="4907"/>
      <c r="K63" s="4907"/>
      <c r="L63" s="4935"/>
      <c r="M63" s="661"/>
    </row>
    <row r="64" spans="2:18">
      <c r="B64" s="4889" t="str">
        <f>B16</f>
        <v>2.  2020 Actual Taxes Levied*</v>
      </c>
      <c r="E64" s="4905">
        <f>E243+E419+E597+E769+E934</f>
        <v>0</v>
      </c>
      <c r="F64" s="4904"/>
      <c r="G64" s="4905">
        <f>G243+G419+G597+G769+G934</f>
        <v>0</v>
      </c>
      <c r="H64" s="4904"/>
      <c r="I64" s="4903"/>
      <c r="J64" s="4904"/>
      <c r="K64" s="4905">
        <f>K243+K419+K597+K769+K934</f>
        <v>0</v>
      </c>
      <c r="L64" s="4935"/>
      <c r="M64" s="661"/>
    </row>
    <row r="65" spans="2:13" ht="8.1" customHeight="1">
      <c r="E65" s="4904"/>
      <c r="F65" s="4904"/>
      <c r="G65" s="4904"/>
      <c r="H65" s="4904"/>
      <c r="I65" s="4904"/>
      <c r="J65" s="4904"/>
      <c r="K65" s="4904"/>
      <c r="L65" s="4935"/>
      <c r="M65" s="661"/>
    </row>
    <row r="66" spans="2:13">
      <c r="B66" s="4889" t="s">
        <v>1441</v>
      </c>
      <c r="C66" s="4929">
        <f>C18</f>
        <v>3</v>
      </c>
      <c r="E66" s="4905">
        <f>E64*$C$66/100</f>
        <v>0</v>
      </c>
      <c r="F66" s="4904"/>
      <c r="G66" s="4905">
        <f>G64*$C$66/100</f>
        <v>0</v>
      </c>
      <c r="H66" s="4904"/>
      <c r="I66" s="4903"/>
      <c r="J66" s="4904"/>
      <c r="K66" s="4905">
        <f>K64*$C$66/100</f>
        <v>0</v>
      </c>
      <c r="L66" s="4935"/>
      <c r="M66" s="661"/>
    </row>
    <row r="67" spans="2:13" ht="8.1" customHeight="1">
      <c r="E67" s="4904"/>
      <c r="F67" s="4904"/>
      <c r="G67" s="4904"/>
      <c r="H67" s="4904"/>
      <c r="I67" s="4904"/>
      <c r="J67" s="4904"/>
      <c r="K67" s="4904"/>
      <c r="L67" s="4935"/>
      <c r="M67" s="661"/>
    </row>
    <row r="68" spans="2:13">
      <c r="B68" s="4889" t="str">
        <f>B20</f>
        <v>4.  Less:  Jan. 20, 2021 Taxes received**</v>
      </c>
      <c r="E68" s="4905">
        <f>E247+E423+E601+E773+E938</f>
        <v>0</v>
      </c>
      <c r="F68" s="4904"/>
      <c r="G68" s="4905">
        <f>G247+G423+G601+G773+G938</f>
        <v>0</v>
      </c>
      <c r="H68" s="4904"/>
      <c r="I68" s="4903"/>
      <c r="J68" s="4904"/>
      <c r="K68" s="4905">
        <f>K247+K423+K601+K773+K938</f>
        <v>0</v>
      </c>
      <c r="L68" s="4935"/>
      <c r="M68" s="661"/>
    </row>
    <row r="69" spans="2:13" ht="8.1" customHeight="1">
      <c r="E69" s="4904"/>
      <c r="F69" s="4904"/>
      <c r="G69" s="4904"/>
      <c r="H69" s="4904"/>
      <c r="I69" s="4904"/>
      <c r="J69" s="4904"/>
      <c r="K69" s="4904"/>
      <c r="L69" s="4935"/>
      <c r="M69" s="661"/>
    </row>
    <row r="70" spans="2:13">
      <c r="B70" s="4889" t="str">
        <f>B22</f>
        <v>5.  Less:  Mar. 20, 2021  Taxes received**</v>
      </c>
      <c r="E70" s="4905">
        <f>E249+E425+E603+E775+E940</f>
        <v>0</v>
      </c>
      <c r="F70" s="4904"/>
      <c r="G70" s="4905">
        <f>G249+G425+G603+G775+G940</f>
        <v>0</v>
      </c>
      <c r="H70" s="4904"/>
      <c r="I70" s="4903"/>
      <c r="J70" s="4904"/>
      <c r="K70" s="4905">
        <f>K249+K425+K603+K775+K940</f>
        <v>0</v>
      </c>
      <c r="L70" s="4935"/>
      <c r="M70" s="661"/>
    </row>
    <row r="71" spans="2:13" ht="8.1" customHeight="1">
      <c r="E71" s="4908"/>
      <c r="F71" s="4904"/>
      <c r="G71" s="4908"/>
      <c r="H71" s="4904"/>
      <c r="I71" s="4908"/>
      <c r="J71" s="4904"/>
      <c r="K71" s="4908"/>
      <c r="L71" s="4935"/>
      <c r="M71" s="661"/>
    </row>
    <row r="72" spans="2:13">
      <c r="B72" s="4889" t="str">
        <f>B24</f>
        <v>6.  Less:  June 5,  2021 Taxes received**</v>
      </c>
      <c r="E72" s="4905">
        <f>E251+E427+E605+E777+E942</f>
        <v>0</v>
      </c>
      <c r="F72" s="4904"/>
      <c r="G72" s="4905">
        <f>G251+G427+G605+G777+G942</f>
        <v>0</v>
      </c>
      <c r="H72" s="4904"/>
      <c r="I72" s="4903"/>
      <c r="J72" s="4904"/>
      <c r="K72" s="4905">
        <f>K251+K427+K605+K777+K942</f>
        <v>0</v>
      </c>
      <c r="L72" s="4935"/>
      <c r="M72" s="661"/>
    </row>
    <row r="73" spans="2:13" ht="8.1" customHeight="1">
      <c r="E73" s="4908"/>
      <c r="F73" s="4904"/>
      <c r="G73" s="4908"/>
      <c r="H73" s="4904"/>
      <c r="I73" s="4908"/>
      <c r="J73" s="4904"/>
      <c r="K73" s="4908"/>
      <c r="L73" s="4935"/>
      <c r="M73" s="661"/>
    </row>
    <row r="74" spans="2:13">
      <c r="B74" s="4889" t="s">
        <v>1421</v>
      </c>
      <c r="E74" s="4905">
        <f>E253+E429+E607+E779+E944</f>
        <v>0</v>
      </c>
      <c r="F74" s="4904"/>
      <c r="G74" s="4905">
        <f>G253+G429+G607+G779+G944</f>
        <v>0</v>
      </c>
      <c r="H74" s="4904"/>
      <c r="I74" s="4903"/>
      <c r="J74" s="4904"/>
      <c r="K74" s="4905">
        <f>K253+K429+K607+K779+K944</f>
        <v>0</v>
      </c>
      <c r="L74" s="4935"/>
      <c r="M74" s="661"/>
    </row>
    <row r="75" spans="2:13" ht="8.1" customHeight="1">
      <c r="E75" s="4904"/>
      <c r="F75" s="4904"/>
      <c r="G75" s="4904"/>
      <c r="H75" s="4904"/>
      <c r="I75" s="4904"/>
      <c r="J75" s="4904"/>
      <c r="K75" s="4904"/>
      <c r="L75" s="4935"/>
      <c r="M75" s="661"/>
    </row>
    <row r="76" spans="2:13" ht="12" customHeight="1">
      <c r="B76" s="4889" t="s">
        <v>1422</v>
      </c>
      <c r="E76" s="4905">
        <f>E255+E431+E609+E781+E946</f>
        <v>0</v>
      </c>
      <c r="F76" s="4904"/>
      <c r="G76" s="4905">
        <f>G255+G431+G609+G781+G946</f>
        <v>0</v>
      </c>
      <c r="H76" s="4904"/>
      <c r="I76" s="4903"/>
      <c r="J76" s="4904"/>
      <c r="K76" s="4905">
        <f>K255+K431+K609+K781+K946</f>
        <v>0</v>
      </c>
      <c r="L76" s="4935"/>
      <c r="M76" s="661"/>
    </row>
    <row r="77" spans="2:13" ht="14.25" customHeight="1">
      <c r="B77" s="4889" t="s">
        <v>1423</v>
      </c>
      <c r="E77" s="4911">
        <f>E256+E432+E610+E782+E947</f>
        <v>0</v>
      </c>
      <c r="F77" s="4904"/>
      <c r="G77" s="4911">
        <f>G256+G432+G610+G782+G947</f>
        <v>0</v>
      </c>
      <c r="H77" s="4904"/>
      <c r="I77" s="4903"/>
      <c r="J77" s="4904"/>
      <c r="K77" s="4911">
        <f>K256+K432+K610+K782+K947</f>
        <v>0</v>
      </c>
      <c r="L77" s="4935"/>
      <c r="M77" s="661"/>
    </row>
    <row r="78" spans="2:13" ht="13.5" customHeight="1">
      <c r="B78" s="4889" t="s">
        <v>1442</v>
      </c>
      <c r="E78" s="4905">
        <f>SUM(E66:E77)</f>
        <v>0</v>
      </c>
      <c r="F78" s="4908"/>
      <c r="G78" s="4905">
        <f>SUM(G66:G77)</f>
        <v>0</v>
      </c>
      <c r="H78" s="4908"/>
      <c r="I78" s="4903"/>
      <c r="J78" s="4908"/>
      <c r="K78" s="4905">
        <f>SUM(K66:K77)</f>
        <v>0</v>
      </c>
      <c r="L78" s="4935"/>
      <c r="M78" s="661"/>
    </row>
    <row r="79" spans="2:13" ht="8.1" customHeight="1">
      <c r="E79" s="4904"/>
      <c r="F79" s="4904"/>
      <c r="G79" s="4904"/>
      <c r="H79" s="4904"/>
      <c r="I79" s="4904"/>
      <c r="J79" s="4904"/>
      <c r="K79" s="4904"/>
      <c r="L79" s="4935"/>
      <c r="M79" s="661"/>
    </row>
    <row r="80" spans="2:13">
      <c r="B80" s="4889" t="str">
        <f>B32</f>
        <v>11. 2020 taxes receivable (taxes in process</v>
      </c>
      <c r="E80" s="4904"/>
      <c r="F80" s="4904"/>
      <c r="G80" s="4904"/>
      <c r="H80" s="4904"/>
      <c r="I80" s="4904"/>
      <c r="J80" s="4904"/>
      <c r="K80" s="4904"/>
      <c r="L80" s="4935"/>
      <c r="M80" s="661"/>
    </row>
    <row r="81" spans="1:14">
      <c r="B81" s="4889" t="str">
        <f>B33</f>
        <v xml:space="preserve">     of collection 6/30/2021) (Line 2 less Line 10)</v>
      </c>
      <c r="E81" s="4905">
        <f>IF(E78&lt;=0,0,E64-E78)</f>
        <v>0</v>
      </c>
      <c r="F81" s="4908"/>
      <c r="G81" s="4905">
        <f>IF(G78&lt;=0,0,G64-G78)</f>
        <v>0</v>
      </c>
      <c r="H81" s="4908"/>
      <c r="I81" s="4903"/>
      <c r="J81" s="4908"/>
      <c r="K81" s="4905">
        <f>IF(K78&lt;=0,0,K64-K78)</f>
        <v>0</v>
      </c>
      <c r="L81" s="4908"/>
      <c r="M81" s="661"/>
    </row>
    <row r="82" spans="1:14" ht="8.1" customHeight="1">
      <c r="E82" s="4904"/>
      <c r="F82" s="4904"/>
      <c r="G82" s="4904"/>
      <c r="H82" s="4904"/>
      <c r="I82" s="4904"/>
      <c r="J82" s="4904"/>
      <c r="K82" s="4904"/>
      <c r="L82" s="4935"/>
      <c r="M82" s="661"/>
    </row>
    <row r="83" spans="1:14">
      <c r="B83" s="4889" t="s">
        <v>1443</v>
      </c>
      <c r="E83" s="4904"/>
      <c r="F83" s="4904"/>
      <c r="G83" s="4904"/>
      <c r="H83" s="4904"/>
      <c r="I83" s="4904"/>
      <c r="J83" s="4904"/>
      <c r="K83" s="4904"/>
      <c r="L83" s="4935"/>
      <c r="M83" s="661"/>
    </row>
    <row r="84" spans="1:14">
      <c r="B84" s="4889" t="s">
        <v>1426</v>
      </c>
      <c r="E84" s="4904"/>
      <c r="F84" s="4904"/>
      <c r="G84" s="4904"/>
      <c r="H84" s="4904"/>
      <c r="I84" s="4904"/>
      <c r="J84" s="4904"/>
      <c r="K84" s="4904"/>
      <c r="L84" s="4935"/>
      <c r="M84" s="661"/>
    </row>
    <row r="85" spans="1:14">
      <c r="B85" s="4889" t="str">
        <f>B37</f>
        <v xml:space="preserve">     (7-1-2021 to 12-31-2022) (Line 3 x 75%)</v>
      </c>
      <c r="E85" s="4905">
        <f>SUM(E66*0.75)</f>
        <v>0</v>
      </c>
      <c r="F85" s="4908"/>
      <c r="G85" s="4905">
        <f>SUM(G66*0.75)</f>
        <v>0</v>
      </c>
      <c r="H85" s="4908"/>
      <c r="I85" s="4903"/>
      <c r="J85" s="4908"/>
      <c r="K85" s="4905">
        <f>SUM(K66*0.75)</f>
        <v>0</v>
      </c>
      <c r="L85" s="4935"/>
      <c r="M85" s="661"/>
    </row>
    <row r="86" spans="1:14" ht="14.1" customHeight="1">
      <c r="B86" s="4936" t="str">
        <f>B39</f>
        <v>Tax Collection Ratio (Jan, Mar, June)</v>
      </c>
      <c r="C86" s="4906"/>
      <c r="D86" s="4906"/>
      <c r="E86" s="4915">
        <f>IF(E64&lt;&gt;0,(E68+E70+E72+E74+E76)/E64*100,0)</f>
        <v>0</v>
      </c>
      <c r="F86" s="4916" t="s">
        <v>886</v>
      </c>
      <c r="G86" s="4915">
        <f>IF(G64&lt;&gt;0,(G68+G70+G72+G74+G76)/G64*100,0)</f>
        <v>0</v>
      </c>
      <c r="H86" s="4916" t="s">
        <v>886</v>
      </c>
      <c r="I86" s="4937"/>
      <c r="J86" s="4916"/>
      <c r="K86" s="4915">
        <f>IF(K64&lt;&gt;0,(K68+K70+K72+K74+K76)/K64*100,0)</f>
        <v>0</v>
      </c>
      <c r="L86" s="4938" t="s">
        <v>886</v>
      </c>
      <c r="M86" s="661"/>
      <c r="N86" s="4917"/>
    </row>
    <row r="87" spans="1:14" ht="12.9" customHeight="1">
      <c r="B87" s="4910" t="s">
        <v>1444</v>
      </c>
      <c r="E87" s="4939"/>
      <c r="F87" s="4910"/>
      <c r="G87" s="4939" t="s">
        <v>1445</v>
      </c>
      <c r="H87" s="4910"/>
      <c r="I87" s="4910"/>
      <c r="J87" s="4910"/>
      <c r="K87" s="4910" t="s">
        <v>1446</v>
      </c>
      <c r="L87" s="4910"/>
      <c r="M87" s="4910"/>
    </row>
    <row r="88" spans="1:14" ht="12.9" customHeight="1">
      <c r="B88" s="4910" t="s">
        <v>1447</v>
      </c>
      <c r="E88" s="4939"/>
      <c r="F88" s="4910"/>
      <c r="G88" s="4939" t="str">
        <f>"Property Tax* 7/1/"&amp;OpenData!$Q$5&amp;" to 6/30/"&amp;OpenData!$S$5</f>
        <v>Property Tax* 7/1/2021 to 6/30/2022</v>
      </c>
      <c r="H88" s="4910"/>
      <c r="I88" s="4910"/>
      <c r="J88" s="4910"/>
      <c r="K88" s="4910" t="s">
        <v>1448</v>
      </c>
      <c r="L88" s="4910"/>
      <c r="M88" s="4910"/>
    </row>
    <row r="89" spans="1:14" ht="12.9" customHeight="1">
      <c r="B89" s="4910" t="str">
        <f>"7/1/"&amp;OpenData!$Q$5&amp;" to 6/30/"&amp;OpenData!$S$5</f>
        <v>7/1/2021 to 6/30/2022</v>
      </c>
      <c r="E89" s="4910"/>
      <c r="F89" s="4910"/>
      <c r="G89" s="4910"/>
      <c r="H89" s="4910"/>
      <c r="I89" s="4910"/>
      <c r="J89" s="4910"/>
      <c r="K89" s="4910" t="str">
        <f>"7/1/"&amp;OpenData!$Q$5&amp;" to 6/30/"&amp;OpenData!$S$5</f>
        <v>7/1/2021 to 6/30/2022</v>
      </c>
      <c r="L89" s="4910"/>
      <c r="M89" s="4910"/>
    </row>
    <row r="90" spans="1:14" ht="12.9" customHeight="1">
      <c r="A90" s="4940">
        <v>13</v>
      </c>
      <c r="B90" s="4905">
        <f>OPEN!$A$135</f>
        <v>46401</v>
      </c>
      <c r="E90" s="4941">
        <v>14</v>
      </c>
      <c r="G90" s="4905">
        <f>OPEN!$A$136</f>
        <v>1253</v>
      </c>
      <c r="I90" s="4940">
        <v>15</v>
      </c>
      <c r="K90" s="4905">
        <f>OPEN!$A$137</f>
        <v>0</v>
      </c>
      <c r="L90" s="4910"/>
      <c r="M90" s="4910"/>
    </row>
    <row r="91" spans="1:14" ht="12.9" customHeight="1">
      <c r="B91" s="4889" t="s">
        <v>1449</v>
      </c>
      <c r="E91" s="4942"/>
      <c r="F91" s="4942"/>
      <c r="G91" s="4942" t="s">
        <v>1450</v>
      </c>
      <c r="H91" s="4942"/>
      <c r="I91" s="4942"/>
      <c r="J91" s="4942"/>
      <c r="K91" s="4942"/>
      <c r="M91" s="4942"/>
    </row>
    <row r="92" spans="1:14" ht="12.9" customHeight="1">
      <c r="B92" s="4889" t="str">
        <f>"7/1/"&amp;OpenData!$Q$5&amp;" to 6/30/"&amp;OpenData!$S$5</f>
        <v>7/1/2021 to 6/30/2022</v>
      </c>
      <c r="E92" s="4942"/>
      <c r="F92" s="4942"/>
      <c r="G92" s="4942" t="str">
        <f>"7/1/"&amp;OpenData!$Q$5&amp;" to 6/30/"&amp;OpenData!$S$5</f>
        <v>7/1/2021 to 6/30/2022</v>
      </c>
      <c r="H92" s="4942"/>
      <c r="I92" s="4942"/>
      <c r="J92" s="4942"/>
      <c r="K92" s="4942"/>
      <c r="M92" s="4942"/>
    </row>
    <row r="93" spans="1:14" ht="12.9" customHeight="1">
      <c r="A93" s="4940">
        <v>16</v>
      </c>
      <c r="B93" s="4905">
        <f>OPEN!$A$138</f>
        <v>13367</v>
      </c>
      <c r="E93" s="4940">
        <v>17</v>
      </c>
      <c r="G93" s="4905">
        <f>OPEN!$A$139</f>
        <v>4106</v>
      </c>
      <c r="H93" s="4910"/>
      <c r="I93" s="4940"/>
      <c r="K93" s="4943"/>
      <c r="M93" s="4893"/>
    </row>
    <row r="94" spans="1:14" ht="17.25" customHeight="1">
      <c r="A94" s="4944">
        <v>18</v>
      </c>
      <c r="B94" s="4945" t="str">
        <f>OpenData!$O$5&amp;" DELINQUENT TAX PERCENTAGE"</f>
        <v>2019 DELINQUENT TAX PERCENTAGE</v>
      </c>
      <c r="E94" s="4940"/>
      <c r="G94" s="4910"/>
      <c r="H94" s="4910"/>
      <c r="I94" s="4932"/>
      <c r="M94" s="4893"/>
    </row>
    <row r="95" spans="1:14" ht="5.0999999999999996" customHeight="1">
      <c r="D95" s="4931"/>
      <c r="E95" s="4908"/>
      <c r="G95" s="4910"/>
      <c r="H95" s="4910"/>
      <c r="I95" s="4910"/>
    </row>
    <row r="96" spans="1:14">
      <c r="B96" s="4946" t="s">
        <v>1451</v>
      </c>
      <c r="C96" s="4931"/>
      <c r="D96" s="4889" t="s">
        <v>907</v>
      </c>
      <c r="E96" s="4947">
        <v>0.69</v>
      </c>
      <c r="F96" s="4889" t="s">
        <v>886</v>
      </c>
      <c r="G96" s="4948"/>
      <c r="H96" s="4949"/>
      <c r="I96" s="4943"/>
      <c r="K96" s="4950"/>
      <c r="L96" s="4912"/>
      <c r="M96" s="4908"/>
    </row>
    <row r="97" spans="2:13">
      <c r="B97" s="4889" t="str">
        <f>"*Amounts are available from the County Treasurer.       **These Jan.-June, "&amp;OpenData!$Q$5&amp;" amounts are available from the County Treasurer.  (Should correspond to school"</f>
        <v>*Amounts are available from the County Treasurer.       **These Jan.-June, 2021 amounts are available from the County Treasurer.  (Should correspond to school</v>
      </c>
    </row>
    <row r="98" spans="2:13">
      <c r="B98" s="4889" t="s">
        <v>1452</v>
      </c>
    </row>
    <row r="99" spans="2:13">
      <c r="B99" s="4892" t="str">
        <f>$B$1</f>
        <v>Kansas Department of Education</v>
      </c>
      <c r="M99" s="4890" t="s">
        <v>1453</v>
      </c>
    </row>
    <row r="100" spans="2:13">
      <c r="B100" s="4933" t="str">
        <f>$B$2</f>
        <v>Form 0-135-110</v>
      </c>
      <c r="C100" s="4892"/>
      <c r="D100" s="4892"/>
      <c r="G100" s="4893" t="s">
        <v>1408</v>
      </c>
      <c r="H100" s="4893"/>
      <c r="I100" s="4894" t="str">
        <f>I2</f>
        <v>237 - Smith Center</v>
      </c>
      <c r="J100" s="4895"/>
      <c r="K100" s="4895"/>
      <c r="L100" s="4893" t="s">
        <v>1409</v>
      </c>
      <c r="M100" s="4896">
        <f>M2</f>
        <v>237</v>
      </c>
    </row>
    <row r="101" spans="2:13">
      <c r="B101" s="4933">
        <f>$B$3</f>
        <v>44348</v>
      </c>
      <c r="K101" s="4893" t="s">
        <v>879</v>
      </c>
      <c r="M101" s="4899" t="str">
        <f>M3</f>
        <v>COMBINED</v>
      </c>
    </row>
    <row r="102" spans="2:13" ht="5.25" customHeight="1">
      <c r="E102" s="4900"/>
      <c r="F102" s="4900"/>
      <c r="G102" s="4900"/>
      <c r="H102" s="4900"/>
      <c r="I102" s="4900"/>
      <c r="J102" s="4900"/>
      <c r="K102" s="4901"/>
      <c r="L102" s="4901"/>
      <c r="M102" s="4900"/>
    </row>
    <row r="103" spans="2:13">
      <c r="B103" s="4900" t="str">
        <f>B5</f>
        <v>2021-2022</v>
      </c>
      <c r="C103" s="4900"/>
      <c r="D103" s="4900"/>
      <c r="E103" s="4900"/>
      <c r="F103" s="4900"/>
      <c r="G103" s="4900"/>
      <c r="H103" s="4900"/>
      <c r="I103" s="4900"/>
      <c r="J103" s="4900"/>
      <c r="K103" s="4900"/>
      <c r="L103" s="4900"/>
      <c r="M103" s="4900"/>
    </row>
    <row r="104" spans="2:13">
      <c r="B104" s="4900" t="s">
        <v>1411</v>
      </c>
      <c r="C104" s="4900"/>
      <c r="D104" s="4900"/>
      <c r="E104" s="4900"/>
      <c r="F104" s="4900"/>
      <c r="G104" s="4900"/>
      <c r="H104" s="4900"/>
      <c r="I104" s="4900"/>
      <c r="J104" s="4900"/>
      <c r="K104" s="4900"/>
      <c r="L104" s="4900"/>
      <c r="M104" s="4900"/>
    </row>
    <row r="105" spans="2:13">
      <c r="B105" s="4900" t="s">
        <v>1412</v>
      </c>
      <c r="C105" s="4900"/>
      <c r="D105" s="4900"/>
      <c r="E105" s="4900"/>
      <c r="F105" s="4900"/>
      <c r="G105" s="4900"/>
      <c r="H105" s="4900"/>
      <c r="I105" s="4900"/>
      <c r="J105" s="4900"/>
      <c r="K105" s="4900"/>
      <c r="L105" s="4900"/>
      <c r="M105" s="4900"/>
    </row>
    <row r="106" spans="2:13">
      <c r="B106" s="4902" t="s">
        <v>1413</v>
      </c>
      <c r="C106" s="4902"/>
      <c r="D106" s="4902"/>
      <c r="E106" s="4900"/>
      <c r="F106" s="4900"/>
      <c r="G106" s="4900"/>
      <c r="H106" s="4900"/>
      <c r="I106" s="4900"/>
      <c r="J106" s="4900"/>
      <c r="K106" s="4900"/>
      <c r="L106" s="4900"/>
      <c r="M106" s="4900"/>
    </row>
    <row r="107" spans="2:13" ht="6" customHeight="1">
      <c r="E107" s="4898"/>
      <c r="F107" s="4898"/>
      <c r="G107" s="4898"/>
      <c r="H107" s="4898"/>
      <c r="I107" s="4898"/>
      <c r="J107" s="4898"/>
      <c r="K107" s="4898"/>
      <c r="L107" s="4898"/>
      <c r="M107" s="4898"/>
    </row>
    <row r="108" spans="2:13">
      <c r="E108" s="4898" t="s">
        <v>1454</v>
      </c>
      <c r="F108" s="4898"/>
      <c r="G108" s="4898" t="s">
        <v>1455</v>
      </c>
      <c r="H108" s="4898"/>
      <c r="I108" s="4898" t="s">
        <v>1456</v>
      </c>
      <c r="J108" s="4898"/>
      <c r="K108" s="4898" t="s">
        <v>1457</v>
      </c>
      <c r="L108" s="4898"/>
      <c r="M108" s="4898" t="s">
        <v>1458</v>
      </c>
    </row>
    <row r="109" spans="2:13">
      <c r="E109" s="4898" t="s">
        <v>1459</v>
      </c>
      <c r="F109" s="4898"/>
      <c r="G109" s="4898" t="s">
        <v>1460</v>
      </c>
      <c r="H109" s="4898"/>
      <c r="I109" s="4898" t="s">
        <v>1461</v>
      </c>
      <c r="J109" s="4898"/>
      <c r="K109" s="4898" t="s">
        <v>1462</v>
      </c>
      <c r="L109" s="4898"/>
      <c r="M109" s="4898" t="s">
        <v>1463</v>
      </c>
    </row>
    <row r="111" spans="2:13">
      <c r="B111" s="4889" t="str">
        <f>B14</f>
        <v>1.  County Treasurer Balance 6/30/2021 *</v>
      </c>
      <c r="E111" s="4905">
        <f>E284+E462+E635+E808+E973</f>
        <v>0</v>
      </c>
      <c r="F111" s="4904"/>
      <c r="G111" s="4905">
        <f>G284+G462+G635+G808+G973</f>
        <v>0</v>
      </c>
      <c r="H111" s="4904"/>
      <c r="I111" s="4905">
        <f>I284+I462+I635+I808+I973</f>
        <v>0</v>
      </c>
      <c r="J111" s="4904"/>
      <c r="K111" s="4905">
        <f>K284+K462+K635+K808+K973</f>
        <v>0</v>
      </c>
      <c r="L111" s="4935"/>
      <c r="M111" s="4905">
        <f>M284+M462+M635+M808+M973</f>
        <v>0</v>
      </c>
    </row>
    <row r="112" spans="2:13" ht="7.5" customHeight="1">
      <c r="B112" s="4906"/>
      <c r="C112" s="4906"/>
      <c r="D112" s="4906"/>
      <c r="E112" s="4907"/>
      <c r="F112" s="4907"/>
      <c r="G112" s="4907"/>
      <c r="H112" s="4907"/>
      <c r="I112" s="4907"/>
      <c r="J112" s="4907"/>
      <c r="K112" s="4907"/>
      <c r="L112" s="4935"/>
      <c r="M112" s="4907"/>
    </row>
    <row r="113" spans="2:13">
      <c r="B113" s="4889" t="str">
        <f>B16</f>
        <v>2.  2020 Actual Taxes Levied*</v>
      </c>
      <c r="E113" s="4905">
        <f>E286+E464+E637+E810+E975</f>
        <v>0</v>
      </c>
      <c r="F113" s="4904"/>
      <c r="G113" s="4905">
        <f>G286+G464+G637+G810+G975</f>
        <v>0</v>
      </c>
      <c r="H113" s="4904"/>
      <c r="I113" s="4905">
        <f>I286+I464+I637+I810+I975</f>
        <v>0</v>
      </c>
      <c r="J113" s="4904"/>
      <c r="K113" s="4905">
        <f>K286+K464+K637+K810+K975</f>
        <v>0</v>
      </c>
      <c r="L113" s="4935"/>
      <c r="M113" s="4905">
        <f>M286+M464+M637+M810+M975</f>
        <v>0</v>
      </c>
    </row>
    <row r="114" spans="2:13" ht="7.5" customHeight="1">
      <c r="E114" s="4904"/>
      <c r="F114" s="4904"/>
      <c r="G114" s="4904"/>
      <c r="H114" s="4904"/>
      <c r="I114" s="4904"/>
      <c r="J114" s="4904"/>
      <c r="K114" s="4904"/>
      <c r="L114" s="4935"/>
      <c r="M114" s="4904"/>
    </row>
    <row r="115" spans="2:13">
      <c r="B115" s="4889" t="s">
        <v>1441</v>
      </c>
      <c r="C115" s="4929">
        <f>C18</f>
        <v>3</v>
      </c>
      <c r="E115" s="4905">
        <f>E113*$C$66/100</f>
        <v>0</v>
      </c>
      <c r="F115" s="4904"/>
      <c r="G115" s="4905">
        <f>G113*$C$66/100</f>
        <v>0</v>
      </c>
      <c r="H115" s="4904"/>
      <c r="I115" s="4905">
        <f>I113*$C$66/100</f>
        <v>0</v>
      </c>
      <c r="J115" s="4904"/>
      <c r="K115" s="4905">
        <f>K113*$C$66/100</f>
        <v>0</v>
      </c>
      <c r="L115" s="4935"/>
      <c r="M115" s="4905">
        <f>M113*$C$66/100</f>
        <v>0</v>
      </c>
    </row>
    <row r="116" spans="2:13" ht="7.5" customHeight="1">
      <c r="E116" s="4904"/>
      <c r="F116" s="4904"/>
      <c r="G116" s="4904"/>
      <c r="H116" s="4904"/>
      <c r="I116" s="4904"/>
      <c r="J116" s="4904"/>
      <c r="K116" s="4904"/>
      <c r="L116" s="4935"/>
      <c r="M116" s="4904"/>
    </row>
    <row r="117" spans="2:13">
      <c r="B117" s="4889" t="str">
        <f>B68</f>
        <v>4.  Less:  Jan. 20, 2021 Taxes received**</v>
      </c>
      <c r="E117" s="4905">
        <f>E290+E468+E641+E814+E979</f>
        <v>0</v>
      </c>
      <c r="F117" s="4904"/>
      <c r="G117" s="4905">
        <f>G290+G468+G641+G814+G979</f>
        <v>0</v>
      </c>
      <c r="H117" s="4904"/>
      <c r="I117" s="4905">
        <f>I290+I468+I641+I814+I979</f>
        <v>0</v>
      </c>
      <c r="J117" s="4904"/>
      <c r="K117" s="4905">
        <f>K290+K468+K641+K814+K979</f>
        <v>0</v>
      </c>
      <c r="L117" s="4935"/>
      <c r="M117" s="4905">
        <f>M290+M468+M641+M814+M979</f>
        <v>0</v>
      </c>
    </row>
    <row r="118" spans="2:13" ht="6.75" customHeight="1">
      <c r="E118" s="4904"/>
      <c r="F118" s="4904"/>
      <c r="G118" s="4904"/>
      <c r="H118" s="4904"/>
      <c r="I118" s="4904"/>
      <c r="J118" s="4904"/>
      <c r="K118" s="4904"/>
      <c r="L118" s="4935"/>
      <c r="M118" s="4904"/>
    </row>
    <row r="119" spans="2:13">
      <c r="B119" s="4889" t="str">
        <f>B70</f>
        <v>5.  Less:  Mar. 20, 2021  Taxes received**</v>
      </c>
      <c r="E119" s="4905">
        <f>E292+E470+E643+E816+E981</f>
        <v>0</v>
      </c>
      <c r="F119" s="4904"/>
      <c r="G119" s="4905">
        <f>G292+G470+G643+G816+G981</f>
        <v>0</v>
      </c>
      <c r="H119" s="4904"/>
      <c r="I119" s="4905">
        <f>I292+I470+I643+I816+I981</f>
        <v>0</v>
      </c>
      <c r="J119" s="4904"/>
      <c r="K119" s="4905">
        <f>K292+K470+K643+K816+K981</f>
        <v>0</v>
      </c>
      <c r="L119" s="4935"/>
      <c r="M119" s="4905">
        <f>M292+M470+M643+M816+M981</f>
        <v>0</v>
      </c>
    </row>
    <row r="120" spans="2:13" ht="6.75" customHeight="1">
      <c r="E120" s="4908"/>
      <c r="F120" s="4904"/>
      <c r="G120" s="4908"/>
      <c r="H120" s="4904"/>
      <c r="I120" s="4908"/>
      <c r="J120" s="4904"/>
      <c r="K120" s="4908"/>
      <c r="L120" s="4935"/>
      <c r="M120" s="4908"/>
    </row>
    <row r="121" spans="2:13">
      <c r="B121" s="4889" t="str">
        <f>B24</f>
        <v>6.  Less:  June 5,  2021 Taxes received**</v>
      </c>
      <c r="E121" s="4905">
        <f>E294+E472+E645+E818+E983</f>
        <v>0</v>
      </c>
      <c r="F121" s="4904"/>
      <c r="G121" s="4905">
        <f>G294+G472+G645+G818+G983</f>
        <v>0</v>
      </c>
      <c r="H121" s="4904"/>
      <c r="I121" s="4905">
        <f>I294+I472+I645+I818+I983</f>
        <v>0</v>
      </c>
      <c r="J121" s="4904"/>
      <c r="K121" s="4905">
        <f>K294+K472+K645+K818+K983</f>
        <v>0</v>
      </c>
      <c r="L121" s="4935"/>
      <c r="M121" s="4905">
        <f>M294+M472+M645+M818+M983</f>
        <v>0</v>
      </c>
    </row>
    <row r="122" spans="2:13" ht="8.25" customHeight="1">
      <c r="E122" s="4908"/>
      <c r="F122" s="4904"/>
      <c r="G122" s="4908"/>
      <c r="H122" s="4904"/>
      <c r="I122" s="4908"/>
      <c r="J122" s="4904"/>
      <c r="K122" s="4908"/>
      <c r="L122" s="4935"/>
      <c r="M122" s="4908"/>
    </row>
    <row r="123" spans="2:13">
      <c r="B123" s="4889" t="s">
        <v>1421</v>
      </c>
      <c r="E123" s="4905">
        <f>E296+E474+E647+E820+E985</f>
        <v>0</v>
      </c>
      <c r="F123" s="4904"/>
      <c r="G123" s="4905">
        <f>G296+G474+G647+G820+G985</f>
        <v>0</v>
      </c>
      <c r="H123" s="4904"/>
      <c r="I123" s="4905">
        <f>I296+I474+I647+I820+I985</f>
        <v>0</v>
      </c>
      <c r="J123" s="4904"/>
      <c r="K123" s="4905">
        <f>K296+K474+K647+K820+K985</f>
        <v>0</v>
      </c>
      <c r="L123" s="4935"/>
      <c r="M123" s="4905">
        <f>M296+M474+M647+M820+M985</f>
        <v>0</v>
      </c>
    </row>
    <row r="124" spans="2:13" ht="8.25" customHeight="1">
      <c r="E124" s="4904"/>
      <c r="F124" s="4904"/>
      <c r="G124" s="4904"/>
      <c r="H124" s="4904"/>
      <c r="I124" s="4904"/>
      <c r="J124" s="4904"/>
      <c r="K124" s="4904"/>
      <c r="L124" s="4935"/>
      <c r="M124" s="4904"/>
    </row>
    <row r="125" spans="2:13">
      <c r="B125" s="4889" t="s">
        <v>1422</v>
      </c>
      <c r="E125" s="4905">
        <f>E298+E476+E649+E822+E987</f>
        <v>0</v>
      </c>
      <c r="F125" s="4904"/>
      <c r="G125" s="4905">
        <f>G298+G476+G649+G822+G987</f>
        <v>0</v>
      </c>
      <c r="H125" s="4904"/>
      <c r="I125" s="4905">
        <f>I298+I476+I649+I822+I987</f>
        <v>0</v>
      </c>
      <c r="J125" s="4904"/>
      <c r="K125" s="4905">
        <f>K298+K476+K649+K822+K987</f>
        <v>0</v>
      </c>
      <c r="L125" s="4935"/>
      <c r="M125" s="4905">
        <f>M298+M476+M649+M822+M987</f>
        <v>0</v>
      </c>
    </row>
    <row r="126" spans="2:13">
      <c r="B126" s="4889" t="s">
        <v>1423</v>
      </c>
      <c r="E126" s="4905">
        <f>E299+E477+E650+E823+E988</f>
        <v>0</v>
      </c>
      <c r="F126" s="4904"/>
      <c r="G126" s="4905">
        <f>G299+G477+G650+G823+G988</f>
        <v>0</v>
      </c>
      <c r="H126" s="4904"/>
      <c r="I126" s="4905">
        <f>I299+I477+I650+I823+I988</f>
        <v>0</v>
      </c>
      <c r="J126" s="4904"/>
      <c r="K126" s="4905">
        <f>K299+K477+K650+K823+K988</f>
        <v>0</v>
      </c>
      <c r="L126" s="4935"/>
      <c r="M126" s="4905">
        <f>M299+M477+M650+M823+M988</f>
        <v>0</v>
      </c>
    </row>
    <row r="127" spans="2:13">
      <c r="B127" s="4889" t="s">
        <v>1442</v>
      </c>
      <c r="E127" s="4905">
        <f>SUM(E115:E126)</f>
        <v>0</v>
      </c>
      <c r="F127" s="4908"/>
      <c r="G127" s="4905">
        <f>SUM(G115:G126)</f>
        <v>0</v>
      </c>
      <c r="H127" s="4908"/>
      <c r="I127" s="4905">
        <f>SUM(I115:I126)</f>
        <v>0</v>
      </c>
      <c r="J127" s="4908"/>
      <c r="K127" s="4905">
        <f>SUM(K115:K126)</f>
        <v>0</v>
      </c>
      <c r="L127" s="4935"/>
      <c r="M127" s="4905">
        <f>SUM(M115:M126)</f>
        <v>0</v>
      </c>
    </row>
    <row r="128" spans="2:13" ht="8.25" customHeight="1">
      <c r="E128" s="4904"/>
      <c r="F128" s="4904"/>
      <c r="G128" s="4904"/>
      <c r="H128" s="4904"/>
      <c r="I128" s="4904"/>
      <c r="J128" s="4904"/>
      <c r="K128" s="4904"/>
      <c r="L128" s="4935"/>
      <c r="M128" s="4904"/>
    </row>
    <row r="129" spans="2:14">
      <c r="B129" s="4889" t="str">
        <f>B32</f>
        <v>11. 2020 taxes receivable (taxes in process</v>
      </c>
      <c r="E129" s="4904"/>
      <c r="F129" s="4904"/>
      <c r="G129" s="4904"/>
      <c r="H129" s="4904"/>
      <c r="I129" s="4904"/>
      <c r="J129" s="4904"/>
      <c r="K129" s="4904"/>
      <c r="L129" s="4935"/>
      <c r="M129" s="4904"/>
    </row>
    <row r="130" spans="2:14">
      <c r="B130" s="4889" t="str">
        <f>B33</f>
        <v xml:space="preserve">     of collection 6/30/2021) (Line 2 less Line 10)</v>
      </c>
      <c r="E130" s="4905">
        <f>IF(E127&lt;=0,0,E113-E127)</f>
        <v>0</v>
      </c>
      <c r="F130" s="4908"/>
      <c r="G130" s="4905">
        <f>IF(G127&lt;=0,0,G113-G127)</f>
        <v>0</v>
      </c>
      <c r="H130" s="4908"/>
      <c r="I130" s="4905">
        <f>IF(I127&lt;=0,0,I113-I127)</f>
        <v>0</v>
      </c>
      <c r="J130" s="4908"/>
      <c r="K130" s="4905">
        <f>IF(K127&lt;=0,0,K113-K127)</f>
        <v>0</v>
      </c>
      <c r="L130" s="4908"/>
      <c r="M130" s="4905">
        <f>IF(M127&lt;=0,0,M113-M127)</f>
        <v>0</v>
      </c>
    </row>
    <row r="131" spans="2:14" ht="8.25" customHeight="1">
      <c r="E131" s="4904"/>
      <c r="F131" s="4904"/>
      <c r="G131" s="4904"/>
      <c r="H131" s="4904"/>
      <c r="I131" s="4904"/>
      <c r="J131" s="4904"/>
      <c r="K131" s="4904"/>
      <c r="L131" s="4935"/>
      <c r="M131" s="4904"/>
    </row>
    <row r="132" spans="2:14">
      <c r="B132" s="4889" t="s">
        <v>1443</v>
      </c>
      <c r="E132" s="4904"/>
      <c r="F132" s="4904"/>
      <c r="G132" s="4904"/>
      <c r="H132" s="4904"/>
      <c r="I132" s="4904"/>
      <c r="J132" s="4904"/>
      <c r="K132" s="4904"/>
      <c r="L132" s="4935"/>
      <c r="M132" s="4904"/>
    </row>
    <row r="133" spans="2:14">
      <c r="B133" s="4889" t="s">
        <v>1426</v>
      </c>
      <c r="E133" s="4904"/>
      <c r="F133" s="4904"/>
      <c r="G133" s="4904"/>
      <c r="H133" s="4904"/>
      <c r="I133" s="4904"/>
      <c r="J133" s="4904"/>
      <c r="K133" s="4904"/>
      <c r="L133" s="4935"/>
      <c r="M133" s="4904"/>
    </row>
    <row r="134" spans="2:14">
      <c r="B134" s="4889" t="str">
        <f>B37</f>
        <v xml:space="preserve">     (7-1-2021 to 12-31-2022) (Line 3 x 75%)</v>
      </c>
      <c r="E134" s="4905">
        <f>SUM(E115*0.75)</f>
        <v>0</v>
      </c>
      <c r="F134" s="4908"/>
      <c r="G134" s="4905">
        <f>SUM(G115*0.75)</f>
        <v>0</v>
      </c>
      <c r="H134" s="4908"/>
      <c r="I134" s="4905">
        <f>SUM(I115*0.75)</f>
        <v>0</v>
      </c>
      <c r="J134" s="4908"/>
      <c r="K134" s="4905">
        <f>SUM(K115*0.75)</f>
        <v>0</v>
      </c>
      <c r="L134" s="4935"/>
      <c r="M134" s="4905">
        <f>SUM(M115*0.75)</f>
        <v>0</v>
      </c>
    </row>
    <row r="135" spans="2:14" ht="6.75" customHeight="1">
      <c r="E135" s="4935"/>
      <c r="F135" s="4935"/>
      <c r="G135" s="4935"/>
      <c r="H135" s="4935"/>
      <c r="I135" s="4935"/>
      <c r="J135" s="4935"/>
      <c r="K135" s="4935"/>
      <c r="L135" s="4935"/>
      <c r="M135" s="4935"/>
    </row>
    <row r="136" spans="2:14">
      <c r="B136" s="4949" t="str">
        <f>B39</f>
        <v>Tax Collection Ratio (Jan, Mar, June)</v>
      </c>
      <c r="C136" s="4910"/>
      <c r="D136" s="4910"/>
      <c r="E136" s="4951">
        <f>IF(E113&lt;&gt;0,(E117+E119+E121+E123+E125)/E113*100,0)</f>
        <v>0</v>
      </c>
      <c r="F136" s="4938" t="s">
        <v>886</v>
      </c>
      <c r="G136" s="4951">
        <f>IF(G113&lt;&gt;0,(G117+G119+G121+G123+G125)/G113*100,0)</f>
        <v>0</v>
      </c>
      <c r="H136" s="4938" t="s">
        <v>886</v>
      </c>
      <c r="I136" s="4951">
        <f>IF(I113&lt;&gt;0,(I117+I119+I121+I123+I125)/I113*100,0)</f>
        <v>0</v>
      </c>
      <c r="J136" s="4938" t="s">
        <v>886</v>
      </c>
      <c r="K136" s="4951">
        <f>IF(K113&lt;&gt;0,(K117+K119+K121+K123+K125)/K113*100,0)</f>
        <v>0</v>
      </c>
      <c r="L136" s="4938" t="s">
        <v>886</v>
      </c>
      <c r="M136" s="4951">
        <f>IF(M113&lt;&gt;0,(M117+M119+M121+M123+M125)/M113*100,0)</f>
        <v>0</v>
      </c>
      <c r="N136" s="4917" t="s">
        <v>886</v>
      </c>
    </row>
    <row r="137" spans="2:14" ht="6.75" customHeight="1">
      <c r="B137" s="4906"/>
      <c r="C137" s="4906"/>
      <c r="D137" s="4906"/>
      <c r="E137" s="4906"/>
      <c r="F137" s="4906"/>
      <c r="G137" s="4906"/>
      <c r="H137" s="4906"/>
      <c r="I137" s="4906"/>
      <c r="J137" s="4906"/>
      <c r="K137" s="4906"/>
      <c r="L137" s="4906"/>
      <c r="M137" s="4906"/>
    </row>
    <row r="138" spans="2:14">
      <c r="B138" s="4889" t="str">
        <f>B97</f>
        <v>*Amounts are available from the County Treasurer.       **These Jan.-June, 2021 amounts are available from the County Treasurer.  (Should correspond to school</v>
      </c>
    </row>
    <row r="139" spans="2:14">
      <c r="B139" s="4889" t="str">
        <f>B98</f>
        <v xml:space="preserve"> records and does not include MVPT.)   Include Watercraft Tax if USD received payment direct from county.</v>
      </c>
    </row>
    <row r="140" spans="2:14">
      <c r="B140" s="4892" t="str">
        <f>$B$1</f>
        <v>Kansas Department of Education</v>
      </c>
      <c r="M140" s="4890" t="s">
        <v>1464</v>
      </c>
    </row>
    <row r="141" spans="2:14">
      <c r="B141" s="4933" t="str">
        <f>$B$2</f>
        <v>Form 0-135-110</v>
      </c>
      <c r="C141" s="4892"/>
      <c r="D141" s="4892"/>
      <c r="G141" s="4893" t="s">
        <v>1408</v>
      </c>
      <c r="H141" s="4893"/>
      <c r="I141" s="4894" t="str">
        <f>I2</f>
        <v>237 - Smith Center</v>
      </c>
      <c r="J141" s="4895"/>
      <c r="K141" s="4895"/>
      <c r="L141" s="4893" t="s">
        <v>1409</v>
      </c>
      <c r="M141" s="4896">
        <f>M2</f>
        <v>237</v>
      </c>
    </row>
    <row r="142" spans="2:14">
      <c r="B142" s="4933">
        <f>$B$3</f>
        <v>44348</v>
      </c>
      <c r="K142" s="4893" t="s">
        <v>879</v>
      </c>
      <c r="M142" s="4899" t="str">
        <f>M3</f>
        <v>COMBINED</v>
      </c>
    </row>
    <row r="143" spans="2:14" ht="6.75" customHeight="1">
      <c r="E143" s="4900"/>
      <c r="F143" s="4900"/>
      <c r="G143" s="4900"/>
      <c r="H143" s="4900"/>
      <c r="I143" s="4900"/>
      <c r="J143" s="4900"/>
      <c r="K143" s="4901"/>
      <c r="L143" s="4901"/>
      <c r="M143" s="4900"/>
    </row>
    <row r="144" spans="2:14">
      <c r="B144" s="4900" t="str">
        <f>B5</f>
        <v>2021-2022</v>
      </c>
      <c r="C144" s="4900"/>
      <c r="D144" s="4900"/>
      <c r="E144" s="4900"/>
      <c r="F144" s="4900"/>
      <c r="G144" s="4900"/>
      <c r="H144" s="4900"/>
      <c r="I144" s="4900"/>
      <c r="J144" s="4900"/>
      <c r="K144" s="4900"/>
      <c r="L144" s="4900"/>
      <c r="M144" s="4900"/>
    </row>
    <row r="145" spans="2:13">
      <c r="B145" s="4900" t="s">
        <v>1411</v>
      </c>
      <c r="C145" s="4900"/>
      <c r="D145" s="4900"/>
      <c r="E145" s="4900"/>
      <c r="F145" s="4900"/>
      <c r="G145" s="4900"/>
      <c r="H145" s="4900"/>
      <c r="I145" s="4900"/>
      <c r="J145" s="4900"/>
      <c r="K145" s="4900"/>
      <c r="L145" s="4900"/>
      <c r="M145" s="4900"/>
    </row>
    <row r="146" spans="2:13">
      <c r="B146" s="4900" t="s">
        <v>1412</v>
      </c>
      <c r="C146" s="4900"/>
      <c r="D146" s="4900"/>
      <c r="E146" s="4900"/>
      <c r="F146" s="4900"/>
      <c r="G146" s="4900"/>
      <c r="H146" s="4900"/>
      <c r="I146" s="4900"/>
      <c r="J146" s="4900"/>
      <c r="K146" s="4900"/>
      <c r="L146" s="4900"/>
      <c r="M146" s="4900"/>
    </row>
    <row r="147" spans="2:13">
      <c r="B147" s="4902" t="s">
        <v>1413</v>
      </c>
      <c r="C147" s="4902"/>
      <c r="D147" s="4902"/>
      <c r="E147" s="4900"/>
      <c r="F147" s="4900"/>
      <c r="G147" s="4900"/>
      <c r="H147" s="4900"/>
      <c r="I147" s="4900"/>
      <c r="J147" s="4900"/>
      <c r="K147" s="4900"/>
      <c r="L147" s="4900"/>
      <c r="M147" s="4900"/>
    </row>
    <row r="148" spans="2:13" ht="8.25" customHeight="1">
      <c r="E148" s="4898"/>
      <c r="F148" s="4898"/>
      <c r="G148" s="4898"/>
      <c r="H148" s="4898"/>
      <c r="I148" s="4898"/>
      <c r="J148" s="4898"/>
      <c r="K148" s="4898"/>
      <c r="L148" s="4898"/>
      <c r="M148" s="4898"/>
    </row>
    <row r="149" spans="2:13">
      <c r="E149" s="4952"/>
      <c r="F149" s="4898"/>
      <c r="G149" s="4898" t="str">
        <f>IF(M2=114," ","Rec. Comm")</f>
        <v>Rec. Comm</v>
      </c>
      <c r="H149" s="4898"/>
      <c r="I149" s="4898" t="s">
        <v>1465</v>
      </c>
      <c r="J149" s="4898"/>
      <c r="K149" s="4931" t="s">
        <v>1466</v>
      </c>
      <c r="L149" s="4898"/>
      <c r="M149" s="4935"/>
    </row>
    <row r="150" spans="2:13">
      <c r="E150" s="4952" t="s">
        <v>1467</v>
      </c>
      <c r="F150" s="4898"/>
      <c r="G150" s="4898" t="str">
        <f>IF(M2=114,"Recreation","Emp Benef")</f>
        <v>Emp Benef</v>
      </c>
      <c r="H150" s="4898"/>
      <c r="I150" s="4898" t="s">
        <v>1468</v>
      </c>
      <c r="J150" s="4898"/>
      <c r="K150" s="4898" t="s">
        <v>1469</v>
      </c>
      <c r="L150" s="4898"/>
      <c r="M150" s="4952" t="s">
        <v>1470</v>
      </c>
    </row>
    <row r="151" spans="2:13">
      <c r="E151" s="4952" t="s">
        <v>1471</v>
      </c>
      <c r="G151" s="4898" t="str">
        <f>IF(M2=114,"Fund #486","&amp; Spec Liab")</f>
        <v>&amp; Spec Liab</v>
      </c>
      <c r="I151" s="4898" t="s">
        <v>1472</v>
      </c>
      <c r="K151" s="4898" t="s">
        <v>1473</v>
      </c>
      <c r="M151" s="4952" t="s">
        <v>1474</v>
      </c>
    </row>
    <row r="152" spans="2:13">
      <c r="G152" s="4931"/>
    </row>
    <row r="153" spans="2:13">
      <c r="B153" s="4889" t="str">
        <f>B14</f>
        <v>1.  County Treasurer Balance 6/30/2021 *</v>
      </c>
      <c r="E153" s="4903"/>
      <c r="F153" s="4904"/>
      <c r="G153" s="4905">
        <f>G326+G504+G677+G849+G1015</f>
        <v>0</v>
      </c>
      <c r="H153" s="4904"/>
      <c r="I153" s="4905">
        <f>I326+I504+I677+I849+I1015</f>
        <v>0</v>
      </c>
      <c r="J153" s="4904"/>
      <c r="K153" s="4905">
        <f>K326+K504+K677+K849+K1015</f>
        <v>0</v>
      </c>
      <c r="L153" s="4935"/>
      <c r="M153" s="4905">
        <f>M326+M504+M677+M849+M1015</f>
        <v>0</v>
      </c>
    </row>
    <row r="154" spans="2:13" ht="5.25" customHeight="1">
      <c r="B154" s="4906"/>
      <c r="C154" s="4906"/>
      <c r="D154" s="4906"/>
      <c r="E154" s="4907"/>
      <c r="F154" s="4907"/>
      <c r="G154" s="4907"/>
      <c r="H154" s="4907"/>
      <c r="I154" s="4907"/>
      <c r="J154" s="4907"/>
      <c r="K154" s="4907"/>
      <c r="L154" s="4935"/>
      <c r="M154" s="4907"/>
    </row>
    <row r="155" spans="2:13">
      <c r="B155" s="4889" t="str">
        <f>B16</f>
        <v>2.  2020 Actual Taxes Levied*</v>
      </c>
      <c r="E155" s="4903"/>
      <c r="F155" s="4904"/>
      <c r="G155" s="4905">
        <f>G328+G506+G679+G851+G1017</f>
        <v>0</v>
      </c>
      <c r="H155" s="4904"/>
      <c r="I155" s="4905">
        <f>I328+I506+I679+I851+I1017</f>
        <v>0</v>
      </c>
      <c r="J155" s="4904"/>
      <c r="K155" s="4905">
        <f>K328+K506+K679+K851+K1017</f>
        <v>0</v>
      </c>
      <c r="L155" s="4935"/>
      <c r="M155" s="4905">
        <f>M328+M506+M679+M851+M1017</f>
        <v>0</v>
      </c>
    </row>
    <row r="156" spans="2:13" ht="6.75" customHeight="1">
      <c r="E156" s="4904"/>
      <c r="F156" s="4904"/>
      <c r="G156" s="4904"/>
      <c r="H156" s="4904"/>
      <c r="I156" s="4904"/>
      <c r="J156" s="4904"/>
      <c r="K156" s="4904"/>
      <c r="L156" s="4935"/>
      <c r="M156" s="4904"/>
    </row>
    <row r="157" spans="2:13">
      <c r="B157" s="4889" t="s">
        <v>1441</v>
      </c>
      <c r="C157" s="4929">
        <f>C18</f>
        <v>3</v>
      </c>
      <c r="E157" s="4903"/>
      <c r="F157" s="4904"/>
      <c r="G157" s="4905">
        <f>G155*$C$66/100</f>
        <v>0</v>
      </c>
      <c r="H157" s="4904"/>
      <c r="I157" s="4905">
        <f>I155*$C$66/100</f>
        <v>0</v>
      </c>
      <c r="J157" s="4904"/>
      <c r="K157" s="4905">
        <f>K155*$C$66/100</f>
        <v>0</v>
      </c>
      <c r="L157" s="4935"/>
      <c r="M157" s="4905">
        <f>M155*$C$66/100</f>
        <v>0</v>
      </c>
    </row>
    <row r="158" spans="2:13" ht="8.25" customHeight="1">
      <c r="E158" s="4904"/>
      <c r="F158" s="4904"/>
      <c r="G158" s="4904"/>
      <c r="H158" s="4904"/>
      <c r="I158" s="4904"/>
      <c r="J158" s="4904"/>
      <c r="K158" s="4904"/>
      <c r="L158" s="4935"/>
      <c r="M158" s="4904"/>
    </row>
    <row r="159" spans="2:13">
      <c r="B159" s="4889" t="str">
        <f>B20</f>
        <v>4.  Less:  Jan. 20, 2021 Taxes received**</v>
      </c>
      <c r="E159" s="4903"/>
      <c r="F159" s="4904"/>
      <c r="G159" s="4905">
        <f>G332+G510+G683+G855+G1021</f>
        <v>0</v>
      </c>
      <c r="H159" s="4904"/>
      <c r="I159" s="4905">
        <f>I332+I510+I683+I855+I1021</f>
        <v>0</v>
      </c>
      <c r="J159" s="4904"/>
      <c r="K159" s="4905">
        <f>K332+K510+K683+K855+K1021</f>
        <v>0</v>
      </c>
      <c r="L159" s="4935"/>
      <c r="M159" s="4905">
        <f>M332+M510+M683+M855+M1021</f>
        <v>0</v>
      </c>
    </row>
    <row r="160" spans="2:13" ht="7.5" customHeight="1">
      <c r="E160" s="4904"/>
      <c r="F160" s="4904"/>
      <c r="G160" s="4904"/>
      <c r="H160" s="4904"/>
      <c r="I160" s="4904"/>
      <c r="J160" s="4904"/>
      <c r="K160" s="4904"/>
      <c r="L160" s="4935"/>
      <c r="M160" s="4904"/>
    </row>
    <row r="161" spans="2:13">
      <c r="B161" s="4889" t="str">
        <f>B22</f>
        <v>5.  Less:  Mar. 20, 2021  Taxes received**</v>
      </c>
      <c r="E161" s="4903"/>
      <c r="F161" s="4904"/>
      <c r="G161" s="4905">
        <f>G334+G512+G685+G857+G1023</f>
        <v>0</v>
      </c>
      <c r="H161" s="4904"/>
      <c r="I161" s="4905">
        <f>I334+I512+I685+I857+I1023</f>
        <v>0</v>
      </c>
      <c r="J161" s="4904"/>
      <c r="K161" s="4905">
        <f>K334+K512+K685+K857+K1023</f>
        <v>0</v>
      </c>
      <c r="L161" s="4935"/>
      <c r="M161" s="4905">
        <f>M334+M512+M685+M857+M1023</f>
        <v>0</v>
      </c>
    </row>
    <row r="162" spans="2:13" ht="6.75" customHeight="1">
      <c r="E162" s="4908"/>
      <c r="F162" s="4904"/>
      <c r="G162" s="4908"/>
      <c r="H162" s="4904"/>
      <c r="I162" s="4908"/>
      <c r="J162" s="4904"/>
      <c r="K162" s="4908"/>
      <c r="L162" s="4935"/>
      <c r="M162" s="4908"/>
    </row>
    <row r="163" spans="2:13">
      <c r="B163" s="4889" t="str">
        <f>B24</f>
        <v>6.  Less:  June 5,  2021 Taxes received**</v>
      </c>
      <c r="E163" s="4903"/>
      <c r="F163" s="4904"/>
      <c r="G163" s="4905">
        <f>G336+G514+G687+G859+G1025</f>
        <v>0</v>
      </c>
      <c r="H163" s="4904"/>
      <c r="I163" s="4905">
        <f>I336+I514+I687+I859+I1025</f>
        <v>0</v>
      </c>
      <c r="J163" s="4904"/>
      <c r="K163" s="4905">
        <f>K336+K514+K687+K859+K1025</f>
        <v>0</v>
      </c>
      <c r="L163" s="4935"/>
      <c r="M163" s="4905">
        <f>M336+M514+M687+M859+M1025</f>
        <v>0</v>
      </c>
    </row>
    <row r="164" spans="2:13" ht="8.25" customHeight="1">
      <c r="E164" s="4908"/>
      <c r="F164" s="4904"/>
      <c r="G164" s="4908"/>
      <c r="H164" s="4904"/>
      <c r="I164" s="4908"/>
      <c r="J164" s="4904"/>
      <c r="K164" s="4908"/>
      <c r="L164" s="4935"/>
      <c r="M164" s="4908"/>
    </row>
    <row r="165" spans="2:13">
      <c r="B165" s="4889" t="s">
        <v>1421</v>
      </c>
      <c r="E165" s="4903"/>
      <c r="F165" s="4904"/>
      <c r="G165" s="4905">
        <f>G338+G516+G689+G861+G1027</f>
        <v>0</v>
      </c>
      <c r="H165" s="4904"/>
      <c r="I165" s="4905">
        <f>I338+I516+I689+I861+I1027</f>
        <v>0</v>
      </c>
      <c r="J165" s="4904"/>
      <c r="K165" s="4905">
        <f>K338+K516+K689+K861+K1027</f>
        <v>0</v>
      </c>
      <c r="L165" s="4935"/>
      <c r="M165" s="4905">
        <f>M338+M516+M689+M861+M1027</f>
        <v>0</v>
      </c>
    </row>
    <row r="166" spans="2:13" ht="7.5" customHeight="1">
      <c r="E166" s="4904"/>
      <c r="F166" s="4904"/>
      <c r="G166" s="4904"/>
      <c r="H166" s="4904"/>
      <c r="I166" s="4904"/>
      <c r="J166" s="4904"/>
      <c r="K166" s="4904"/>
      <c r="L166" s="4935"/>
      <c r="M166" s="4904"/>
    </row>
    <row r="167" spans="2:13">
      <c r="B167" s="4889" t="s">
        <v>1422</v>
      </c>
      <c r="E167" s="4903"/>
      <c r="F167" s="4904"/>
      <c r="G167" s="4905">
        <f>G340+G518+G691+G863+G1029</f>
        <v>0</v>
      </c>
      <c r="H167" s="4904"/>
      <c r="I167" s="4905">
        <f>I340+I518+I691+I863+I1029</f>
        <v>0</v>
      </c>
      <c r="J167" s="4904"/>
      <c r="K167" s="4905">
        <f>K340+K518+K691+K863+K1029</f>
        <v>0</v>
      </c>
      <c r="L167" s="4935"/>
      <c r="M167" s="4905">
        <f>M340+M518+M691+M863+M1029</f>
        <v>0</v>
      </c>
    </row>
    <row r="168" spans="2:13">
      <c r="B168" s="4889" t="s">
        <v>1423</v>
      </c>
      <c r="E168" s="4903"/>
      <c r="F168" s="4904"/>
      <c r="G168" s="4905">
        <f>G341+G519+G692+G864+G1030</f>
        <v>0</v>
      </c>
      <c r="H168" s="4904"/>
      <c r="I168" s="4905">
        <f>I341+I519+I692+I864+I1030</f>
        <v>0</v>
      </c>
      <c r="J168" s="4904"/>
      <c r="K168" s="4905">
        <f>K341+K519+K692+K864+K1030</f>
        <v>0</v>
      </c>
      <c r="L168" s="4935"/>
      <c r="M168" s="4905">
        <f>M341+M519+M692+M864+M1030</f>
        <v>0</v>
      </c>
    </row>
    <row r="169" spans="2:13">
      <c r="B169" s="4889" t="s">
        <v>1442</v>
      </c>
      <c r="E169" s="4903"/>
      <c r="F169" s="4908"/>
      <c r="G169" s="4905">
        <f>SUM(G157:G168)</f>
        <v>0</v>
      </c>
      <c r="H169" s="4908"/>
      <c r="I169" s="4905">
        <f>SUM(I157:I168)</f>
        <v>0</v>
      </c>
      <c r="J169" s="4908"/>
      <c r="K169" s="4905">
        <f>SUM(K157:K168)</f>
        <v>0</v>
      </c>
      <c r="L169" s="4935"/>
      <c r="M169" s="4905">
        <f>SUM(M157:M168)</f>
        <v>0</v>
      </c>
    </row>
    <row r="170" spans="2:13" ht="6.75" customHeight="1">
      <c r="E170" s="4904"/>
      <c r="F170" s="4904"/>
      <c r="G170" s="4904"/>
      <c r="H170" s="4904"/>
      <c r="I170" s="4904"/>
      <c r="J170" s="4904"/>
      <c r="K170" s="4904"/>
      <c r="L170" s="4935"/>
      <c r="M170" s="4904"/>
    </row>
    <row r="171" spans="2:13">
      <c r="B171" s="4889" t="str">
        <f>B32</f>
        <v>11. 2020 taxes receivable (taxes in process</v>
      </c>
      <c r="E171" s="4904"/>
      <c r="F171" s="4904"/>
      <c r="G171" s="4904"/>
      <c r="H171" s="4904"/>
      <c r="I171" s="4904"/>
      <c r="J171" s="4904"/>
      <c r="K171" s="4904"/>
      <c r="L171" s="4935"/>
      <c r="M171" s="4904"/>
    </row>
    <row r="172" spans="2:13">
      <c r="B172" s="4889" t="str">
        <f>B33</f>
        <v xml:space="preserve">     of collection 6/30/2021) (Line 2 less Line 10)</v>
      </c>
      <c r="E172" s="4903"/>
      <c r="F172" s="4908"/>
      <c r="G172" s="4905">
        <f>IF(G169&lt;=0,0,G155-G169)</f>
        <v>0</v>
      </c>
      <c r="H172" s="4908"/>
      <c r="I172" s="4905">
        <f>IF(I169&lt;=0,0,I155-I169)</f>
        <v>0</v>
      </c>
      <c r="J172" s="4908"/>
      <c r="K172" s="4905">
        <f>IF(K169&lt;=0,0,K155-K169)</f>
        <v>0</v>
      </c>
      <c r="L172" s="4908"/>
      <c r="M172" s="4905">
        <f>IF(M169&lt;=0,0,M155-M169)</f>
        <v>0</v>
      </c>
    </row>
    <row r="173" spans="2:13" ht="6" customHeight="1">
      <c r="E173" s="4904"/>
      <c r="F173" s="4904"/>
      <c r="G173" s="4904"/>
      <c r="H173" s="4904"/>
      <c r="I173" s="4904"/>
      <c r="J173" s="4904"/>
      <c r="K173" s="4904"/>
      <c r="L173" s="4935"/>
      <c r="M173" s="4904"/>
    </row>
    <row r="174" spans="2:13">
      <c r="B174" s="4889" t="s">
        <v>1443</v>
      </c>
      <c r="E174" s="4904"/>
      <c r="F174" s="4904"/>
      <c r="G174" s="4904"/>
      <c r="H174" s="4904"/>
      <c r="I174" s="4904"/>
      <c r="J174" s="4904"/>
      <c r="K174" s="4904"/>
      <c r="L174" s="4935"/>
      <c r="M174" s="4904"/>
    </row>
    <row r="175" spans="2:13">
      <c r="B175" s="4889" t="s">
        <v>1426</v>
      </c>
      <c r="E175" s="4904"/>
      <c r="F175" s="4904"/>
      <c r="G175" s="4904"/>
      <c r="H175" s="4904"/>
      <c r="I175" s="4904"/>
      <c r="J175" s="4904"/>
      <c r="K175" s="4904"/>
      <c r="L175" s="4935"/>
      <c r="M175" s="4904"/>
    </row>
    <row r="176" spans="2:13">
      <c r="B176" s="4889" t="str">
        <f>B37</f>
        <v xml:space="preserve">     (7-1-2021 to 12-31-2022) (Line 3 x 75%)</v>
      </c>
      <c r="E176" s="4903"/>
      <c r="F176" s="4908"/>
      <c r="G176" s="4905">
        <f>SUM(G157*0.75)</f>
        <v>0</v>
      </c>
      <c r="H176" s="4908"/>
      <c r="I176" s="4905">
        <f>SUM(I157*0.75)</f>
        <v>0</v>
      </c>
      <c r="J176" s="4908"/>
      <c r="K176" s="4905">
        <f>SUM(K157*0.75)</f>
        <v>0</v>
      </c>
      <c r="L176" s="4935"/>
      <c r="M176" s="4905">
        <f>SUM(M157*0.75)</f>
        <v>0</v>
      </c>
    </row>
    <row r="177" spans="2:14" ht="5.25" customHeight="1">
      <c r="E177" s="4935"/>
      <c r="F177" s="4935"/>
      <c r="G177" s="4935"/>
      <c r="H177" s="4935"/>
      <c r="I177" s="4935"/>
      <c r="J177" s="4935"/>
      <c r="K177" s="4935"/>
      <c r="L177" s="4935"/>
      <c r="M177" s="4935"/>
    </row>
    <row r="178" spans="2:14">
      <c r="B178" s="4949" t="str">
        <f>B39</f>
        <v>Tax Collection Ratio (Jan, Mar, June)</v>
      </c>
      <c r="C178" s="4910"/>
      <c r="D178" s="4910"/>
      <c r="E178" s="4937"/>
      <c r="F178" s="4938"/>
      <c r="G178" s="4951">
        <f>IF(G155&lt;&gt;0,(G159+G161+G163+G165+G167)/G155*100,0)</f>
        <v>0</v>
      </c>
      <c r="H178" s="4938" t="s">
        <v>886</v>
      </c>
      <c r="I178" s="4951">
        <f>IF(I155&lt;&gt;0,(I159+I161+I163+I165+I167)/I155*100,0)</f>
        <v>0</v>
      </c>
      <c r="J178" s="4938" t="s">
        <v>886</v>
      </c>
      <c r="K178" s="4951">
        <f>IF(K155&lt;&gt;0,(K159+K161+K163+K165+K167)/K155*100,0)</f>
        <v>0</v>
      </c>
      <c r="L178" s="4938" t="s">
        <v>886</v>
      </c>
      <c r="M178" s="4951">
        <f>IF(M155&lt;&gt;0,(M159+M161+M163+M165+M167)/M155*100,0)</f>
        <v>0</v>
      </c>
      <c r="N178" s="4917" t="s">
        <v>886</v>
      </c>
    </row>
    <row r="179" spans="2:14" ht="4.5" customHeight="1">
      <c r="B179" s="4906"/>
      <c r="C179" s="4906"/>
      <c r="D179" s="4906"/>
      <c r="E179" s="4906"/>
      <c r="F179" s="4906"/>
      <c r="G179" s="4906"/>
      <c r="H179" s="4906"/>
      <c r="I179" s="4906"/>
      <c r="J179" s="4906"/>
      <c r="K179" s="4906"/>
      <c r="L179" s="4906"/>
      <c r="M179" s="4906"/>
    </row>
    <row r="180" spans="2:14">
      <c r="B180" s="4889" t="str">
        <f>B97</f>
        <v>*Amounts are available from the County Treasurer.       **These Jan.-June, 2021 amounts are available from the County Treasurer.  (Should correspond to school</v>
      </c>
    </row>
    <row r="181" spans="2:14">
      <c r="B181" s="4889" t="str">
        <f>B98</f>
        <v xml:space="preserve"> records and does not include MVPT.)   Include Watercraft Tax if USD received payment direct from county.</v>
      </c>
    </row>
    <row r="182" spans="2:14">
      <c r="B182" s="4892" t="str">
        <f>$B$1</f>
        <v>Kansas Department of Education</v>
      </c>
      <c r="M182" s="4890" t="s">
        <v>1407</v>
      </c>
    </row>
    <row r="183" spans="2:14">
      <c r="B183" s="4933" t="str">
        <f>$B$2</f>
        <v>Form 0-135-110</v>
      </c>
      <c r="C183" s="4892"/>
      <c r="D183" s="4892"/>
      <c r="F183" s="4893"/>
      <c r="G183" s="4893" t="s">
        <v>1408</v>
      </c>
      <c r="H183" s="4893"/>
      <c r="I183" s="4894" t="str">
        <f>I2</f>
        <v>237 - Smith Center</v>
      </c>
      <c r="J183" s="4895"/>
      <c r="K183" s="4895"/>
      <c r="L183" s="4893" t="s">
        <v>1409</v>
      </c>
      <c r="M183" s="4896">
        <f>OPEN!$B$4</f>
        <v>237</v>
      </c>
    </row>
    <row r="184" spans="2:14">
      <c r="B184" s="4933">
        <f>$B$3</f>
        <v>44348</v>
      </c>
      <c r="K184" s="4893" t="s">
        <v>879</v>
      </c>
      <c r="M184" s="4934" t="str">
        <f>OPEN!$B$5</f>
        <v>Smith</v>
      </c>
    </row>
    <row r="185" spans="2:14" ht="7.5" customHeight="1">
      <c r="E185" s="4900"/>
      <c r="F185" s="4900"/>
      <c r="G185" s="4900"/>
      <c r="H185" s="4900"/>
      <c r="I185" s="4900"/>
      <c r="J185" s="4900"/>
      <c r="K185" s="4901"/>
      <c r="L185" s="4901"/>
      <c r="M185" s="4900"/>
    </row>
    <row r="186" spans="2:14">
      <c r="B186" s="4900" t="str">
        <f>B5</f>
        <v>2021-2022</v>
      </c>
      <c r="C186" s="4900"/>
      <c r="D186" s="4900"/>
      <c r="E186" s="4900"/>
      <c r="F186" s="4900"/>
      <c r="G186" s="4900"/>
      <c r="H186" s="4900"/>
      <c r="I186" s="4900"/>
      <c r="J186" s="4900"/>
      <c r="K186" s="4900"/>
      <c r="L186" s="4900"/>
      <c r="M186" s="4900"/>
    </row>
    <row r="187" spans="2:14">
      <c r="B187" s="4900" t="s">
        <v>1411</v>
      </c>
      <c r="C187" s="4900"/>
      <c r="D187" s="4900"/>
      <c r="E187" s="4900"/>
      <c r="F187" s="4900"/>
      <c r="G187" s="4900"/>
      <c r="H187" s="4900"/>
      <c r="I187" s="4900"/>
      <c r="J187" s="4900"/>
      <c r="K187" s="4900"/>
      <c r="L187" s="4900"/>
      <c r="M187" s="4900"/>
    </row>
    <row r="188" spans="2:14">
      <c r="B188" s="4900" t="s">
        <v>1412</v>
      </c>
      <c r="C188" s="4900"/>
      <c r="D188" s="4900"/>
      <c r="E188" s="4900"/>
      <c r="F188" s="4900"/>
      <c r="G188" s="4900"/>
      <c r="H188" s="4900"/>
      <c r="I188" s="4900"/>
      <c r="J188" s="4900"/>
      <c r="K188" s="4900"/>
      <c r="L188" s="4900"/>
      <c r="M188" s="4900"/>
    </row>
    <row r="189" spans="2:14">
      <c r="B189" s="4902" t="s">
        <v>1413</v>
      </c>
      <c r="C189" s="4902"/>
      <c r="D189" s="4902"/>
      <c r="E189" s="4900"/>
      <c r="F189" s="4900"/>
      <c r="G189" s="4900"/>
      <c r="H189" s="4900"/>
      <c r="I189" s="4900"/>
      <c r="J189" s="4900"/>
      <c r="K189" s="4900"/>
      <c r="L189" s="4900"/>
      <c r="M189" s="4900"/>
    </row>
    <row r="190" spans="2:14" ht="6.75" customHeight="1"/>
    <row r="191" spans="2:14">
      <c r="E191" s="4898"/>
      <c r="F191" s="4898"/>
      <c r="G191" s="4898" t="s">
        <v>1414</v>
      </c>
      <c r="H191" s="4898"/>
      <c r="I191" s="4898" t="s">
        <v>1415</v>
      </c>
      <c r="J191" s="4898"/>
      <c r="K191" s="4898" t="s">
        <v>1416</v>
      </c>
      <c r="L191" s="4898"/>
      <c r="M191" s="4898"/>
    </row>
    <row r="192" spans="2:14">
      <c r="E192" s="4898" t="s">
        <v>813</v>
      </c>
      <c r="F192" s="4898"/>
      <c r="G192" s="4898" t="s">
        <v>813</v>
      </c>
      <c r="H192" s="4898"/>
      <c r="I192" s="4898" t="s">
        <v>1417</v>
      </c>
      <c r="J192" s="4898"/>
      <c r="K192" s="4898" t="s">
        <v>1418</v>
      </c>
      <c r="L192" s="4898"/>
      <c r="M192" s="4898" t="s">
        <v>1419</v>
      </c>
    </row>
    <row r="193" spans="2:16">
      <c r="E193" s="4898" t="s">
        <v>896</v>
      </c>
      <c r="F193" s="4898"/>
      <c r="G193" s="4898" t="s">
        <v>896</v>
      </c>
      <c r="H193" s="4898"/>
      <c r="I193" s="4898" t="s">
        <v>896</v>
      </c>
      <c r="J193" s="4898"/>
      <c r="K193" s="4898" t="str">
        <f>K12</f>
        <v>Fund #1</v>
      </c>
      <c r="L193" s="4898"/>
      <c r="M193" s="4898" t="str">
        <f>M12</f>
        <v>Fund</v>
      </c>
    </row>
    <row r="194" spans="2:16" ht="7.5" customHeight="1"/>
    <row r="195" spans="2:16">
      <c r="B195" s="4889" t="str">
        <f>B14</f>
        <v>1.  County Treasurer Balance 6/30/2021 *</v>
      </c>
      <c r="E195" s="4953"/>
      <c r="F195" s="4942"/>
      <c r="G195" s="4954"/>
      <c r="H195" s="4942"/>
      <c r="I195" s="4954"/>
      <c r="J195" s="4942"/>
      <c r="K195" s="4954"/>
      <c r="L195" s="4942"/>
      <c r="M195" s="4954"/>
    </row>
    <row r="196" spans="2:16" ht="7.5" customHeight="1">
      <c r="B196" s="4906"/>
      <c r="C196" s="4906"/>
      <c r="D196" s="4906"/>
      <c r="E196" s="4955"/>
      <c r="F196" s="4955"/>
      <c r="G196" s="4955"/>
      <c r="H196" s="4955"/>
      <c r="I196" s="4955"/>
      <c r="J196" s="4955"/>
      <c r="K196" s="4955"/>
      <c r="L196" s="4955"/>
      <c r="M196" s="4955"/>
      <c r="P196" s="4910"/>
    </row>
    <row r="197" spans="2:16">
      <c r="B197" s="4889" t="str">
        <f>B16</f>
        <v>2.  2020 Actual Taxes Levied*</v>
      </c>
      <c r="E197" s="4953"/>
      <c r="F197" s="4942"/>
      <c r="G197" s="4954">
        <v>991160</v>
      </c>
      <c r="H197" s="4942"/>
      <c r="I197" s="4954">
        <v>403437</v>
      </c>
      <c r="J197" s="4942"/>
      <c r="K197" s="4954"/>
      <c r="L197" s="4942"/>
      <c r="M197" s="4954"/>
    </row>
    <row r="198" spans="2:16" ht="8.25" customHeight="1">
      <c r="E198" s="4943"/>
      <c r="F198" s="4942"/>
      <c r="G198" s="4942"/>
      <c r="H198" s="4942"/>
      <c r="I198" s="4942"/>
      <c r="J198" s="4942"/>
      <c r="K198" s="4942"/>
      <c r="L198" s="4942"/>
      <c r="M198" s="4942"/>
    </row>
    <row r="199" spans="2:16">
      <c r="B199" s="4889" t="s">
        <v>1420</v>
      </c>
      <c r="C199" s="4909">
        <v>0</v>
      </c>
      <c r="E199" s="4908"/>
      <c r="F199" s="4908"/>
      <c r="G199" s="4905">
        <f>SUM(G197*$C$199/100)</f>
        <v>0</v>
      </c>
      <c r="H199" s="4908"/>
      <c r="I199" s="4905">
        <f>SUM(I197*$C$199/100)</f>
        <v>0</v>
      </c>
      <c r="J199" s="4908"/>
      <c r="K199" s="4905">
        <f>SUM(K197*$C$199/100)</f>
        <v>0</v>
      </c>
      <c r="L199" s="4908"/>
      <c r="M199" s="4905">
        <f>SUM(M197*$C$199/100)</f>
        <v>0</v>
      </c>
    </row>
    <row r="200" spans="2:16" ht="8.25" customHeight="1">
      <c r="E200" s="4943"/>
      <c r="F200" s="4942"/>
      <c r="G200" s="4942"/>
      <c r="H200" s="4942"/>
      <c r="I200" s="4942"/>
      <c r="J200" s="4942"/>
      <c r="K200" s="4942"/>
      <c r="L200" s="4942"/>
      <c r="M200" s="4942"/>
    </row>
    <row r="201" spans="2:16">
      <c r="B201" s="4889" t="str">
        <f>B20</f>
        <v>4.  Less:  Jan. 20, 2021 Taxes received**</v>
      </c>
      <c r="C201" s="4893"/>
      <c r="E201" s="4953"/>
      <c r="F201" s="4942"/>
      <c r="G201" s="4954">
        <v>697459</v>
      </c>
      <c r="H201" s="4942"/>
      <c r="I201" s="4954">
        <v>286581</v>
      </c>
      <c r="J201" s="4942"/>
      <c r="K201" s="4954"/>
      <c r="L201" s="4942"/>
      <c r="M201" s="4954"/>
    </row>
    <row r="202" spans="2:16" ht="6.75" customHeight="1">
      <c r="E202" s="4943"/>
      <c r="F202" s="4942"/>
      <c r="G202" s="4942"/>
      <c r="H202" s="4942"/>
      <c r="I202" s="4904"/>
      <c r="J202" s="4942"/>
      <c r="K202" s="4942"/>
      <c r="L202" s="4942"/>
      <c r="M202" s="4942"/>
    </row>
    <row r="203" spans="2:16">
      <c r="B203" s="4889" t="str">
        <f>B22</f>
        <v>5.  Less:  Mar. 20, 2021  Taxes received**</v>
      </c>
      <c r="E203" s="4953"/>
      <c r="F203" s="4942"/>
      <c r="G203" s="4954">
        <v>13769</v>
      </c>
      <c r="H203" s="4942"/>
      <c r="I203" s="4954">
        <v>5759</v>
      </c>
      <c r="J203" s="4942"/>
      <c r="K203" s="4954"/>
      <c r="L203" s="4942"/>
      <c r="M203" s="4954"/>
    </row>
    <row r="204" spans="2:16" ht="6.75" customHeight="1">
      <c r="E204" s="4943"/>
      <c r="F204" s="4942"/>
      <c r="G204" s="4942"/>
      <c r="H204" s="4942"/>
      <c r="I204" s="4942"/>
      <c r="J204" s="4942"/>
      <c r="K204" s="4942"/>
      <c r="L204" s="4942"/>
      <c r="M204" s="4942"/>
    </row>
    <row r="205" spans="2:16">
      <c r="B205" s="4889" t="str">
        <f>B24</f>
        <v>6.  Less:  June 5,  2021 Taxes received**</v>
      </c>
      <c r="E205" s="4953"/>
      <c r="F205" s="4942"/>
      <c r="G205" s="4954">
        <v>240312</v>
      </c>
      <c r="H205" s="4942"/>
      <c r="I205" s="4954">
        <v>98656</v>
      </c>
      <c r="J205" s="4942"/>
      <c r="K205" s="4954"/>
      <c r="L205" s="4942"/>
      <c r="M205" s="4954"/>
    </row>
    <row r="206" spans="2:16" ht="6.75" customHeight="1">
      <c r="E206" s="4943"/>
      <c r="F206" s="4942"/>
      <c r="G206" s="4942"/>
      <c r="H206" s="4942"/>
      <c r="I206" s="4942"/>
      <c r="J206" s="4942"/>
      <c r="K206" s="4942"/>
      <c r="L206" s="4942"/>
      <c r="M206" s="4942"/>
    </row>
    <row r="207" spans="2:16">
      <c r="B207" s="4889" t="s">
        <v>1421</v>
      </c>
      <c r="E207" s="4953"/>
      <c r="F207" s="4904"/>
      <c r="G207" s="4954"/>
      <c r="H207" s="4942"/>
      <c r="I207" s="4954"/>
      <c r="J207" s="4942"/>
      <c r="K207" s="4954"/>
      <c r="L207" s="4942"/>
      <c r="M207" s="4954"/>
    </row>
    <row r="208" spans="2:16" ht="5.25" customHeight="1">
      <c r="E208" s="4943"/>
      <c r="F208" s="4942"/>
      <c r="G208" s="4942"/>
      <c r="H208" s="4942"/>
      <c r="I208" s="4942"/>
      <c r="J208" s="4942"/>
      <c r="K208" s="4942"/>
      <c r="L208" s="4942"/>
      <c r="M208" s="4942"/>
    </row>
    <row r="209" spans="2:14">
      <c r="B209" s="4889" t="s">
        <v>1422</v>
      </c>
      <c r="E209" s="4953"/>
      <c r="F209" s="4942"/>
      <c r="G209" s="4954"/>
      <c r="H209" s="4942"/>
      <c r="I209" s="4954"/>
      <c r="J209" s="4942"/>
      <c r="K209" s="4954"/>
      <c r="L209" s="4942"/>
      <c r="M209" s="4954"/>
    </row>
    <row r="210" spans="2:14">
      <c r="B210" s="4889" t="s">
        <v>1423</v>
      </c>
      <c r="E210" s="4953"/>
      <c r="F210" s="4942"/>
      <c r="G210" s="4956"/>
      <c r="H210" s="4942"/>
      <c r="I210" s="4956"/>
      <c r="J210" s="4942"/>
      <c r="K210" s="4956"/>
      <c r="L210" s="4942"/>
      <c r="M210" s="4956"/>
    </row>
    <row r="211" spans="2:14">
      <c r="B211" s="4889" t="s">
        <v>1424</v>
      </c>
      <c r="E211" s="4953"/>
      <c r="F211" s="4904"/>
      <c r="G211" s="4905">
        <f>SUM(G199:G210)</f>
        <v>951540</v>
      </c>
      <c r="H211" s="4904"/>
      <c r="I211" s="4905">
        <f>SUM(I199:I210)</f>
        <v>390996</v>
      </c>
      <c r="J211" s="4904"/>
      <c r="K211" s="4905">
        <f>SUM(K199:K210)</f>
        <v>0</v>
      </c>
      <c r="L211" s="4904"/>
      <c r="M211" s="4905">
        <f>SUM(M199:M210)</f>
        <v>0</v>
      </c>
    </row>
    <row r="212" spans="2:14" ht="7.5" customHeight="1">
      <c r="E212" s="4908"/>
      <c r="F212" s="4904"/>
      <c r="G212" s="4904"/>
      <c r="H212" s="4904"/>
      <c r="I212" s="4904"/>
      <c r="J212" s="4904"/>
      <c r="K212" s="4904"/>
      <c r="L212" s="4904"/>
      <c r="M212" s="4904"/>
    </row>
    <row r="213" spans="2:14">
      <c r="B213" s="4889" t="str">
        <f>B32</f>
        <v>11. 2020 taxes receivable (taxes in process</v>
      </c>
      <c r="E213" s="4908"/>
      <c r="F213" s="4904"/>
      <c r="G213" s="4904"/>
      <c r="H213" s="4904"/>
      <c r="I213" s="4904"/>
      <c r="J213" s="4904"/>
      <c r="K213" s="4904"/>
      <c r="L213" s="4904"/>
      <c r="M213" s="4904"/>
    </row>
    <row r="214" spans="2:14">
      <c r="B214" s="4889" t="str">
        <f>B33</f>
        <v xml:space="preserve">     of collection 6/30/2021) (Line 2 less Line 10)</v>
      </c>
      <c r="E214" s="4953"/>
      <c r="F214" s="4904"/>
      <c r="G214" s="4905">
        <f>IF(G211&lt;=0,0,G197-G211)</f>
        <v>39620</v>
      </c>
      <c r="H214" s="4904"/>
      <c r="I214" s="4905">
        <f>IF(I211&lt;=0,0,I197-I211)</f>
        <v>12441</v>
      </c>
      <c r="J214" s="4904"/>
      <c r="K214" s="4905">
        <f>IF(K211&lt;=0,0,(K197-K211))</f>
        <v>0</v>
      </c>
      <c r="L214" s="4904"/>
      <c r="M214" s="4905">
        <f>IF(M211&lt;=0,0,M197-M211)</f>
        <v>0</v>
      </c>
    </row>
    <row r="215" spans="2:14" ht="6.75" customHeight="1">
      <c r="E215" s="4908"/>
      <c r="F215" s="4904"/>
      <c r="G215" s="4908"/>
      <c r="H215" s="4904"/>
      <c r="I215" s="4908"/>
      <c r="J215" s="4904"/>
      <c r="K215" s="4908"/>
      <c r="L215" s="4904"/>
      <c r="M215" s="4908"/>
    </row>
    <row r="216" spans="2:14">
      <c r="B216" s="4889" t="s">
        <v>1425</v>
      </c>
      <c r="E216" s="4908"/>
      <c r="F216" s="4904"/>
      <c r="G216" s="4904"/>
      <c r="H216" s="4904"/>
      <c r="I216" s="4904"/>
      <c r="J216" s="4904"/>
      <c r="K216" s="4904"/>
      <c r="L216" s="4904"/>
      <c r="M216" s="4904"/>
    </row>
    <row r="217" spans="2:14">
      <c r="B217" s="4889" t="s">
        <v>1426</v>
      </c>
      <c r="E217" s="4908"/>
      <c r="F217" s="4904"/>
      <c r="G217" s="4904"/>
      <c r="H217" s="4904"/>
      <c r="I217" s="4904"/>
      <c r="J217" s="4904"/>
      <c r="K217" s="4904"/>
      <c r="L217" s="4904"/>
      <c r="M217" s="4904"/>
    </row>
    <row r="218" spans="2:14">
      <c r="B218" s="4889" t="str">
        <f>B37</f>
        <v xml:space="preserve">     (7-1-2021 to 12-31-2022) (Line 3 x 75%)</v>
      </c>
      <c r="E218" s="4953"/>
      <c r="F218" s="4904"/>
      <c r="G218" s="4905">
        <f>SUM(G199*0.75)</f>
        <v>0</v>
      </c>
      <c r="H218" s="4904"/>
      <c r="I218" s="4905">
        <f>SUM(I199*0.75)</f>
        <v>0</v>
      </c>
      <c r="J218" s="4904"/>
      <c r="K218" s="4905">
        <f>SUM(K199*0.75)</f>
        <v>0</v>
      </c>
      <c r="L218" s="4904"/>
      <c r="M218" s="4905">
        <f>SUM(M199*0.75)</f>
        <v>0</v>
      </c>
    </row>
    <row r="219" spans="2:14">
      <c r="B219" s="4949" t="str">
        <f>B39</f>
        <v>Tax Collection Ratio (Jan, Mar, June)</v>
      </c>
      <c r="C219" s="4910"/>
      <c r="D219" s="4910"/>
      <c r="E219" s="4951"/>
      <c r="F219" s="4938"/>
      <c r="G219" s="4951">
        <f>IF(G197&lt;&gt;0,(G201+G203+G205+G207+G209)/G197*100,0)</f>
        <v>96.003</v>
      </c>
      <c r="H219" s="4938" t="s">
        <v>886</v>
      </c>
      <c r="I219" s="4951">
        <f>IF(I197&lt;&gt;0,(I201+I203+I205+I207+I209)/I197*100,0)</f>
        <v>96.915999999999997</v>
      </c>
      <c r="J219" s="4938" t="s">
        <v>886</v>
      </c>
      <c r="K219" s="4951">
        <f>IF(K197&lt;&gt;0,(K201+K203+K205+K207+K209)/K197*100,0)</f>
        <v>0</v>
      </c>
      <c r="L219" s="4938" t="s">
        <v>886</v>
      </c>
      <c r="M219" s="4951">
        <f>IF(M197&lt;&gt;0,(M201+M203+M205+M207+M209)/M197*100,0)</f>
        <v>0</v>
      </c>
      <c r="N219" s="4917" t="s">
        <v>886</v>
      </c>
    </row>
    <row r="220" spans="2:14" ht="2.1" customHeight="1">
      <c r="B220" s="4918"/>
      <c r="C220" s="4917"/>
      <c r="D220" s="4917"/>
      <c r="E220" s="4917"/>
      <c r="F220" s="4917"/>
      <c r="G220" s="4917"/>
      <c r="H220" s="4917"/>
      <c r="I220" s="4917"/>
      <c r="J220" s="4917"/>
      <c r="K220" s="4917"/>
      <c r="L220" s="4917"/>
      <c r="M220" s="4917"/>
    </row>
    <row r="221" spans="2:14" ht="3.75" hidden="1" customHeight="1"/>
    <row r="222" spans="2:14" ht="2.1" hidden="1" customHeight="1"/>
    <row r="223" spans="2:14" ht="2.1" hidden="1" customHeight="1"/>
    <row r="224" spans="2:14" ht="3.75" hidden="1" customHeight="1"/>
    <row r="225" spans="2:14">
      <c r="B225" s="4957" t="str">
        <f>B97</f>
        <v>*Amounts are available from the County Treasurer.       **These Jan.-June, 2021 amounts are available from the County Treasurer.  (Should correspond to school</v>
      </c>
      <c r="C225" s="4957"/>
      <c r="D225" s="4957"/>
      <c r="E225" s="4957"/>
      <c r="F225" s="4957"/>
      <c r="G225" s="4957"/>
      <c r="H225" s="4957"/>
      <c r="I225" s="4957"/>
      <c r="J225" s="4957"/>
      <c r="K225" s="4957"/>
      <c r="L225" s="4957"/>
      <c r="M225" s="4957"/>
    </row>
    <row r="226" spans="2:14" ht="5.0999999999999996" hidden="1" customHeight="1"/>
    <row r="227" spans="2:14">
      <c r="B227" s="4889" t="str">
        <f>B98</f>
        <v xml:space="preserve"> records and does not include MVPT.)   Include Watercraft Tax if USD received payment direct from county.</v>
      </c>
    </row>
    <row r="228" spans="2:14" ht="9.75" customHeight="1"/>
    <row r="229" spans="2:14">
      <c r="B229" s="4892" t="str">
        <f>$B$1</f>
        <v>Kansas Department of Education</v>
      </c>
      <c r="M229" s="4890" t="s">
        <v>1433</v>
      </c>
    </row>
    <row r="230" spans="2:14">
      <c r="B230" s="4933" t="str">
        <f>$B$2</f>
        <v>Form 0-135-110</v>
      </c>
      <c r="C230" s="4892"/>
      <c r="D230" s="4892"/>
      <c r="F230" s="4893"/>
      <c r="G230" s="4893" t="s">
        <v>1408</v>
      </c>
      <c r="H230" s="4893"/>
      <c r="I230" s="4894" t="str">
        <f>I183</f>
        <v>237 - Smith Center</v>
      </c>
      <c r="J230" s="4895"/>
      <c r="K230" s="4934"/>
      <c r="L230" s="4893" t="s">
        <v>1409</v>
      </c>
      <c r="M230" s="4896">
        <f>M183</f>
        <v>237</v>
      </c>
    </row>
    <row r="231" spans="2:14">
      <c r="B231" s="4933">
        <f>$B$3</f>
        <v>44348</v>
      </c>
      <c r="K231" s="4893" t="s">
        <v>879</v>
      </c>
      <c r="M231" s="4934" t="str">
        <f>M184</f>
        <v>Smith</v>
      </c>
    </row>
    <row r="232" spans="2:14" ht="6.75" customHeight="1">
      <c r="E232" s="4900"/>
      <c r="F232" s="4900"/>
      <c r="G232" s="4900"/>
      <c r="H232" s="4900"/>
      <c r="I232" s="4900"/>
      <c r="J232" s="4900"/>
      <c r="K232" s="4901"/>
      <c r="L232" s="4901"/>
      <c r="M232" s="4900"/>
    </row>
    <row r="233" spans="2:14">
      <c r="B233" s="4900" t="str">
        <f>B5</f>
        <v>2021-2022</v>
      </c>
      <c r="C233" s="4900"/>
      <c r="D233" s="4900"/>
      <c r="E233" s="4900"/>
      <c r="F233" s="4900"/>
      <c r="G233" s="4900"/>
      <c r="H233" s="4900"/>
      <c r="I233" s="4900"/>
      <c r="J233" s="4900"/>
      <c r="K233" s="4900"/>
      <c r="L233" s="4900"/>
      <c r="M233" s="4900"/>
    </row>
    <row r="234" spans="2:14">
      <c r="B234" s="4900" t="s">
        <v>1411</v>
      </c>
      <c r="C234" s="4900"/>
      <c r="D234" s="4900"/>
      <c r="E234" s="4900"/>
      <c r="F234" s="4900"/>
      <c r="G234" s="4900"/>
      <c r="H234" s="4900"/>
      <c r="I234" s="4900"/>
      <c r="J234" s="4900"/>
      <c r="K234" s="4900"/>
      <c r="L234" s="4900"/>
      <c r="M234" s="4900"/>
    </row>
    <row r="235" spans="2:14">
      <c r="B235" s="4900" t="s">
        <v>1412</v>
      </c>
      <c r="C235" s="4900"/>
      <c r="D235" s="4900"/>
      <c r="E235" s="4900"/>
      <c r="F235" s="4900"/>
      <c r="G235" s="4900"/>
      <c r="H235" s="4900"/>
      <c r="I235" s="4900"/>
      <c r="J235" s="4900"/>
      <c r="K235" s="4900"/>
      <c r="L235" s="4900"/>
      <c r="M235" s="4900"/>
    </row>
    <row r="236" spans="2:14">
      <c r="B236" s="4902" t="s">
        <v>1413</v>
      </c>
      <c r="C236" s="4902"/>
      <c r="D236" s="4902"/>
      <c r="E236" s="4900"/>
      <c r="F236" s="4900"/>
      <c r="G236" s="4900"/>
      <c r="H236" s="4900"/>
      <c r="I236" s="4900"/>
      <c r="J236" s="4900"/>
      <c r="K236" s="4900"/>
      <c r="L236" s="4900"/>
      <c r="M236" s="4900"/>
    </row>
    <row r="237" spans="2:14" ht="6.75" customHeight="1">
      <c r="E237" s="4898"/>
      <c r="F237" s="4898"/>
      <c r="G237" s="4898"/>
      <c r="H237" s="4898"/>
      <c r="I237" s="4898"/>
      <c r="J237" s="4898"/>
      <c r="K237" s="4898"/>
      <c r="L237" s="4898"/>
      <c r="M237" s="4898"/>
    </row>
    <row r="238" spans="2:14">
      <c r="E238" s="4898" t="s">
        <v>1434</v>
      </c>
      <c r="F238" s="4898"/>
      <c r="G238" s="4898" t="s">
        <v>1455</v>
      </c>
      <c r="H238" s="4898"/>
      <c r="I238" s="4898" t="s">
        <v>1475</v>
      </c>
      <c r="J238" s="4898"/>
      <c r="K238" s="4898" t="s">
        <v>1476</v>
      </c>
      <c r="M238" s="661"/>
      <c r="N238" s="661"/>
    </row>
    <row r="239" spans="2:14">
      <c r="E239" s="4898" t="s">
        <v>1438</v>
      </c>
      <c r="F239" s="4898"/>
      <c r="G239" s="4898" t="s">
        <v>1439</v>
      </c>
      <c r="H239" s="4898"/>
      <c r="I239" s="4898" t="s">
        <v>1440</v>
      </c>
      <c r="J239" s="4898"/>
      <c r="K239" s="4898" t="str">
        <f>K60</f>
        <v>Interest #2</v>
      </c>
      <c r="M239" s="661"/>
      <c r="N239" s="661"/>
    </row>
    <row r="240" spans="2:14" ht="8.25" customHeight="1">
      <c r="M240" s="661"/>
      <c r="N240" s="661"/>
    </row>
    <row r="241" spans="2:14">
      <c r="B241" s="4889" t="str">
        <f>B14</f>
        <v>1.  County Treasurer Balance 6/30/2021 *</v>
      </c>
      <c r="E241" s="4954"/>
      <c r="F241" s="4942"/>
      <c r="G241" s="4954"/>
      <c r="H241" s="4942"/>
      <c r="I241" s="4953"/>
      <c r="J241" s="4942"/>
      <c r="K241" s="4954"/>
      <c r="M241" s="661"/>
      <c r="N241" s="661"/>
    </row>
    <row r="242" spans="2:14" ht="6" customHeight="1">
      <c r="B242" s="4906"/>
      <c r="C242" s="4906"/>
      <c r="D242" s="4906"/>
      <c r="E242" s="4955"/>
      <c r="F242" s="4955"/>
      <c r="G242" s="4955"/>
      <c r="H242" s="4955"/>
      <c r="I242" s="4955"/>
      <c r="J242" s="4955"/>
      <c r="K242" s="4955"/>
      <c r="M242" s="661"/>
      <c r="N242" s="661"/>
    </row>
    <row r="243" spans="2:14">
      <c r="B243" s="4889" t="str">
        <f>B16</f>
        <v>2.  2020 Actual Taxes Levied*</v>
      </c>
      <c r="E243" s="4954"/>
      <c r="F243" s="4942"/>
      <c r="G243" s="4954"/>
      <c r="H243" s="4942"/>
      <c r="I243" s="4953"/>
      <c r="J243" s="4942"/>
      <c r="K243" s="4954"/>
      <c r="M243" s="661"/>
      <c r="N243" s="661"/>
    </row>
    <row r="244" spans="2:14" ht="7.5" customHeight="1">
      <c r="E244" s="4942"/>
      <c r="F244" s="4942"/>
      <c r="G244" s="4942"/>
      <c r="H244" s="4942"/>
      <c r="I244" s="4942"/>
      <c r="J244" s="4942"/>
      <c r="K244" s="4942"/>
      <c r="M244" s="661"/>
      <c r="N244" s="661"/>
    </row>
    <row r="245" spans="2:14">
      <c r="B245" s="4889" t="s">
        <v>1441</v>
      </c>
      <c r="C245" s="4929">
        <f>C199</f>
        <v>0</v>
      </c>
      <c r="D245" s="4935"/>
      <c r="E245" s="4905">
        <f>E243*$C$245/100</f>
        <v>0</v>
      </c>
      <c r="F245" s="4908"/>
      <c r="G245" s="4905">
        <f>G243*$C$245/100</f>
        <v>0</v>
      </c>
      <c r="H245" s="4908"/>
      <c r="I245" s="4953"/>
      <c r="J245" s="4908"/>
      <c r="K245" s="4905">
        <f>K243*$C$245/100</f>
        <v>0</v>
      </c>
      <c r="L245" s="4908"/>
      <c r="M245" s="661"/>
      <c r="N245" s="661"/>
    </row>
    <row r="246" spans="2:14" ht="7.5" customHeight="1">
      <c r="E246" s="4942"/>
      <c r="F246" s="4942"/>
      <c r="G246" s="4942"/>
      <c r="H246" s="4942"/>
      <c r="I246" s="4942"/>
      <c r="J246" s="4942"/>
      <c r="K246" s="4942"/>
      <c r="M246" s="661"/>
      <c r="N246" s="661"/>
    </row>
    <row r="247" spans="2:14">
      <c r="B247" s="4889" t="str">
        <f>B20</f>
        <v>4.  Less:  Jan. 20, 2021 Taxes received**</v>
      </c>
      <c r="E247" s="4954"/>
      <c r="F247" s="4942"/>
      <c r="G247" s="4954"/>
      <c r="H247" s="4942"/>
      <c r="I247" s="4953"/>
      <c r="J247" s="4942"/>
      <c r="K247" s="4954"/>
      <c r="M247" s="661"/>
      <c r="N247" s="661"/>
    </row>
    <row r="248" spans="2:14" ht="7.5" customHeight="1">
      <c r="E248" s="4942"/>
      <c r="F248" s="4942"/>
      <c r="G248" s="4942"/>
      <c r="H248" s="4942"/>
      <c r="I248" s="4942"/>
      <c r="J248" s="4942"/>
      <c r="K248" s="4942"/>
      <c r="M248" s="661"/>
      <c r="N248" s="661"/>
    </row>
    <row r="249" spans="2:14">
      <c r="B249" s="4889" t="str">
        <f>B22</f>
        <v>5.  Less:  Mar. 20, 2021  Taxes received**</v>
      </c>
      <c r="E249" s="4954"/>
      <c r="F249" s="4942"/>
      <c r="G249" s="4954"/>
      <c r="H249" s="4942"/>
      <c r="I249" s="4953"/>
      <c r="J249" s="4942"/>
      <c r="K249" s="4954"/>
      <c r="M249" s="661"/>
      <c r="N249" s="661"/>
    </row>
    <row r="250" spans="2:14" ht="6.75" customHeight="1">
      <c r="E250" s="4943"/>
      <c r="F250" s="4942"/>
      <c r="G250" s="4943"/>
      <c r="H250" s="4942"/>
      <c r="I250" s="4943"/>
      <c r="J250" s="4942"/>
      <c r="K250" s="4943"/>
      <c r="M250" s="661"/>
      <c r="N250" s="661"/>
    </row>
    <row r="251" spans="2:14">
      <c r="B251" s="4889" t="str">
        <f>B24</f>
        <v>6.  Less:  June 5,  2021 Taxes received**</v>
      </c>
      <c r="E251" s="4954"/>
      <c r="F251" s="4942"/>
      <c r="G251" s="4954"/>
      <c r="H251" s="4942"/>
      <c r="I251" s="4953"/>
      <c r="J251" s="4942"/>
      <c r="K251" s="4954"/>
      <c r="M251" s="661"/>
      <c r="N251" s="661"/>
    </row>
    <row r="252" spans="2:14" ht="8.25" customHeight="1">
      <c r="E252" s="4943"/>
      <c r="F252" s="4942"/>
      <c r="G252" s="4943"/>
      <c r="H252" s="4942"/>
      <c r="I252" s="4943"/>
      <c r="J252" s="4942"/>
      <c r="K252" s="4943"/>
      <c r="M252" s="661"/>
      <c r="N252" s="661"/>
    </row>
    <row r="253" spans="2:14">
      <c r="B253" s="4889" t="s">
        <v>1421</v>
      </c>
      <c r="E253" s="4954"/>
      <c r="F253" s="4942"/>
      <c r="G253" s="4954"/>
      <c r="H253" s="4942"/>
      <c r="I253" s="4953"/>
      <c r="J253" s="4942"/>
      <c r="K253" s="4954"/>
      <c r="M253" s="661"/>
      <c r="N253" s="661"/>
    </row>
    <row r="254" spans="2:14" ht="6.75" customHeight="1">
      <c r="E254" s="4942"/>
      <c r="F254" s="4942"/>
      <c r="G254" s="4942"/>
      <c r="H254" s="4942"/>
      <c r="I254" s="4942"/>
      <c r="J254" s="4942"/>
      <c r="K254" s="4942"/>
      <c r="M254" s="661"/>
      <c r="N254" s="661"/>
    </row>
    <row r="255" spans="2:14">
      <c r="B255" s="4889" t="s">
        <v>1422</v>
      </c>
      <c r="E255" s="4954"/>
      <c r="F255" s="4942"/>
      <c r="G255" s="4954"/>
      <c r="H255" s="4942"/>
      <c r="I255" s="4953"/>
      <c r="J255" s="4942"/>
      <c r="K255" s="4954"/>
      <c r="M255" s="661"/>
      <c r="N255" s="661"/>
    </row>
    <row r="256" spans="2:14">
      <c r="B256" s="4889" t="s">
        <v>1423</v>
      </c>
      <c r="E256" s="4956"/>
      <c r="F256" s="4942"/>
      <c r="G256" s="4956"/>
      <c r="H256" s="4942"/>
      <c r="I256" s="4953"/>
      <c r="J256" s="4942"/>
      <c r="K256" s="4956"/>
      <c r="M256" s="661"/>
      <c r="N256" s="661"/>
    </row>
    <row r="257" spans="2:14">
      <c r="B257" s="4889" t="s">
        <v>1442</v>
      </c>
      <c r="E257" s="4905">
        <f>SUM(E245:E256)</f>
        <v>0</v>
      </c>
      <c r="F257" s="4908"/>
      <c r="G257" s="4905">
        <f>SUM(G245:G256)</f>
        <v>0</v>
      </c>
      <c r="H257" s="4908"/>
      <c r="I257" s="4953"/>
      <c r="J257" s="4908"/>
      <c r="K257" s="4905">
        <f>SUM(K245:K256)</f>
        <v>0</v>
      </c>
      <c r="L257" s="4935"/>
      <c r="M257" s="661"/>
      <c r="N257" s="661"/>
    </row>
    <row r="258" spans="2:14" ht="6" customHeight="1">
      <c r="E258" s="4904"/>
      <c r="F258" s="4904"/>
      <c r="G258" s="4904"/>
      <c r="H258" s="4904"/>
      <c r="I258" s="4904"/>
      <c r="J258" s="4904"/>
      <c r="K258" s="4904"/>
      <c r="L258" s="4935"/>
      <c r="M258" s="661"/>
      <c r="N258" s="661"/>
    </row>
    <row r="259" spans="2:14">
      <c r="B259" s="4889" t="str">
        <f>B32</f>
        <v>11. 2020 taxes receivable (taxes in process</v>
      </c>
      <c r="E259" s="4904"/>
      <c r="F259" s="4904"/>
      <c r="G259" s="4904"/>
      <c r="H259" s="4904"/>
      <c r="I259" s="4904"/>
      <c r="J259" s="4904"/>
      <c r="K259" s="4904"/>
      <c r="L259" s="4935"/>
      <c r="M259" s="661"/>
      <c r="N259" s="661"/>
    </row>
    <row r="260" spans="2:14">
      <c r="B260" s="4889" t="str">
        <f>B33</f>
        <v xml:space="preserve">     of collection 6/30/2021) (Line 2 less Line 10)</v>
      </c>
      <c r="E260" s="4905">
        <f>IF(E257&lt;=0,0,E243-E257)</f>
        <v>0</v>
      </c>
      <c r="F260" s="4908"/>
      <c r="G260" s="4905">
        <f>IF(G257&lt;=0,0,G243-G257)</f>
        <v>0</v>
      </c>
      <c r="H260" s="4908"/>
      <c r="I260" s="4953"/>
      <c r="J260" s="4908"/>
      <c r="K260" s="4905">
        <f>IF(K257&lt;=0,0,K243-K257)</f>
        <v>0</v>
      </c>
      <c r="L260" s="4908"/>
      <c r="M260" s="661"/>
      <c r="N260" s="661"/>
    </row>
    <row r="261" spans="2:14" ht="7.5" customHeight="1">
      <c r="E261" s="4904"/>
      <c r="F261" s="4904"/>
      <c r="G261" s="4904"/>
      <c r="H261" s="4904"/>
      <c r="I261" s="4904"/>
      <c r="J261" s="4904"/>
      <c r="K261" s="4904"/>
      <c r="L261" s="4935"/>
      <c r="M261" s="661"/>
      <c r="N261" s="661"/>
    </row>
    <row r="262" spans="2:14">
      <c r="B262" s="4889" t="s">
        <v>1443</v>
      </c>
      <c r="E262" s="4904"/>
      <c r="F262" s="4904"/>
      <c r="G262" s="4904"/>
      <c r="H262" s="4904"/>
      <c r="I262" s="4904"/>
      <c r="J262" s="4904"/>
      <c r="K262" s="4904"/>
      <c r="L262" s="4935"/>
      <c r="M262" s="661"/>
      <c r="N262" s="661"/>
    </row>
    <row r="263" spans="2:14">
      <c r="B263" s="4889" t="s">
        <v>1426</v>
      </c>
      <c r="E263" s="4904"/>
      <c r="F263" s="4904"/>
      <c r="G263" s="4904"/>
      <c r="H263" s="4904"/>
      <c r="I263" s="4904"/>
      <c r="J263" s="4904"/>
      <c r="K263" s="4904"/>
      <c r="L263" s="4935"/>
      <c r="M263" s="661"/>
      <c r="N263" s="661"/>
    </row>
    <row r="264" spans="2:14">
      <c r="B264" s="4889" t="str">
        <f>B37</f>
        <v xml:space="preserve">     (7-1-2021 to 12-31-2022) (Line 3 x 75%)</v>
      </c>
      <c r="E264" s="4905">
        <f>SUM(E245*0.75)</f>
        <v>0</v>
      </c>
      <c r="F264" s="4908"/>
      <c r="G264" s="4905">
        <f>SUM(G245*0.75)</f>
        <v>0</v>
      </c>
      <c r="H264" s="4908"/>
      <c r="I264" s="4953"/>
      <c r="J264" s="4908"/>
      <c r="K264" s="4905">
        <f>SUM(K245*0.75)</f>
        <v>0</v>
      </c>
      <c r="L264" s="4935"/>
      <c r="M264" s="661"/>
      <c r="N264" s="661"/>
    </row>
    <row r="265" spans="2:14" ht="6" customHeight="1">
      <c r="E265" s="4935"/>
      <c r="F265" s="4935"/>
      <c r="G265" s="4935"/>
      <c r="H265" s="4935"/>
      <c r="I265" s="4935"/>
      <c r="J265" s="4935"/>
      <c r="K265" s="4935"/>
      <c r="L265" s="4935"/>
      <c r="M265" s="661"/>
      <c r="N265" s="661"/>
    </row>
    <row r="266" spans="2:14">
      <c r="B266" s="4949" t="str">
        <f>B39</f>
        <v>Tax Collection Ratio (Jan, Mar, June)</v>
      </c>
      <c r="C266" s="4910"/>
      <c r="D266" s="4910"/>
      <c r="E266" s="4951">
        <f>IF(E243&lt;&gt;0,(E247+E249+E251+E253+E255)/E243*100,0)</f>
        <v>0</v>
      </c>
      <c r="F266" s="4938" t="s">
        <v>886</v>
      </c>
      <c r="G266" s="4951">
        <f>IF(G243&lt;&gt;0,(G247+G249+G251+G253+G255)/G243*100,0)</f>
        <v>0</v>
      </c>
      <c r="H266" s="4938" t="s">
        <v>886</v>
      </c>
      <c r="I266" s="4908"/>
      <c r="J266" s="4938"/>
      <c r="K266" s="4951">
        <f>IF(K243&lt;&gt;0,(K247+K249+K251+K253+K255)/K243*100,0)</f>
        <v>0</v>
      </c>
      <c r="L266" s="4938" t="s">
        <v>886</v>
      </c>
      <c r="M266" s="4958"/>
      <c r="N266" s="661"/>
    </row>
    <row r="267" spans="2:14" ht="12" customHeight="1">
      <c r="L267" s="4910"/>
      <c r="M267" s="4910"/>
    </row>
    <row r="268" spans="2:14" ht="0.75" hidden="1" customHeight="1"/>
    <row r="269" spans="2:14" ht="5.0999999999999996" hidden="1" customHeight="1"/>
    <row r="270" spans="2:14">
      <c r="B270" s="4957" t="str">
        <f>B97</f>
        <v>*Amounts are available from the County Treasurer.       **These Jan.-June, 2021 amounts are available from the County Treasurer.  (Should correspond to school</v>
      </c>
      <c r="C270" s="4957"/>
      <c r="D270" s="4957"/>
      <c r="E270" s="4957"/>
      <c r="F270" s="4957"/>
      <c r="G270" s="4957"/>
      <c r="H270" s="4957"/>
      <c r="I270" s="4957"/>
      <c r="J270" s="4957"/>
      <c r="K270" s="4957"/>
      <c r="L270" s="4910"/>
      <c r="M270" s="4910"/>
    </row>
    <row r="271" spans="2:14">
      <c r="B271" s="4889" t="str">
        <f>B98</f>
        <v xml:space="preserve"> records and does not include MVPT.)   Include Watercraft Tax if USD received payment direct from county.</v>
      </c>
    </row>
    <row r="272" spans="2:14">
      <c r="B272" s="4892" t="str">
        <f>$B$1</f>
        <v>Kansas Department of Education</v>
      </c>
      <c r="M272" s="4890" t="s">
        <v>1453</v>
      </c>
    </row>
    <row r="273" spans="2:13">
      <c r="B273" s="4933" t="str">
        <f>$B$2</f>
        <v>Form 0-135-110</v>
      </c>
      <c r="C273" s="4892"/>
      <c r="D273" s="4892"/>
      <c r="G273" s="4893" t="s">
        <v>1408</v>
      </c>
      <c r="H273" s="4893"/>
      <c r="I273" s="4894" t="str">
        <f>I183</f>
        <v>237 - Smith Center</v>
      </c>
      <c r="J273" s="4895"/>
      <c r="K273" s="4895"/>
      <c r="L273" s="4893" t="s">
        <v>1409</v>
      </c>
      <c r="M273" s="4896">
        <f>M183</f>
        <v>237</v>
      </c>
    </row>
    <row r="274" spans="2:13">
      <c r="B274" s="4933">
        <f>$B$3</f>
        <v>44348</v>
      </c>
      <c r="K274" s="4893" t="s">
        <v>879</v>
      </c>
      <c r="M274" s="4934" t="str">
        <f>M184</f>
        <v>Smith</v>
      </c>
    </row>
    <row r="275" spans="2:13" ht="7.5" customHeight="1">
      <c r="E275" s="4900"/>
      <c r="F275" s="4900"/>
      <c r="G275" s="4900"/>
      <c r="H275" s="4900"/>
      <c r="I275" s="4900"/>
      <c r="J275" s="4900"/>
      <c r="K275" s="4901"/>
      <c r="L275" s="4901"/>
      <c r="M275" s="4900"/>
    </row>
    <row r="276" spans="2:13">
      <c r="B276" s="4900" t="str">
        <f>B5</f>
        <v>2021-2022</v>
      </c>
      <c r="C276" s="4900"/>
      <c r="D276" s="4900"/>
      <c r="E276" s="4900"/>
      <c r="F276" s="4900"/>
      <c r="G276" s="4900"/>
      <c r="H276" s="4900"/>
      <c r="I276" s="4900"/>
      <c r="J276" s="4900"/>
      <c r="K276" s="4900"/>
      <c r="L276" s="4900"/>
      <c r="M276" s="4900"/>
    </row>
    <row r="277" spans="2:13">
      <c r="B277" s="4900" t="s">
        <v>1411</v>
      </c>
      <c r="C277" s="4900"/>
      <c r="D277" s="4900"/>
      <c r="E277" s="4900"/>
      <c r="F277" s="4900"/>
      <c r="G277" s="4900"/>
      <c r="H277" s="4900"/>
      <c r="I277" s="4900"/>
      <c r="J277" s="4900"/>
      <c r="K277" s="4900"/>
      <c r="L277" s="4900"/>
      <c r="M277" s="4900"/>
    </row>
    <row r="278" spans="2:13">
      <c r="B278" s="4900" t="s">
        <v>1412</v>
      </c>
      <c r="C278" s="4900"/>
      <c r="D278" s="4900"/>
      <c r="E278" s="4900"/>
      <c r="F278" s="4900"/>
      <c r="G278" s="4900"/>
      <c r="H278" s="4900"/>
      <c r="I278" s="4900"/>
      <c r="J278" s="4900"/>
      <c r="K278" s="4900"/>
      <c r="L278" s="4900"/>
      <c r="M278" s="4900"/>
    </row>
    <row r="279" spans="2:13">
      <c r="B279" s="4902" t="s">
        <v>1413</v>
      </c>
      <c r="C279" s="4902"/>
      <c r="D279" s="4902"/>
      <c r="E279" s="4900"/>
      <c r="F279" s="4900"/>
      <c r="G279" s="4900"/>
      <c r="H279" s="4900"/>
      <c r="I279" s="4900"/>
      <c r="J279" s="4900"/>
      <c r="K279" s="4900"/>
      <c r="L279" s="4900"/>
      <c r="M279" s="4900"/>
    </row>
    <row r="280" spans="2:13" ht="9" customHeight="1">
      <c r="E280" s="4898"/>
      <c r="F280" s="4898"/>
      <c r="G280" s="4898"/>
      <c r="H280" s="4898"/>
      <c r="I280" s="4898"/>
      <c r="J280" s="4898"/>
      <c r="K280" s="4898"/>
      <c r="L280" s="4898"/>
      <c r="M280" s="4898"/>
    </row>
    <row r="281" spans="2:13">
      <c r="E281" s="4898" t="s">
        <v>1454</v>
      </c>
      <c r="F281" s="4898"/>
      <c r="G281" s="4898" t="s">
        <v>1455</v>
      </c>
      <c r="H281" s="4898"/>
      <c r="I281" s="4898" t="s">
        <v>1456</v>
      </c>
      <c r="J281" s="4898"/>
      <c r="K281" s="4898" t="s">
        <v>1457</v>
      </c>
      <c r="L281" s="4898"/>
      <c r="M281" s="4898" t="s">
        <v>1458</v>
      </c>
    </row>
    <row r="282" spans="2:13">
      <c r="E282" s="4898" t="s">
        <v>1459</v>
      </c>
      <c r="F282" s="4898"/>
      <c r="G282" s="4898" t="s">
        <v>1460</v>
      </c>
      <c r="H282" s="4898"/>
      <c r="I282" s="4898" t="s">
        <v>1461</v>
      </c>
      <c r="J282" s="4898"/>
      <c r="K282" s="4898" t="s">
        <v>1462</v>
      </c>
      <c r="L282" s="4898"/>
      <c r="M282" s="4898" t="s">
        <v>1463</v>
      </c>
    </row>
    <row r="283" spans="2:13" ht="7.5" customHeight="1"/>
    <row r="284" spans="2:13">
      <c r="B284" s="4889" t="str">
        <f>B14</f>
        <v>1.  County Treasurer Balance 6/30/2021 *</v>
      </c>
      <c r="E284" s="4954"/>
      <c r="F284" s="4942"/>
      <c r="G284" s="4954"/>
      <c r="H284" s="4942"/>
      <c r="I284" s="4954"/>
      <c r="J284" s="4942"/>
      <c r="K284" s="4954"/>
      <c r="M284" s="4954"/>
    </row>
    <row r="285" spans="2:13" ht="6.75" customHeight="1">
      <c r="B285" s="4906"/>
      <c r="C285" s="4906"/>
      <c r="D285" s="4906"/>
      <c r="E285" s="4955"/>
      <c r="F285" s="4955"/>
      <c r="G285" s="4955"/>
      <c r="H285" s="4955"/>
      <c r="I285" s="4955"/>
      <c r="J285" s="4955"/>
      <c r="K285" s="4955"/>
      <c r="M285" s="4955"/>
    </row>
    <row r="286" spans="2:13">
      <c r="B286" s="4889" t="str">
        <f>B16</f>
        <v>2.  2020 Actual Taxes Levied*</v>
      </c>
      <c r="E286" s="4954"/>
      <c r="F286" s="4942"/>
      <c r="G286" s="4954"/>
      <c r="H286" s="4942"/>
      <c r="I286" s="4954"/>
      <c r="J286" s="4942"/>
      <c r="K286" s="4954"/>
      <c r="M286" s="4954"/>
    </row>
    <row r="287" spans="2:13" ht="7.5" customHeight="1">
      <c r="E287" s="4942"/>
      <c r="F287" s="4942"/>
      <c r="G287" s="4942"/>
      <c r="H287" s="4942"/>
      <c r="I287" s="4942"/>
      <c r="J287" s="4942"/>
      <c r="K287" s="4942"/>
      <c r="M287" s="4942"/>
    </row>
    <row r="288" spans="2:13">
      <c r="B288" s="4889" t="s">
        <v>1441</v>
      </c>
      <c r="C288" s="4929">
        <f>C199</f>
        <v>0</v>
      </c>
      <c r="D288" s="4935"/>
      <c r="E288" s="4905">
        <f>E286*$C$288/100</f>
        <v>0</v>
      </c>
      <c r="F288" s="4905"/>
      <c r="G288" s="4905">
        <f>G286*$C$288/100</f>
        <v>0</v>
      </c>
      <c r="H288" s="4905"/>
      <c r="I288" s="4905">
        <f>I286*$C$288/100</f>
        <v>0</v>
      </c>
      <c r="J288" s="4905"/>
      <c r="K288" s="4905">
        <f>K286*$C$288/100</f>
        <v>0</v>
      </c>
      <c r="L288" s="4905"/>
      <c r="M288" s="4905">
        <f>M286*$C$288/100</f>
        <v>0</v>
      </c>
    </row>
    <row r="289" spans="2:13" ht="7.5" customHeight="1">
      <c r="E289" s="4942"/>
      <c r="F289" s="4942"/>
      <c r="G289" s="4942"/>
      <c r="H289" s="4942"/>
      <c r="I289" s="4942"/>
      <c r="J289" s="4942"/>
      <c r="K289" s="4942"/>
      <c r="M289" s="4942"/>
    </row>
    <row r="290" spans="2:13">
      <c r="B290" s="4889" t="str">
        <f>B20</f>
        <v>4.  Less:  Jan. 20, 2021 Taxes received**</v>
      </c>
      <c r="E290" s="4954"/>
      <c r="F290" s="4942"/>
      <c r="G290" s="4954"/>
      <c r="H290" s="4942"/>
      <c r="I290" s="4954"/>
      <c r="J290" s="4942"/>
      <c r="K290" s="4954"/>
      <c r="M290" s="4954"/>
    </row>
    <row r="291" spans="2:13" ht="7.5" customHeight="1">
      <c r="E291" s="4942"/>
      <c r="F291" s="4942"/>
      <c r="G291" s="4942"/>
      <c r="H291" s="4942"/>
      <c r="I291" s="4942"/>
      <c r="J291" s="4942"/>
      <c r="K291" s="4942"/>
      <c r="M291" s="4942"/>
    </row>
    <row r="292" spans="2:13">
      <c r="B292" s="4889" t="str">
        <f>B22</f>
        <v>5.  Less:  Mar. 20, 2021  Taxes received**</v>
      </c>
      <c r="E292" s="4954"/>
      <c r="F292" s="4942"/>
      <c r="G292" s="4954"/>
      <c r="H292" s="4942"/>
      <c r="I292" s="4954"/>
      <c r="J292" s="4942"/>
      <c r="K292" s="4954"/>
      <c r="M292" s="4954"/>
    </row>
    <row r="293" spans="2:13" ht="7.5" customHeight="1">
      <c r="E293" s="4943"/>
      <c r="F293" s="4942"/>
      <c r="G293" s="4943"/>
      <c r="H293" s="4942"/>
      <c r="I293" s="4943"/>
      <c r="J293" s="4942"/>
      <c r="K293" s="4943"/>
      <c r="M293" s="4943"/>
    </row>
    <row r="294" spans="2:13">
      <c r="B294" s="4889" t="str">
        <f>B24</f>
        <v>6.  Less:  June 5,  2021 Taxes received**</v>
      </c>
      <c r="E294" s="4954"/>
      <c r="F294" s="4942"/>
      <c r="G294" s="4954"/>
      <c r="H294" s="4942"/>
      <c r="I294" s="4954"/>
      <c r="J294" s="4942"/>
      <c r="K294" s="4954"/>
      <c r="M294" s="4954"/>
    </row>
    <row r="295" spans="2:13" ht="7.5" customHeight="1">
      <c r="E295" s="4943"/>
      <c r="F295" s="4942"/>
      <c r="G295" s="4943"/>
      <c r="H295" s="4942"/>
      <c r="I295" s="4943"/>
      <c r="J295" s="4942"/>
      <c r="K295" s="4943"/>
      <c r="M295" s="4943"/>
    </row>
    <row r="296" spans="2:13">
      <c r="B296" s="4889" t="s">
        <v>1421</v>
      </c>
      <c r="E296" s="4954"/>
      <c r="F296" s="4942"/>
      <c r="G296" s="4954"/>
      <c r="H296" s="4942"/>
      <c r="I296" s="4954"/>
      <c r="J296" s="4942"/>
      <c r="K296" s="4954"/>
      <c r="M296" s="4954"/>
    </row>
    <row r="297" spans="2:13" ht="7.5" customHeight="1">
      <c r="E297" s="4942"/>
      <c r="F297" s="4942"/>
      <c r="G297" s="4942"/>
      <c r="H297" s="4942"/>
      <c r="I297" s="4942"/>
      <c r="J297" s="4942"/>
      <c r="K297" s="4942"/>
      <c r="M297" s="4942"/>
    </row>
    <row r="298" spans="2:13">
      <c r="B298" s="4889" t="s">
        <v>1422</v>
      </c>
      <c r="E298" s="4954"/>
      <c r="F298" s="4942"/>
      <c r="G298" s="4954"/>
      <c r="H298" s="4942"/>
      <c r="I298" s="4954"/>
      <c r="J298" s="4942"/>
      <c r="K298" s="4954"/>
      <c r="M298" s="4954"/>
    </row>
    <row r="299" spans="2:13">
      <c r="B299" s="4889" t="s">
        <v>1423</v>
      </c>
      <c r="E299" s="4956"/>
      <c r="F299" s="4942"/>
      <c r="G299" s="4956"/>
      <c r="H299" s="4942"/>
      <c r="I299" s="4956"/>
      <c r="J299" s="4942"/>
      <c r="K299" s="4956"/>
      <c r="M299" s="4956"/>
    </row>
    <row r="300" spans="2:13">
      <c r="B300" s="4889" t="s">
        <v>1442</v>
      </c>
      <c r="E300" s="4905">
        <f>SUM(E288:E299)</f>
        <v>0</v>
      </c>
      <c r="F300" s="4908"/>
      <c r="G300" s="4905">
        <f>SUM(G288:G299)</f>
        <v>0</v>
      </c>
      <c r="H300" s="4908"/>
      <c r="I300" s="4905">
        <f>SUM(I288:I299)</f>
        <v>0</v>
      </c>
      <c r="J300" s="4908"/>
      <c r="K300" s="4905">
        <f>SUM(K288:K299)</f>
        <v>0</v>
      </c>
      <c r="L300" s="4935"/>
      <c r="M300" s="4905">
        <f>SUM(M288:M299)</f>
        <v>0</v>
      </c>
    </row>
    <row r="301" spans="2:13" ht="7.5" customHeight="1">
      <c r="E301" s="4904"/>
      <c r="F301" s="4904"/>
      <c r="G301" s="4904"/>
      <c r="H301" s="4904"/>
      <c r="I301" s="4904"/>
      <c r="J301" s="4904"/>
      <c r="K301" s="4904"/>
      <c r="L301" s="4935"/>
      <c r="M301" s="4904"/>
    </row>
    <row r="302" spans="2:13">
      <c r="B302" s="4889" t="str">
        <f>B32</f>
        <v>11. 2020 taxes receivable (taxes in process</v>
      </c>
      <c r="E302" s="4904"/>
      <c r="F302" s="4904"/>
      <c r="G302" s="4904"/>
      <c r="H302" s="4904"/>
      <c r="I302" s="4904"/>
      <c r="J302" s="4904"/>
      <c r="K302" s="4904"/>
      <c r="L302" s="4935"/>
      <c r="M302" s="4904"/>
    </row>
    <row r="303" spans="2:13">
      <c r="B303" s="4889" t="str">
        <f>B33</f>
        <v xml:space="preserve">     of collection 6/30/2021) (Line 2 less Line 10)</v>
      </c>
      <c r="E303" s="4905">
        <f>IF(E300&lt;=0,0,E286-E300)</f>
        <v>0</v>
      </c>
      <c r="F303" s="4908"/>
      <c r="G303" s="4905">
        <f>IF(G300&lt;=0,0,G286-G300)</f>
        <v>0</v>
      </c>
      <c r="H303" s="4908"/>
      <c r="I303" s="4905">
        <f>IF(I300&lt;=0,0,I286-I300)</f>
        <v>0</v>
      </c>
      <c r="J303" s="4908"/>
      <c r="K303" s="4905">
        <f>IF(K300&lt;=0,0,K286-K300)</f>
        <v>0</v>
      </c>
      <c r="L303" s="4908"/>
      <c r="M303" s="4905">
        <f>IF(M300&lt;=0,0,M286-M300)</f>
        <v>0</v>
      </c>
    </row>
    <row r="304" spans="2:13" ht="7.5" customHeight="1">
      <c r="E304" s="4904"/>
      <c r="F304" s="4904"/>
      <c r="G304" s="4904"/>
      <c r="H304" s="4904"/>
      <c r="I304" s="4904"/>
      <c r="J304" s="4904"/>
      <c r="K304" s="4904"/>
      <c r="L304" s="4935"/>
      <c r="M304" s="4904"/>
    </row>
    <row r="305" spans="2:14">
      <c r="B305" s="4889" t="s">
        <v>1443</v>
      </c>
      <c r="E305" s="4904"/>
      <c r="F305" s="4904"/>
      <c r="G305" s="4904"/>
      <c r="H305" s="4904"/>
      <c r="I305" s="4904"/>
      <c r="J305" s="4904"/>
      <c r="K305" s="4904"/>
      <c r="L305" s="4935"/>
      <c r="M305" s="4904"/>
    </row>
    <row r="306" spans="2:14">
      <c r="B306" s="4889" t="s">
        <v>1426</v>
      </c>
      <c r="E306" s="4904"/>
      <c r="F306" s="4904"/>
      <c r="G306" s="4904"/>
      <c r="H306" s="4904"/>
      <c r="I306" s="4904"/>
      <c r="J306" s="4904"/>
      <c r="K306" s="4904"/>
      <c r="L306" s="4935"/>
      <c r="M306" s="4904"/>
    </row>
    <row r="307" spans="2:14">
      <c r="B307" s="4889" t="str">
        <f>B37</f>
        <v xml:space="preserve">     (7-1-2021 to 12-31-2022) (Line 3 x 75%)</v>
      </c>
      <c r="E307" s="4905">
        <f>SUM(E288*0.75)</f>
        <v>0</v>
      </c>
      <c r="F307" s="4908"/>
      <c r="G307" s="4905">
        <f>SUM(G288*0.75)</f>
        <v>0</v>
      </c>
      <c r="H307" s="4908"/>
      <c r="I307" s="4905">
        <f>SUM(I288*0.75)</f>
        <v>0</v>
      </c>
      <c r="J307" s="4908"/>
      <c r="K307" s="4905">
        <f>SUM(K288*0.75)</f>
        <v>0</v>
      </c>
      <c r="L307" s="4935"/>
      <c r="M307" s="4905">
        <f>SUM(M288*0.75)</f>
        <v>0</v>
      </c>
    </row>
    <row r="308" spans="2:14" ht="6.75" customHeight="1">
      <c r="E308" s="4935"/>
      <c r="F308" s="4935"/>
      <c r="G308" s="4935"/>
      <c r="H308" s="4935"/>
      <c r="I308" s="4935"/>
      <c r="J308" s="4935"/>
      <c r="K308" s="4935"/>
      <c r="L308" s="4935"/>
      <c r="M308" s="4935"/>
    </row>
    <row r="309" spans="2:14">
      <c r="B309" s="4949" t="str">
        <f>B39</f>
        <v>Tax Collection Ratio (Jan, Mar, June)</v>
      </c>
      <c r="C309" s="4910"/>
      <c r="D309" s="4910"/>
      <c r="E309" s="4951">
        <f>IF(E286&lt;&gt;0,(E290+E292+E294+E296+E298)/E286*100,0)</f>
        <v>0</v>
      </c>
      <c r="F309" s="4938" t="s">
        <v>886</v>
      </c>
      <c r="G309" s="4951">
        <f>IF(G286&lt;&gt;0,(G290+G292+G294+G296+G298)/G286*100,0)</f>
        <v>0</v>
      </c>
      <c r="H309" s="4938" t="s">
        <v>886</v>
      </c>
      <c r="I309" s="4951">
        <f>IF(I286&lt;&gt;0,(I290+I292+I294+I296+I298)/I286*100,0)</f>
        <v>0</v>
      </c>
      <c r="J309" s="4938" t="s">
        <v>886</v>
      </c>
      <c r="K309" s="4951">
        <f>IF(K286&lt;&gt;0,(K290+K292+K294+K296+K298)/K286*100,0)</f>
        <v>0</v>
      </c>
      <c r="L309" s="4938" t="s">
        <v>886</v>
      </c>
      <c r="M309" s="4951">
        <f>IF(M286&lt;&gt;0,(M290+M292+M294+M296+M298)/M286*100,0)</f>
        <v>0</v>
      </c>
      <c r="N309" s="4917" t="s">
        <v>886</v>
      </c>
    </row>
    <row r="310" spans="2:14">
      <c r="B310" s="4906"/>
      <c r="C310" s="4906"/>
      <c r="D310" s="4906"/>
      <c r="E310" s="4906"/>
      <c r="F310" s="4906"/>
      <c r="G310" s="4906"/>
      <c r="H310" s="4906"/>
      <c r="I310" s="4906"/>
      <c r="J310" s="4906"/>
      <c r="K310" s="4906"/>
      <c r="L310" s="4906"/>
      <c r="M310" s="4906"/>
    </row>
    <row r="311" spans="2:14">
      <c r="B311" s="4889" t="str">
        <f>B97</f>
        <v>*Amounts are available from the County Treasurer.       **These Jan.-June, 2021 amounts are available from the County Treasurer.  (Should correspond to school</v>
      </c>
    </row>
    <row r="312" spans="2:14">
      <c r="B312" s="4889" t="str">
        <f>B98</f>
        <v xml:space="preserve"> records and does not include MVPT.)   Include Watercraft Tax if USD received payment direct from county.</v>
      </c>
    </row>
    <row r="313" spans="2:14">
      <c r="B313" s="4892" t="str">
        <f>$B$1</f>
        <v>Kansas Department of Education</v>
      </c>
      <c r="M313" s="4890" t="s">
        <v>1464</v>
      </c>
    </row>
    <row r="314" spans="2:14">
      <c r="B314" s="4933" t="str">
        <f>$B$2</f>
        <v>Form 0-135-110</v>
      </c>
      <c r="C314" s="4892"/>
      <c r="D314" s="4892"/>
      <c r="G314" s="4893" t="s">
        <v>1408</v>
      </c>
      <c r="H314" s="4893"/>
      <c r="I314" s="4894" t="str">
        <f>I183</f>
        <v>237 - Smith Center</v>
      </c>
      <c r="J314" s="4895"/>
      <c r="K314" s="4895"/>
      <c r="L314" s="4893" t="s">
        <v>1409</v>
      </c>
      <c r="M314" s="4896">
        <f>M183</f>
        <v>237</v>
      </c>
    </row>
    <row r="315" spans="2:14">
      <c r="B315" s="4933">
        <f>$B$3</f>
        <v>44348</v>
      </c>
      <c r="K315" s="4893" t="s">
        <v>879</v>
      </c>
      <c r="M315" s="4895" t="str">
        <f>M184</f>
        <v>Smith</v>
      </c>
    </row>
    <row r="316" spans="2:14" ht="6" customHeight="1">
      <c r="E316" s="4900"/>
      <c r="F316" s="4900"/>
      <c r="G316" s="4900"/>
      <c r="H316" s="4900"/>
      <c r="I316" s="4900"/>
      <c r="J316" s="4900"/>
      <c r="K316" s="4901"/>
      <c r="L316" s="4901"/>
      <c r="M316" s="4900"/>
    </row>
    <row r="317" spans="2:14">
      <c r="B317" s="4900" t="str">
        <f>B5</f>
        <v>2021-2022</v>
      </c>
      <c r="C317" s="4900"/>
      <c r="D317" s="4900"/>
      <c r="E317" s="4900"/>
      <c r="F317" s="4900"/>
      <c r="G317" s="4900"/>
      <c r="H317" s="4900"/>
      <c r="I317" s="4900"/>
      <c r="J317" s="4900"/>
      <c r="K317" s="4900"/>
      <c r="L317" s="4900"/>
      <c r="M317" s="4900"/>
    </row>
    <row r="318" spans="2:14">
      <c r="B318" s="4900" t="s">
        <v>1411</v>
      </c>
      <c r="C318" s="4900"/>
      <c r="D318" s="4900"/>
      <c r="E318" s="4900"/>
      <c r="F318" s="4900"/>
      <c r="G318" s="4900"/>
      <c r="H318" s="4900"/>
      <c r="I318" s="4900"/>
      <c r="J318" s="4900"/>
      <c r="K318" s="4900"/>
      <c r="L318" s="4900"/>
      <c r="M318" s="4900"/>
    </row>
    <row r="319" spans="2:14">
      <c r="B319" s="4900" t="s">
        <v>1412</v>
      </c>
      <c r="C319" s="4900"/>
      <c r="D319" s="4900"/>
      <c r="E319" s="4900"/>
      <c r="F319" s="4900"/>
      <c r="G319" s="4900"/>
      <c r="H319" s="4900"/>
      <c r="I319" s="4900"/>
      <c r="J319" s="4900"/>
      <c r="K319" s="4900"/>
      <c r="L319" s="4900"/>
      <c r="M319" s="4900"/>
    </row>
    <row r="320" spans="2:14">
      <c r="B320" s="4902" t="s">
        <v>1413</v>
      </c>
      <c r="C320" s="4902"/>
      <c r="D320" s="4902"/>
      <c r="E320" s="4900"/>
      <c r="F320" s="4900"/>
      <c r="G320" s="4900"/>
      <c r="H320" s="4900"/>
      <c r="I320" s="4900"/>
      <c r="J320" s="4900"/>
      <c r="K320" s="4900"/>
      <c r="L320" s="4900"/>
      <c r="M320" s="4900"/>
    </row>
    <row r="321" spans="2:13" ht="7.5" customHeight="1">
      <c r="E321" s="4898"/>
      <c r="F321" s="4898"/>
      <c r="G321" s="4898"/>
      <c r="H321" s="4898"/>
      <c r="I321" s="4898"/>
      <c r="J321" s="4898"/>
      <c r="K321" s="4898"/>
      <c r="L321" s="4898"/>
      <c r="M321" s="4898"/>
    </row>
    <row r="322" spans="2:13">
      <c r="E322" s="4952"/>
      <c r="F322" s="4898"/>
      <c r="G322" s="4898" t="str">
        <f>G149</f>
        <v>Rec. Comm</v>
      </c>
      <c r="H322" s="4898"/>
      <c r="I322" s="4898" t="s">
        <v>1465</v>
      </c>
      <c r="J322" s="4898"/>
      <c r="K322" s="4931" t="s">
        <v>1466</v>
      </c>
      <c r="L322" s="4898"/>
      <c r="M322" s="4935"/>
    </row>
    <row r="323" spans="2:13">
      <c r="E323" s="4952" t="s">
        <v>1467</v>
      </c>
      <c r="F323" s="4898"/>
      <c r="G323" s="4898" t="str">
        <f>G150</f>
        <v>Emp Benef</v>
      </c>
      <c r="H323" s="4898"/>
      <c r="I323" s="4898" t="s">
        <v>1468</v>
      </c>
      <c r="J323" s="4898"/>
      <c r="K323" s="4898" t="s">
        <v>1469</v>
      </c>
      <c r="L323" s="4898"/>
      <c r="M323" s="4952" t="s">
        <v>1470</v>
      </c>
    </row>
    <row r="324" spans="2:13">
      <c r="E324" s="4952" t="s">
        <v>1471</v>
      </c>
      <c r="G324" s="4898" t="str">
        <f>G151</f>
        <v>&amp; Spec Liab</v>
      </c>
      <c r="I324" s="4898" t="s">
        <v>1472</v>
      </c>
      <c r="K324" s="4898" t="s">
        <v>1473</v>
      </c>
      <c r="M324" s="4952" t="s">
        <v>1474</v>
      </c>
    </row>
    <row r="325" spans="2:13" ht="8.25" customHeight="1">
      <c r="G325" s="4931"/>
    </row>
    <row r="326" spans="2:13">
      <c r="B326" s="4889" t="str">
        <f>B14</f>
        <v>1.  County Treasurer Balance 6/30/2021 *</v>
      </c>
      <c r="E326" s="4953"/>
      <c r="F326" s="4942"/>
      <c r="G326" s="4954"/>
      <c r="H326" s="4942"/>
      <c r="I326" s="4954"/>
      <c r="J326" s="4942"/>
      <c r="K326" s="4954"/>
      <c r="M326" s="4959"/>
    </row>
    <row r="327" spans="2:13" ht="6" customHeight="1">
      <c r="B327" s="4906"/>
      <c r="C327" s="4906"/>
      <c r="D327" s="4906"/>
      <c r="E327" s="4955"/>
      <c r="F327" s="4955"/>
      <c r="G327" s="4955"/>
      <c r="H327" s="4955"/>
      <c r="I327" s="4955"/>
      <c r="J327" s="4955"/>
      <c r="K327" s="4955"/>
      <c r="M327" s="4955"/>
    </row>
    <row r="328" spans="2:13">
      <c r="B328" s="4889" t="str">
        <f>B16</f>
        <v>2.  2020 Actual Taxes Levied*</v>
      </c>
      <c r="E328" s="4953"/>
      <c r="F328" s="4942"/>
      <c r="G328" s="4954"/>
      <c r="H328" s="4942"/>
      <c r="I328" s="4954"/>
      <c r="J328" s="4942"/>
      <c r="K328" s="4954"/>
      <c r="M328" s="4959"/>
    </row>
    <row r="329" spans="2:13" ht="8.25" customHeight="1">
      <c r="E329" s="4942"/>
      <c r="F329" s="4942"/>
      <c r="G329" s="4942"/>
      <c r="H329" s="4942"/>
      <c r="I329" s="4942"/>
      <c r="J329" s="4942"/>
      <c r="K329" s="4942"/>
      <c r="M329" s="4942"/>
    </row>
    <row r="330" spans="2:13">
      <c r="B330" s="4889" t="s">
        <v>1441</v>
      </c>
      <c r="C330" s="4929">
        <f>C199</f>
        <v>0</v>
      </c>
      <c r="D330" s="4935"/>
      <c r="E330" s="4953"/>
      <c r="F330" s="4908"/>
      <c r="G330" s="4905">
        <f>G328*$C$330/100</f>
        <v>0</v>
      </c>
      <c r="H330" s="4908"/>
      <c r="I330" s="4905">
        <f>I328*$C$330/100</f>
        <v>0</v>
      </c>
      <c r="J330" s="4908"/>
      <c r="K330" s="4905">
        <f>K328*$C$330/100</f>
        <v>0</v>
      </c>
      <c r="L330" s="4908"/>
      <c r="M330" s="4905">
        <f>M328*$C$330/100</f>
        <v>0</v>
      </c>
    </row>
    <row r="331" spans="2:13" ht="7.5" customHeight="1">
      <c r="E331" s="4942"/>
      <c r="F331" s="4942"/>
      <c r="G331" s="4942"/>
      <c r="H331" s="4942"/>
      <c r="I331" s="4942"/>
      <c r="J331" s="4942"/>
      <c r="K331" s="4942"/>
      <c r="M331" s="4942"/>
    </row>
    <row r="332" spans="2:13">
      <c r="B332" s="4889" t="str">
        <f>B20</f>
        <v>4.  Less:  Jan. 20, 2021 Taxes received**</v>
      </c>
      <c r="E332" s="4953"/>
      <c r="F332" s="4942"/>
      <c r="G332" s="4954"/>
      <c r="H332" s="4942"/>
      <c r="I332" s="4954"/>
      <c r="J332" s="4942"/>
      <c r="K332" s="4954"/>
      <c r="M332" s="4959"/>
    </row>
    <row r="333" spans="2:13" ht="7.5" customHeight="1">
      <c r="E333" s="4942"/>
      <c r="F333" s="4942"/>
      <c r="G333" s="4942"/>
      <c r="H333" s="4942"/>
      <c r="I333" s="4942"/>
      <c r="J333" s="4942"/>
      <c r="K333" s="4942"/>
      <c r="M333" s="4942"/>
    </row>
    <row r="334" spans="2:13">
      <c r="B334" s="4889" t="str">
        <f>B22</f>
        <v>5.  Less:  Mar. 20, 2021  Taxes received**</v>
      </c>
      <c r="E334" s="4953"/>
      <c r="F334" s="4942"/>
      <c r="G334" s="4954"/>
      <c r="H334" s="4942"/>
      <c r="I334" s="4954"/>
      <c r="J334" s="4942"/>
      <c r="K334" s="4954"/>
      <c r="M334" s="4959"/>
    </row>
    <row r="335" spans="2:13" ht="8.25" customHeight="1">
      <c r="E335" s="4943"/>
      <c r="F335" s="4942"/>
      <c r="G335" s="4943"/>
      <c r="H335" s="4942"/>
      <c r="I335" s="4943"/>
      <c r="J335" s="4942"/>
      <c r="K335" s="4943"/>
      <c r="M335" s="4943"/>
    </row>
    <row r="336" spans="2:13">
      <c r="B336" s="4889" t="str">
        <f>B24</f>
        <v>6.  Less:  June 5,  2021 Taxes received**</v>
      </c>
      <c r="E336" s="4953"/>
      <c r="F336" s="4942"/>
      <c r="G336" s="4954"/>
      <c r="H336" s="4942"/>
      <c r="I336" s="4954"/>
      <c r="J336" s="4942"/>
      <c r="K336" s="4954"/>
      <c r="M336" s="4959"/>
    </row>
    <row r="337" spans="2:14" ht="8.25" customHeight="1">
      <c r="E337" s="4943"/>
      <c r="F337" s="4942"/>
      <c r="G337" s="4943"/>
      <c r="H337" s="4942"/>
      <c r="I337" s="4943"/>
      <c r="J337" s="4942"/>
      <c r="K337" s="4943"/>
      <c r="M337" s="4943"/>
    </row>
    <row r="338" spans="2:14">
      <c r="B338" s="4889" t="s">
        <v>1421</v>
      </c>
      <c r="E338" s="4953"/>
      <c r="F338" s="4942"/>
      <c r="G338" s="4954"/>
      <c r="H338" s="4942"/>
      <c r="I338" s="4954"/>
      <c r="J338" s="4942"/>
      <c r="K338" s="4954"/>
      <c r="M338" s="4959"/>
    </row>
    <row r="339" spans="2:14" ht="6.75" customHeight="1">
      <c r="E339" s="4942"/>
      <c r="F339" s="4942"/>
      <c r="G339" s="4942"/>
      <c r="H339" s="4942"/>
      <c r="I339" s="4942"/>
      <c r="J339" s="4942"/>
      <c r="K339" s="4942"/>
      <c r="M339" s="4942"/>
    </row>
    <row r="340" spans="2:14">
      <c r="B340" s="4889" t="s">
        <v>1422</v>
      </c>
      <c r="E340" s="4953"/>
      <c r="F340" s="4942"/>
      <c r="G340" s="4954"/>
      <c r="H340" s="4904"/>
      <c r="I340" s="4954"/>
      <c r="J340" s="4942"/>
      <c r="K340" s="4954"/>
      <c r="M340" s="4959"/>
    </row>
    <row r="341" spans="2:14">
      <c r="B341" s="4889" t="s">
        <v>1423</v>
      </c>
      <c r="E341" s="4953"/>
      <c r="F341" s="4942"/>
      <c r="G341" s="4956"/>
      <c r="H341" s="4942"/>
      <c r="I341" s="4956"/>
      <c r="J341" s="4942"/>
      <c r="K341" s="4956"/>
      <c r="M341" s="4960"/>
    </row>
    <row r="342" spans="2:14">
      <c r="B342" s="4889" t="s">
        <v>1442</v>
      </c>
      <c r="E342" s="4953"/>
      <c r="F342" s="4908"/>
      <c r="G342" s="4905">
        <f>SUM(G330:G341)</f>
        <v>0</v>
      </c>
      <c r="H342" s="4908"/>
      <c r="I342" s="4905">
        <f>SUM(I330:I341)</f>
        <v>0</v>
      </c>
      <c r="J342" s="4908"/>
      <c r="K342" s="4905">
        <f>SUM(K330:K341)</f>
        <v>0</v>
      </c>
      <c r="L342" s="4935"/>
      <c r="M342" s="4905">
        <f>SUM(M330:M341)</f>
        <v>0</v>
      </c>
    </row>
    <row r="343" spans="2:14" ht="6.75" customHeight="1">
      <c r="E343" s="4904"/>
      <c r="F343" s="4904"/>
      <c r="G343" s="4904"/>
      <c r="H343" s="4904"/>
      <c r="I343" s="4904"/>
      <c r="J343" s="4904"/>
      <c r="K343" s="4904"/>
      <c r="L343" s="4935"/>
      <c r="M343" s="4904"/>
    </row>
    <row r="344" spans="2:14">
      <c r="B344" s="4889" t="str">
        <f>B32</f>
        <v>11. 2020 taxes receivable (taxes in process</v>
      </c>
      <c r="E344" s="4904"/>
      <c r="F344" s="4904"/>
      <c r="G344" s="4904"/>
      <c r="H344" s="4904"/>
      <c r="I344" s="4904"/>
      <c r="J344" s="4904"/>
      <c r="K344" s="4904"/>
      <c r="L344" s="4935"/>
      <c r="M344" s="4904"/>
    </row>
    <row r="345" spans="2:14">
      <c r="B345" s="4889" t="str">
        <f>B33</f>
        <v xml:space="preserve">     of collection 6/30/2021) (Line 2 less Line 10)</v>
      </c>
      <c r="E345" s="4953"/>
      <c r="F345" s="4908"/>
      <c r="G345" s="4905">
        <f>IF(G342&lt;=0,0,G328-G342)</f>
        <v>0</v>
      </c>
      <c r="H345" s="4908"/>
      <c r="I345" s="4905">
        <f>IF(I342&lt;=0,0,I328-I342)</f>
        <v>0</v>
      </c>
      <c r="J345" s="4908"/>
      <c r="K345" s="4905">
        <f>IF(K342&lt;=0,0,K328-K342)</f>
        <v>0</v>
      </c>
      <c r="L345" s="4908"/>
      <c r="M345" s="4905">
        <f>IF(M342&lt;=0,0,M328-M342)</f>
        <v>0</v>
      </c>
    </row>
    <row r="346" spans="2:14" ht="7.5" customHeight="1">
      <c r="E346" s="4904"/>
      <c r="F346" s="4904"/>
      <c r="G346" s="4904"/>
      <c r="H346" s="4904"/>
      <c r="I346" s="4904"/>
      <c r="J346" s="4904"/>
      <c r="K346" s="4904"/>
      <c r="L346" s="4935"/>
      <c r="M346" s="4904"/>
    </row>
    <row r="347" spans="2:14">
      <c r="B347" s="4889" t="s">
        <v>1443</v>
      </c>
      <c r="E347" s="4904"/>
      <c r="F347" s="4904"/>
      <c r="G347" s="4904"/>
      <c r="H347" s="4904"/>
      <c r="I347" s="4904"/>
      <c r="J347" s="4904"/>
      <c r="K347" s="4904"/>
      <c r="L347" s="4935"/>
      <c r="M347" s="4904"/>
    </row>
    <row r="348" spans="2:14">
      <c r="B348" s="4889" t="s">
        <v>1426</v>
      </c>
      <c r="E348" s="4904"/>
      <c r="F348" s="4904"/>
      <c r="G348" s="4904"/>
      <c r="H348" s="4904"/>
      <c r="I348" s="4904"/>
      <c r="J348" s="4904"/>
      <c r="K348" s="4904"/>
      <c r="L348" s="4935"/>
      <c r="M348" s="4904"/>
    </row>
    <row r="349" spans="2:14">
      <c r="B349" s="4889" t="str">
        <f>B37</f>
        <v xml:space="preserve">     (7-1-2021 to 12-31-2022) (Line 3 x 75%)</v>
      </c>
      <c r="E349" s="4953"/>
      <c r="F349" s="4908"/>
      <c r="G349" s="4905">
        <f>SUM(G330*0.75)</f>
        <v>0</v>
      </c>
      <c r="H349" s="4908"/>
      <c r="I349" s="4905">
        <f>SUM(I330*0.75)</f>
        <v>0</v>
      </c>
      <c r="J349" s="4908"/>
      <c r="K349" s="4905">
        <f>SUM(K330*0.75)</f>
        <v>0</v>
      </c>
      <c r="L349" s="4935"/>
      <c r="M349" s="4905">
        <f>SUM(M330*0.75)</f>
        <v>0</v>
      </c>
    </row>
    <row r="350" spans="2:14" ht="6.75" customHeight="1">
      <c r="E350" s="4935"/>
      <c r="F350" s="4935"/>
      <c r="G350" s="4935"/>
      <c r="H350" s="4935"/>
      <c r="I350" s="4935"/>
      <c r="J350" s="4935"/>
      <c r="K350" s="4935"/>
      <c r="L350" s="4935"/>
      <c r="M350" s="4935"/>
    </row>
    <row r="351" spans="2:14">
      <c r="B351" s="4949" t="str">
        <f>B39</f>
        <v>Tax Collection Ratio (Jan, Mar, June)</v>
      </c>
      <c r="C351" s="4910"/>
      <c r="D351" s="4910"/>
      <c r="E351" s="4908"/>
      <c r="F351" s="4938"/>
      <c r="G351" s="4951">
        <f>IF(G328&lt;&gt;0,(G332+G334+G336+G338+G340)/G328*100,0)</f>
        <v>0</v>
      </c>
      <c r="H351" s="4938" t="s">
        <v>886</v>
      </c>
      <c r="I351" s="4951">
        <f>IF(I328&lt;&gt;0,(I332+I334+I336+I338+I340)/I328*100,0)</f>
        <v>0</v>
      </c>
      <c r="J351" s="4938" t="s">
        <v>886</v>
      </c>
      <c r="K351" s="4951">
        <f>IF(K328&lt;&gt;0,(K332+K334+K336+K338+K340)/K328*100,0)</f>
        <v>0</v>
      </c>
      <c r="L351" s="4938" t="s">
        <v>886</v>
      </c>
      <c r="M351" s="4951">
        <f>IF(M328&lt;&gt;0,(M332+M334+M336+M338+M340)/M328*100,0)</f>
        <v>0</v>
      </c>
      <c r="N351" s="4917" t="s">
        <v>886</v>
      </c>
    </row>
    <row r="352" spans="2:14" ht="9" customHeight="1">
      <c r="B352" s="4906"/>
      <c r="C352" s="4906"/>
      <c r="D352" s="4906"/>
      <c r="E352" s="4906"/>
      <c r="F352" s="4906"/>
      <c r="G352" s="4906"/>
      <c r="H352" s="4906"/>
      <c r="I352" s="4906"/>
      <c r="J352" s="4906"/>
      <c r="K352" s="4906"/>
      <c r="L352" s="4906"/>
      <c r="M352" s="4906"/>
    </row>
    <row r="353" spans="2:13">
      <c r="B353" s="4889" t="str">
        <f>B97</f>
        <v>*Amounts are available from the County Treasurer.       **These Jan.-June, 2021 amounts are available from the County Treasurer.  (Should correspond to school</v>
      </c>
    </row>
    <row r="354" spans="2:13">
      <c r="B354" s="4889" t="str">
        <f>B98</f>
        <v xml:space="preserve"> records and does not include MVPT.)   Include Watercraft Tax if USD received payment direct from county.</v>
      </c>
    </row>
    <row r="355" spans="2:13">
      <c r="B355" s="4892" t="str">
        <f>$B$1</f>
        <v>Kansas Department of Education</v>
      </c>
      <c r="M355" s="4890" t="s">
        <v>1407</v>
      </c>
    </row>
    <row r="356" spans="2:13">
      <c r="B356" s="4933" t="str">
        <f>$B$2</f>
        <v>Form 0-135-110</v>
      </c>
      <c r="C356" s="4892"/>
      <c r="D356" s="4892"/>
      <c r="F356" s="4893"/>
      <c r="G356" s="4893" t="s">
        <v>1408</v>
      </c>
      <c r="H356" s="4893"/>
      <c r="I356" s="4894" t="str">
        <f>I2</f>
        <v>237 - Smith Center</v>
      </c>
      <c r="J356" s="4895"/>
      <c r="K356" s="4895"/>
      <c r="L356" s="4893" t="s">
        <v>1409</v>
      </c>
      <c r="M356" s="4896">
        <f>M2</f>
        <v>237</v>
      </c>
    </row>
    <row r="357" spans="2:13">
      <c r="B357" s="4933">
        <f>$B$3</f>
        <v>44348</v>
      </c>
      <c r="K357" s="4893" t="s">
        <v>879</v>
      </c>
      <c r="M357" s="4961" t="s">
        <v>132</v>
      </c>
    </row>
    <row r="358" spans="2:13" ht="7.5" customHeight="1">
      <c r="E358" s="4900"/>
      <c r="F358" s="4900"/>
      <c r="G358" s="4900"/>
      <c r="H358" s="4900"/>
      <c r="I358" s="4900"/>
      <c r="J358" s="4900"/>
      <c r="K358" s="4901"/>
      <c r="L358" s="4901"/>
      <c r="M358" s="4900"/>
    </row>
    <row r="359" spans="2:13">
      <c r="E359" s="4900"/>
      <c r="F359" s="4900"/>
      <c r="G359" s="4900"/>
      <c r="H359" s="4900"/>
      <c r="I359" s="4900"/>
      <c r="J359" s="4900"/>
      <c r="K359" s="4901"/>
      <c r="L359" s="4901"/>
      <c r="M359" s="4900"/>
    </row>
    <row r="360" spans="2:13">
      <c r="B360" s="4900" t="str">
        <f>B5</f>
        <v>2021-2022</v>
      </c>
      <c r="C360" s="4900"/>
      <c r="D360" s="4900"/>
      <c r="E360" s="4900"/>
      <c r="F360" s="4900"/>
      <c r="G360" s="4900"/>
      <c r="H360" s="4900"/>
      <c r="I360" s="4900"/>
      <c r="J360" s="4900"/>
      <c r="K360" s="4900"/>
      <c r="L360" s="4900"/>
      <c r="M360" s="4900"/>
    </row>
    <row r="361" spans="2:13">
      <c r="B361" s="4900" t="s">
        <v>1411</v>
      </c>
      <c r="C361" s="4900"/>
      <c r="D361" s="4900"/>
      <c r="E361" s="4900"/>
      <c r="F361" s="4900"/>
      <c r="G361" s="4900"/>
      <c r="H361" s="4900"/>
      <c r="I361" s="4900"/>
      <c r="J361" s="4900"/>
      <c r="K361" s="4900"/>
      <c r="L361" s="4900"/>
      <c r="M361" s="4900"/>
    </row>
    <row r="362" spans="2:13">
      <c r="B362" s="4900" t="s">
        <v>1412</v>
      </c>
      <c r="C362" s="4900"/>
      <c r="D362" s="4900"/>
      <c r="E362" s="4900"/>
      <c r="F362" s="4900"/>
      <c r="G362" s="4900"/>
      <c r="H362" s="4900"/>
      <c r="I362" s="4900"/>
      <c r="J362" s="4900"/>
      <c r="K362" s="4900"/>
      <c r="L362" s="4900"/>
      <c r="M362" s="4900"/>
    </row>
    <row r="363" spans="2:13">
      <c r="B363" s="4902" t="s">
        <v>1413</v>
      </c>
      <c r="C363" s="4902"/>
      <c r="D363" s="4902"/>
      <c r="E363" s="4900"/>
      <c r="F363" s="4900"/>
      <c r="G363" s="4900"/>
      <c r="H363" s="4900"/>
      <c r="I363" s="4900"/>
      <c r="J363" s="4900"/>
      <c r="K363" s="4900"/>
      <c r="L363" s="4900"/>
      <c r="M363" s="4900"/>
    </row>
    <row r="364" spans="2:13" ht="8.25" customHeight="1"/>
    <row r="365" spans="2:13">
      <c r="E365" s="4898"/>
      <c r="F365" s="4898"/>
      <c r="G365" s="4898" t="s">
        <v>1414</v>
      </c>
      <c r="H365" s="4898"/>
      <c r="I365" s="4898" t="s">
        <v>1415</v>
      </c>
      <c r="J365" s="4898"/>
      <c r="K365" s="4898" t="s">
        <v>1416</v>
      </c>
      <c r="L365" s="4898"/>
      <c r="M365" s="4898"/>
    </row>
    <row r="366" spans="2:13">
      <c r="E366" s="4898" t="s">
        <v>813</v>
      </c>
      <c r="F366" s="4898"/>
      <c r="G366" s="4898" t="s">
        <v>813</v>
      </c>
      <c r="H366" s="4898"/>
      <c r="I366" s="4898" t="s">
        <v>1417</v>
      </c>
      <c r="J366" s="4898"/>
      <c r="K366" s="4898" t="s">
        <v>1418</v>
      </c>
      <c r="L366" s="4898"/>
      <c r="M366" s="4898" t="s">
        <v>1419</v>
      </c>
    </row>
    <row r="367" spans="2:13">
      <c r="E367" s="4898" t="s">
        <v>896</v>
      </c>
      <c r="F367" s="4898"/>
      <c r="G367" s="4898" t="s">
        <v>896</v>
      </c>
      <c r="H367" s="4898"/>
      <c r="I367" s="4898" t="s">
        <v>896</v>
      </c>
      <c r="J367" s="4898"/>
      <c r="K367" s="4898" t="str">
        <f>K12</f>
        <v>Fund #1</v>
      </c>
      <c r="L367" s="4898"/>
      <c r="M367" s="4898" t="str">
        <f>M12</f>
        <v>Fund</v>
      </c>
    </row>
    <row r="368" spans="2:13" ht="9.75" customHeight="1"/>
    <row r="369" spans="2:13">
      <c r="B369" s="4889" t="str">
        <f>B14</f>
        <v>1.  County Treasurer Balance 6/30/2021 *</v>
      </c>
      <c r="E369" s="4953"/>
      <c r="F369" s="4942"/>
      <c r="G369" s="4954"/>
      <c r="H369" s="4942"/>
      <c r="I369" s="4954"/>
      <c r="J369" s="4942"/>
      <c r="K369" s="4954"/>
      <c r="L369" s="4942"/>
      <c r="M369" s="4954"/>
    </row>
    <row r="370" spans="2:13" ht="8.25" customHeight="1">
      <c r="B370" s="4906"/>
      <c r="C370" s="4906"/>
      <c r="D370" s="4906"/>
      <c r="E370" s="4955"/>
      <c r="F370" s="4955"/>
      <c r="G370" s="4955"/>
      <c r="H370" s="4955"/>
      <c r="I370" s="4955"/>
      <c r="J370" s="4955"/>
      <c r="K370" s="4955"/>
      <c r="L370" s="4955"/>
      <c r="M370" s="4955"/>
    </row>
    <row r="371" spans="2:13">
      <c r="B371" s="4889" t="str">
        <f>B16</f>
        <v>2.  2020 Actual Taxes Levied*</v>
      </c>
      <c r="E371" s="4953"/>
      <c r="F371" s="4942"/>
      <c r="G371" s="4954">
        <v>25</v>
      </c>
      <c r="H371" s="4942"/>
      <c r="I371" s="4954">
        <v>10</v>
      </c>
      <c r="J371" s="4942"/>
      <c r="K371" s="4954"/>
      <c r="L371" s="4942"/>
      <c r="M371" s="4954"/>
    </row>
    <row r="372" spans="2:13" ht="7.5" customHeight="1">
      <c r="E372" s="4943"/>
      <c r="F372" s="4942"/>
      <c r="G372" s="4942"/>
      <c r="H372" s="4942"/>
      <c r="I372" s="4942"/>
      <c r="J372" s="4942"/>
      <c r="K372" s="4942"/>
      <c r="L372" s="4942"/>
      <c r="M372" s="4942"/>
    </row>
    <row r="373" spans="2:13">
      <c r="B373" s="4889" t="s">
        <v>1420</v>
      </c>
      <c r="C373" s="4909"/>
      <c r="E373" s="4908"/>
      <c r="F373" s="4908"/>
      <c r="G373" s="4905">
        <f>SUM(G371*$C$373/100)</f>
        <v>0</v>
      </c>
      <c r="H373" s="4908"/>
      <c r="I373" s="4905">
        <f>SUM(I371*$C$373/100)</f>
        <v>0</v>
      </c>
      <c r="J373" s="4908"/>
      <c r="K373" s="4905">
        <f>SUM(K371*$C$373/100)</f>
        <v>0</v>
      </c>
      <c r="L373" s="4908"/>
      <c r="M373" s="4905">
        <f>SUM(M371*$C$373/100)</f>
        <v>0</v>
      </c>
    </row>
    <row r="374" spans="2:13" ht="7.5" customHeight="1">
      <c r="E374" s="4943"/>
      <c r="F374" s="4942"/>
      <c r="G374" s="4942"/>
      <c r="H374" s="4942"/>
      <c r="I374" s="4942"/>
      <c r="J374" s="4942"/>
      <c r="K374" s="4942"/>
      <c r="L374" s="4942"/>
      <c r="M374" s="4942"/>
    </row>
    <row r="375" spans="2:13">
      <c r="B375" s="4889" t="str">
        <f>B20</f>
        <v>4.  Less:  Jan. 20, 2021 Taxes received**</v>
      </c>
      <c r="C375" s="4893"/>
      <c r="E375" s="4953"/>
      <c r="F375" s="4942"/>
      <c r="G375" s="4954">
        <v>13</v>
      </c>
      <c r="H375" s="4942"/>
      <c r="I375" s="4954">
        <v>5</v>
      </c>
      <c r="J375" s="4942"/>
      <c r="K375" s="4954"/>
      <c r="L375" s="4942"/>
      <c r="M375" s="4954"/>
    </row>
    <row r="376" spans="2:13" ht="8.25" customHeight="1">
      <c r="E376" s="4943"/>
      <c r="F376" s="4942"/>
      <c r="G376" s="4942"/>
      <c r="H376" s="4942"/>
      <c r="I376" s="4942"/>
      <c r="J376" s="4942"/>
      <c r="K376" s="4942"/>
      <c r="L376" s="4942"/>
      <c r="M376" s="4942"/>
    </row>
    <row r="377" spans="2:13">
      <c r="B377" s="4889" t="str">
        <f>B22</f>
        <v>5.  Less:  Mar. 20, 2021  Taxes received**</v>
      </c>
      <c r="E377" s="4953"/>
      <c r="F377" s="4942"/>
      <c r="G377" s="4954">
        <v>0</v>
      </c>
      <c r="H377" s="4942"/>
      <c r="I377" s="4954"/>
      <c r="J377" s="4942"/>
      <c r="K377" s="4954"/>
      <c r="L377" s="4942"/>
      <c r="M377" s="4954"/>
    </row>
    <row r="378" spans="2:13" ht="7.5" customHeight="1">
      <c r="E378" s="4943"/>
      <c r="F378" s="4942"/>
      <c r="G378" s="4942"/>
      <c r="H378" s="4942"/>
      <c r="I378" s="4942"/>
      <c r="J378" s="4942"/>
      <c r="K378" s="4942"/>
      <c r="L378" s="4942"/>
      <c r="M378" s="4942"/>
    </row>
    <row r="379" spans="2:13">
      <c r="B379" s="4889" t="str">
        <f>B24</f>
        <v>6.  Less:  June 5,  2021 Taxes received**</v>
      </c>
      <c r="E379" s="4953"/>
      <c r="F379" s="4942"/>
      <c r="G379" s="4954">
        <v>12</v>
      </c>
      <c r="H379" s="4942"/>
      <c r="I379" s="4954">
        <v>5</v>
      </c>
      <c r="J379" s="4942"/>
      <c r="K379" s="4954"/>
      <c r="L379" s="4942"/>
      <c r="M379" s="4954"/>
    </row>
    <row r="380" spans="2:13" ht="8.25" customHeight="1">
      <c r="E380" s="4943"/>
      <c r="F380" s="4942"/>
      <c r="G380" s="4942"/>
      <c r="H380" s="4942"/>
      <c r="I380" s="4942"/>
      <c r="J380" s="4942"/>
      <c r="K380" s="4942"/>
      <c r="L380" s="4942"/>
      <c r="M380" s="4942"/>
    </row>
    <row r="381" spans="2:13">
      <c r="B381" s="4889" t="s">
        <v>1421</v>
      </c>
      <c r="E381" s="4953"/>
      <c r="F381" s="4942"/>
      <c r="G381" s="4954"/>
      <c r="H381" s="4942"/>
      <c r="I381" s="4954"/>
      <c r="J381" s="4942"/>
      <c r="K381" s="4954"/>
      <c r="L381" s="4942"/>
      <c r="M381" s="4954"/>
    </row>
    <row r="382" spans="2:13" ht="7.5" customHeight="1">
      <c r="E382" s="4943"/>
      <c r="F382" s="4942"/>
      <c r="G382" s="4942"/>
      <c r="H382" s="4942"/>
      <c r="I382" s="4942"/>
      <c r="J382" s="4942"/>
      <c r="K382" s="4942"/>
      <c r="L382" s="4942"/>
      <c r="M382" s="4942"/>
    </row>
    <row r="383" spans="2:13">
      <c r="B383" s="4889" t="s">
        <v>1422</v>
      </c>
      <c r="E383" s="4953"/>
      <c r="F383" s="4942"/>
      <c r="G383" s="4954"/>
      <c r="H383" s="4942"/>
      <c r="I383" s="4954"/>
      <c r="J383" s="4942"/>
      <c r="K383" s="4954"/>
      <c r="L383" s="4942"/>
      <c r="M383" s="4954"/>
    </row>
    <row r="384" spans="2:13">
      <c r="B384" s="4889" t="s">
        <v>1423</v>
      </c>
      <c r="E384" s="4953"/>
      <c r="F384" s="4942"/>
      <c r="G384" s="4956"/>
      <c r="H384" s="4942"/>
      <c r="I384" s="4956"/>
      <c r="J384" s="4942"/>
      <c r="K384" s="4956"/>
      <c r="L384" s="4942"/>
      <c r="M384" s="4956"/>
    </row>
    <row r="385" spans="2:14">
      <c r="B385" s="4889" t="s">
        <v>1424</v>
      </c>
      <c r="E385" s="4953"/>
      <c r="F385" s="4904"/>
      <c r="G385" s="4905">
        <f>SUM(G373:G384)</f>
        <v>25</v>
      </c>
      <c r="H385" s="4904"/>
      <c r="I385" s="4905">
        <f>SUM(I373:I384)</f>
        <v>10</v>
      </c>
      <c r="J385" s="4904"/>
      <c r="K385" s="4905">
        <f>SUM(K373:K384)</f>
        <v>0</v>
      </c>
      <c r="L385" s="4904"/>
      <c r="M385" s="4905">
        <f>SUM(M373:M384)</f>
        <v>0</v>
      </c>
    </row>
    <row r="386" spans="2:14" ht="6" customHeight="1">
      <c r="E386" s="4908"/>
      <c r="F386" s="4904"/>
      <c r="G386" s="4904"/>
      <c r="H386" s="4904"/>
      <c r="I386" s="4904"/>
      <c r="J386" s="4904"/>
      <c r="K386" s="4904"/>
      <c r="L386" s="4904"/>
      <c r="M386" s="4904"/>
    </row>
    <row r="387" spans="2:14">
      <c r="B387" s="4889" t="str">
        <f>B32</f>
        <v>11. 2020 taxes receivable (taxes in process</v>
      </c>
      <c r="E387" s="4908"/>
      <c r="F387" s="4904"/>
      <c r="G387" s="4904"/>
      <c r="H387" s="4904"/>
      <c r="I387" s="4904"/>
      <c r="J387" s="4904"/>
      <c r="K387" s="4904"/>
      <c r="L387" s="4904"/>
      <c r="M387" s="4904"/>
    </row>
    <row r="388" spans="2:14">
      <c r="B388" s="4889" t="str">
        <f>B33</f>
        <v xml:space="preserve">     of collection 6/30/2021) (Line 2 less Line 10)</v>
      </c>
      <c r="E388" s="4953"/>
      <c r="F388" s="4904"/>
      <c r="G388" s="4905">
        <f>IF(G385&lt;=0,0,G371-G385)</f>
        <v>0</v>
      </c>
      <c r="H388" s="4904"/>
      <c r="I388" s="4905">
        <f>IF(I385&lt;=0,0,I371-I385)</f>
        <v>0</v>
      </c>
      <c r="J388" s="4904"/>
      <c r="K388" s="4905">
        <f>IF(K385&lt;=0,0,(K371-K385))</f>
        <v>0</v>
      </c>
      <c r="L388" s="4904"/>
      <c r="M388" s="4905">
        <f>IF(M385&lt;=0,0,M371-M385)</f>
        <v>0</v>
      </c>
    </row>
    <row r="389" spans="2:14" ht="6.75" customHeight="1">
      <c r="E389" s="4908"/>
      <c r="F389" s="4904"/>
      <c r="G389" s="4908"/>
      <c r="H389" s="4904"/>
      <c r="I389" s="4908"/>
      <c r="J389" s="4904"/>
      <c r="K389" s="4908"/>
      <c r="L389" s="4904"/>
      <c r="M389" s="4908"/>
    </row>
    <row r="390" spans="2:14">
      <c r="B390" s="4889" t="s">
        <v>1425</v>
      </c>
      <c r="E390" s="4908"/>
      <c r="F390" s="4904"/>
      <c r="G390" s="4904"/>
      <c r="H390" s="4904"/>
      <c r="I390" s="4904"/>
      <c r="J390" s="4904"/>
      <c r="K390" s="4904"/>
      <c r="L390" s="4904"/>
      <c r="M390" s="4904"/>
    </row>
    <row r="391" spans="2:14">
      <c r="B391" s="4889" t="s">
        <v>1426</v>
      </c>
      <c r="E391" s="4908"/>
      <c r="F391" s="4904"/>
      <c r="G391" s="4904"/>
      <c r="H391" s="4904"/>
      <c r="I391" s="4904"/>
      <c r="J391" s="4904"/>
      <c r="K391" s="4904"/>
      <c r="L391" s="4904"/>
      <c r="M391" s="4904"/>
    </row>
    <row r="392" spans="2:14">
      <c r="B392" s="4889" t="str">
        <f>B37</f>
        <v xml:space="preserve">     (7-1-2021 to 12-31-2022) (Line 3 x 75%)</v>
      </c>
      <c r="E392" s="4953"/>
      <c r="F392" s="4904"/>
      <c r="G392" s="4905">
        <f>SUM(G373*0.75)</f>
        <v>0</v>
      </c>
      <c r="H392" s="4904"/>
      <c r="I392" s="4905">
        <f>SUM(I373*0.75)</f>
        <v>0</v>
      </c>
      <c r="J392" s="4904"/>
      <c r="K392" s="4905">
        <f>SUM(K373*0.75)</f>
        <v>0</v>
      </c>
      <c r="L392" s="4904"/>
      <c r="M392" s="4905">
        <f>SUM(M373*0.75)</f>
        <v>0</v>
      </c>
    </row>
    <row r="393" spans="2:14">
      <c r="B393" s="4949" t="str">
        <f>B39</f>
        <v>Tax Collection Ratio (Jan, Mar, June)</v>
      </c>
      <c r="C393" s="4910"/>
      <c r="D393" s="4910"/>
      <c r="E393" s="4951"/>
      <c r="F393" s="4938"/>
      <c r="G393" s="4951">
        <f>IF(G371&lt;&gt;0,(G375+G377+G379+G381+G383)/G371*100,0)</f>
        <v>100</v>
      </c>
      <c r="H393" s="4938" t="s">
        <v>886</v>
      </c>
      <c r="I393" s="4951">
        <f>IF(I371&lt;&gt;0,(I375+I377+I379+I381+I383)/I371*100,0)</f>
        <v>100</v>
      </c>
      <c r="J393" s="4938" t="s">
        <v>886</v>
      </c>
      <c r="K393" s="4951">
        <f>IF(K371&lt;&gt;0,(K375+K377+K379+K381+K383)/K371*100,0)</f>
        <v>0</v>
      </c>
      <c r="L393" s="4938" t="s">
        <v>886</v>
      </c>
      <c r="M393" s="4951">
        <f>IF(M371&lt;&gt;0,(M375+M377+M379+M381+M383)/M371*100,0)</f>
        <v>0</v>
      </c>
      <c r="N393" s="4917" t="s">
        <v>886</v>
      </c>
    </row>
    <row r="394" spans="2:14" ht="2.25" customHeight="1">
      <c r="B394" s="4918"/>
      <c r="C394" s="4917"/>
      <c r="D394" s="4917"/>
      <c r="E394" s="4917"/>
      <c r="F394" s="4917"/>
      <c r="G394" s="4917"/>
      <c r="H394" s="4917"/>
      <c r="I394" s="4917"/>
      <c r="J394" s="4917"/>
      <c r="K394" s="4917"/>
      <c r="L394" s="4917"/>
      <c r="M394" s="4917"/>
    </row>
    <row r="395" spans="2:14" ht="0.75" hidden="1" customHeight="1">
      <c r="B395" s="4910"/>
      <c r="C395" s="4910"/>
      <c r="D395" s="4910"/>
      <c r="E395" s="4910"/>
      <c r="F395" s="4910"/>
      <c r="G395" s="4910"/>
      <c r="H395" s="4910"/>
      <c r="I395" s="4962"/>
      <c r="J395" s="4910"/>
      <c r="K395" s="4910"/>
      <c r="L395" s="4910"/>
      <c r="M395" s="4910"/>
    </row>
    <row r="396" spans="2:14" ht="0.75" hidden="1" customHeight="1"/>
    <row r="397" spans="2:14" ht="1.5" hidden="1" customHeight="1"/>
    <row r="398" spans="2:14" ht="3" hidden="1" customHeight="1"/>
    <row r="399" spans="2:14" ht="3" hidden="1" customHeight="1"/>
    <row r="400" spans="2:14" ht="3" hidden="1" customHeight="1"/>
    <row r="401" spans="2:14" ht="3" hidden="1" customHeight="1"/>
    <row r="402" spans="2:14">
      <c r="B402" s="4957" t="str">
        <f>B97</f>
        <v>*Amounts are available from the County Treasurer.       **These Jan.-June, 2021 amounts are available from the County Treasurer.  (Should correspond to school</v>
      </c>
      <c r="C402" s="4957"/>
      <c r="D402" s="4957"/>
      <c r="E402" s="4957"/>
      <c r="F402" s="4957"/>
      <c r="G402" s="4957"/>
      <c r="H402" s="4957"/>
      <c r="I402" s="4957"/>
      <c r="J402" s="4957"/>
      <c r="K402" s="4957"/>
      <c r="L402" s="4957"/>
      <c r="M402" s="4957"/>
    </row>
    <row r="403" spans="2:14">
      <c r="B403" s="4889" t="str">
        <f>B98</f>
        <v xml:space="preserve"> records and does not include MVPT.)   Include Watercraft Tax if USD received payment direct from county.</v>
      </c>
    </row>
    <row r="405" spans="2:14">
      <c r="B405" s="4892" t="str">
        <f>$B$1</f>
        <v>Kansas Department of Education</v>
      </c>
      <c r="M405" s="4890" t="s">
        <v>1433</v>
      </c>
    </row>
    <row r="406" spans="2:14">
      <c r="B406" s="4933" t="str">
        <f>$B$2</f>
        <v>Form 0-135-110</v>
      </c>
      <c r="C406" s="4892"/>
      <c r="D406" s="4892"/>
      <c r="F406" s="4893"/>
      <c r="G406" s="4893" t="s">
        <v>1408</v>
      </c>
      <c r="H406" s="4893"/>
      <c r="I406" s="4894" t="str">
        <f>I356</f>
        <v>237 - Smith Center</v>
      </c>
      <c r="J406" s="4895"/>
      <c r="K406" s="4934"/>
      <c r="L406" s="4893" t="s">
        <v>1409</v>
      </c>
      <c r="M406" s="4896">
        <f>M356</f>
        <v>237</v>
      </c>
    </row>
    <row r="407" spans="2:14">
      <c r="B407" s="4933">
        <f>$B$3</f>
        <v>44348</v>
      </c>
      <c r="K407" s="4893" t="s">
        <v>879</v>
      </c>
      <c r="M407" s="4895" t="str">
        <f>M357</f>
        <v>Jewell</v>
      </c>
    </row>
    <row r="408" spans="2:14" ht="9" customHeight="1">
      <c r="E408" s="4900"/>
      <c r="F408" s="4900"/>
      <c r="G408" s="4900"/>
      <c r="H408" s="4900"/>
      <c r="I408" s="4900"/>
      <c r="J408" s="4900"/>
      <c r="K408" s="4901"/>
      <c r="L408" s="4901"/>
      <c r="M408" s="4900"/>
    </row>
    <row r="409" spans="2:14">
      <c r="B409" s="4900" t="str">
        <f>B5</f>
        <v>2021-2022</v>
      </c>
      <c r="C409" s="4900"/>
      <c r="D409" s="4900"/>
      <c r="E409" s="4900"/>
      <c r="F409" s="4900"/>
      <c r="G409" s="4900"/>
      <c r="H409" s="4900"/>
      <c r="I409" s="4900"/>
      <c r="J409" s="4900"/>
      <c r="K409" s="4900"/>
      <c r="L409" s="4900"/>
      <c r="M409" s="4900"/>
    </row>
    <row r="410" spans="2:14">
      <c r="B410" s="4900" t="s">
        <v>1411</v>
      </c>
      <c r="C410" s="4900"/>
      <c r="D410" s="4900"/>
      <c r="E410" s="4900"/>
      <c r="F410" s="4900"/>
      <c r="G410" s="4900"/>
      <c r="H410" s="4900"/>
      <c r="I410" s="4900"/>
      <c r="J410" s="4900"/>
      <c r="K410" s="4900"/>
      <c r="L410" s="4900"/>
      <c r="M410" s="4900"/>
    </row>
    <row r="411" spans="2:14">
      <c r="B411" s="4900" t="s">
        <v>1412</v>
      </c>
      <c r="C411" s="4900"/>
      <c r="D411" s="4900"/>
      <c r="E411" s="4900"/>
      <c r="F411" s="4900"/>
      <c r="G411" s="4900"/>
      <c r="H411" s="4900"/>
      <c r="I411" s="4900"/>
      <c r="J411" s="4900"/>
      <c r="K411" s="4900"/>
      <c r="L411" s="4900"/>
      <c r="M411" s="4900"/>
    </row>
    <row r="412" spans="2:14">
      <c r="B412" s="4902" t="s">
        <v>1413</v>
      </c>
      <c r="C412" s="4902"/>
      <c r="D412" s="4902"/>
      <c r="E412" s="4900"/>
      <c r="F412" s="4900"/>
      <c r="G412" s="4900"/>
      <c r="H412" s="4900"/>
      <c r="I412" s="4900"/>
      <c r="J412" s="4900"/>
      <c r="K412" s="4900"/>
      <c r="L412" s="4900"/>
      <c r="M412" s="4900"/>
    </row>
    <row r="413" spans="2:14" ht="8.25" customHeight="1">
      <c r="E413" s="4898"/>
      <c r="F413" s="4898"/>
      <c r="G413" s="4898"/>
      <c r="H413" s="4898"/>
      <c r="I413" s="4898"/>
      <c r="J413" s="4898"/>
      <c r="K413" s="4898"/>
      <c r="L413" s="4898"/>
      <c r="M413" s="4898"/>
    </row>
    <row r="414" spans="2:14">
      <c r="E414" s="4898" t="s">
        <v>1434</v>
      </c>
      <c r="F414" s="4898"/>
      <c r="G414" s="4898" t="s">
        <v>1455</v>
      </c>
      <c r="H414" s="4898"/>
      <c r="I414" s="4898" t="s">
        <v>1475</v>
      </c>
      <c r="J414" s="4898"/>
      <c r="K414" s="4898" t="s">
        <v>1476</v>
      </c>
      <c r="M414" s="661"/>
      <c r="N414" s="661"/>
    </row>
    <row r="415" spans="2:14">
      <c r="E415" s="4898" t="s">
        <v>1438</v>
      </c>
      <c r="F415" s="4898"/>
      <c r="G415" s="4898" t="s">
        <v>1439</v>
      </c>
      <c r="H415" s="4898"/>
      <c r="I415" s="4898" t="s">
        <v>1440</v>
      </c>
      <c r="J415" s="4898"/>
      <c r="K415" s="4898" t="str">
        <f>K60</f>
        <v>Interest #2</v>
      </c>
      <c r="M415" s="661"/>
      <c r="N415" s="661"/>
    </row>
    <row r="416" spans="2:14" ht="8.25" customHeight="1">
      <c r="M416" s="661"/>
      <c r="N416" s="661"/>
    </row>
    <row r="417" spans="2:14">
      <c r="B417" s="4889" t="str">
        <f>B14</f>
        <v>1.  County Treasurer Balance 6/30/2021 *</v>
      </c>
      <c r="E417" s="4954"/>
      <c r="F417" s="4942"/>
      <c r="G417" s="4954"/>
      <c r="H417" s="4942"/>
      <c r="I417" s="4953"/>
      <c r="J417" s="4942"/>
      <c r="K417" s="4954"/>
      <c r="M417" s="661"/>
      <c r="N417" s="661"/>
    </row>
    <row r="418" spans="2:14" ht="7.5" customHeight="1">
      <c r="B418" s="4906"/>
      <c r="C418" s="4906"/>
      <c r="D418" s="4906"/>
      <c r="E418" s="4955"/>
      <c r="F418" s="4955"/>
      <c r="G418" s="4955"/>
      <c r="H418" s="4955"/>
      <c r="I418" s="4955"/>
      <c r="J418" s="4955"/>
      <c r="K418" s="4955"/>
      <c r="M418" s="661"/>
      <c r="N418" s="661"/>
    </row>
    <row r="419" spans="2:14">
      <c r="B419" s="4889" t="str">
        <f>B16</f>
        <v>2.  2020 Actual Taxes Levied*</v>
      </c>
      <c r="E419" s="4954"/>
      <c r="F419" s="4942"/>
      <c r="G419" s="4954"/>
      <c r="H419" s="4942"/>
      <c r="I419" s="4953"/>
      <c r="J419" s="4942"/>
      <c r="K419" s="4954"/>
      <c r="M419" s="661"/>
      <c r="N419" s="661"/>
    </row>
    <row r="420" spans="2:14" ht="9" customHeight="1">
      <c r="E420" s="4942"/>
      <c r="F420" s="4942"/>
      <c r="G420" s="4942"/>
      <c r="H420" s="4942"/>
      <c r="I420" s="4942"/>
      <c r="J420" s="4942"/>
      <c r="K420" s="4942"/>
      <c r="M420" s="661"/>
      <c r="N420" s="661"/>
    </row>
    <row r="421" spans="2:14">
      <c r="B421" s="4889" t="s">
        <v>1441</v>
      </c>
      <c r="C421" s="4929">
        <f>C373</f>
        <v>0</v>
      </c>
      <c r="D421" s="4935"/>
      <c r="E421" s="4905">
        <f>E419*$C$421/100</f>
        <v>0</v>
      </c>
      <c r="F421" s="4908"/>
      <c r="G421" s="4905">
        <f>G419*$C$421/100</f>
        <v>0</v>
      </c>
      <c r="H421" s="4908"/>
      <c r="I421" s="4953"/>
      <c r="J421" s="4908"/>
      <c r="K421" s="4905">
        <f>K419*$C$421/100</f>
        <v>0</v>
      </c>
      <c r="L421" s="4908"/>
      <c r="M421" s="661"/>
      <c r="N421" s="661"/>
    </row>
    <row r="422" spans="2:14" ht="9" customHeight="1">
      <c r="E422" s="4942"/>
      <c r="F422" s="4942"/>
      <c r="G422" s="4942"/>
      <c r="H422" s="4942"/>
      <c r="I422" s="4942"/>
      <c r="J422" s="4942"/>
      <c r="K422" s="4942"/>
      <c r="M422" s="661"/>
      <c r="N422" s="661"/>
    </row>
    <row r="423" spans="2:14">
      <c r="B423" s="4889" t="str">
        <f>B20</f>
        <v>4.  Less:  Jan. 20, 2021 Taxes received**</v>
      </c>
      <c r="E423" s="4954"/>
      <c r="F423" s="4942"/>
      <c r="G423" s="4954"/>
      <c r="H423" s="4942"/>
      <c r="I423" s="4953"/>
      <c r="J423" s="4942"/>
      <c r="K423" s="4954"/>
      <c r="M423" s="661"/>
      <c r="N423" s="661"/>
    </row>
    <row r="424" spans="2:14" ht="7.5" customHeight="1">
      <c r="E424" s="4942"/>
      <c r="F424" s="4942"/>
      <c r="G424" s="4942"/>
      <c r="H424" s="4942"/>
      <c r="I424" s="4942"/>
      <c r="J424" s="4942"/>
      <c r="K424" s="4942"/>
      <c r="M424" s="661"/>
      <c r="N424" s="661"/>
    </row>
    <row r="425" spans="2:14">
      <c r="B425" s="4889" t="str">
        <f>B22</f>
        <v>5.  Less:  Mar. 20, 2021  Taxes received**</v>
      </c>
      <c r="E425" s="4954"/>
      <c r="F425" s="4942"/>
      <c r="G425" s="4954"/>
      <c r="H425" s="4942"/>
      <c r="I425" s="4953"/>
      <c r="J425" s="4942"/>
      <c r="K425" s="4954"/>
      <c r="M425" s="661"/>
      <c r="N425" s="661"/>
    </row>
    <row r="426" spans="2:14" ht="8.25" customHeight="1">
      <c r="E426" s="4943"/>
      <c r="F426" s="4942"/>
      <c r="G426" s="4943"/>
      <c r="H426" s="4942"/>
      <c r="I426" s="4943"/>
      <c r="J426" s="4942"/>
      <c r="K426" s="4943"/>
      <c r="M426" s="661"/>
      <c r="N426" s="661"/>
    </row>
    <row r="427" spans="2:14">
      <c r="B427" s="4889" t="str">
        <f>B24</f>
        <v>6.  Less:  June 5,  2021 Taxes received**</v>
      </c>
      <c r="E427" s="4954"/>
      <c r="F427" s="4942"/>
      <c r="G427" s="4954"/>
      <c r="H427" s="4942"/>
      <c r="I427" s="4953"/>
      <c r="J427" s="4942"/>
      <c r="K427" s="4954"/>
      <c r="M427" s="661"/>
      <c r="N427" s="661"/>
    </row>
    <row r="428" spans="2:14" ht="8.25" customHeight="1">
      <c r="E428" s="4943"/>
      <c r="F428" s="4942"/>
      <c r="G428" s="4943"/>
      <c r="H428" s="4942"/>
      <c r="I428" s="4943"/>
      <c r="J428" s="4942"/>
      <c r="K428" s="4943"/>
      <c r="M428" s="661"/>
      <c r="N428" s="661"/>
    </row>
    <row r="429" spans="2:14">
      <c r="B429" s="4889" t="s">
        <v>1421</v>
      </c>
      <c r="E429" s="4954"/>
      <c r="F429" s="4942"/>
      <c r="G429" s="4954"/>
      <c r="H429" s="4942"/>
      <c r="I429" s="4953"/>
      <c r="J429" s="4942"/>
      <c r="K429" s="4954"/>
      <c r="M429" s="661"/>
      <c r="N429" s="661"/>
    </row>
    <row r="430" spans="2:14" ht="8.25" customHeight="1">
      <c r="E430" s="4942"/>
      <c r="F430" s="4942"/>
      <c r="G430" s="4942"/>
      <c r="H430" s="4942"/>
      <c r="I430" s="4942"/>
      <c r="J430" s="4942"/>
      <c r="K430" s="4942"/>
      <c r="M430" s="661"/>
      <c r="N430" s="661"/>
    </row>
    <row r="431" spans="2:14">
      <c r="B431" s="4889" t="s">
        <v>1422</v>
      </c>
      <c r="E431" s="4954"/>
      <c r="F431" s="4942"/>
      <c r="G431" s="4954"/>
      <c r="H431" s="4942"/>
      <c r="I431" s="4953"/>
      <c r="J431" s="4942"/>
      <c r="K431" s="4954"/>
      <c r="M431" s="661"/>
      <c r="N431" s="661"/>
    </row>
    <row r="432" spans="2:14">
      <c r="B432" s="4889" t="s">
        <v>1423</v>
      </c>
      <c r="E432" s="4956"/>
      <c r="F432" s="4942"/>
      <c r="G432" s="4956"/>
      <c r="H432" s="4942"/>
      <c r="I432" s="4953"/>
      <c r="J432" s="4942"/>
      <c r="K432" s="4956"/>
      <c r="M432" s="661"/>
      <c r="N432" s="661"/>
    </row>
    <row r="433" spans="2:14">
      <c r="B433" s="4889" t="s">
        <v>1442</v>
      </c>
      <c r="E433" s="4905">
        <f>SUM(E421:E432)</f>
        <v>0</v>
      </c>
      <c r="F433" s="4908"/>
      <c r="G433" s="4905">
        <f>SUM(G421:G432)</f>
        <v>0</v>
      </c>
      <c r="H433" s="4908"/>
      <c r="I433" s="4953"/>
      <c r="J433" s="4908"/>
      <c r="K433" s="4905">
        <f>SUM(K421:K432)</f>
        <v>0</v>
      </c>
      <c r="L433" s="4935"/>
      <c r="M433" s="661"/>
      <c r="N433" s="661"/>
    </row>
    <row r="434" spans="2:14" ht="8.25" customHeight="1">
      <c r="E434" s="4904"/>
      <c r="F434" s="4904"/>
      <c r="G434" s="4904"/>
      <c r="H434" s="4904"/>
      <c r="I434" s="4904"/>
      <c r="J434" s="4904"/>
      <c r="K434" s="4904"/>
      <c r="L434" s="4935"/>
      <c r="M434" s="661"/>
      <c r="N434" s="661"/>
    </row>
    <row r="435" spans="2:14">
      <c r="B435" s="4889" t="str">
        <f>B32</f>
        <v>11. 2020 taxes receivable (taxes in process</v>
      </c>
      <c r="E435" s="4904"/>
      <c r="F435" s="4904"/>
      <c r="G435" s="4904"/>
      <c r="H435" s="4904"/>
      <c r="I435" s="4904"/>
      <c r="J435" s="4904"/>
      <c r="K435" s="4904"/>
      <c r="L435" s="4935"/>
      <c r="M435" s="661"/>
      <c r="N435" s="661"/>
    </row>
    <row r="436" spans="2:14">
      <c r="B436" s="4889" t="str">
        <f>B33</f>
        <v xml:space="preserve">     of collection 6/30/2021) (Line 2 less Line 10)</v>
      </c>
      <c r="E436" s="4905">
        <f>IF(E433&lt;=0,0,E419-E433)</f>
        <v>0</v>
      </c>
      <c r="F436" s="4908"/>
      <c r="G436" s="4905">
        <f>IF(G433&lt;=0,0,G419-G433)</f>
        <v>0</v>
      </c>
      <c r="H436" s="4908"/>
      <c r="I436" s="4953"/>
      <c r="J436" s="4908"/>
      <c r="K436" s="4905">
        <f>IF(K433&lt;=0,0,K419-K433)</f>
        <v>0</v>
      </c>
      <c r="L436" s="4908"/>
      <c r="M436" s="661"/>
      <c r="N436" s="661"/>
    </row>
    <row r="437" spans="2:14" ht="8.25" customHeight="1">
      <c r="E437" s="4904"/>
      <c r="F437" s="4904"/>
      <c r="G437" s="4904"/>
      <c r="H437" s="4904"/>
      <c r="I437" s="4904"/>
      <c r="J437" s="4904"/>
      <c r="K437" s="4904"/>
      <c r="L437" s="4935"/>
      <c r="M437" s="661"/>
      <c r="N437" s="661"/>
    </row>
    <row r="438" spans="2:14">
      <c r="B438" s="4889" t="s">
        <v>1443</v>
      </c>
      <c r="E438" s="4904"/>
      <c r="F438" s="4904"/>
      <c r="G438" s="4904"/>
      <c r="H438" s="4904"/>
      <c r="I438" s="4904"/>
      <c r="J438" s="4904"/>
      <c r="K438" s="4904"/>
      <c r="L438" s="4935"/>
      <c r="M438" s="661"/>
      <c r="N438" s="661"/>
    </row>
    <row r="439" spans="2:14">
      <c r="B439" s="4889" t="s">
        <v>1426</v>
      </c>
      <c r="E439" s="4904"/>
      <c r="F439" s="4904"/>
      <c r="G439" s="4904"/>
      <c r="H439" s="4904"/>
      <c r="I439" s="4904"/>
      <c r="J439" s="4904"/>
      <c r="K439" s="4904"/>
      <c r="L439" s="4935"/>
      <c r="M439" s="661"/>
      <c r="N439" s="661"/>
    </row>
    <row r="440" spans="2:14">
      <c r="B440" s="4889" t="str">
        <f>B37</f>
        <v xml:space="preserve">     (7-1-2021 to 12-31-2022) (Line 3 x 75%)</v>
      </c>
      <c r="E440" s="4905">
        <f>SUM(E421*0.75)</f>
        <v>0</v>
      </c>
      <c r="F440" s="4908"/>
      <c r="G440" s="4905">
        <f>SUM(G421*0.75)</f>
        <v>0</v>
      </c>
      <c r="H440" s="4908"/>
      <c r="I440" s="4953"/>
      <c r="J440" s="4908"/>
      <c r="K440" s="4905">
        <f>SUM(K421*0.75)</f>
        <v>0</v>
      </c>
      <c r="L440" s="4935"/>
      <c r="M440" s="661"/>
      <c r="N440" s="661"/>
    </row>
    <row r="441" spans="2:14" ht="8.25" customHeight="1">
      <c r="E441" s="4935"/>
      <c r="F441" s="4935"/>
      <c r="G441" s="4935"/>
      <c r="H441" s="4935"/>
      <c r="I441" s="4935"/>
      <c r="J441" s="4935"/>
      <c r="K441" s="4935"/>
      <c r="L441" s="4935"/>
      <c r="M441" s="661"/>
      <c r="N441" s="661"/>
    </row>
    <row r="442" spans="2:14">
      <c r="B442" s="4949" t="str">
        <f>B39</f>
        <v>Tax Collection Ratio (Jan, Mar, June)</v>
      </c>
      <c r="C442" s="4910"/>
      <c r="D442" s="4910"/>
      <c r="E442" s="4951">
        <f>IF(E419&lt;&gt;0,(E423+E425+E427+E429+E431)/E419*100,0)</f>
        <v>0</v>
      </c>
      <c r="F442" s="4938" t="s">
        <v>886</v>
      </c>
      <c r="G442" s="4951">
        <f>IF(G419&lt;&gt;0,(G423+G425+G427+G429+G431)/G419*100,0)</f>
        <v>0</v>
      </c>
      <c r="H442" s="4938" t="s">
        <v>886</v>
      </c>
      <c r="I442" s="4908"/>
      <c r="J442" s="4938"/>
      <c r="K442" s="4951">
        <f>IF(K419&lt;&gt;0,(K423+K425+K427+K429+K431)/K419*100,0)</f>
        <v>0</v>
      </c>
      <c r="L442" s="4938" t="s">
        <v>886</v>
      </c>
      <c r="M442" s="661"/>
      <c r="N442" s="661"/>
    </row>
    <row r="443" spans="2:14" ht="13.5" customHeight="1">
      <c r="B443" s="4906"/>
      <c r="C443" s="4906"/>
      <c r="D443" s="4906"/>
      <c r="E443" s="4906"/>
      <c r="F443" s="4906"/>
      <c r="G443" s="4906"/>
      <c r="H443" s="4906"/>
      <c r="I443" s="4906"/>
      <c r="J443" s="4906"/>
      <c r="K443" s="4906"/>
      <c r="L443" s="4910"/>
      <c r="M443" s="4910"/>
    </row>
    <row r="444" spans="2:14" ht="3" hidden="1" customHeight="1"/>
    <row r="445" spans="2:14" ht="3.75" hidden="1" customHeight="1"/>
    <row r="446" spans="2:14" ht="0.75" hidden="1" customHeight="1"/>
    <row r="447" spans="2:14" ht="0.75" hidden="1" customHeight="1"/>
    <row r="448" spans="2:14">
      <c r="B448" s="4889" t="str">
        <f>B97</f>
        <v>*Amounts are available from the County Treasurer.       **These Jan.-June, 2021 amounts are available from the County Treasurer.  (Should correspond to school</v>
      </c>
      <c r="L448" s="4910"/>
      <c r="M448" s="4910"/>
    </row>
    <row r="449" spans="2:13">
      <c r="B449" s="4889" t="str">
        <f>B98</f>
        <v xml:space="preserve"> records and does not include MVPT.)   Include Watercraft Tax if USD received payment direct from county.</v>
      </c>
    </row>
    <row r="450" spans="2:13">
      <c r="B450" s="4892" t="str">
        <f>$B$1</f>
        <v>Kansas Department of Education</v>
      </c>
      <c r="M450" s="4890" t="s">
        <v>1453</v>
      </c>
    </row>
    <row r="451" spans="2:13">
      <c r="B451" s="4933" t="str">
        <f>$B$2</f>
        <v>Form 0-135-110</v>
      </c>
      <c r="C451" s="4892"/>
      <c r="D451" s="4892"/>
      <c r="G451" s="4893" t="s">
        <v>1408</v>
      </c>
      <c r="H451" s="4893"/>
      <c r="I451" s="4894" t="str">
        <f>I356</f>
        <v>237 - Smith Center</v>
      </c>
      <c r="J451" s="4895"/>
      <c r="K451" s="4895"/>
      <c r="L451" s="4893" t="s">
        <v>1409</v>
      </c>
      <c r="M451" s="4896">
        <f>M356</f>
        <v>237</v>
      </c>
    </row>
    <row r="452" spans="2:13">
      <c r="B452" s="4933">
        <f>$B$3</f>
        <v>44348</v>
      </c>
      <c r="K452" s="4893" t="s">
        <v>879</v>
      </c>
      <c r="M452" s="4895" t="str">
        <f>M357</f>
        <v>Jewell</v>
      </c>
    </row>
    <row r="453" spans="2:13" ht="8.25" customHeight="1">
      <c r="E453" s="4900"/>
      <c r="F453" s="4900"/>
      <c r="G453" s="4900"/>
      <c r="H453" s="4900"/>
      <c r="I453" s="4900"/>
      <c r="J453" s="4900"/>
      <c r="K453" s="4901"/>
      <c r="L453" s="4901"/>
      <c r="M453" s="4900"/>
    </row>
    <row r="454" spans="2:13">
      <c r="B454" s="4900" t="str">
        <f>B5</f>
        <v>2021-2022</v>
      </c>
      <c r="C454" s="4900"/>
      <c r="D454" s="4900"/>
      <c r="E454" s="4900"/>
      <c r="F454" s="4900"/>
      <c r="G454" s="4900"/>
      <c r="H454" s="4900"/>
      <c r="I454" s="4900"/>
      <c r="J454" s="4900"/>
      <c r="K454" s="4900"/>
      <c r="L454" s="4900"/>
      <c r="M454" s="4900"/>
    </row>
    <row r="455" spans="2:13">
      <c r="B455" s="4900" t="s">
        <v>1411</v>
      </c>
      <c r="C455" s="4900"/>
      <c r="D455" s="4900"/>
      <c r="E455" s="4900"/>
      <c r="F455" s="4900"/>
      <c r="G455" s="4900"/>
      <c r="H455" s="4900"/>
      <c r="I455" s="4900"/>
      <c r="J455" s="4900"/>
      <c r="K455" s="4900"/>
      <c r="L455" s="4900"/>
      <c r="M455" s="4900"/>
    </row>
    <row r="456" spans="2:13">
      <c r="B456" s="4900" t="s">
        <v>1412</v>
      </c>
      <c r="C456" s="4900"/>
      <c r="D456" s="4900"/>
      <c r="E456" s="4900"/>
      <c r="F456" s="4900"/>
      <c r="G456" s="4900"/>
      <c r="H456" s="4900"/>
      <c r="I456" s="4900"/>
      <c r="J456" s="4900"/>
      <c r="K456" s="4900"/>
      <c r="L456" s="4900"/>
      <c r="M456" s="4900"/>
    </row>
    <row r="457" spans="2:13">
      <c r="B457" s="4902" t="s">
        <v>1413</v>
      </c>
      <c r="C457" s="4902"/>
      <c r="D457" s="4902"/>
      <c r="E457" s="4900"/>
      <c r="F457" s="4900"/>
      <c r="G457" s="4900"/>
      <c r="H457" s="4900"/>
      <c r="I457" s="4900"/>
      <c r="J457" s="4900"/>
      <c r="K457" s="4900"/>
      <c r="L457" s="4900"/>
      <c r="M457" s="4900"/>
    </row>
    <row r="458" spans="2:13" ht="8.25" customHeight="1">
      <c r="E458" s="4898"/>
      <c r="F458" s="4898"/>
      <c r="G458" s="4898"/>
      <c r="H458" s="4898"/>
      <c r="I458" s="4898"/>
      <c r="J458" s="4898"/>
      <c r="K458" s="4898"/>
      <c r="L458" s="4898"/>
      <c r="M458" s="4898"/>
    </row>
    <row r="459" spans="2:13">
      <c r="E459" s="4898" t="s">
        <v>1454</v>
      </c>
      <c r="F459" s="4898"/>
      <c r="G459" s="4898" t="s">
        <v>1455</v>
      </c>
      <c r="H459" s="4898"/>
      <c r="I459" s="4898" t="s">
        <v>1456</v>
      </c>
      <c r="J459" s="4898"/>
      <c r="K459" s="4898" t="s">
        <v>1457</v>
      </c>
      <c r="L459" s="4898"/>
      <c r="M459" s="4898" t="s">
        <v>1458</v>
      </c>
    </row>
    <row r="460" spans="2:13">
      <c r="E460" s="4898" t="s">
        <v>1459</v>
      </c>
      <c r="F460" s="4898"/>
      <c r="G460" s="4898" t="s">
        <v>1460</v>
      </c>
      <c r="H460" s="4898"/>
      <c r="I460" s="4898" t="s">
        <v>1461</v>
      </c>
      <c r="J460" s="4898"/>
      <c r="K460" s="4898" t="s">
        <v>1462</v>
      </c>
      <c r="L460" s="4898"/>
      <c r="M460" s="4898" t="s">
        <v>1463</v>
      </c>
    </row>
    <row r="461" spans="2:13" ht="7.5" customHeight="1"/>
    <row r="462" spans="2:13">
      <c r="B462" s="4889" t="str">
        <f>B14</f>
        <v>1.  County Treasurer Balance 6/30/2021 *</v>
      </c>
      <c r="E462" s="4954"/>
      <c r="F462" s="4942"/>
      <c r="G462" s="4954"/>
      <c r="H462" s="4942"/>
      <c r="I462" s="4954"/>
      <c r="J462" s="4942"/>
      <c r="K462" s="4954"/>
      <c r="M462" s="4954"/>
    </row>
    <row r="463" spans="2:13" ht="7.5" customHeight="1">
      <c r="B463" s="4906"/>
      <c r="C463" s="4906"/>
      <c r="D463" s="4906"/>
      <c r="E463" s="4955"/>
      <c r="F463" s="4955"/>
      <c r="G463" s="4955"/>
      <c r="H463" s="4955"/>
      <c r="I463" s="4955"/>
      <c r="J463" s="4955"/>
      <c r="K463" s="4955"/>
      <c r="M463" s="4955"/>
    </row>
    <row r="464" spans="2:13">
      <c r="B464" s="4889" t="str">
        <f>B16</f>
        <v>2.  2020 Actual Taxes Levied*</v>
      </c>
      <c r="E464" s="4954"/>
      <c r="F464" s="4942"/>
      <c r="G464" s="4954"/>
      <c r="H464" s="4942"/>
      <c r="I464" s="4954"/>
      <c r="J464" s="4942"/>
      <c r="K464" s="4954"/>
      <c r="M464" s="4954"/>
    </row>
    <row r="465" spans="2:13" ht="6.75" customHeight="1">
      <c r="E465" s="4942"/>
      <c r="F465" s="4942"/>
      <c r="G465" s="4942"/>
      <c r="H465" s="4942"/>
      <c r="I465" s="4942"/>
      <c r="J465" s="4942"/>
      <c r="K465" s="4942"/>
      <c r="M465" s="4942"/>
    </row>
    <row r="466" spans="2:13">
      <c r="B466" s="4889" t="s">
        <v>1441</v>
      </c>
      <c r="C466" s="4929">
        <f>C373</f>
        <v>0</v>
      </c>
      <c r="D466" s="4935"/>
      <c r="E466" s="4905">
        <f>E464*$C$466/100</f>
        <v>0</v>
      </c>
      <c r="F466" s="4908"/>
      <c r="G466" s="4905">
        <f>G464*$C$466/100</f>
        <v>0</v>
      </c>
      <c r="H466" s="4908"/>
      <c r="I466" s="4905">
        <f>I464*$C$466/100</f>
        <v>0</v>
      </c>
      <c r="J466" s="4908"/>
      <c r="K466" s="4905">
        <f>K464*$C$466/100</f>
        <v>0</v>
      </c>
      <c r="L466" s="4908"/>
      <c r="M466" s="4905">
        <f>M464*$C$466/100</f>
        <v>0</v>
      </c>
    </row>
    <row r="467" spans="2:13" ht="6.75" customHeight="1">
      <c r="E467" s="4942"/>
      <c r="F467" s="4942"/>
      <c r="G467" s="4942"/>
      <c r="H467" s="4942"/>
      <c r="I467" s="4942"/>
      <c r="J467" s="4942"/>
      <c r="K467" s="4942"/>
      <c r="M467" s="4942"/>
    </row>
    <row r="468" spans="2:13">
      <c r="B468" s="4889" t="str">
        <f>B20</f>
        <v>4.  Less:  Jan. 20, 2021 Taxes received**</v>
      </c>
      <c r="E468" s="4954"/>
      <c r="F468" s="4942"/>
      <c r="G468" s="4954"/>
      <c r="H468" s="4942"/>
      <c r="I468" s="4954"/>
      <c r="J468" s="4942"/>
      <c r="K468" s="4954"/>
      <c r="M468" s="4954"/>
    </row>
    <row r="469" spans="2:13" ht="8.25" customHeight="1">
      <c r="E469" s="4904"/>
      <c r="F469" s="4942"/>
      <c r="G469" s="4942"/>
      <c r="H469" s="4942"/>
      <c r="I469" s="4942"/>
      <c r="J469" s="4942"/>
      <c r="K469" s="4942"/>
      <c r="M469" s="4942"/>
    </row>
    <row r="470" spans="2:13">
      <c r="B470" s="4889" t="str">
        <f>B22</f>
        <v>5.  Less:  Mar. 20, 2021  Taxes received**</v>
      </c>
      <c r="E470" s="4954"/>
      <c r="F470" s="4942"/>
      <c r="G470" s="4954"/>
      <c r="H470" s="4942"/>
      <c r="I470" s="4954"/>
      <c r="J470" s="4942"/>
      <c r="K470" s="4954"/>
      <c r="M470" s="4954"/>
    </row>
    <row r="471" spans="2:13" ht="7.5" customHeight="1">
      <c r="E471" s="4943"/>
      <c r="F471" s="4942"/>
      <c r="G471" s="4943"/>
      <c r="H471" s="4942"/>
      <c r="I471" s="4943"/>
      <c r="J471" s="4942"/>
      <c r="K471" s="4943"/>
      <c r="M471" s="4943"/>
    </row>
    <row r="472" spans="2:13">
      <c r="B472" s="4889" t="str">
        <f>B24</f>
        <v>6.  Less:  June 5,  2021 Taxes received**</v>
      </c>
      <c r="E472" s="4954"/>
      <c r="F472" s="4942"/>
      <c r="G472" s="4954"/>
      <c r="H472" s="4942"/>
      <c r="I472" s="4954"/>
      <c r="J472" s="4942"/>
      <c r="K472" s="4954"/>
      <c r="M472" s="4954"/>
    </row>
    <row r="473" spans="2:13" ht="9" customHeight="1">
      <c r="E473" s="4943"/>
      <c r="F473" s="4942"/>
      <c r="G473" s="4943"/>
      <c r="H473" s="4942"/>
      <c r="I473" s="4943"/>
      <c r="J473" s="4942"/>
      <c r="K473" s="4943"/>
      <c r="M473" s="4943"/>
    </row>
    <row r="474" spans="2:13">
      <c r="B474" s="4889" t="s">
        <v>1421</v>
      </c>
      <c r="E474" s="4954"/>
      <c r="F474" s="4942"/>
      <c r="G474" s="4954"/>
      <c r="H474" s="4942"/>
      <c r="I474" s="4954"/>
      <c r="J474" s="4942"/>
      <c r="K474" s="4954"/>
      <c r="M474" s="4954"/>
    </row>
    <row r="475" spans="2:13" ht="8.25" customHeight="1">
      <c r="E475" s="4942"/>
      <c r="F475" s="4942"/>
      <c r="G475" s="4942"/>
      <c r="H475" s="4942"/>
      <c r="I475" s="4942"/>
      <c r="J475" s="4942"/>
      <c r="K475" s="4942"/>
      <c r="M475" s="4942"/>
    </row>
    <row r="476" spans="2:13">
      <c r="B476" s="4889" t="s">
        <v>1422</v>
      </c>
      <c r="E476" s="4954"/>
      <c r="F476" s="4942"/>
      <c r="G476" s="4954"/>
      <c r="H476" s="4942"/>
      <c r="I476" s="4954"/>
      <c r="J476" s="4942"/>
      <c r="K476" s="4954"/>
      <c r="M476" s="4954"/>
    </row>
    <row r="477" spans="2:13">
      <c r="B477" s="4889" t="s">
        <v>1423</v>
      </c>
      <c r="E477" s="4956"/>
      <c r="F477" s="4942"/>
      <c r="G477" s="4956"/>
      <c r="H477" s="4942"/>
      <c r="I477" s="4956"/>
      <c r="J477" s="4942"/>
      <c r="K477" s="4956"/>
      <c r="M477" s="4956"/>
    </row>
    <row r="478" spans="2:13">
      <c r="B478" s="4889" t="s">
        <v>1442</v>
      </c>
      <c r="E478" s="4905">
        <f>SUM(E466:E477)</f>
        <v>0</v>
      </c>
      <c r="F478" s="4908"/>
      <c r="G478" s="4905">
        <f>SUM(G466:G477)</f>
        <v>0</v>
      </c>
      <c r="H478" s="4908"/>
      <c r="I478" s="4905">
        <f>SUM(I466:I477)</f>
        <v>0</v>
      </c>
      <c r="J478" s="4908"/>
      <c r="K478" s="4905">
        <f>SUM(K466:K477)</f>
        <v>0</v>
      </c>
      <c r="L478" s="4935"/>
      <c r="M478" s="4905">
        <f>SUM(M466:M477)</f>
        <v>0</v>
      </c>
    </row>
    <row r="479" spans="2:13" ht="8.25" customHeight="1">
      <c r="E479" s="4904"/>
      <c r="F479" s="4904"/>
      <c r="G479" s="4904"/>
      <c r="H479" s="4904"/>
      <c r="I479" s="4904"/>
      <c r="J479" s="4904"/>
      <c r="K479" s="4904"/>
      <c r="L479" s="4935"/>
      <c r="M479" s="4904"/>
    </row>
    <row r="480" spans="2:13">
      <c r="B480" s="4889" t="str">
        <f>B32</f>
        <v>11. 2020 taxes receivable (taxes in process</v>
      </c>
      <c r="E480" s="4904"/>
      <c r="F480" s="4904"/>
      <c r="G480" s="4904"/>
      <c r="H480" s="4904"/>
      <c r="I480" s="4904"/>
      <c r="J480" s="4904"/>
      <c r="K480" s="4904"/>
      <c r="L480" s="4935"/>
      <c r="M480" s="4904"/>
    </row>
    <row r="481" spans="2:15">
      <c r="B481" s="4889" t="str">
        <f>B33</f>
        <v xml:space="preserve">     of collection 6/30/2021) (Line 2 less Line 10)</v>
      </c>
      <c r="E481" s="4905">
        <f>IF(E478&lt;=0,0,E464-E478)</f>
        <v>0</v>
      </c>
      <c r="F481" s="4908"/>
      <c r="G481" s="4905">
        <f>IF(G478&lt;=0,0,G464-G478)</f>
        <v>0</v>
      </c>
      <c r="H481" s="4908"/>
      <c r="I481" s="4905">
        <f>IF(I478&lt;=0,0,I464-I478)</f>
        <v>0</v>
      </c>
      <c r="J481" s="4908"/>
      <c r="K481" s="4905">
        <f>IF(K478&lt;=0,0,K464-K478)</f>
        <v>0</v>
      </c>
      <c r="L481" s="4908"/>
      <c r="M481" s="4905">
        <f>IF(M478&lt;=0,0,M464-M478)</f>
        <v>0</v>
      </c>
    </row>
    <row r="482" spans="2:15" ht="7.5" customHeight="1">
      <c r="E482" s="4904"/>
      <c r="F482" s="4904"/>
      <c r="G482" s="4904"/>
      <c r="H482" s="4904"/>
      <c r="I482" s="4904"/>
      <c r="J482" s="4904"/>
      <c r="K482" s="4904"/>
      <c r="L482" s="4935"/>
      <c r="M482" s="4904"/>
    </row>
    <row r="483" spans="2:15">
      <c r="B483" s="4889" t="s">
        <v>1443</v>
      </c>
      <c r="E483" s="4904"/>
      <c r="F483" s="4904"/>
      <c r="G483" s="4904"/>
      <c r="H483" s="4904"/>
      <c r="I483" s="4904"/>
      <c r="J483" s="4904"/>
      <c r="K483" s="4904"/>
      <c r="L483" s="4935"/>
      <c r="M483" s="4904"/>
    </row>
    <row r="484" spans="2:15">
      <c r="B484" s="4889" t="s">
        <v>1426</v>
      </c>
      <c r="E484" s="4904"/>
      <c r="F484" s="4904"/>
      <c r="G484" s="4904"/>
      <c r="H484" s="4904"/>
      <c r="I484" s="4904"/>
      <c r="J484" s="4904"/>
      <c r="K484" s="4904"/>
      <c r="L484" s="4935"/>
      <c r="M484" s="4904"/>
    </row>
    <row r="485" spans="2:15">
      <c r="B485" s="4889" t="str">
        <f>B37</f>
        <v xml:space="preserve">     (7-1-2021 to 12-31-2022) (Line 3 x 75%)</v>
      </c>
      <c r="E485" s="4905">
        <f>SUM(E466*0.75)</f>
        <v>0</v>
      </c>
      <c r="F485" s="4908"/>
      <c r="G485" s="4905">
        <f>SUM(G466*0.75)</f>
        <v>0</v>
      </c>
      <c r="H485" s="4908"/>
      <c r="I485" s="4905">
        <f>SUM(I466*0.75)</f>
        <v>0</v>
      </c>
      <c r="J485" s="4908"/>
      <c r="K485" s="4905">
        <f>SUM(K466*0.75)</f>
        <v>0</v>
      </c>
      <c r="L485" s="4935"/>
      <c r="M485" s="4905">
        <f>SUM(M466*0.75)</f>
        <v>0</v>
      </c>
    </row>
    <row r="486" spans="2:15" ht="9" customHeight="1">
      <c r="E486" s="4935"/>
      <c r="F486" s="4935"/>
      <c r="G486" s="4935"/>
      <c r="H486" s="4935"/>
      <c r="I486" s="4935"/>
      <c r="J486" s="4935"/>
      <c r="K486" s="4935"/>
      <c r="L486" s="4935"/>
      <c r="M486" s="4935"/>
    </row>
    <row r="487" spans="2:15">
      <c r="B487" s="4949" t="str">
        <f>B39</f>
        <v>Tax Collection Ratio (Jan, Mar, June)</v>
      </c>
      <c r="C487" s="4910"/>
      <c r="D487" s="4910"/>
      <c r="E487" s="4951">
        <f>IF(E464&lt;&gt;0,(E468+E470+E472+E474+E476)/E464*100,0)</f>
        <v>0</v>
      </c>
      <c r="F487" s="4938" t="s">
        <v>886</v>
      </c>
      <c r="G487" s="4951">
        <f>IF(G464&lt;&gt;0,(G468+G470+G472+G474+G476)/G464*100,0)</f>
        <v>0</v>
      </c>
      <c r="H487" s="4938" t="s">
        <v>886</v>
      </c>
      <c r="I487" s="4951">
        <f>IF(I464&lt;&gt;0,(I468+I470+I472+I474+I476)/I464*100,0)</f>
        <v>0</v>
      </c>
      <c r="J487" s="4938" t="s">
        <v>886</v>
      </c>
      <c r="K487" s="4951">
        <f>IF(K464&lt;&gt;0,(K468+K470+K472+K474+K476)/K464*100,0)</f>
        <v>0</v>
      </c>
      <c r="L487" s="4938" t="s">
        <v>886</v>
      </c>
      <c r="M487" s="4951">
        <f>IF(M464&lt;&gt;0,(M468+M470+M472+M474+M476)/M464*100,0)</f>
        <v>0</v>
      </c>
      <c r="N487" s="4917" t="s">
        <v>886</v>
      </c>
      <c r="O487" s="4910"/>
    </row>
    <row r="488" spans="2:15" ht="6.75" customHeight="1">
      <c r="B488" s="4906"/>
      <c r="C488" s="4906"/>
      <c r="D488" s="4906"/>
      <c r="E488" s="4906"/>
      <c r="F488" s="4906"/>
      <c r="G488" s="4906"/>
      <c r="H488" s="4906"/>
      <c r="I488" s="4906"/>
      <c r="J488" s="4906"/>
      <c r="K488" s="4906"/>
      <c r="L488" s="4906"/>
      <c r="M488" s="4906"/>
    </row>
    <row r="489" spans="2:15">
      <c r="B489" s="4889" t="str">
        <f>B97</f>
        <v>*Amounts are available from the County Treasurer.       **These Jan.-June, 2021 amounts are available from the County Treasurer.  (Should correspond to school</v>
      </c>
    </row>
    <row r="490" spans="2:15">
      <c r="B490" s="4889" t="str">
        <f>B98</f>
        <v xml:space="preserve"> records and does not include MVPT.)   Include Watercraft Tax if USD received payment direct from county.</v>
      </c>
    </row>
    <row r="491" spans="2:15">
      <c r="B491" s="4892" t="str">
        <f>$B$1</f>
        <v>Kansas Department of Education</v>
      </c>
      <c r="M491" s="4890" t="s">
        <v>1464</v>
      </c>
    </row>
    <row r="492" spans="2:15">
      <c r="B492" s="4933" t="str">
        <f>$B$2</f>
        <v>Form 0-135-110</v>
      </c>
      <c r="C492" s="4892"/>
      <c r="D492" s="4892"/>
      <c r="G492" s="4893" t="s">
        <v>1408</v>
      </c>
      <c r="H492" s="4893"/>
      <c r="I492" s="4894" t="str">
        <f>I356</f>
        <v>237 - Smith Center</v>
      </c>
      <c r="J492" s="4895"/>
      <c r="K492" s="4895"/>
      <c r="L492" s="4893" t="s">
        <v>1409</v>
      </c>
      <c r="M492" s="4896">
        <f>M2</f>
        <v>237</v>
      </c>
    </row>
    <row r="493" spans="2:15">
      <c r="B493" s="4933">
        <f>$B$3</f>
        <v>44348</v>
      </c>
      <c r="K493" s="4893" t="s">
        <v>879</v>
      </c>
      <c r="M493" s="4895" t="str">
        <f>M357</f>
        <v>Jewell</v>
      </c>
    </row>
    <row r="494" spans="2:15" ht="6.75" customHeight="1">
      <c r="E494" s="4900"/>
      <c r="F494" s="4900"/>
      <c r="G494" s="4900"/>
      <c r="H494" s="4900"/>
      <c r="I494" s="4900"/>
      <c r="J494" s="4900"/>
      <c r="K494" s="4901"/>
      <c r="L494" s="4901"/>
      <c r="M494" s="4900"/>
    </row>
    <row r="495" spans="2:15">
      <c r="B495" s="4900" t="str">
        <f>B5</f>
        <v>2021-2022</v>
      </c>
      <c r="C495" s="4900"/>
      <c r="D495" s="4900"/>
      <c r="E495" s="4900"/>
      <c r="F495" s="4900"/>
      <c r="G495" s="4900"/>
      <c r="H495" s="4900"/>
      <c r="I495" s="4900"/>
      <c r="J495" s="4900"/>
      <c r="K495" s="4900"/>
      <c r="L495" s="4900"/>
      <c r="M495" s="4900"/>
    </row>
    <row r="496" spans="2:15">
      <c r="B496" s="4900" t="s">
        <v>1411</v>
      </c>
      <c r="C496" s="4900"/>
      <c r="D496" s="4900"/>
      <c r="E496" s="4900"/>
      <c r="F496" s="4900"/>
      <c r="G496" s="4900"/>
      <c r="H496" s="4900"/>
      <c r="I496" s="4900"/>
      <c r="J496" s="4900"/>
      <c r="K496" s="4900"/>
      <c r="L496" s="4900"/>
      <c r="M496" s="4900"/>
    </row>
    <row r="497" spans="2:15">
      <c r="B497" s="4900" t="s">
        <v>1412</v>
      </c>
      <c r="C497" s="4900"/>
      <c r="D497" s="4900"/>
      <c r="E497" s="4900"/>
      <c r="F497" s="4900"/>
      <c r="G497" s="4900"/>
      <c r="H497" s="4900"/>
      <c r="I497" s="4900"/>
      <c r="J497" s="4900"/>
      <c r="K497" s="4900"/>
      <c r="L497" s="4900"/>
      <c r="M497" s="4900"/>
    </row>
    <row r="498" spans="2:15">
      <c r="B498" s="4902" t="s">
        <v>1413</v>
      </c>
      <c r="C498" s="4902"/>
      <c r="D498" s="4902"/>
      <c r="E498" s="4900"/>
      <c r="F498" s="4900"/>
      <c r="G498" s="4900"/>
      <c r="H498" s="4900"/>
      <c r="I498" s="4900"/>
      <c r="J498" s="4900"/>
      <c r="K498" s="4900"/>
      <c r="L498" s="4900"/>
      <c r="M498" s="4900"/>
    </row>
    <row r="499" spans="2:15" ht="6.75" customHeight="1">
      <c r="E499" s="4898"/>
      <c r="F499" s="4898"/>
      <c r="G499" s="4898"/>
      <c r="H499" s="4898"/>
      <c r="I499" s="4898"/>
      <c r="J499" s="4898"/>
      <c r="K499" s="4898"/>
      <c r="L499" s="4898"/>
      <c r="M499" s="4898"/>
    </row>
    <row r="500" spans="2:15">
      <c r="E500" s="4952"/>
      <c r="F500" s="4898"/>
      <c r="G500" s="4898" t="str">
        <f>G149</f>
        <v>Rec. Comm</v>
      </c>
      <c r="H500" s="4898"/>
      <c r="I500" s="4898" t="s">
        <v>1465</v>
      </c>
      <c r="J500" s="4898"/>
      <c r="K500" s="4931" t="s">
        <v>1466</v>
      </c>
      <c r="L500" s="4898"/>
      <c r="M500" s="4935"/>
    </row>
    <row r="501" spans="2:15">
      <c r="E501" s="4952" t="s">
        <v>1467</v>
      </c>
      <c r="F501" s="4898"/>
      <c r="G501" s="4898" t="str">
        <f>G150</f>
        <v>Emp Benef</v>
      </c>
      <c r="H501" s="4898"/>
      <c r="I501" s="4898" t="s">
        <v>1468</v>
      </c>
      <c r="J501" s="4898"/>
      <c r="K501" s="4898" t="s">
        <v>1469</v>
      </c>
      <c r="L501" s="4898"/>
      <c r="M501" s="4952" t="s">
        <v>1470</v>
      </c>
    </row>
    <row r="502" spans="2:15">
      <c r="E502" s="4952" t="s">
        <v>1471</v>
      </c>
      <c r="G502" s="4898" t="str">
        <f>G151</f>
        <v>&amp; Spec Liab</v>
      </c>
      <c r="I502" s="4898" t="s">
        <v>1472</v>
      </c>
      <c r="K502" s="4898" t="s">
        <v>1473</v>
      </c>
      <c r="M502" s="4952" t="s">
        <v>1474</v>
      </c>
    </row>
    <row r="503" spans="2:15" ht="6" customHeight="1">
      <c r="G503" s="4931"/>
    </row>
    <row r="504" spans="2:15">
      <c r="B504" s="4889" t="str">
        <f>B14</f>
        <v>1.  County Treasurer Balance 6/30/2021 *</v>
      </c>
      <c r="E504" s="4953"/>
      <c r="F504" s="4942"/>
      <c r="G504" s="4954"/>
      <c r="H504" s="4942"/>
      <c r="I504" s="4954"/>
      <c r="J504" s="4942"/>
      <c r="K504" s="4954"/>
      <c r="M504" s="4959"/>
    </row>
    <row r="505" spans="2:15" ht="7.5" customHeight="1">
      <c r="B505" s="4906"/>
      <c r="C505" s="4906"/>
      <c r="D505" s="4906"/>
      <c r="E505" s="4955"/>
      <c r="F505" s="4955"/>
      <c r="G505" s="4955"/>
      <c r="H505" s="4955"/>
      <c r="I505" s="4955"/>
      <c r="J505" s="4955"/>
      <c r="K505" s="4955"/>
      <c r="M505" s="4955"/>
    </row>
    <row r="506" spans="2:15">
      <c r="B506" s="4889" t="str">
        <f>B16</f>
        <v>2.  2020 Actual Taxes Levied*</v>
      </c>
      <c r="E506" s="4953"/>
      <c r="F506" s="4942"/>
      <c r="G506" s="4954"/>
      <c r="H506" s="4942"/>
      <c r="I506" s="4954"/>
      <c r="J506" s="4942"/>
      <c r="K506" s="4954"/>
      <c r="M506" s="4959"/>
    </row>
    <row r="507" spans="2:15" ht="7.5" customHeight="1">
      <c r="E507" s="4942"/>
      <c r="F507" s="4942"/>
      <c r="G507" s="4942"/>
      <c r="H507" s="4942"/>
      <c r="I507" s="4942"/>
      <c r="J507" s="4942"/>
      <c r="K507" s="4942"/>
      <c r="M507" s="4942"/>
      <c r="O507" s="4935"/>
    </row>
    <row r="508" spans="2:15">
      <c r="B508" s="4889" t="s">
        <v>1441</v>
      </c>
      <c r="C508" s="4929">
        <f>C373</f>
        <v>0</v>
      </c>
      <c r="D508" s="4935"/>
      <c r="E508" s="4953"/>
      <c r="F508" s="4908"/>
      <c r="G508" s="4905">
        <f>G506*$C$508/100</f>
        <v>0</v>
      </c>
      <c r="H508" s="4908"/>
      <c r="I508" s="4905">
        <f>I506*$C$508/100</f>
        <v>0</v>
      </c>
      <c r="J508" s="4908"/>
      <c r="K508" s="4905">
        <f>K506*$C$508/100</f>
        <v>0</v>
      </c>
      <c r="L508" s="4908"/>
      <c r="M508" s="4905">
        <f>M506*$C$508/100</f>
        <v>0</v>
      </c>
    </row>
    <row r="509" spans="2:15" ht="7.5" customHeight="1">
      <c r="E509" s="4942"/>
      <c r="F509" s="4942"/>
      <c r="G509" s="4942"/>
      <c r="H509" s="4942"/>
      <c r="I509" s="4942"/>
      <c r="J509" s="4942"/>
      <c r="K509" s="4942"/>
      <c r="M509" s="4942"/>
    </row>
    <row r="510" spans="2:15">
      <c r="B510" s="4889" t="str">
        <f>B20</f>
        <v>4.  Less:  Jan. 20, 2021 Taxes received**</v>
      </c>
      <c r="E510" s="4953"/>
      <c r="F510" s="4942"/>
      <c r="G510" s="4954"/>
      <c r="H510" s="4942"/>
      <c r="I510" s="4954"/>
      <c r="J510" s="4942"/>
      <c r="K510" s="4954"/>
      <c r="M510" s="4959"/>
    </row>
    <row r="511" spans="2:15" ht="8.25" customHeight="1">
      <c r="E511" s="4942"/>
      <c r="F511" s="4942"/>
      <c r="G511" s="4942"/>
      <c r="H511" s="4942"/>
      <c r="I511" s="4942"/>
      <c r="J511" s="4942"/>
      <c r="K511" s="4942"/>
      <c r="M511" s="4942"/>
    </row>
    <row r="512" spans="2:15">
      <c r="B512" s="4889" t="str">
        <f>B22</f>
        <v>5.  Less:  Mar. 20, 2021  Taxes received**</v>
      </c>
      <c r="E512" s="4953"/>
      <c r="F512" s="4942"/>
      <c r="G512" s="4954"/>
      <c r="H512" s="4942"/>
      <c r="I512" s="4954"/>
      <c r="J512" s="4942"/>
      <c r="K512" s="4954"/>
      <c r="M512" s="4959"/>
    </row>
    <row r="513" spans="2:13" ht="8.25" customHeight="1">
      <c r="E513" s="4943"/>
      <c r="F513" s="4942"/>
      <c r="G513" s="4943"/>
      <c r="H513" s="4942"/>
      <c r="I513" s="4943"/>
      <c r="J513" s="4942"/>
      <c r="K513" s="4943"/>
      <c r="M513" s="4943"/>
    </row>
    <row r="514" spans="2:13">
      <c r="B514" s="4889" t="str">
        <f>B24</f>
        <v>6.  Less:  June 5,  2021 Taxes received**</v>
      </c>
      <c r="E514" s="4953"/>
      <c r="F514" s="4942"/>
      <c r="G514" s="4954"/>
      <c r="H514" s="4942"/>
      <c r="I514" s="4954"/>
      <c r="J514" s="4942"/>
      <c r="K514" s="4954"/>
      <c r="M514" s="4959"/>
    </row>
    <row r="515" spans="2:13" ht="8.25" customHeight="1">
      <c r="E515" s="4908"/>
      <c r="F515" s="4942"/>
      <c r="G515" s="4908"/>
      <c r="H515" s="4942"/>
      <c r="I515" s="4943"/>
      <c r="J515" s="4942"/>
      <c r="K515" s="4943"/>
      <c r="M515" s="4943"/>
    </row>
    <row r="516" spans="2:13">
      <c r="B516" s="4889" t="s">
        <v>1421</v>
      </c>
      <c r="E516" s="4953"/>
      <c r="F516" s="4942"/>
      <c r="G516" s="4954"/>
      <c r="H516" s="4942"/>
      <c r="I516" s="4954"/>
      <c r="J516" s="4942"/>
      <c r="K516" s="4954"/>
      <c r="M516" s="4959"/>
    </row>
    <row r="517" spans="2:13" ht="8.25" customHeight="1">
      <c r="E517" s="4942"/>
      <c r="F517" s="4942"/>
      <c r="G517" s="4942"/>
      <c r="H517" s="4942"/>
      <c r="I517" s="4942"/>
      <c r="J517" s="4942"/>
      <c r="K517" s="4942"/>
      <c r="M517" s="4942"/>
    </row>
    <row r="518" spans="2:13">
      <c r="B518" s="4889" t="s">
        <v>1422</v>
      </c>
      <c r="E518" s="4953"/>
      <c r="F518" s="4942"/>
      <c r="G518" s="4954"/>
      <c r="H518" s="4942"/>
      <c r="I518" s="4954"/>
      <c r="J518" s="4942"/>
      <c r="K518" s="4954"/>
      <c r="M518" s="4959"/>
    </row>
    <row r="519" spans="2:13">
      <c r="B519" s="4889" t="s">
        <v>1423</v>
      </c>
      <c r="E519" s="4953"/>
      <c r="F519" s="4942"/>
      <c r="G519" s="4956"/>
      <c r="H519" s="4942"/>
      <c r="I519" s="4956"/>
      <c r="J519" s="4942"/>
      <c r="K519" s="4956"/>
      <c r="M519" s="4960"/>
    </row>
    <row r="520" spans="2:13">
      <c r="B520" s="4889" t="s">
        <v>1442</v>
      </c>
      <c r="E520" s="4953"/>
      <c r="F520" s="4908"/>
      <c r="G520" s="4905">
        <f>SUM(G508:G519)</f>
        <v>0</v>
      </c>
      <c r="H520" s="4908"/>
      <c r="I520" s="4905">
        <f>SUM(I508:I519)</f>
        <v>0</v>
      </c>
      <c r="J520" s="4908"/>
      <c r="K520" s="4905">
        <f>SUM(K508:K519)</f>
        <v>0</v>
      </c>
      <c r="L520" s="4935"/>
      <c r="M520" s="4905">
        <f>SUM(M508:M519)</f>
        <v>0</v>
      </c>
    </row>
    <row r="521" spans="2:13" ht="7.5" customHeight="1">
      <c r="E521" s="4904"/>
      <c r="F521" s="4904"/>
      <c r="G521" s="4904"/>
      <c r="H521" s="4904"/>
      <c r="I521" s="4904"/>
      <c r="J521" s="4904"/>
      <c r="K521" s="4904"/>
      <c r="L521" s="4935"/>
      <c r="M521" s="4904"/>
    </row>
    <row r="522" spans="2:13">
      <c r="B522" s="4889" t="str">
        <f>B32</f>
        <v>11. 2020 taxes receivable (taxes in process</v>
      </c>
      <c r="E522" s="4904"/>
      <c r="F522" s="4904"/>
      <c r="G522" s="4904"/>
      <c r="H522" s="4904"/>
      <c r="I522" s="4904"/>
      <c r="J522" s="4904"/>
      <c r="K522" s="4904"/>
      <c r="L522" s="4935"/>
      <c r="M522" s="4904"/>
    </row>
    <row r="523" spans="2:13">
      <c r="B523" s="4889" t="str">
        <f>B33</f>
        <v xml:space="preserve">     of collection 6/30/2021) (Line 2 less Line 10)</v>
      </c>
      <c r="E523" s="4953"/>
      <c r="F523" s="4908"/>
      <c r="G523" s="4905">
        <f>IF(G520&lt;=0,0,G506-G520)</f>
        <v>0</v>
      </c>
      <c r="H523" s="4908"/>
      <c r="I523" s="4905">
        <f>IF(I520&lt;=0,0,I506-I520)</f>
        <v>0</v>
      </c>
      <c r="J523" s="4908"/>
      <c r="K523" s="4905">
        <f>IF(K520&lt;=0,0,K506-K520)</f>
        <v>0</v>
      </c>
      <c r="L523" s="4908"/>
      <c r="M523" s="4905">
        <f>IF(M520&lt;=0,0,M506-M520)</f>
        <v>0</v>
      </c>
    </row>
    <row r="524" spans="2:13" ht="7.5" customHeight="1">
      <c r="E524" s="4904"/>
      <c r="F524" s="4904"/>
      <c r="G524" s="4904"/>
      <c r="H524" s="4904"/>
      <c r="I524" s="4904"/>
      <c r="J524" s="4904"/>
      <c r="K524" s="4904"/>
      <c r="L524" s="4935"/>
      <c r="M524" s="4904"/>
    </row>
    <row r="525" spans="2:13">
      <c r="B525" s="4889" t="s">
        <v>1443</v>
      </c>
      <c r="E525" s="4904"/>
      <c r="F525" s="4904"/>
      <c r="G525" s="4904"/>
      <c r="H525" s="4904"/>
      <c r="I525" s="4904"/>
      <c r="J525" s="4904"/>
      <c r="K525" s="4904"/>
      <c r="L525" s="4935"/>
      <c r="M525" s="4904"/>
    </row>
    <row r="526" spans="2:13">
      <c r="B526" s="4889" t="s">
        <v>1426</v>
      </c>
      <c r="E526" s="4904"/>
      <c r="F526" s="4904"/>
      <c r="G526" s="4904"/>
      <c r="H526" s="4904"/>
      <c r="I526" s="4904"/>
      <c r="J526" s="4904"/>
      <c r="K526" s="4904"/>
      <c r="L526" s="4935"/>
      <c r="M526" s="4904"/>
    </row>
    <row r="527" spans="2:13">
      <c r="B527" s="4889" t="str">
        <f>B37</f>
        <v xml:space="preserve">     (7-1-2021 to 12-31-2022) (Line 3 x 75%)</v>
      </c>
      <c r="E527" s="4953"/>
      <c r="F527" s="4908"/>
      <c r="G527" s="4905">
        <f>SUM(G508*0.75)</f>
        <v>0</v>
      </c>
      <c r="H527" s="4908"/>
      <c r="I527" s="4905">
        <f>SUM(I508*0.75)</f>
        <v>0</v>
      </c>
      <c r="J527" s="4908"/>
      <c r="K527" s="4905">
        <f>SUM(K508*0.75)</f>
        <v>0</v>
      </c>
      <c r="L527" s="4935"/>
      <c r="M527" s="4905">
        <f>SUM(M508*0.75)</f>
        <v>0</v>
      </c>
    </row>
    <row r="528" spans="2:13" ht="7.5" customHeight="1">
      <c r="E528" s="4935"/>
      <c r="F528" s="4935"/>
      <c r="G528" s="4935"/>
      <c r="H528" s="4935"/>
      <c r="I528" s="4935"/>
      <c r="J528" s="4935"/>
      <c r="K528" s="4935"/>
      <c r="L528" s="4935"/>
      <c r="M528" s="4935"/>
    </row>
    <row r="529" spans="2:15">
      <c r="B529" s="4949" t="str">
        <f>B39</f>
        <v>Tax Collection Ratio (Jan, Mar, June)</v>
      </c>
      <c r="C529" s="4910"/>
      <c r="D529" s="4910"/>
      <c r="E529" s="4908"/>
      <c r="F529" s="4938"/>
      <c r="G529" s="4951">
        <f>IF(G506&lt;&gt;0,(G510+G512+G514+G516+G518)/G506*100,0)</f>
        <v>0</v>
      </c>
      <c r="H529" s="4938" t="s">
        <v>886</v>
      </c>
      <c r="I529" s="4951">
        <f>IF(I506&lt;&gt;0,(I510+I512+I514+I516+I518)/I506*100,0)</f>
        <v>0</v>
      </c>
      <c r="J529" s="4938" t="s">
        <v>886</v>
      </c>
      <c r="K529" s="4951">
        <f>IF(K506&lt;&gt;0,(K510+K512+K514+K516+K518)/K506*100,0)</f>
        <v>0</v>
      </c>
      <c r="L529" s="4938" t="s">
        <v>886</v>
      </c>
      <c r="M529" s="4951">
        <f>IF(M506&lt;&gt;0,(M510+M512+M514+M516+M518)/M506*100,0)</f>
        <v>0</v>
      </c>
      <c r="N529" s="4917" t="s">
        <v>886</v>
      </c>
    </row>
    <row r="530" spans="2:15" ht="6" customHeight="1">
      <c r="B530" s="4906"/>
      <c r="C530" s="4906"/>
      <c r="D530" s="4906"/>
      <c r="E530" s="4906"/>
      <c r="F530" s="4906"/>
      <c r="G530" s="4906"/>
      <c r="H530" s="4906"/>
      <c r="I530" s="4906"/>
      <c r="J530" s="4906"/>
      <c r="K530" s="4906"/>
      <c r="L530" s="4906"/>
      <c r="M530" s="4906"/>
    </row>
    <row r="531" spans="2:15">
      <c r="B531" s="4889" t="str">
        <f>B97</f>
        <v>*Amounts are available from the County Treasurer.       **These Jan.-June, 2021 amounts are available from the County Treasurer.  (Should correspond to school</v>
      </c>
    </row>
    <row r="532" spans="2:15">
      <c r="B532" s="4889" t="str">
        <f>B98</f>
        <v xml:space="preserve"> records and does not include MVPT.)   Include Watercraft Tax if USD received payment direct from county.</v>
      </c>
    </row>
    <row r="533" spans="2:15">
      <c r="B533" s="4892" t="str">
        <f>$B$1</f>
        <v>Kansas Department of Education</v>
      </c>
      <c r="M533" s="4890" t="s">
        <v>1407</v>
      </c>
      <c r="O533" s="4910"/>
    </row>
    <row r="534" spans="2:15">
      <c r="B534" s="4933" t="str">
        <f>$B$2</f>
        <v>Form 0-135-110</v>
      </c>
      <c r="C534" s="4892"/>
      <c r="D534" s="4892"/>
      <c r="F534" s="4893"/>
      <c r="G534" s="4893" t="s">
        <v>1408</v>
      </c>
      <c r="H534" s="4893"/>
      <c r="I534" s="4894" t="str">
        <f>I2</f>
        <v>237 - Smith Center</v>
      </c>
      <c r="J534" s="4895"/>
      <c r="K534" s="4895"/>
      <c r="L534" s="4893" t="s">
        <v>1409</v>
      </c>
      <c r="M534" s="4896">
        <f>M2</f>
        <v>237</v>
      </c>
    </row>
    <row r="535" spans="2:15">
      <c r="B535" s="4933">
        <f>$B$3</f>
        <v>44348</v>
      </c>
      <c r="K535" s="4893" t="s">
        <v>879</v>
      </c>
      <c r="M535" s="4961" t="s">
        <v>207</v>
      </c>
    </row>
    <row r="536" spans="2:15">
      <c r="E536" s="4900"/>
      <c r="F536" s="4900"/>
      <c r="G536" s="4900"/>
      <c r="H536" s="4900"/>
      <c r="I536" s="4900"/>
      <c r="J536" s="4900"/>
      <c r="K536" s="4901"/>
      <c r="L536" s="4901"/>
      <c r="M536" s="4900"/>
    </row>
    <row r="537" spans="2:15" ht="7.5" customHeight="1">
      <c r="E537" s="4900"/>
      <c r="F537" s="4900"/>
      <c r="G537" s="4900"/>
      <c r="H537" s="4900"/>
      <c r="I537" s="4900"/>
      <c r="J537" s="4900"/>
      <c r="K537" s="4901"/>
      <c r="L537" s="4901"/>
      <c r="M537" s="4900"/>
    </row>
    <row r="538" spans="2:15">
      <c r="B538" s="4900" t="str">
        <f>B5</f>
        <v>2021-2022</v>
      </c>
      <c r="C538" s="4900"/>
      <c r="D538" s="4900"/>
      <c r="E538" s="4900"/>
      <c r="F538" s="4900"/>
      <c r="G538" s="4900"/>
      <c r="H538" s="4900"/>
      <c r="I538" s="4900"/>
      <c r="J538" s="4900"/>
      <c r="K538" s="4900"/>
      <c r="L538" s="4900"/>
      <c r="M538" s="4900"/>
    </row>
    <row r="539" spans="2:15">
      <c r="B539" s="4900" t="s">
        <v>1411</v>
      </c>
      <c r="C539" s="4900"/>
      <c r="D539" s="4900"/>
      <c r="E539" s="4900"/>
      <c r="F539" s="4900"/>
      <c r="G539" s="4900"/>
      <c r="H539" s="4900"/>
      <c r="I539" s="4900"/>
      <c r="J539" s="4900"/>
      <c r="K539" s="4900"/>
      <c r="L539" s="4900"/>
      <c r="M539" s="4900"/>
    </row>
    <row r="540" spans="2:15">
      <c r="B540" s="4900" t="s">
        <v>1412</v>
      </c>
      <c r="C540" s="4900"/>
      <c r="D540" s="4900"/>
      <c r="E540" s="4900"/>
      <c r="F540" s="4900"/>
      <c r="G540" s="4900"/>
      <c r="H540" s="4900"/>
      <c r="I540" s="4900"/>
      <c r="J540" s="4900"/>
      <c r="K540" s="4900"/>
      <c r="L540" s="4900"/>
      <c r="M540" s="4900"/>
    </row>
    <row r="541" spans="2:15">
      <c r="B541" s="4902" t="s">
        <v>1413</v>
      </c>
      <c r="C541" s="4902"/>
      <c r="D541" s="4902"/>
      <c r="E541" s="4900"/>
      <c r="F541" s="4900"/>
      <c r="G541" s="4900"/>
      <c r="H541" s="4900"/>
      <c r="I541" s="4900"/>
      <c r="J541" s="4900"/>
      <c r="K541" s="4900"/>
      <c r="L541" s="4900"/>
      <c r="M541" s="4900"/>
    </row>
    <row r="542" spans="2:15" ht="6.75" customHeight="1"/>
    <row r="543" spans="2:15">
      <c r="E543" s="4898"/>
      <c r="F543" s="4898"/>
      <c r="G543" s="4898" t="s">
        <v>1414</v>
      </c>
      <c r="H543" s="4898"/>
      <c r="I543" s="4898" t="s">
        <v>1415</v>
      </c>
      <c r="J543" s="4898"/>
      <c r="K543" s="4898" t="s">
        <v>1416</v>
      </c>
      <c r="L543" s="4898"/>
      <c r="M543" s="4898"/>
    </row>
    <row r="544" spans="2:15">
      <c r="E544" s="4898" t="s">
        <v>813</v>
      </c>
      <c r="F544" s="4898"/>
      <c r="G544" s="4898" t="s">
        <v>813</v>
      </c>
      <c r="H544" s="4898"/>
      <c r="I544" s="4898" t="s">
        <v>1417</v>
      </c>
      <c r="J544" s="4898"/>
      <c r="K544" s="4898" t="s">
        <v>1418</v>
      </c>
      <c r="L544" s="4898"/>
      <c r="M544" s="4898" t="s">
        <v>1419</v>
      </c>
    </row>
    <row r="545" spans="2:13">
      <c r="E545" s="4898" t="s">
        <v>896</v>
      </c>
      <c r="F545" s="4898"/>
      <c r="G545" s="4898" t="s">
        <v>896</v>
      </c>
      <c r="H545" s="4898"/>
      <c r="I545" s="4898" t="s">
        <v>896</v>
      </c>
      <c r="J545" s="4898"/>
      <c r="K545" s="4898" t="str">
        <f>K12</f>
        <v>Fund #1</v>
      </c>
      <c r="L545" s="4898"/>
      <c r="M545" s="4898" t="str">
        <f>M12</f>
        <v>Fund</v>
      </c>
    </row>
    <row r="546" spans="2:13" ht="7.5" customHeight="1"/>
    <row r="547" spans="2:13">
      <c r="B547" s="4889" t="str">
        <f>B14</f>
        <v>1.  County Treasurer Balance 6/30/2021 *</v>
      </c>
      <c r="E547" s="4953"/>
      <c r="F547" s="4942"/>
      <c r="G547" s="4954"/>
      <c r="H547" s="4942"/>
      <c r="I547" s="4954"/>
      <c r="J547" s="4942"/>
      <c r="K547" s="4954"/>
      <c r="L547" s="4942"/>
      <c r="M547" s="4954"/>
    </row>
    <row r="548" spans="2:13" ht="7.5" customHeight="1">
      <c r="B548" s="4906"/>
      <c r="C548" s="4906"/>
      <c r="D548" s="4906"/>
      <c r="E548" s="4955"/>
      <c r="F548" s="4955"/>
      <c r="G548" s="4955"/>
      <c r="H548" s="4955"/>
      <c r="I548" s="4955"/>
      <c r="J548" s="4955"/>
      <c r="K548" s="4955"/>
      <c r="L548" s="4955"/>
      <c r="M548" s="4955"/>
    </row>
    <row r="549" spans="2:13">
      <c r="B549" s="4889" t="str">
        <f>B16</f>
        <v>2.  2020 Actual Taxes Levied*</v>
      </c>
      <c r="E549" s="4953"/>
      <c r="F549" s="4942"/>
      <c r="G549" s="4954">
        <v>410</v>
      </c>
      <c r="H549" s="4942"/>
      <c r="I549" s="4954">
        <v>167</v>
      </c>
      <c r="J549" s="4942"/>
      <c r="K549" s="4954"/>
      <c r="L549" s="4942"/>
      <c r="M549" s="4954"/>
    </row>
    <row r="550" spans="2:13" ht="8.25" customHeight="1">
      <c r="E550" s="4943"/>
      <c r="F550" s="4942"/>
      <c r="G550" s="4942"/>
      <c r="H550" s="4942"/>
      <c r="I550" s="4942"/>
      <c r="J550" s="4942"/>
      <c r="K550" s="4942"/>
      <c r="L550" s="4942"/>
      <c r="M550" s="4942"/>
    </row>
    <row r="551" spans="2:13">
      <c r="B551" s="4889" t="s">
        <v>1420</v>
      </c>
      <c r="C551" s="4909"/>
      <c r="E551" s="4908"/>
      <c r="F551" s="4908"/>
      <c r="G551" s="4905">
        <f>SUM(G549*$C$551/100)</f>
        <v>0</v>
      </c>
      <c r="H551" s="4908"/>
      <c r="I551" s="4905">
        <f>SUM(I549*$C$551/100)</f>
        <v>0</v>
      </c>
      <c r="J551" s="4908"/>
      <c r="K551" s="4905">
        <f>SUM(K549*$C$551/100)</f>
        <v>0</v>
      </c>
      <c r="L551" s="4908"/>
      <c r="M551" s="4905">
        <f>SUM(M549*$C$551/100)</f>
        <v>0</v>
      </c>
    </row>
    <row r="552" spans="2:13" ht="8.25" customHeight="1">
      <c r="E552" s="4943"/>
      <c r="F552" s="4942"/>
      <c r="G552" s="4942"/>
      <c r="H552" s="4942"/>
      <c r="I552" s="4942"/>
      <c r="J552" s="4942"/>
      <c r="K552" s="4942"/>
      <c r="L552" s="4942"/>
      <c r="M552" s="4942"/>
    </row>
    <row r="553" spans="2:13">
      <c r="B553" s="4889" t="str">
        <f>B20</f>
        <v>4.  Less:  Jan. 20, 2021 Taxes received**</v>
      </c>
      <c r="C553" s="4893"/>
      <c r="E553" s="4953"/>
      <c r="F553" s="4942"/>
      <c r="G553" s="4954">
        <v>407</v>
      </c>
      <c r="H553" s="4942"/>
      <c r="I553" s="4954">
        <v>166</v>
      </c>
      <c r="J553" s="4942"/>
      <c r="K553" s="4954"/>
      <c r="L553" s="4942"/>
      <c r="M553" s="4954"/>
    </row>
    <row r="554" spans="2:13" ht="9" customHeight="1">
      <c r="E554" s="4943"/>
      <c r="F554" s="4942"/>
      <c r="G554" s="4942"/>
      <c r="H554" s="4942"/>
      <c r="I554" s="4942"/>
      <c r="J554" s="4942"/>
      <c r="K554" s="4942"/>
      <c r="L554" s="4942"/>
      <c r="M554" s="4942"/>
    </row>
    <row r="555" spans="2:13">
      <c r="B555" s="4889" t="str">
        <f>B22</f>
        <v>5.  Less:  Mar. 20, 2021  Taxes received**</v>
      </c>
      <c r="E555" s="4953"/>
      <c r="F555" s="4942"/>
      <c r="G555" s="4954"/>
      <c r="H555" s="4942"/>
      <c r="I555" s="4954"/>
      <c r="J555" s="4942"/>
      <c r="K555" s="4954"/>
      <c r="L555" s="4942"/>
      <c r="M555" s="4954"/>
    </row>
    <row r="556" spans="2:13" ht="7.5" customHeight="1">
      <c r="E556" s="4943"/>
      <c r="F556" s="4942"/>
      <c r="G556" s="4942"/>
      <c r="H556" s="4942"/>
      <c r="I556" s="4942"/>
      <c r="J556" s="4942"/>
      <c r="K556" s="4942"/>
      <c r="L556" s="4942"/>
      <c r="M556" s="4942"/>
    </row>
    <row r="557" spans="2:13">
      <c r="B557" s="4889" t="str">
        <f>B24</f>
        <v>6.  Less:  June 5,  2021 Taxes received**</v>
      </c>
      <c r="E557" s="4953"/>
      <c r="F557" s="4942"/>
      <c r="G557" s="4954">
        <v>3</v>
      </c>
      <c r="H557" s="4942"/>
      <c r="I557" s="4954">
        <v>1</v>
      </c>
      <c r="J557" s="4942"/>
      <c r="K557" s="4954"/>
      <c r="L557" s="4942"/>
      <c r="M557" s="4954"/>
    </row>
    <row r="558" spans="2:13" ht="8.25" customHeight="1">
      <c r="E558" s="4943"/>
      <c r="F558" s="4942"/>
      <c r="G558" s="4942"/>
      <c r="H558" s="4942"/>
      <c r="I558" s="4942"/>
      <c r="J558" s="4942"/>
      <c r="K558" s="4942"/>
      <c r="L558" s="4942"/>
      <c r="M558" s="4942"/>
    </row>
    <row r="559" spans="2:13">
      <c r="B559" s="4889" t="s">
        <v>1421</v>
      </c>
      <c r="E559" s="4953"/>
      <c r="F559" s="4942"/>
      <c r="G559" s="4954"/>
      <c r="H559" s="4942"/>
      <c r="I559" s="4954"/>
      <c r="J559" s="4942"/>
      <c r="K559" s="4954"/>
      <c r="L559" s="4942"/>
      <c r="M559" s="4954"/>
    </row>
    <row r="560" spans="2:13" ht="6.75" customHeight="1">
      <c r="E560" s="4943"/>
      <c r="F560" s="4942"/>
      <c r="G560" s="4942"/>
      <c r="H560" s="4942"/>
      <c r="I560" s="4942"/>
      <c r="J560" s="4942"/>
      <c r="K560" s="4942"/>
      <c r="L560" s="4942"/>
      <c r="M560" s="4942"/>
    </row>
    <row r="561" spans="2:14">
      <c r="B561" s="4889" t="s">
        <v>1422</v>
      </c>
      <c r="E561" s="4953"/>
      <c r="F561" s="4942"/>
      <c r="G561" s="4954"/>
      <c r="H561" s="4942"/>
      <c r="I561" s="4954"/>
      <c r="J561" s="4942"/>
      <c r="K561" s="4954"/>
      <c r="L561" s="4942"/>
      <c r="M561" s="4954"/>
    </row>
    <row r="562" spans="2:14">
      <c r="B562" s="4889" t="s">
        <v>1423</v>
      </c>
      <c r="E562" s="4963"/>
      <c r="F562" s="4942"/>
      <c r="G562" s="4956"/>
      <c r="H562" s="4942"/>
      <c r="I562" s="4956"/>
      <c r="J562" s="4942"/>
      <c r="K562" s="4956"/>
      <c r="L562" s="4942"/>
      <c r="M562" s="4956"/>
    </row>
    <row r="563" spans="2:14">
      <c r="B563" s="4889" t="s">
        <v>1424</v>
      </c>
      <c r="E563" s="4963"/>
      <c r="F563" s="4904"/>
      <c r="G563" s="4905">
        <f>SUM(G551:G562)</f>
        <v>410</v>
      </c>
      <c r="H563" s="4904"/>
      <c r="I563" s="4905">
        <f>SUM(I551:I562)</f>
        <v>167</v>
      </c>
      <c r="J563" s="4904"/>
      <c r="K563" s="4905">
        <f>SUM(K551:K562)</f>
        <v>0</v>
      </c>
      <c r="L563" s="4904"/>
      <c r="M563" s="4905">
        <f>SUM(M551:M562)</f>
        <v>0</v>
      </c>
    </row>
    <row r="564" spans="2:14" ht="7.5" customHeight="1">
      <c r="E564" s="4908"/>
      <c r="F564" s="4904"/>
      <c r="G564" s="4904"/>
      <c r="H564" s="4904"/>
      <c r="I564" s="4904"/>
      <c r="J564" s="4904"/>
      <c r="K564" s="4904"/>
      <c r="L564" s="4904"/>
      <c r="M564" s="4904"/>
    </row>
    <row r="565" spans="2:14">
      <c r="B565" s="4889" t="str">
        <f>B32</f>
        <v>11. 2020 taxes receivable (taxes in process</v>
      </c>
      <c r="E565" s="4908"/>
      <c r="F565" s="4904"/>
      <c r="G565" s="4904"/>
      <c r="H565" s="4904"/>
      <c r="I565" s="4904"/>
      <c r="J565" s="4904"/>
      <c r="K565" s="4904"/>
      <c r="L565" s="4904"/>
      <c r="M565" s="4904"/>
    </row>
    <row r="566" spans="2:14">
      <c r="B566" s="4889" t="str">
        <f>B33</f>
        <v xml:space="preserve">     of collection 6/30/2021) (Line 2 less Line 10)</v>
      </c>
      <c r="E566" s="4963"/>
      <c r="F566" s="4904"/>
      <c r="G566" s="4905">
        <f>IF(G563&lt;=0,0,G549-G563)</f>
        <v>0</v>
      </c>
      <c r="H566" s="4904"/>
      <c r="I566" s="4905">
        <f>IF(I563&lt;=0,0,I549-I563)</f>
        <v>0</v>
      </c>
      <c r="J566" s="4904"/>
      <c r="K566" s="4905">
        <f>IF(K563&lt;=0,0,(K549-K563))</f>
        <v>0</v>
      </c>
      <c r="L566" s="4904"/>
      <c r="M566" s="4905">
        <f>IF(M563&lt;=0,0,M549-M563)</f>
        <v>0</v>
      </c>
    </row>
    <row r="567" spans="2:14" ht="7.5" customHeight="1">
      <c r="E567" s="4908"/>
      <c r="F567" s="4904"/>
      <c r="G567" s="4908"/>
      <c r="H567" s="4904"/>
      <c r="I567" s="4908"/>
      <c r="J567" s="4904"/>
      <c r="K567" s="4908"/>
      <c r="L567" s="4904"/>
      <c r="M567" s="4908"/>
    </row>
    <row r="568" spans="2:14">
      <c r="B568" s="4889" t="s">
        <v>1425</v>
      </c>
      <c r="E568" s="4908"/>
      <c r="F568" s="4904"/>
      <c r="G568" s="4904"/>
      <c r="H568" s="4904"/>
      <c r="I568" s="4904"/>
      <c r="J568" s="4904"/>
      <c r="K568" s="4904"/>
      <c r="L568" s="4904"/>
      <c r="M568" s="4904"/>
    </row>
    <row r="569" spans="2:14">
      <c r="B569" s="4889" t="s">
        <v>1426</v>
      </c>
      <c r="E569" s="4908"/>
      <c r="F569" s="4904"/>
      <c r="G569" s="4904"/>
      <c r="H569" s="4904"/>
      <c r="I569" s="4904"/>
      <c r="J569" s="4904"/>
      <c r="K569" s="4904"/>
      <c r="L569" s="4904"/>
      <c r="M569" s="4904"/>
    </row>
    <row r="570" spans="2:14">
      <c r="B570" s="4889" t="str">
        <f>B37</f>
        <v xml:space="preserve">     (7-1-2021 to 12-31-2022) (Line 3 x 75%)</v>
      </c>
      <c r="E570" s="4963"/>
      <c r="F570" s="4904"/>
      <c r="G570" s="4905">
        <f>SUM(G551*0.75)</f>
        <v>0</v>
      </c>
      <c r="H570" s="4904"/>
      <c r="I570" s="4905">
        <f>SUM(I551*0.75)</f>
        <v>0</v>
      </c>
      <c r="J570" s="4904"/>
      <c r="K570" s="4905">
        <f>SUM(K551*0.75)</f>
        <v>0</v>
      </c>
      <c r="L570" s="4904"/>
      <c r="M570" s="4905">
        <f>SUM(M551*0.75)</f>
        <v>0</v>
      </c>
    </row>
    <row r="571" spans="2:14">
      <c r="B571" s="4949" t="str">
        <f>B39</f>
        <v>Tax Collection Ratio (Jan, Mar, June)</v>
      </c>
      <c r="C571" s="4910"/>
      <c r="D571" s="4910"/>
      <c r="E571" s="4951"/>
      <c r="F571" s="4938"/>
      <c r="G571" s="4951">
        <f>IF(G549&lt;&gt;0,(G553+G555+G557+G559+G561)/G549*100,0)</f>
        <v>100</v>
      </c>
      <c r="H571" s="4938" t="s">
        <v>886</v>
      </c>
      <c r="I571" s="4951">
        <f>IF(I549&lt;&gt;0,(I553+I555+I557+I559+I561)/I549*100,0)</f>
        <v>100</v>
      </c>
      <c r="J571" s="4938" t="s">
        <v>886</v>
      </c>
      <c r="K571" s="4951">
        <f>IF(K549&lt;&gt;0,(K553+K555+K557+K559+K561)/K549*100,0)</f>
        <v>0</v>
      </c>
      <c r="L571" s="4938" t="s">
        <v>886</v>
      </c>
      <c r="M571" s="4951">
        <f>IF(M549&lt;&gt;0,(M553+M555+M557+M559+M561)/M549*100,0)</f>
        <v>0</v>
      </c>
      <c r="N571" s="4917" t="s">
        <v>886</v>
      </c>
    </row>
    <row r="572" spans="2:14" ht="3" customHeight="1">
      <c r="B572" s="4918"/>
      <c r="C572" s="4917"/>
      <c r="D572" s="4917"/>
      <c r="E572" s="4917"/>
      <c r="F572" s="4917"/>
      <c r="G572" s="4917"/>
      <c r="H572" s="4917"/>
      <c r="I572" s="4917"/>
      <c r="J572" s="4917"/>
      <c r="K572" s="4917"/>
      <c r="L572" s="4917"/>
      <c r="M572" s="4917"/>
    </row>
    <row r="573" spans="2:14" ht="3" hidden="1" customHeight="1">
      <c r="B573" s="4910"/>
      <c r="C573" s="4910"/>
      <c r="D573" s="4910"/>
      <c r="E573" s="4910"/>
      <c r="F573" s="4910"/>
      <c r="G573" s="4910"/>
      <c r="H573" s="4910"/>
      <c r="I573" s="4962"/>
      <c r="J573" s="4910"/>
      <c r="K573" s="4910"/>
      <c r="L573" s="4910"/>
      <c r="M573" s="4910"/>
    </row>
    <row r="574" spans="2:14" ht="3" hidden="1" customHeight="1">
      <c r="B574" s="4910"/>
      <c r="C574" s="4910"/>
      <c r="D574" s="4910"/>
      <c r="E574" s="4910"/>
      <c r="F574" s="4910"/>
      <c r="G574" s="4910"/>
      <c r="H574" s="4910"/>
      <c r="I574" s="4910"/>
      <c r="J574" s="4910"/>
      <c r="K574" s="4910"/>
      <c r="L574" s="4910"/>
      <c r="M574" s="4910"/>
    </row>
    <row r="575" spans="2:14" ht="2.25" hidden="1" customHeight="1">
      <c r="B575" s="4910"/>
      <c r="C575" s="4910"/>
      <c r="D575" s="4910"/>
      <c r="E575" s="4910"/>
      <c r="F575" s="4910"/>
      <c r="G575" s="4910"/>
      <c r="H575" s="4910"/>
      <c r="I575" s="4910"/>
      <c r="J575" s="4910"/>
      <c r="K575" s="4910"/>
      <c r="L575" s="4910"/>
      <c r="M575" s="4910"/>
    </row>
    <row r="576" spans="2:14" ht="3" hidden="1" customHeight="1">
      <c r="B576" s="4910"/>
      <c r="C576" s="4910"/>
      <c r="D576" s="4910"/>
      <c r="E576" s="4910"/>
      <c r="F576" s="4910"/>
      <c r="G576" s="4910"/>
      <c r="H576" s="4910"/>
      <c r="I576" s="4910"/>
      <c r="J576" s="4910"/>
      <c r="K576" s="4910"/>
      <c r="L576" s="4910"/>
      <c r="M576" s="4910"/>
    </row>
    <row r="577" spans="2:15" ht="2.25" hidden="1" customHeight="1">
      <c r="B577" s="4910"/>
      <c r="C577" s="4910"/>
      <c r="D577" s="4910"/>
      <c r="E577" s="4910"/>
      <c r="F577" s="4910"/>
      <c r="G577" s="4910"/>
      <c r="H577" s="4910"/>
      <c r="I577" s="4910"/>
      <c r="J577" s="4910"/>
      <c r="K577" s="4910"/>
      <c r="L577" s="4910"/>
      <c r="M577" s="4910"/>
    </row>
    <row r="578" spans="2:15" ht="3" hidden="1" customHeight="1">
      <c r="B578" s="4910"/>
      <c r="C578" s="4910"/>
      <c r="D578" s="4910"/>
      <c r="E578" s="4910"/>
      <c r="F578" s="4910"/>
      <c r="G578" s="4910"/>
      <c r="H578" s="4910"/>
      <c r="I578" s="4910"/>
      <c r="J578" s="4910"/>
      <c r="K578" s="4910"/>
      <c r="L578" s="4910"/>
      <c r="M578" s="4910"/>
    </row>
    <row r="579" spans="2:15" ht="0.75" hidden="1" customHeight="1">
      <c r="B579" s="4910"/>
      <c r="C579" s="4910"/>
      <c r="D579" s="4910"/>
      <c r="E579" s="4910"/>
      <c r="F579" s="4910"/>
      <c r="G579" s="4910"/>
      <c r="H579" s="4910"/>
      <c r="I579" s="4910"/>
      <c r="J579" s="4910"/>
      <c r="K579" s="4910"/>
      <c r="L579" s="4910"/>
      <c r="M579" s="4910"/>
    </row>
    <row r="580" spans="2:15">
      <c r="B580" s="4957" t="str">
        <f>B97</f>
        <v>*Amounts are available from the County Treasurer.       **These Jan.-June, 2021 amounts are available from the County Treasurer.  (Should correspond to school</v>
      </c>
      <c r="C580" s="4957"/>
      <c r="D580" s="4957"/>
      <c r="E580" s="4957"/>
      <c r="F580" s="4957"/>
      <c r="G580" s="4957"/>
      <c r="H580" s="4957"/>
      <c r="I580" s="4957"/>
      <c r="J580" s="4957"/>
      <c r="K580" s="4957"/>
      <c r="L580" s="4957"/>
      <c r="M580" s="4957"/>
    </row>
    <row r="581" spans="2:15">
      <c r="B581" s="4889" t="str">
        <f>B98</f>
        <v xml:space="preserve"> records and does not include MVPT.)   Include Watercraft Tax if USD received payment direct from county.</v>
      </c>
    </row>
    <row r="582" spans="2:15" ht="7.5" customHeight="1">
      <c r="O582" s="4910"/>
    </row>
    <row r="583" spans="2:15">
      <c r="B583" s="4892" t="str">
        <f>$B$1</f>
        <v>Kansas Department of Education</v>
      </c>
      <c r="M583" s="4890" t="s">
        <v>1433</v>
      </c>
    </row>
    <row r="584" spans="2:15">
      <c r="B584" s="4933" t="str">
        <f>$B$2</f>
        <v>Form 0-135-110</v>
      </c>
      <c r="C584" s="4892"/>
      <c r="D584" s="4892"/>
      <c r="F584" s="4893"/>
      <c r="G584" s="4893" t="s">
        <v>1408</v>
      </c>
      <c r="H584" s="4893"/>
      <c r="I584" s="4894" t="str">
        <f>I534</f>
        <v>237 - Smith Center</v>
      </c>
      <c r="J584" s="4895"/>
      <c r="K584" s="4934" t="s">
        <v>1409</v>
      </c>
      <c r="M584" s="4896">
        <f>M534</f>
        <v>237</v>
      </c>
    </row>
    <row r="585" spans="2:15">
      <c r="B585" s="4933">
        <f>$B$3</f>
        <v>44348</v>
      </c>
      <c r="K585" s="4893" t="s">
        <v>879</v>
      </c>
      <c r="M585" s="4895" t="str">
        <f>M535</f>
        <v>Osborne</v>
      </c>
    </row>
    <row r="586" spans="2:15" ht="8.25" customHeight="1">
      <c r="E586" s="4900"/>
      <c r="F586" s="4900"/>
      <c r="G586" s="4900"/>
      <c r="H586" s="4900"/>
      <c r="I586" s="4900"/>
      <c r="J586" s="4900"/>
      <c r="K586" s="4901"/>
      <c r="L586" s="4901"/>
      <c r="M586" s="4900"/>
    </row>
    <row r="587" spans="2:15">
      <c r="B587" s="4900" t="str">
        <f>B5</f>
        <v>2021-2022</v>
      </c>
      <c r="C587" s="4900"/>
      <c r="D587" s="4900"/>
      <c r="E587" s="4900"/>
      <c r="F587" s="4900"/>
      <c r="G587" s="4900"/>
      <c r="H587" s="4900"/>
      <c r="I587" s="4900"/>
      <c r="J587" s="4900"/>
      <c r="K587" s="4900"/>
      <c r="L587" s="4900"/>
      <c r="M587" s="4900"/>
    </row>
    <row r="588" spans="2:15">
      <c r="B588" s="4900" t="s">
        <v>1411</v>
      </c>
      <c r="C588" s="4900"/>
      <c r="D588" s="4900"/>
      <c r="E588" s="4900"/>
      <c r="F588" s="4900"/>
      <c r="G588" s="4900"/>
      <c r="H588" s="4900"/>
      <c r="I588" s="4900"/>
      <c r="J588" s="4900"/>
      <c r="K588" s="4900"/>
      <c r="L588" s="4900"/>
      <c r="M588" s="4900"/>
    </row>
    <row r="589" spans="2:15">
      <c r="B589" s="4900" t="s">
        <v>1412</v>
      </c>
      <c r="C589" s="4900"/>
      <c r="D589" s="4900"/>
      <c r="E589" s="4900"/>
      <c r="F589" s="4900"/>
      <c r="G589" s="4900"/>
      <c r="H589" s="4900"/>
      <c r="I589" s="4900"/>
      <c r="J589" s="4900"/>
      <c r="K589" s="4900"/>
      <c r="L589" s="4900"/>
      <c r="M589" s="4900"/>
    </row>
    <row r="590" spans="2:15">
      <c r="B590" s="4902" t="s">
        <v>1413</v>
      </c>
      <c r="C590" s="4902"/>
      <c r="D590" s="4902"/>
      <c r="E590" s="4900"/>
      <c r="F590" s="4900"/>
      <c r="G590" s="4900"/>
      <c r="H590" s="4900"/>
      <c r="I590" s="4900"/>
      <c r="J590" s="4900"/>
      <c r="K590" s="4900"/>
      <c r="L590" s="4900"/>
      <c r="M590" s="4900"/>
    </row>
    <row r="591" spans="2:15" ht="8.25" customHeight="1">
      <c r="E591" s="4898"/>
      <c r="F591" s="4898"/>
      <c r="G591" s="4898"/>
      <c r="H591" s="4898"/>
      <c r="I591" s="4898"/>
      <c r="J591" s="4898"/>
      <c r="K591" s="4898"/>
      <c r="L591" s="4898"/>
      <c r="M591" s="4898"/>
    </row>
    <row r="592" spans="2:15">
      <c r="E592" s="4898" t="s">
        <v>1434</v>
      </c>
      <c r="F592" s="4898"/>
      <c r="G592" s="4898" t="s">
        <v>1435</v>
      </c>
      <c r="H592" s="4898"/>
      <c r="I592" s="4898" t="s">
        <v>1475</v>
      </c>
      <c r="J592" s="4898"/>
      <c r="K592" s="4898" t="s">
        <v>1437</v>
      </c>
      <c r="M592" s="661"/>
      <c r="N592" s="661"/>
    </row>
    <row r="593" spans="2:14">
      <c r="E593" s="4898" t="s">
        <v>1438</v>
      </c>
      <c r="F593" s="4898"/>
      <c r="G593" s="4898" t="s">
        <v>1439</v>
      </c>
      <c r="H593" s="4898"/>
      <c r="I593" s="4898" t="s">
        <v>1440</v>
      </c>
      <c r="J593" s="4898"/>
      <c r="K593" s="4898" t="str">
        <f>K60</f>
        <v>Interest #2</v>
      </c>
      <c r="M593" s="661"/>
      <c r="N593" s="661"/>
    </row>
    <row r="594" spans="2:14" ht="7.5" customHeight="1">
      <c r="M594" s="661"/>
      <c r="N594" s="661"/>
    </row>
    <row r="595" spans="2:14">
      <c r="B595" s="4889" t="str">
        <f>B14</f>
        <v>1.  County Treasurer Balance 6/30/2021 *</v>
      </c>
      <c r="E595" s="4954"/>
      <c r="F595" s="4942"/>
      <c r="G595" s="4954"/>
      <c r="H595" s="4942"/>
      <c r="I595" s="4963"/>
      <c r="J595" s="4942"/>
      <c r="K595" s="4954"/>
      <c r="M595" s="661"/>
      <c r="N595" s="661"/>
    </row>
    <row r="596" spans="2:14" ht="7.5" customHeight="1">
      <c r="B596" s="4906"/>
      <c r="C596" s="4906"/>
      <c r="D596" s="4906"/>
      <c r="E596" s="4955"/>
      <c r="F596" s="4955"/>
      <c r="G596" s="4955"/>
      <c r="H596" s="4955"/>
      <c r="I596" s="4955"/>
      <c r="J596" s="4955"/>
      <c r="K596" s="4955"/>
      <c r="M596" s="661"/>
      <c r="N596" s="661"/>
    </row>
    <row r="597" spans="2:14">
      <c r="B597" s="4889" t="str">
        <f>B16</f>
        <v>2.  2020 Actual Taxes Levied*</v>
      </c>
      <c r="E597" s="4954"/>
      <c r="F597" s="4942"/>
      <c r="G597" s="4954"/>
      <c r="H597" s="4942"/>
      <c r="I597" s="4963"/>
      <c r="J597" s="4942"/>
      <c r="K597" s="4954"/>
      <c r="M597" s="661"/>
      <c r="N597" s="661"/>
    </row>
    <row r="598" spans="2:14" ht="8.25" customHeight="1">
      <c r="E598" s="4942"/>
      <c r="F598" s="4942"/>
      <c r="G598" s="4942"/>
      <c r="H598" s="4942"/>
      <c r="I598" s="4942"/>
      <c r="J598" s="4942"/>
      <c r="K598" s="4942"/>
      <c r="M598" s="661"/>
      <c r="N598" s="661"/>
    </row>
    <row r="599" spans="2:14">
      <c r="B599" s="4889" t="s">
        <v>1441</v>
      </c>
      <c r="C599" s="4929">
        <f>C551</f>
        <v>0</v>
      </c>
      <c r="D599" s="4935"/>
      <c r="E599" s="4905">
        <f>E597*$C$599/100</f>
        <v>0</v>
      </c>
      <c r="F599" s="4905"/>
      <c r="G599" s="4905">
        <f>G597*$C$599/100</f>
        <v>0</v>
      </c>
      <c r="H599" s="4905"/>
      <c r="I599" s="4963"/>
      <c r="J599" s="4905"/>
      <c r="K599" s="4905">
        <f>K597*$C$599/100</f>
        <v>0</v>
      </c>
      <c r="L599" s="4908"/>
      <c r="M599" s="661"/>
      <c r="N599" s="661"/>
    </row>
    <row r="600" spans="2:14" ht="6" customHeight="1">
      <c r="E600" s="4942"/>
      <c r="F600" s="4942"/>
      <c r="G600" s="4942"/>
      <c r="H600" s="4942"/>
      <c r="I600" s="4942"/>
      <c r="J600" s="4942"/>
      <c r="K600" s="4942"/>
      <c r="M600" s="661"/>
      <c r="N600" s="661"/>
    </row>
    <row r="601" spans="2:14">
      <c r="B601" s="4889" t="str">
        <f>B20</f>
        <v>4.  Less:  Jan. 20, 2021 Taxes received**</v>
      </c>
      <c r="E601" s="4954"/>
      <c r="F601" s="4942"/>
      <c r="G601" s="4954"/>
      <c r="H601" s="4942"/>
      <c r="I601" s="4963"/>
      <c r="J601" s="4942"/>
      <c r="K601" s="4954"/>
      <c r="M601" s="661"/>
      <c r="N601" s="661"/>
    </row>
    <row r="602" spans="2:14" ht="9" customHeight="1">
      <c r="E602" s="4942"/>
      <c r="F602" s="4942"/>
      <c r="G602" s="4942"/>
      <c r="H602" s="4942"/>
      <c r="I602" s="4942"/>
      <c r="J602" s="4942"/>
      <c r="K602" s="4942"/>
      <c r="M602" s="661"/>
      <c r="N602" s="661"/>
    </row>
    <row r="603" spans="2:14">
      <c r="B603" s="4889" t="str">
        <f>B22</f>
        <v>5.  Less:  Mar. 20, 2021  Taxes received**</v>
      </c>
      <c r="E603" s="4954"/>
      <c r="F603" s="4942"/>
      <c r="G603" s="4954"/>
      <c r="H603" s="4942"/>
      <c r="I603" s="4963"/>
      <c r="J603" s="4942"/>
      <c r="K603" s="4954"/>
      <c r="M603" s="661"/>
      <c r="N603" s="661"/>
    </row>
    <row r="604" spans="2:14" ht="6.75" customHeight="1">
      <c r="E604" s="4943"/>
      <c r="F604" s="4942"/>
      <c r="G604" s="4943"/>
      <c r="H604" s="4942"/>
      <c r="I604" s="4943"/>
      <c r="J604" s="4942"/>
      <c r="K604" s="4943"/>
      <c r="M604" s="661"/>
      <c r="N604" s="661"/>
    </row>
    <row r="605" spans="2:14">
      <c r="B605" s="4889" t="str">
        <f>B24</f>
        <v>6.  Less:  June 5,  2021 Taxes received**</v>
      </c>
      <c r="E605" s="4954"/>
      <c r="F605" s="4942"/>
      <c r="G605" s="4954"/>
      <c r="H605" s="4942"/>
      <c r="I605" s="4963"/>
      <c r="J605" s="4942"/>
      <c r="K605" s="4954"/>
      <c r="M605" s="661"/>
      <c r="N605" s="661"/>
    </row>
    <row r="606" spans="2:14" ht="8.25" customHeight="1">
      <c r="E606" s="4943"/>
      <c r="F606" s="4942"/>
      <c r="G606" s="4943"/>
      <c r="H606" s="4942"/>
      <c r="I606" s="4943"/>
      <c r="J606" s="4942"/>
      <c r="K606" s="4908"/>
      <c r="M606" s="661"/>
      <c r="N606" s="661"/>
    </row>
    <row r="607" spans="2:14">
      <c r="B607" s="4889" t="s">
        <v>1477</v>
      </c>
      <c r="E607" s="4954"/>
      <c r="F607" s="4942"/>
      <c r="G607" s="4954"/>
      <c r="H607" s="4942"/>
      <c r="I607" s="4963"/>
      <c r="J607" s="4942"/>
      <c r="K607" s="4954"/>
      <c r="M607" s="661"/>
      <c r="N607" s="661"/>
    </row>
    <row r="608" spans="2:14" ht="7.5" customHeight="1">
      <c r="E608" s="4942"/>
      <c r="F608" s="4942"/>
      <c r="G608" s="4942"/>
      <c r="H608" s="4942"/>
      <c r="I608" s="4942"/>
      <c r="J608" s="4942"/>
      <c r="K608" s="4942"/>
      <c r="M608" s="661"/>
      <c r="N608" s="661"/>
    </row>
    <row r="609" spans="2:14">
      <c r="B609" s="4889" t="s">
        <v>1478</v>
      </c>
      <c r="E609" s="4954"/>
      <c r="F609" s="4942"/>
      <c r="G609" s="4954"/>
      <c r="H609" s="4942"/>
      <c r="I609" s="4963"/>
      <c r="J609" s="4942"/>
      <c r="K609" s="4954"/>
      <c r="M609" s="661"/>
      <c r="N609" s="661"/>
    </row>
    <row r="610" spans="2:14">
      <c r="B610" s="4889" t="s">
        <v>1423</v>
      </c>
      <c r="E610" s="4956"/>
      <c r="F610" s="4942"/>
      <c r="G610" s="4956"/>
      <c r="H610" s="4942"/>
      <c r="I610" s="4963"/>
      <c r="J610" s="4942"/>
      <c r="K610" s="4956"/>
      <c r="M610" s="661"/>
      <c r="N610" s="661"/>
    </row>
    <row r="611" spans="2:14">
      <c r="B611" s="4889" t="s">
        <v>1442</v>
      </c>
      <c r="E611" s="4905">
        <f>SUM(E599:E610)</f>
        <v>0</v>
      </c>
      <c r="F611" s="4908"/>
      <c r="G611" s="4905">
        <f>SUM(G599:G610)</f>
        <v>0</v>
      </c>
      <c r="H611" s="4908"/>
      <c r="I611" s="4963"/>
      <c r="J611" s="4908"/>
      <c r="K611" s="4905">
        <f>SUM(K599:K610)</f>
        <v>0</v>
      </c>
      <c r="L611" s="4935"/>
      <c r="M611" s="661"/>
      <c r="N611" s="661"/>
    </row>
    <row r="612" spans="2:14" ht="6.75" customHeight="1">
      <c r="E612" s="4904"/>
      <c r="F612" s="4904"/>
      <c r="G612" s="4904"/>
      <c r="H612" s="4904"/>
      <c r="I612" s="4904"/>
      <c r="J612" s="4904"/>
      <c r="K612" s="4904"/>
      <c r="L612" s="4935"/>
      <c r="M612" s="661"/>
      <c r="N612" s="661"/>
    </row>
    <row r="613" spans="2:14">
      <c r="B613" s="4889" t="str">
        <f>B32</f>
        <v>11. 2020 taxes receivable (taxes in process</v>
      </c>
      <c r="E613" s="4904"/>
      <c r="F613" s="4904"/>
      <c r="G613" s="4904"/>
      <c r="H613" s="4904"/>
      <c r="I613" s="4904"/>
      <c r="J613" s="4904"/>
      <c r="K613" s="4904"/>
      <c r="L613" s="4935"/>
      <c r="M613" s="661"/>
      <c r="N613" s="661"/>
    </row>
    <row r="614" spans="2:14">
      <c r="B614" s="4889" t="str">
        <f>B33</f>
        <v xml:space="preserve">     of collection 6/30/2021) (Line 2 less Line 10)</v>
      </c>
      <c r="E614" s="4905">
        <f>IF(E611&lt;=0,0,E597-E611)</f>
        <v>0</v>
      </c>
      <c r="F614" s="4908"/>
      <c r="G614" s="4905">
        <f>IF(G611&lt;=0,0,G597-G611)</f>
        <v>0</v>
      </c>
      <c r="H614" s="4908"/>
      <c r="I614" s="4963"/>
      <c r="J614" s="4908"/>
      <c r="K614" s="4905">
        <f>IF(K611&lt;=0,0,K597-K611)</f>
        <v>0</v>
      </c>
      <c r="L614" s="4908"/>
      <c r="M614" s="661"/>
      <c r="N614" s="661"/>
    </row>
    <row r="615" spans="2:14" ht="7.5" customHeight="1">
      <c r="E615" s="4904"/>
      <c r="F615" s="4904"/>
      <c r="G615" s="4904"/>
      <c r="H615" s="4904"/>
      <c r="I615" s="4904"/>
      <c r="J615" s="4904"/>
      <c r="K615" s="4904"/>
      <c r="L615" s="4935"/>
      <c r="M615" s="661"/>
      <c r="N615" s="661"/>
    </row>
    <row r="616" spans="2:14">
      <c r="B616" s="4889" t="s">
        <v>1443</v>
      </c>
      <c r="E616" s="4904"/>
      <c r="F616" s="4904"/>
      <c r="G616" s="4904"/>
      <c r="H616" s="4904"/>
      <c r="I616" s="4904"/>
      <c r="J616" s="4904"/>
      <c r="K616" s="4904"/>
      <c r="L616" s="4935"/>
      <c r="M616" s="661"/>
      <c r="N616" s="661"/>
    </row>
    <row r="617" spans="2:14">
      <c r="B617" s="4889" t="s">
        <v>1426</v>
      </c>
      <c r="E617" s="4904"/>
      <c r="F617" s="4904"/>
      <c r="G617" s="4904"/>
      <c r="H617" s="4904"/>
      <c r="I617" s="4904"/>
      <c r="J617" s="4904"/>
      <c r="K617" s="4904"/>
      <c r="L617" s="4935"/>
      <c r="M617" s="661"/>
      <c r="N617" s="661"/>
    </row>
    <row r="618" spans="2:14">
      <c r="B618" s="4889" t="str">
        <f>B37</f>
        <v xml:space="preserve">     (7-1-2021 to 12-31-2022) (Line 3 x 75%)</v>
      </c>
      <c r="E618" s="4905">
        <f>SUM(E599*0.75)</f>
        <v>0</v>
      </c>
      <c r="F618" s="4908"/>
      <c r="G618" s="4905">
        <f>SUM(G599*0.75)</f>
        <v>0</v>
      </c>
      <c r="H618" s="4908"/>
      <c r="I618" s="4963"/>
      <c r="J618" s="4908"/>
      <c r="K618" s="4905">
        <f>SUM(K599*0.75)</f>
        <v>0</v>
      </c>
      <c r="L618" s="4935"/>
      <c r="M618" s="661"/>
      <c r="N618" s="661"/>
    </row>
    <row r="619" spans="2:14">
      <c r="B619" s="4931" t="str">
        <f>B39</f>
        <v>Tax Collection Ratio (Jan, Mar, June)</v>
      </c>
      <c r="E619" s="4964">
        <f>IF(E597&lt;&gt;0,(E601+E603+E605+E607+E609)/E597*100,0)</f>
        <v>0</v>
      </c>
      <c r="F619" s="4938" t="s">
        <v>886</v>
      </c>
      <c r="G619" s="4964">
        <f>IF(G597&lt;&gt;0,(G601+G603+G605+G607+G609)/G597*100,0)</f>
        <v>0</v>
      </c>
      <c r="H619" s="4938" t="s">
        <v>886</v>
      </c>
      <c r="I619" s="4965"/>
      <c r="J619" s="4938"/>
      <c r="K619" s="4964">
        <f>IF(K597&lt;&gt;0,(K601+K603+K605+K607+K609)/K597*100,0)</f>
        <v>0</v>
      </c>
      <c r="L619" s="4938" t="s">
        <v>886</v>
      </c>
      <c r="M619" s="661"/>
      <c r="N619" s="661"/>
    </row>
    <row r="620" spans="2:14" ht="5.0999999999999996" customHeight="1">
      <c r="B620" s="4906"/>
      <c r="C620" s="4906"/>
      <c r="D620" s="4906"/>
      <c r="E620" s="4906"/>
      <c r="F620" s="4906"/>
      <c r="G620" s="4906"/>
      <c r="H620" s="4906"/>
      <c r="I620" s="4906"/>
      <c r="J620" s="4906"/>
      <c r="K620" s="4906"/>
      <c r="L620" s="4910"/>
      <c r="M620" s="4910"/>
    </row>
    <row r="621" spans="2:14">
      <c r="B621" s="4889" t="str">
        <f>B97</f>
        <v>*Amounts are available from the County Treasurer.       **These Jan.-June, 2021 amounts are available from the County Treasurer.  (Should correspond to school</v>
      </c>
    </row>
    <row r="622" spans="2:14">
      <c r="B622" s="4889" t="str">
        <f>B98</f>
        <v xml:space="preserve"> records and does not include MVPT.)   Include Watercraft Tax if USD received payment direct from county.</v>
      </c>
    </row>
    <row r="623" spans="2:14">
      <c r="B623" s="4892" t="str">
        <f>$B$1</f>
        <v>Kansas Department of Education</v>
      </c>
      <c r="M623" s="4890" t="s">
        <v>1453</v>
      </c>
    </row>
    <row r="624" spans="2:14">
      <c r="B624" s="4933" t="str">
        <f>$B$2</f>
        <v>Form 0-135-110</v>
      </c>
      <c r="C624" s="4892"/>
      <c r="D624" s="4892"/>
      <c r="G624" s="4893" t="s">
        <v>1408</v>
      </c>
      <c r="H624" s="4893"/>
      <c r="I624" s="4894" t="str">
        <f>I534</f>
        <v>237 - Smith Center</v>
      </c>
      <c r="J624" s="4895"/>
      <c r="K624" s="4895"/>
      <c r="L624" s="4893" t="s">
        <v>1409</v>
      </c>
      <c r="M624" s="4896">
        <f>M534</f>
        <v>237</v>
      </c>
    </row>
    <row r="625" spans="2:13">
      <c r="B625" s="4933">
        <f>$B$3</f>
        <v>44348</v>
      </c>
      <c r="K625" s="4893" t="s">
        <v>879</v>
      </c>
      <c r="M625" s="4895" t="str">
        <f>M535</f>
        <v>Osborne</v>
      </c>
    </row>
    <row r="626" spans="2:13" ht="8.25" customHeight="1">
      <c r="E626" s="4900"/>
      <c r="F626" s="4900"/>
      <c r="G626" s="4900"/>
      <c r="H626" s="4900"/>
      <c r="I626" s="4900"/>
      <c r="J626" s="4900"/>
      <c r="K626" s="4901"/>
      <c r="L626" s="4901"/>
      <c r="M626" s="4900"/>
    </row>
    <row r="627" spans="2:13">
      <c r="B627" s="4900" t="str">
        <f>B5</f>
        <v>2021-2022</v>
      </c>
      <c r="C627" s="4900"/>
      <c r="D627" s="4900"/>
      <c r="E627" s="4900"/>
      <c r="F627" s="4900"/>
      <c r="G627" s="4900"/>
      <c r="H627" s="4900"/>
      <c r="I627" s="4900"/>
      <c r="J627" s="4900"/>
      <c r="K627" s="4900"/>
      <c r="L627" s="4900"/>
      <c r="M627" s="4900"/>
    </row>
    <row r="628" spans="2:13">
      <c r="B628" s="4900" t="s">
        <v>1411</v>
      </c>
      <c r="C628" s="4900"/>
      <c r="D628" s="4900"/>
      <c r="E628" s="4900"/>
      <c r="F628" s="4900"/>
      <c r="G628" s="4900"/>
      <c r="H628" s="4900"/>
      <c r="I628" s="4900"/>
      <c r="J628" s="4900"/>
      <c r="K628" s="4900"/>
      <c r="L628" s="4900"/>
      <c r="M628" s="4900"/>
    </row>
    <row r="629" spans="2:13">
      <c r="B629" s="4900" t="s">
        <v>1412</v>
      </c>
      <c r="C629" s="4900"/>
      <c r="D629" s="4900"/>
      <c r="E629" s="4900"/>
      <c r="F629" s="4900"/>
      <c r="G629" s="4900"/>
      <c r="H629" s="4900"/>
      <c r="I629" s="4900"/>
      <c r="J629" s="4900"/>
      <c r="K629" s="4900"/>
      <c r="L629" s="4900"/>
      <c r="M629" s="4900"/>
    </row>
    <row r="630" spans="2:13">
      <c r="B630" s="4902" t="s">
        <v>1413</v>
      </c>
      <c r="C630" s="4902"/>
      <c r="D630" s="4902"/>
      <c r="E630" s="4900"/>
      <c r="F630" s="4900"/>
      <c r="G630" s="4900"/>
      <c r="H630" s="4900"/>
      <c r="I630" s="4900"/>
      <c r="J630" s="4900"/>
      <c r="K630" s="4900"/>
      <c r="L630" s="4900"/>
      <c r="M630" s="4900"/>
    </row>
    <row r="631" spans="2:13" ht="9" customHeight="1">
      <c r="E631" s="4898"/>
      <c r="F631" s="4898"/>
      <c r="G631" s="4898"/>
      <c r="H631" s="4898"/>
      <c r="I631" s="4898"/>
      <c r="J631" s="4898"/>
      <c r="K631" s="4898"/>
      <c r="L631" s="4898"/>
      <c r="M631" s="4898"/>
    </row>
    <row r="632" spans="2:13">
      <c r="E632" s="4898" t="s">
        <v>1454</v>
      </c>
      <c r="F632" s="4898"/>
      <c r="G632" s="4898" t="s">
        <v>1455</v>
      </c>
      <c r="H632" s="4898"/>
      <c r="I632" s="4898" t="s">
        <v>1456</v>
      </c>
      <c r="J632" s="4898"/>
      <c r="K632" s="4898" t="s">
        <v>1457</v>
      </c>
      <c r="L632" s="4898"/>
      <c r="M632" s="4898" t="s">
        <v>1458</v>
      </c>
    </row>
    <row r="633" spans="2:13">
      <c r="E633" s="4898" t="s">
        <v>1459</v>
      </c>
      <c r="F633" s="4898"/>
      <c r="G633" s="4898" t="s">
        <v>1460</v>
      </c>
      <c r="H633" s="4898"/>
      <c r="I633" s="4898" t="s">
        <v>1461</v>
      </c>
      <c r="J633" s="4898"/>
      <c r="K633" s="4898" t="s">
        <v>1462</v>
      </c>
      <c r="L633" s="4898"/>
      <c r="M633" s="4898" t="s">
        <v>1463</v>
      </c>
    </row>
    <row r="634" spans="2:13" ht="7.5" customHeight="1"/>
    <row r="635" spans="2:13">
      <c r="B635" s="4889" t="str">
        <f>B14</f>
        <v>1.  County Treasurer Balance 6/30/2021 *</v>
      </c>
      <c r="E635" s="4954"/>
      <c r="F635" s="4942"/>
      <c r="G635" s="4954"/>
      <c r="H635" s="4942"/>
      <c r="I635" s="4954"/>
      <c r="J635" s="4942"/>
      <c r="K635" s="4954"/>
      <c r="M635" s="4954"/>
    </row>
    <row r="636" spans="2:13" ht="8.25" customHeight="1">
      <c r="B636" s="4906"/>
      <c r="C636" s="4906"/>
      <c r="D636" s="4906"/>
      <c r="E636" s="4955"/>
      <c r="F636" s="4955"/>
      <c r="G636" s="4955"/>
      <c r="H636" s="4955"/>
      <c r="I636" s="4955"/>
      <c r="J636" s="4955"/>
      <c r="K636" s="4955"/>
      <c r="M636" s="4955"/>
    </row>
    <row r="637" spans="2:13">
      <c r="B637" s="4889" t="str">
        <f>B16</f>
        <v>2.  2020 Actual Taxes Levied*</v>
      </c>
      <c r="E637" s="4954"/>
      <c r="F637" s="4942"/>
      <c r="G637" s="4954"/>
      <c r="H637" s="4942"/>
      <c r="I637" s="4954"/>
      <c r="J637" s="4942"/>
      <c r="K637" s="4954"/>
      <c r="M637" s="4954"/>
    </row>
    <row r="638" spans="2:13" ht="7.5" customHeight="1">
      <c r="E638" s="4942"/>
      <c r="F638" s="4942"/>
      <c r="G638" s="4942"/>
      <c r="H638" s="4942"/>
      <c r="I638" s="4942"/>
      <c r="J638" s="4942"/>
      <c r="K638" s="4942"/>
      <c r="M638" s="4942"/>
    </row>
    <row r="639" spans="2:13">
      <c r="B639" s="4889" t="s">
        <v>1441</v>
      </c>
      <c r="C639" s="4929">
        <f>C551</f>
        <v>0</v>
      </c>
      <c r="D639" s="4935"/>
      <c r="E639" s="4905">
        <f>E637*$C$639/100</f>
        <v>0</v>
      </c>
      <c r="F639" s="4908"/>
      <c r="G639" s="4905">
        <f>G637*$C$639/100</f>
        <v>0</v>
      </c>
      <c r="H639" s="4908"/>
      <c r="I639" s="4905">
        <f>I637*$C$639/100</f>
        <v>0</v>
      </c>
      <c r="J639" s="4908"/>
      <c r="K639" s="4905">
        <f>K637*$C$639/100</f>
        <v>0</v>
      </c>
      <c r="L639" s="4908"/>
      <c r="M639" s="4905">
        <f>M637*$C$639/100</f>
        <v>0</v>
      </c>
    </row>
    <row r="640" spans="2:13" ht="7.5" customHeight="1">
      <c r="E640" s="4942"/>
      <c r="F640" s="4942"/>
      <c r="G640" s="4942"/>
      <c r="H640" s="4942"/>
      <c r="I640" s="4942"/>
      <c r="J640" s="4942"/>
      <c r="K640" s="4942"/>
      <c r="M640" s="4942"/>
    </row>
    <row r="641" spans="2:13">
      <c r="B641" s="4889" t="str">
        <f>B20</f>
        <v>4.  Less:  Jan. 20, 2021 Taxes received**</v>
      </c>
      <c r="E641" s="4954"/>
      <c r="F641" s="4942"/>
      <c r="G641" s="4954"/>
      <c r="H641" s="4942"/>
      <c r="I641" s="4954"/>
      <c r="J641" s="4942"/>
      <c r="K641" s="4954"/>
      <c r="M641" s="4954"/>
    </row>
    <row r="642" spans="2:13" ht="6.75" customHeight="1">
      <c r="E642" s="4904"/>
      <c r="F642" s="4942"/>
      <c r="G642" s="4942"/>
      <c r="H642" s="4942"/>
      <c r="I642" s="4942"/>
      <c r="J642" s="4942"/>
      <c r="K642" s="4942"/>
      <c r="M642" s="4942"/>
    </row>
    <row r="643" spans="2:13">
      <c r="B643" s="4889" t="str">
        <f>B22</f>
        <v>5.  Less:  Mar. 20, 2021  Taxes received**</v>
      </c>
      <c r="E643" s="4954"/>
      <c r="F643" s="4942"/>
      <c r="G643" s="4954"/>
      <c r="H643" s="4942"/>
      <c r="I643" s="4954"/>
      <c r="J643" s="4942"/>
      <c r="K643" s="4954"/>
      <c r="M643" s="4954"/>
    </row>
    <row r="644" spans="2:13" ht="8.25" customHeight="1">
      <c r="E644" s="4943"/>
      <c r="F644" s="4942"/>
      <c r="G644" s="4943"/>
      <c r="H644" s="4942"/>
      <c r="I644" s="4943"/>
      <c r="J644" s="4942"/>
      <c r="K644" s="4943"/>
      <c r="M644" s="4943"/>
    </row>
    <row r="645" spans="2:13">
      <c r="B645" s="4889" t="str">
        <f>B24</f>
        <v>6.  Less:  June 5,  2021 Taxes received**</v>
      </c>
      <c r="E645" s="4954"/>
      <c r="F645" s="4942"/>
      <c r="G645" s="4954"/>
      <c r="H645" s="4942"/>
      <c r="I645" s="4954"/>
      <c r="J645" s="4942"/>
      <c r="K645" s="4954"/>
      <c r="M645" s="4954"/>
    </row>
    <row r="646" spans="2:13" ht="8.25" customHeight="1">
      <c r="E646" s="4943"/>
      <c r="F646" s="4942"/>
      <c r="G646" s="4943"/>
      <c r="H646" s="4942"/>
      <c r="I646" s="4943"/>
      <c r="J646" s="4942"/>
      <c r="K646" s="4943"/>
      <c r="M646" s="4943"/>
    </row>
    <row r="647" spans="2:13">
      <c r="B647" s="4889" t="s">
        <v>1421</v>
      </c>
      <c r="E647" s="4954"/>
      <c r="F647" s="4942"/>
      <c r="G647" s="4954"/>
      <c r="H647" s="4942"/>
      <c r="I647" s="4954"/>
      <c r="J647" s="4942"/>
      <c r="K647" s="4954"/>
      <c r="M647" s="4954"/>
    </row>
    <row r="648" spans="2:13" ht="8.25" customHeight="1">
      <c r="E648" s="4942"/>
      <c r="F648" s="4942"/>
      <c r="G648" s="4942"/>
      <c r="H648" s="4942"/>
      <c r="I648" s="4942"/>
      <c r="J648" s="4942"/>
      <c r="K648" s="4942"/>
      <c r="M648" s="4942"/>
    </row>
    <row r="649" spans="2:13">
      <c r="B649" s="4889" t="s">
        <v>1422</v>
      </c>
      <c r="E649" s="4954"/>
      <c r="F649" s="4942"/>
      <c r="G649" s="4954"/>
      <c r="H649" s="4942"/>
      <c r="I649" s="4954"/>
      <c r="J649" s="4942"/>
      <c r="K649" s="4954"/>
      <c r="M649" s="4954"/>
    </row>
    <row r="650" spans="2:13">
      <c r="B650" s="4889" t="s">
        <v>1423</v>
      </c>
      <c r="E650" s="4956"/>
      <c r="F650" s="4942"/>
      <c r="G650" s="4956"/>
      <c r="H650" s="4942"/>
      <c r="I650" s="4956"/>
      <c r="J650" s="4942"/>
      <c r="K650" s="4956"/>
      <c r="M650" s="4956"/>
    </row>
    <row r="651" spans="2:13">
      <c r="B651" s="4889" t="s">
        <v>1424</v>
      </c>
      <c r="E651" s="4905">
        <f>SUM(E639:E650)</f>
        <v>0</v>
      </c>
      <c r="F651" s="4908"/>
      <c r="G651" s="4905">
        <f>SUM(G639:G650)</f>
        <v>0</v>
      </c>
      <c r="H651" s="4908"/>
      <c r="I651" s="4905">
        <f>SUM(I639:I650)</f>
        <v>0</v>
      </c>
      <c r="J651" s="4908"/>
      <c r="K651" s="4905">
        <f>SUM(K639:K650)</f>
        <v>0</v>
      </c>
      <c r="L651" s="4935"/>
      <c r="M651" s="4905">
        <f>SUM(M639:M650)</f>
        <v>0</v>
      </c>
    </row>
    <row r="652" spans="2:13" ht="8.25" customHeight="1">
      <c r="E652" s="4904"/>
      <c r="F652" s="4904"/>
      <c r="G652" s="4904"/>
      <c r="H652" s="4904"/>
      <c r="I652" s="4904"/>
      <c r="J652" s="4904"/>
      <c r="K652" s="4904"/>
      <c r="L652" s="4935"/>
      <c r="M652" s="4904"/>
    </row>
    <row r="653" spans="2:13">
      <c r="B653" s="4889" t="str">
        <f>B32</f>
        <v>11. 2020 taxes receivable (taxes in process</v>
      </c>
      <c r="E653" s="4904"/>
      <c r="F653" s="4904"/>
      <c r="G653" s="4904"/>
      <c r="H653" s="4904"/>
      <c r="I653" s="4904"/>
      <c r="J653" s="4904"/>
      <c r="K653" s="4904"/>
      <c r="L653" s="4935"/>
      <c r="M653" s="4904"/>
    </row>
    <row r="654" spans="2:13">
      <c r="B654" s="4889" t="str">
        <f>B33</f>
        <v xml:space="preserve">     of collection 6/30/2021) (Line 2 less Line 10)</v>
      </c>
      <c r="E654" s="4905">
        <f>IF(E651&lt;=0,0,E637-E651)</f>
        <v>0</v>
      </c>
      <c r="F654" s="4908"/>
      <c r="G654" s="4905">
        <f>IF(G651&lt;=0,0,G637-G651)</f>
        <v>0</v>
      </c>
      <c r="H654" s="4908"/>
      <c r="I654" s="4905">
        <f>IF(I651&lt;=0,0,I637-I651)</f>
        <v>0</v>
      </c>
      <c r="J654" s="4908"/>
      <c r="K654" s="4905">
        <f>IF(K651&lt;=0,0,K637-K651)</f>
        <v>0</v>
      </c>
      <c r="L654" s="4908"/>
      <c r="M654" s="4905">
        <f>IF(M651&lt;=0,0,M637-M651)</f>
        <v>0</v>
      </c>
    </row>
    <row r="655" spans="2:13" ht="8.25" customHeight="1">
      <c r="E655" s="4904"/>
      <c r="F655" s="4904"/>
      <c r="G655" s="4904"/>
      <c r="H655" s="4904"/>
      <c r="I655" s="4904"/>
      <c r="J655" s="4904"/>
      <c r="K655" s="4904"/>
      <c r="L655" s="4935"/>
      <c r="M655" s="4904"/>
    </row>
    <row r="656" spans="2:13">
      <c r="B656" s="4889" t="s">
        <v>1443</v>
      </c>
      <c r="E656" s="4904"/>
      <c r="F656" s="4904"/>
      <c r="G656" s="4904"/>
      <c r="H656" s="4904"/>
      <c r="I656" s="4904"/>
      <c r="J656" s="4904"/>
      <c r="K656" s="4904"/>
      <c r="L656" s="4935"/>
      <c r="M656" s="4904"/>
    </row>
    <row r="657" spans="2:14">
      <c r="B657" s="4889" t="s">
        <v>1426</v>
      </c>
      <c r="E657" s="4904"/>
      <c r="F657" s="4904"/>
      <c r="G657" s="4904"/>
      <c r="H657" s="4904"/>
      <c r="I657" s="4904"/>
      <c r="J657" s="4904"/>
      <c r="K657" s="4904"/>
      <c r="L657" s="4935"/>
      <c r="M657" s="4904"/>
    </row>
    <row r="658" spans="2:14">
      <c r="B658" s="4889" t="str">
        <f>B37</f>
        <v xml:space="preserve">     (7-1-2021 to 12-31-2022) (Line 3 x 75%)</v>
      </c>
      <c r="E658" s="4905">
        <f>SUM(E639*0.75)</f>
        <v>0</v>
      </c>
      <c r="F658" s="4908"/>
      <c r="G658" s="4905">
        <f>SUM(G639*0.75)</f>
        <v>0</v>
      </c>
      <c r="H658" s="4908"/>
      <c r="I658" s="4905">
        <f>SUM(I639*0.75)</f>
        <v>0</v>
      </c>
      <c r="J658" s="4908"/>
      <c r="K658" s="4905">
        <f>SUM(K639*0.75)</f>
        <v>0</v>
      </c>
      <c r="L658" s="4935"/>
      <c r="M658" s="4905">
        <f>SUM(M639*0.75)</f>
        <v>0</v>
      </c>
    </row>
    <row r="659" spans="2:14" ht="6.75" customHeight="1">
      <c r="E659" s="4935"/>
      <c r="F659" s="4935"/>
      <c r="G659" s="4935"/>
      <c r="H659" s="4935"/>
      <c r="I659" s="4935"/>
      <c r="J659" s="4935"/>
      <c r="K659" s="4935"/>
      <c r="L659" s="4935"/>
      <c r="M659" s="4935"/>
    </row>
    <row r="660" spans="2:14">
      <c r="B660" s="4931" t="str">
        <f>B39</f>
        <v>Tax Collection Ratio (Jan, Mar, June)</v>
      </c>
      <c r="E660" s="4964">
        <f>IF(E637&lt;&gt;0,(E641+E643+E645+E647+E649)/E637*100,0)</f>
        <v>0</v>
      </c>
      <c r="F660" s="4938" t="s">
        <v>886</v>
      </c>
      <c r="G660" s="4964">
        <f>IF(G637&lt;&gt;0,(G641+G643+G645+G647+G649)/G637*100,0)</f>
        <v>0</v>
      </c>
      <c r="H660" s="4938" t="s">
        <v>886</v>
      </c>
      <c r="I660" s="4964">
        <f>IF(I637&lt;&gt;0,(I641+I643+I645+I647+I649)/I637*100,0)</f>
        <v>0</v>
      </c>
      <c r="J660" s="4938" t="s">
        <v>886</v>
      </c>
      <c r="K660" s="4964">
        <f>IF(K637&lt;&gt;0,(K641+K643+K645+K647+K649)/K637*100,0)</f>
        <v>0</v>
      </c>
      <c r="L660" s="4938" t="s">
        <v>886</v>
      </c>
      <c r="M660" s="4964">
        <f>IF(M637&lt;&gt;0,(M641+M643+M645+M647+M649)/M637*100,0)</f>
        <v>0</v>
      </c>
      <c r="N660" s="4917" t="s">
        <v>886</v>
      </c>
    </row>
    <row r="661" spans="2:14" ht="5.25" customHeight="1">
      <c r="B661" s="4906"/>
      <c r="C661" s="4906"/>
      <c r="D661" s="4906"/>
      <c r="E661" s="4906"/>
      <c r="F661" s="4906"/>
      <c r="G661" s="4906"/>
      <c r="H661" s="4906"/>
      <c r="I661" s="4906"/>
      <c r="J661" s="4906"/>
      <c r="K661" s="4906"/>
      <c r="L661" s="4906"/>
      <c r="M661" s="4906"/>
    </row>
    <row r="662" spans="2:14">
      <c r="B662" s="4889" t="str">
        <f>B97</f>
        <v>*Amounts are available from the County Treasurer.       **These Jan.-June, 2021 amounts are available from the County Treasurer.  (Should correspond to school</v>
      </c>
    </row>
    <row r="663" spans="2:14">
      <c r="B663" s="4889" t="str">
        <f>B98</f>
        <v xml:space="preserve"> records and does not include MVPT.)   Include Watercraft Tax if USD received payment direct from county.</v>
      </c>
    </row>
    <row r="664" spans="2:14">
      <c r="B664" s="4892" t="str">
        <f>$B$1</f>
        <v>Kansas Department of Education</v>
      </c>
      <c r="M664" s="4890" t="s">
        <v>1464</v>
      </c>
    </row>
    <row r="665" spans="2:14">
      <c r="B665" s="4933" t="str">
        <f>$B$2</f>
        <v>Form 0-135-110</v>
      </c>
      <c r="C665" s="4892"/>
      <c r="D665" s="4892"/>
      <c r="G665" s="4893" t="s">
        <v>1408</v>
      </c>
      <c r="H665" s="4893"/>
      <c r="I665" s="4894" t="str">
        <f>I534</f>
        <v>237 - Smith Center</v>
      </c>
      <c r="J665" s="4895"/>
      <c r="K665" s="4895"/>
      <c r="L665" s="4893" t="s">
        <v>1409</v>
      </c>
      <c r="M665" s="4896">
        <f>M534</f>
        <v>237</v>
      </c>
    </row>
    <row r="666" spans="2:14">
      <c r="B666" s="4933">
        <f>$B$3</f>
        <v>44348</v>
      </c>
      <c r="K666" s="4893" t="s">
        <v>879</v>
      </c>
      <c r="M666" s="4934" t="str">
        <f>M535</f>
        <v>Osborne</v>
      </c>
    </row>
    <row r="667" spans="2:14" ht="8.25" customHeight="1">
      <c r="E667" s="4900"/>
      <c r="F667" s="4900"/>
      <c r="G667" s="4900"/>
      <c r="H667" s="4900"/>
      <c r="I667" s="4900"/>
      <c r="J667" s="4900"/>
      <c r="K667" s="4901"/>
      <c r="L667" s="4901"/>
      <c r="M667" s="4900"/>
    </row>
    <row r="668" spans="2:14">
      <c r="B668" s="4900" t="str">
        <f>B5</f>
        <v>2021-2022</v>
      </c>
      <c r="C668" s="4900"/>
      <c r="D668" s="4900"/>
      <c r="E668" s="4900"/>
      <c r="F668" s="4900"/>
      <c r="G668" s="4900"/>
      <c r="H668" s="4900"/>
      <c r="I668" s="4900"/>
      <c r="J668" s="4900"/>
      <c r="K668" s="4900"/>
      <c r="L668" s="4900"/>
      <c r="M668" s="4900"/>
    </row>
    <row r="669" spans="2:14">
      <c r="B669" s="4900" t="s">
        <v>1411</v>
      </c>
      <c r="C669" s="4900"/>
      <c r="D669" s="4900"/>
      <c r="E669" s="4900"/>
      <c r="F669" s="4900"/>
      <c r="G669" s="4900"/>
      <c r="H669" s="4900"/>
      <c r="I669" s="4900"/>
      <c r="J669" s="4900"/>
      <c r="K669" s="4900"/>
      <c r="L669" s="4900"/>
      <c r="M669" s="4900"/>
    </row>
    <row r="670" spans="2:14">
      <c r="B670" s="4900" t="s">
        <v>1412</v>
      </c>
      <c r="C670" s="4900"/>
      <c r="D670" s="4900"/>
      <c r="E670" s="4900"/>
      <c r="F670" s="4900"/>
      <c r="G670" s="4900"/>
      <c r="H670" s="4900"/>
      <c r="I670" s="4900"/>
      <c r="J670" s="4900"/>
      <c r="K670" s="4900"/>
      <c r="L670" s="4900"/>
      <c r="M670" s="4900"/>
    </row>
    <row r="671" spans="2:14">
      <c r="B671" s="4902" t="s">
        <v>1413</v>
      </c>
      <c r="C671" s="4902"/>
      <c r="D671" s="4902"/>
      <c r="E671" s="4900"/>
      <c r="F671" s="4900"/>
      <c r="G671" s="4900"/>
      <c r="H671" s="4900"/>
      <c r="I671" s="4900"/>
      <c r="J671" s="4900"/>
      <c r="K671" s="4900"/>
      <c r="L671" s="4900"/>
      <c r="M671" s="4900"/>
    </row>
    <row r="672" spans="2:14" ht="8.25" customHeight="1">
      <c r="E672" s="4898"/>
      <c r="F672" s="4898"/>
      <c r="G672" s="4898"/>
      <c r="H672" s="4898"/>
      <c r="I672" s="4898"/>
      <c r="J672" s="4898"/>
      <c r="K672" s="4898"/>
      <c r="L672" s="4898"/>
      <c r="M672" s="4898"/>
    </row>
    <row r="673" spans="2:13">
      <c r="E673" s="4952"/>
      <c r="F673" s="4898"/>
      <c r="G673" s="4898" t="str">
        <f>G149</f>
        <v>Rec. Comm</v>
      </c>
      <c r="H673" s="4898"/>
      <c r="I673" s="4898" t="s">
        <v>1465</v>
      </c>
      <c r="J673" s="4898"/>
      <c r="K673" s="4931" t="s">
        <v>1466</v>
      </c>
      <c r="L673" s="4898"/>
      <c r="M673" s="4935"/>
    </row>
    <row r="674" spans="2:13">
      <c r="E674" s="4952" t="s">
        <v>1467</v>
      </c>
      <c r="F674" s="4898"/>
      <c r="G674" s="4898" t="str">
        <f>G150</f>
        <v>Emp Benef</v>
      </c>
      <c r="H674" s="4898"/>
      <c r="I674" s="4898" t="s">
        <v>1468</v>
      </c>
      <c r="J674" s="4898"/>
      <c r="K674" s="4898" t="s">
        <v>1469</v>
      </c>
      <c r="L674" s="4898"/>
      <c r="M674" s="4952" t="s">
        <v>1470</v>
      </c>
    </row>
    <row r="675" spans="2:13">
      <c r="E675" s="4952" t="s">
        <v>1471</v>
      </c>
      <c r="G675" s="4898" t="str">
        <f>G151</f>
        <v>&amp; Spec Liab</v>
      </c>
      <c r="I675" s="4898" t="s">
        <v>1472</v>
      </c>
      <c r="K675" s="4898" t="s">
        <v>1473</v>
      </c>
      <c r="M675" s="4952" t="s">
        <v>1474</v>
      </c>
    </row>
    <row r="676" spans="2:13" ht="7.5" customHeight="1">
      <c r="G676" s="4931"/>
    </row>
    <row r="677" spans="2:13">
      <c r="B677" s="4889" t="str">
        <f>B14</f>
        <v>1.  County Treasurer Balance 6/30/2021 *</v>
      </c>
      <c r="E677" s="4963"/>
      <c r="F677" s="4942"/>
      <c r="G677" s="4954"/>
      <c r="H677" s="4942"/>
      <c r="I677" s="4954"/>
      <c r="J677" s="4942"/>
      <c r="K677" s="4954"/>
      <c r="M677" s="4959"/>
    </row>
    <row r="678" spans="2:13" ht="6.75" customHeight="1">
      <c r="B678" s="4906"/>
      <c r="C678" s="4906"/>
      <c r="D678" s="4906"/>
      <c r="E678" s="4955"/>
      <c r="F678" s="4955"/>
      <c r="G678" s="4955"/>
      <c r="H678" s="4955"/>
      <c r="I678" s="4955"/>
      <c r="J678" s="4955"/>
      <c r="K678" s="4955"/>
      <c r="M678" s="4955"/>
    </row>
    <row r="679" spans="2:13">
      <c r="B679" s="4889" t="str">
        <f>B16</f>
        <v>2.  2020 Actual Taxes Levied*</v>
      </c>
      <c r="E679" s="4963"/>
      <c r="F679" s="4942"/>
      <c r="G679" s="4954"/>
      <c r="H679" s="4942"/>
      <c r="I679" s="4954"/>
      <c r="J679" s="4942"/>
      <c r="K679" s="4954"/>
      <c r="M679" s="4959"/>
    </row>
    <row r="680" spans="2:13" ht="6.75" customHeight="1">
      <c r="E680" s="4942"/>
      <c r="F680" s="4942"/>
      <c r="G680" s="4942"/>
      <c r="H680" s="4942"/>
      <c r="I680" s="4942"/>
      <c r="J680" s="4942"/>
      <c r="K680" s="4942"/>
      <c r="M680" s="4942"/>
    </row>
    <row r="681" spans="2:13">
      <c r="B681" s="4889" t="s">
        <v>1441</v>
      </c>
      <c r="C681" s="4929">
        <f>C551</f>
        <v>0</v>
      </c>
      <c r="D681" s="4935"/>
      <c r="E681" s="4963"/>
      <c r="F681" s="4908"/>
      <c r="G681" s="4905">
        <f>G679*$C$681/100</f>
        <v>0</v>
      </c>
      <c r="H681" s="4908"/>
      <c r="I681" s="4905">
        <f>I679*$C$681/100</f>
        <v>0</v>
      </c>
      <c r="J681" s="4908"/>
      <c r="K681" s="4905">
        <f>K679*$C$681/100</f>
        <v>0</v>
      </c>
      <c r="L681" s="4908"/>
      <c r="M681" s="4905">
        <f>M679*$C$681/100</f>
        <v>0</v>
      </c>
    </row>
    <row r="682" spans="2:13" ht="8.25" customHeight="1">
      <c r="E682" s="4942"/>
      <c r="F682" s="4942"/>
      <c r="G682" s="4942"/>
      <c r="H682" s="4942"/>
      <c r="I682" s="4942"/>
      <c r="J682" s="4942"/>
      <c r="K682" s="4942"/>
      <c r="M682" s="4942"/>
    </row>
    <row r="683" spans="2:13">
      <c r="B683" s="4889" t="str">
        <f>B20</f>
        <v>4.  Less:  Jan. 20, 2021 Taxes received**</v>
      </c>
      <c r="E683" s="4963"/>
      <c r="F683" s="4942"/>
      <c r="G683" s="4954"/>
      <c r="H683" s="4942"/>
      <c r="I683" s="4954"/>
      <c r="J683" s="4942"/>
      <c r="K683" s="4954"/>
      <c r="M683" s="4959"/>
    </row>
    <row r="684" spans="2:13" ht="7.5" customHeight="1">
      <c r="E684" s="4942"/>
      <c r="F684" s="4942"/>
      <c r="G684" s="4942"/>
      <c r="H684" s="4942"/>
      <c r="I684" s="4942"/>
      <c r="J684" s="4942"/>
      <c r="K684" s="4942"/>
      <c r="M684" s="4942"/>
    </row>
    <row r="685" spans="2:13">
      <c r="B685" s="4889" t="str">
        <f>B22</f>
        <v>5.  Less:  Mar. 20, 2021  Taxes received**</v>
      </c>
      <c r="E685" s="4963"/>
      <c r="F685" s="4942"/>
      <c r="G685" s="4954"/>
      <c r="H685" s="4942"/>
      <c r="I685" s="4954"/>
      <c r="J685" s="4942"/>
      <c r="K685" s="4954"/>
      <c r="M685" s="4959"/>
    </row>
    <row r="686" spans="2:13" ht="8.25" customHeight="1">
      <c r="E686" s="4943"/>
      <c r="F686" s="4942"/>
      <c r="G686" s="4943"/>
      <c r="H686" s="4942"/>
      <c r="I686" s="4943"/>
      <c r="J686" s="4942"/>
      <c r="K686" s="4943"/>
      <c r="M686" s="4943"/>
    </row>
    <row r="687" spans="2:13">
      <c r="B687" s="4889" t="str">
        <f>B24</f>
        <v>6.  Less:  June 5,  2021 Taxes received**</v>
      </c>
      <c r="E687" s="4963"/>
      <c r="F687" s="4942"/>
      <c r="G687" s="4954"/>
      <c r="H687" s="4942"/>
      <c r="I687" s="4954"/>
      <c r="J687" s="4942"/>
      <c r="K687" s="4954"/>
      <c r="M687" s="4959"/>
    </row>
    <row r="688" spans="2:13" ht="7.5" customHeight="1">
      <c r="E688" s="4943"/>
      <c r="F688" s="4942"/>
      <c r="G688" s="4943"/>
      <c r="H688" s="4942"/>
      <c r="I688" s="4943"/>
      <c r="J688" s="4942"/>
      <c r="K688" s="4943"/>
      <c r="M688" s="4943"/>
    </row>
    <row r="689" spans="2:14">
      <c r="B689" s="4889" t="s">
        <v>1421</v>
      </c>
      <c r="E689" s="4963"/>
      <c r="F689" s="4942"/>
      <c r="G689" s="4954"/>
      <c r="H689" s="4942"/>
      <c r="I689" s="4954"/>
      <c r="J689" s="4942"/>
      <c r="K689" s="4954"/>
      <c r="M689" s="4959"/>
    </row>
    <row r="690" spans="2:14" ht="7.5" customHeight="1">
      <c r="E690" s="4942"/>
      <c r="F690" s="4942"/>
      <c r="G690" s="4942"/>
      <c r="H690" s="4942"/>
      <c r="I690" s="4942"/>
      <c r="J690" s="4942"/>
      <c r="K690" s="4942"/>
      <c r="M690" s="4942"/>
    </row>
    <row r="691" spans="2:14">
      <c r="B691" s="4889" t="s">
        <v>1422</v>
      </c>
      <c r="E691" s="4963"/>
      <c r="F691" s="4942"/>
      <c r="G691" s="4954"/>
      <c r="H691" s="4942"/>
      <c r="I691" s="4954"/>
      <c r="J691" s="4942"/>
      <c r="K691" s="4954"/>
      <c r="M691" s="4959"/>
    </row>
    <row r="692" spans="2:14">
      <c r="B692" s="4889" t="s">
        <v>1423</v>
      </c>
      <c r="E692" s="4963"/>
      <c r="F692" s="4942"/>
      <c r="G692" s="4956"/>
      <c r="H692" s="4942"/>
      <c r="I692" s="4956"/>
      <c r="J692" s="4942"/>
      <c r="K692" s="4956"/>
      <c r="M692" s="4960"/>
    </row>
    <row r="693" spans="2:14">
      <c r="B693" s="4889" t="s">
        <v>1479</v>
      </c>
      <c r="E693" s="4963"/>
      <c r="F693" s="4908"/>
      <c r="G693" s="4905">
        <f>SUM(G681:G692)</f>
        <v>0</v>
      </c>
      <c r="H693" s="4908"/>
      <c r="I693" s="4905">
        <f>SUM(I681:I692)</f>
        <v>0</v>
      </c>
      <c r="J693" s="4908"/>
      <c r="K693" s="4905">
        <f>SUM(K681:K692)</f>
        <v>0</v>
      </c>
      <c r="L693" s="4935"/>
      <c r="M693" s="4905">
        <f>SUM(M681:M692)</f>
        <v>0</v>
      </c>
    </row>
    <row r="694" spans="2:14" ht="8.25" customHeight="1">
      <c r="E694" s="4904"/>
      <c r="F694" s="4904"/>
      <c r="G694" s="4904"/>
      <c r="H694" s="4904"/>
      <c r="I694" s="4904"/>
      <c r="J694" s="4904"/>
      <c r="K694" s="4904"/>
      <c r="L694" s="4935"/>
      <c r="M694" s="4904"/>
    </row>
    <row r="695" spans="2:14">
      <c r="B695" s="4889" t="str">
        <f>B32</f>
        <v>11. 2020 taxes receivable (taxes in process</v>
      </c>
      <c r="E695" s="4904"/>
      <c r="F695" s="4904"/>
      <c r="G695" s="4904"/>
      <c r="H695" s="4904"/>
      <c r="I695" s="4904"/>
      <c r="J695" s="4904"/>
      <c r="K695" s="4904"/>
      <c r="L695" s="4935"/>
      <c r="M695" s="4904"/>
    </row>
    <row r="696" spans="2:14">
      <c r="B696" s="4889" t="str">
        <f>B33</f>
        <v xml:space="preserve">     of collection 6/30/2021) (Line 2 less Line 10)</v>
      </c>
      <c r="E696" s="4963"/>
      <c r="F696" s="4908"/>
      <c r="G696" s="4905">
        <f>IF(G693&lt;=0,0,G679-G693)</f>
        <v>0</v>
      </c>
      <c r="H696" s="4908"/>
      <c r="I696" s="4905">
        <f>IF(I693&lt;=0,0,I679-I693)</f>
        <v>0</v>
      </c>
      <c r="J696" s="4908"/>
      <c r="K696" s="4905">
        <f>IF(K693&lt;=0,0,K679-K693)</f>
        <v>0</v>
      </c>
      <c r="L696" s="4908"/>
      <c r="M696" s="4905">
        <f>IF(M693&lt;=0,0,M679-M693)</f>
        <v>0</v>
      </c>
    </row>
    <row r="697" spans="2:14" ht="8.25" customHeight="1">
      <c r="E697" s="4904"/>
      <c r="F697" s="4904"/>
      <c r="G697" s="4904"/>
      <c r="H697" s="4904"/>
      <c r="I697" s="4904"/>
      <c r="J697" s="4904"/>
      <c r="K697" s="4904"/>
      <c r="L697" s="4935"/>
      <c r="M697" s="4904"/>
    </row>
    <row r="698" spans="2:14">
      <c r="B698" s="4889" t="s">
        <v>1443</v>
      </c>
      <c r="E698" s="4904"/>
      <c r="F698" s="4904"/>
      <c r="G698" s="4904"/>
      <c r="H698" s="4904"/>
      <c r="I698" s="4904"/>
      <c r="J698" s="4904"/>
      <c r="K698" s="4904"/>
      <c r="L698" s="4935"/>
      <c r="M698" s="4904"/>
    </row>
    <row r="699" spans="2:14">
      <c r="B699" s="4889" t="s">
        <v>1426</v>
      </c>
      <c r="E699" s="4904"/>
      <c r="F699" s="4904"/>
      <c r="G699" s="4904"/>
      <c r="H699" s="4904"/>
      <c r="I699" s="4904"/>
      <c r="J699" s="4904"/>
      <c r="K699" s="4904"/>
      <c r="L699" s="4935"/>
      <c r="M699" s="4904"/>
    </row>
    <row r="700" spans="2:14">
      <c r="B700" s="4889" t="str">
        <f>B37</f>
        <v xml:space="preserve">     (7-1-2021 to 12-31-2022) (Line 3 x 75%)</v>
      </c>
      <c r="E700" s="4963"/>
      <c r="F700" s="4908"/>
      <c r="G700" s="4905">
        <f>SUM(G681*0.75)</f>
        <v>0</v>
      </c>
      <c r="H700" s="4908"/>
      <c r="I700" s="4905">
        <f>SUM(I681*0.75)</f>
        <v>0</v>
      </c>
      <c r="J700" s="4908"/>
      <c r="K700" s="4905">
        <f>SUM(K681*0.75)</f>
        <v>0</v>
      </c>
      <c r="L700" s="4935"/>
      <c r="M700" s="4905">
        <f>SUM(M681*0.75)</f>
        <v>0</v>
      </c>
    </row>
    <row r="701" spans="2:14">
      <c r="B701" s="4931" t="str">
        <f>B39</f>
        <v>Tax Collection Ratio (Jan, Mar, June)</v>
      </c>
      <c r="E701" s="4965"/>
      <c r="F701" s="4938"/>
      <c r="G701" s="4964">
        <f>IF(G679&lt;&gt;0,(G683+G685+G687+G689+G691)/G679*100,0)</f>
        <v>0</v>
      </c>
      <c r="H701" s="4938" t="s">
        <v>886</v>
      </c>
      <c r="I701" s="4964">
        <f>IF(I679&lt;&gt;0,(I683+I685+I687+I689+I691)/I679*100,0)</f>
        <v>0</v>
      </c>
      <c r="J701" s="4938" t="s">
        <v>886</v>
      </c>
      <c r="K701" s="4964">
        <f>IF(K679&lt;&gt;0,(K683+K685+K687+K689+K691)/K679*100,0)</f>
        <v>0</v>
      </c>
      <c r="L701" s="4938" t="s">
        <v>886</v>
      </c>
      <c r="M701" s="4964">
        <f>IF(M679&lt;&gt;0,(M683+M685+M687+M689+M691)/M679*100,0)</f>
        <v>0</v>
      </c>
      <c r="N701" s="4917" t="s">
        <v>886</v>
      </c>
    </row>
    <row r="702" spans="2:14" ht="3.75" customHeight="1">
      <c r="B702" s="4906"/>
      <c r="C702" s="4906"/>
      <c r="D702" s="4906"/>
      <c r="E702" s="4906"/>
      <c r="F702" s="4906"/>
      <c r="G702" s="4906"/>
      <c r="H702" s="4906"/>
      <c r="I702" s="4906"/>
      <c r="J702" s="4906"/>
      <c r="K702" s="4906"/>
      <c r="L702" s="4906"/>
      <c r="M702" s="4906"/>
    </row>
    <row r="703" spans="2:14" ht="15" customHeight="1">
      <c r="B703" s="4889" t="str">
        <f>B97</f>
        <v>*Amounts are available from the County Treasurer.       **These Jan.-June, 2021 amounts are available from the County Treasurer.  (Should correspond to school</v>
      </c>
    </row>
    <row r="704" spans="2:14">
      <c r="B704" s="4889" t="str">
        <f>B98</f>
        <v xml:space="preserve"> records and does not include MVPT.)   Include Watercraft Tax if USD received payment direct from county.</v>
      </c>
    </row>
    <row r="705" spans="2:13">
      <c r="B705" s="4892" t="str">
        <f>$B$1</f>
        <v>Kansas Department of Education</v>
      </c>
      <c r="M705" s="4890" t="s">
        <v>1407</v>
      </c>
    </row>
    <row r="706" spans="2:13">
      <c r="B706" s="4933" t="str">
        <f>$B$2</f>
        <v>Form 0-135-110</v>
      </c>
      <c r="C706" s="4892"/>
      <c r="D706" s="4892"/>
      <c r="F706" s="4893"/>
      <c r="G706" s="4893" t="s">
        <v>1408</v>
      </c>
      <c r="H706" s="4893"/>
      <c r="I706" s="4894" t="str">
        <f>I2</f>
        <v>237 - Smith Center</v>
      </c>
      <c r="J706" s="4895"/>
      <c r="K706" s="4895"/>
      <c r="L706" s="4893" t="s">
        <v>1409</v>
      </c>
      <c r="M706" s="4896">
        <f>M2</f>
        <v>237</v>
      </c>
    </row>
    <row r="707" spans="2:13">
      <c r="B707" s="4933">
        <f>$B$3</f>
        <v>44348</v>
      </c>
      <c r="K707" s="4893" t="s">
        <v>879</v>
      </c>
      <c r="M707" s="4961"/>
    </row>
    <row r="708" spans="2:13" ht="7.5" customHeight="1">
      <c r="E708" s="4900"/>
      <c r="F708" s="4900"/>
      <c r="G708" s="4900"/>
      <c r="H708" s="4900"/>
      <c r="I708" s="4900"/>
      <c r="J708" s="4900"/>
      <c r="K708" s="4901"/>
      <c r="L708" s="4901"/>
      <c r="M708" s="4900"/>
    </row>
    <row r="709" spans="2:13" ht="9" customHeight="1">
      <c r="E709" s="4900"/>
      <c r="F709" s="4900"/>
      <c r="G709" s="4900"/>
      <c r="H709" s="4900"/>
      <c r="I709" s="4900"/>
      <c r="J709" s="4900"/>
      <c r="K709" s="4901"/>
      <c r="L709" s="4901"/>
      <c r="M709" s="4900"/>
    </row>
    <row r="710" spans="2:13">
      <c r="B710" s="4900" t="str">
        <f>B5</f>
        <v>2021-2022</v>
      </c>
      <c r="C710" s="4900"/>
      <c r="D710" s="4900"/>
      <c r="E710" s="4900"/>
      <c r="F710" s="4900"/>
      <c r="G710" s="4900"/>
      <c r="H710" s="4900"/>
      <c r="I710" s="4900"/>
      <c r="J710" s="4900"/>
      <c r="K710" s="4900"/>
      <c r="L710" s="4900"/>
      <c r="M710" s="4900"/>
    </row>
    <row r="711" spans="2:13">
      <c r="B711" s="4900" t="s">
        <v>1411</v>
      </c>
      <c r="C711" s="4900"/>
      <c r="D711" s="4900"/>
      <c r="E711" s="4900"/>
      <c r="F711" s="4900"/>
      <c r="G711" s="4900"/>
      <c r="H711" s="4900"/>
      <c r="I711" s="4900"/>
      <c r="J711" s="4900"/>
      <c r="K711" s="4900"/>
      <c r="L711" s="4900"/>
      <c r="M711" s="4900"/>
    </row>
    <row r="712" spans="2:13">
      <c r="B712" s="4900" t="s">
        <v>1412</v>
      </c>
      <c r="C712" s="4900"/>
      <c r="D712" s="4900"/>
      <c r="E712" s="4900"/>
      <c r="F712" s="4900"/>
      <c r="G712" s="4900"/>
      <c r="H712" s="4900"/>
      <c r="I712" s="4900"/>
      <c r="J712" s="4900"/>
      <c r="K712" s="4900"/>
      <c r="L712" s="4900"/>
      <c r="M712" s="4900"/>
    </row>
    <row r="713" spans="2:13">
      <c r="B713" s="4902" t="s">
        <v>1413</v>
      </c>
      <c r="C713" s="4902"/>
      <c r="D713" s="4902"/>
      <c r="E713" s="4900"/>
      <c r="F713" s="4900"/>
      <c r="G713" s="4900"/>
      <c r="H713" s="4900"/>
      <c r="I713" s="4900"/>
      <c r="J713" s="4900"/>
      <c r="K713" s="4900"/>
      <c r="L713" s="4900"/>
      <c r="M713" s="4900"/>
    </row>
    <row r="714" spans="2:13" ht="8.25" customHeight="1"/>
    <row r="715" spans="2:13">
      <c r="E715" s="4898"/>
      <c r="F715" s="4898"/>
      <c r="G715" s="4898" t="s">
        <v>1414</v>
      </c>
      <c r="H715" s="4898"/>
      <c r="I715" s="4898" t="s">
        <v>1415</v>
      </c>
      <c r="J715" s="4898"/>
      <c r="K715" s="4898" t="s">
        <v>1416</v>
      </c>
      <c r="L715" s="4898"/>
      <c r="M715" s="4898"/>
    </row>
    <row r="716" spans="2:13">
      <c r="E716" s="4898" t="s">
        <v>813</v>
      </c>
      <c r="F716" s="4898"/>
      <c r="G716" s="4898" t="s">
        <v>813</v>
      </c>
      <c r="H716" s="4898"/>
      <c r="I716" s="4898" t="s">
        <v>1417</v>
      </c>
      <c r="J716" s="4898"/>
      <c r="K716" s="4898" t="s">
        <v>1418</v>
      </c>
      <c r="L716" s="4898"/>
      <c r="M716" s="4898" t="s">
        <v>1419</v>
      </c>
    </row>
    <row r="717" spans="2:13">
      <c r="E717" s="4898" t="s">
        <v>896</v>
      </c>
      <c r="F717" s="4898"/>
      <c r="G717" s="4898" t="s">
        <v>896</v>
      </c>
      <c r="H717" s="4898"/>
      <c r="I717" s="4898" t="s">
        <v>896</v>
      </c>
      <c r="J717" s="4898"/>
      <c r="K717" s="4898" t="str">
        <f>K12</f>
        <v>Fund #1</v>
      </c>
      <c r="L717" s="4898"/>
      <c r="M717" s="4898" t="str">
        <f>M12</f>
        <v>Fund</v>
      </c>
    </row>
    <row r="718" spans="2:13" ht="8.25" customHeight="1"/>
    <row r="719" spans="2:13">
      <c r="B719" s="4889" t="str">
        <f>B14</f>
        <v>1.  County Treasurer Balance 6/30/2021 *</v>
      </c>
      <c r="E719" s="4953"/>
      <c r="F719" s="4942"/>
      <c r="G719" s="4954"/>
      <c r="H719" s="4942"/>
      <c r="I719" s="4954"/>
      <c r="J719" s="4942"/>
      <c r="K719" s="4954"/>
      <c r="L719" s="4942"/>
      <c r="M719" s="4954"/>
    </row>
    <row r="720" spans="2:13" ht="7.5" customHeight="1">
      <c r="B720" s="4906"/>
      <c r="C720" s="4906"/>
      <c r="D720" s="4906"/>
      <c r="E720" s="4955"/>
      <c r="F720" s="4955"/>
      <c r="G720" s="4955"/>
      <c r="H720" s="4955"/>
      <c r="I720" s="4955"/>
      <c r="J720" s="4955"/>
      <c r="K720" s="4955"/>
      <c r="L720" s="4955"/>
      <c r="M720" s="4955"/>
    </row>
    <row r="721" spans="2:13">
      <c r="B721" s="4889" t="str">
        <f>B16</f>
        <v>2.  2020 Actual Taxes Levied*</v>
      </c>
      <c r="E721" s="4953"/>
      <c r="F721" s="4942"/>
      <c r="G721" s="4954"/>
      <c r="H721" s="4942"/>
      <c r="I721" s="4954"/>
      <c r="J721" s="4942"/>
      <c r="K721" s="4954"/>
      <c r="L721" s="4942"/>
      <c r="M721" s="4954"/>
    </row>
    <row r="722" spans="2:13" ht="8.25" customHeight="1">
      <c r="E722" s="4943"/>
      <c r="F722" s="4942"/>
      <c r="G722" s="4942"/>
      <c r="H722" s="4942"/>
      <c r="I722" s="4942"/>
      <c r="J722" s="4942"/>
      <c r="K722" s="4942"/>
      <c r="L722" s="4942"/>
      <c r="M722" s="4942"/>
    </row>
    <row r="723" spans="2:13">
      <c r="B723" s="4889" t="s">
        <v>1420</v>
      </c>
      <c r="C723" s="4909"/>
      <c r="E723" s="4908"/>
      <c r="F723" s="4908"/>
      <c r="G723" s="4905">
        <f>SUM(G721*$C$723/100)</f>
        <v>0</v>
      </c>
      <c r="H723" s="4908"/>
      <c r="I723" s="4905">
        <f>SUM(I721*$C$723/100)</f>
        <v>0</v>
      </c>
      <c r="J723" s="4908"/>
      <c r="K723" s="4905">
        <f>SUM(K721*$C$723/100)</f>
        <v>0</v>
      </c>
      <c r="L723" s="4908"/>
      <c r="M723" s="4905">
        <f>SUM(M721*$C$723/100)</f>
        <v>0</v>
      </c>
    </row>
    <row r="724" spans="2:13" ht="7.5" customHeight="1">
      <c r="E724" s="4943"/>
      <c r="F724" s="4942"/>
      <c r="G724" s="4942"/>
      <c r="H724" s="4942"/>
      <c r="I724" s="4942"/>
      <c r="J724" s="4942"/>
      <c r="K724" s="4942"/>
      <c r="L724" s="4942"/>
      <c r="M724" s="4942"/>
    </row>
    <row r="725" spans="2:13">
      <c r="B725" s="4889" t="str">
        <f>B20</f>
        <v>4.  Less:  Jan. 20, 2021 Taxes received**</v>
      </c>
      <c r="C725" s="4893"/>
      <c r="E725" s="4953"/>
      <c r="F725" s="4942"/>
      <c r="G725" s="4954"/>
      <c r="H725" s="4942"/>
      <c r="I725" s="4954"/>
      <c r="J725" s="4942"/>
      <c r="K725" s="4954"/>
      <c r="L725" s="4942"/>
      <c r="M725" s="4954"/>
    </row>
    <row r="726" spans="2:13" ht="7.5" customHeight="1">
      <c r="E726" s="4943"/>
      <c r="F726" s="4942"/>
      <c r="G726" s="4942"/>
      <c r="H726" s="4942"/>
      <c r="I726" s="4904"/>
      <c r="J726" s="4942"/>
      <c r="K726" s="4942"/>
      <c r="L726" s="4942"/>
      <c r="M726" s="4942"/>
    </row>
    <row r="727" spans="2:13">
      <c r="B727" s="4889" t="str">
        <f>B22</f>
        <v>5.  Less:  Mar. 20, 2021  Taxes received**</v>
      </c>
      <c r="E727" s="4953"/>
      <c r="F727" s="4942"/>
      <c r="G727" s="4954"/>
      <c r="H727" s="4942"/>
      <c r="I727" s="4954"/>
      <c r="J727" s="4942"/>
      <c r="K727" s="4954"/>
      <c r="L727" s="4942"/>
      <c r="M727" s="4954"/>
    </row>
    <row r="728" spans="2:13" ht="8.25" customHeight="1">
      <c r="E728" s="4943"/>
      <c r="F728" s="4942"/>
      <c r="G728" s="4942"/>
      <c r="H728" s="4942"/>
      <c r="I728" s="4942"/>
      <c r="J728" s="4942"/>
      <c r="K728" s="4942"/>
      <c r="L728" s="4942"/>
      <c r="M728" s="4942"/>
    </row>
    <row r="729" spans="2:13">
      <c r="B729" s="4889" t="str">
        <f>B24</f>
        <v>6.  Less:  June 5,  2021 Taxes received**</v>
      </c>
      <c r="E729" s="4953"/>
      <c r="F729" s="4942"/>
      <c r="G729" s="4954"/>
      <c r="H729" s="4942"/>
      <c r="I729" s="4954"/>
      <c r="J729" s="4942"/>
      <c r="K729" s="4954"/>
      <c r="L729" s="4942"/>
      <c r="M729" s="4954"/>
    </row>
    <row r="730" spans="2:13" ht="7.5" customHeight="1">
      <c r="E730" s="4943"/>
      <c r="F730" s="4942"/>
      <c r="G730" s="4942"/>
      <c r="H730" s="4942"/>
      <c r="I730" s="4942"/>
      <c r="J730" s="4942"/>
      <c r="K730" s="4942"/>
      <c r="L730" s="4942"/>
      <c r="M730" s="4904"/>
    </row>
    <row r="731" spans="2:13">
      <c r="B731" s="4889" t="s">
        <v>1421</v>
      </c>
      <c r="E731" s="4953"/>
      <c r="F731" s="4942"/>
      <c r="G731" s="4954"/>
      <c r="H731" s="4942"/>
      <c r="I731" s="4954"/>
      <c r="J731" s="4942"/>
      <c r="K731" s="4954"/>
      <c r="L731" s="4942"/>
      <c r="M731" s="4954"/>
    </row>
    <row r="732" spans="2:13" ht="7.5" customHeight="1">
      <c r="E732" s="4943"/>
      <c r="F732" s="4942"/>
      <c r="G732" s="4942"/>
      <c r="H732" s="4942"/>
      <c r="I732" s="4942"/>
      <c r="J732" s="4942"/>
      <c r="K732" s="4942"/>
      <c r="L732" s="4942"/>
      <c r="M732" s="4942"/>
    </row>
    <row r="733" spans="2:13">
      <c r="B733" s="4889" t="s">
        <v>1422</v>
      </c>
      <c r="E733" s="4953"/>
      <c r="F733" s="4942"/>
      <c r="G733" s="4954"/>
      <c r="H733" s="4942"/>
      <c r="I733" s="4954"/>
      <c r="J733" s="4904"/>
      <c r="K733" s="4954"/>
      <c r="L733" s="4942"/>
      <c r="M733" s="4954"/>
    </row>
    <row r="734" spans="2:13">
      <c r="B734" s="4889" t="s">
        <v>1423</v>
      </c>
      <c r="E734" s="4953"/>
      <c r="F734" s="4942"/>
      <c r="G734" s="4956"/>
      <c r="H734" s="4942"/>
      <c r="I734" s="4956"/>
      <c r="J734" s="4942"/>
      <c r="K734" s="4956"/>
      <c r="L734" s="4942"/>
      <c r="M734" s="4956"/>
    </row>
    <row r="735" spans="2:13">
      <c r="B735" s="4889" t="s">
        <v>1424</v>
      </c>
      <c r="E735" s="4953"/>
      <c r="F735" s="4904"/>
      <c r="G735" s="4905">
        <f>SUM(G723:G734)</f>
        <v>0</v>
      </c>
      <c r="H735" s="4904"/>
      <c r="I735" s="4905">
        <f>SUM(I723:I734)</f>
        <v>0</v>
      </c>
      <c r="J735" s="4904"/>
      <c r="K735" s="4905">
        <f>SUM(K723:K734)</f>
        <v>0</v>
      </c>
      <c r="L735" s="4904"/>
      <c r="M735" s="4905">
        <f>SUM(M723:M734)</f>
        <v>0</v>
      </c>
    </row>
    <row r="736" spans="2:13" ht="6.75" customHeight="1">
      <c r="E736" s="4908"/>
      <c r="F736" s="4904"/>
      <c r="G736" s="4904"/>
      <c r="H736" s="4904"/>
      <c r="I736" s="4904"/>
      <c r="J736" s="4904"/>
      <c r="K736" s="4904"/>
      <c r="L736" s="4904"/>
      <c r="M736" s="4904"/>
    </row>
    <row r="737" spans="2:14">
      <c r="B737" s="4889" t="str">
        <f>B32</f>
        <v>11. 2020 taxes receivable (taxes in process</v>
      </c>
      <c r="E737" s="4908"/>
      <c r="F737" s="4904"/>
      <c r="G737" s="4904"/>
      <c r="H737" s="4904"/>
      <c r="I737" s="4904"/>
      <c r="J737" s="4904"/>
      <c r="K737" s="4904"/>
      <c r="L737" s="4904"/>
      <c r="M737" s="4904"/>
    </row>
    <row r="738" spans="2:14">
      <c r="B738" s="4889" t="str">
        <f>B33</f>
        <v xml:space="preserve">     of collection 6/30/2021) (Line 2 less Line 10)</v>
      </c>
      <c r="E738" s="4953"/>
      <c r="F738" s="4904"/>
      <c r="G738" s="4905">
        <f>IF(G735&lt;=0,0,G721-G735)</f>
        <v>0</v>
      </c>
      <c r="H738" s="4904"/>
      <c r="I738" s="4905">
        <f>IF(I735&lt;=0,0,I721-I735)</f>
        <v>0</v>
      </c>
      <c r="J738" s="4904"/>
      <c r="K738" s="4905">
        <f>IF(K735&lt;=0,0,(K721-K735))</f>
        <v>0</v>
      </c>
      <c r="L738" s="4904"/>
      <c r="M738" s="4905">
        <f>IF(M735&lt;=0,0,M721-M735)</f>
        <v>0</v>
      </c>
    </row>
    <row r="739" spans="2:14" ht="6.75" customHeight="1">
      <c r="E739" s="4908"/>
      <c r="F739" s="4904"/>
      <c r="G739" s="4908"/>
      <c r="H739" s="4904"/>
      <c r="I739" s="4908"/>
      <c r="J739" s="4904"/>
      <c r="K739" s="4908"/>
      <c r="L739" s="4904"/>
      <c r="M739" s="4908"/>
    </row>
    <row r="740" spans="2:14">
      <c r="B740" s="4889" t="s">
        <v>1425</v>
      </c>
      <c r="E740" s="4908"/>
      <c r="F740" s="4904"/>
      <c r="G740" s="4904"/>
      <c r="H740" s="4904"/>
      <c r="I740" s="4904"/>
      <c r="J740" s="4904"/>
      <c r="K740" s="4904"/>
      <c r="L740" s="4904"/>
      <c r="M740" s="4904"/>
    </row>
    <row r="741" spans="2:14">
      <c r="B741" s="4889" t="s">
        <v>1426</v>
      </c>
      <c r="E741" s="4908"/>
      <c r="F741" s="4904"/>
      <c r="G741" s="4904"/>
      <c r="H741" s="4904"/>
      <c r="I741" s="4904"/>
      <c r="J741" s="4904"/>
      <c r="K741" s="4904"/>
      <c r="L741" s="4904"/>
      <c r="M741" s="4904"/>
    </row>
    <row r="742" spans="2:14">
      <c r="B742" s="4889" t="str">
        <f>B37</f>
        <v xml:space="preserve">     (7-1-2021 to 12-31-2022) (Line 3 x 75%)</v>
      </c>
      <c r="E742" s="4953"/>
      <c r="F742" s="4904"/>
      <c r="G742" s="4905">
        <f>SUM(G723*0.75)</f>
        <v>0</v>
      </c>
      <c r="H742" s="4904"/>
      <c r="I742" s="4905">
        <f>SUM(I723*0.75)</f>
        <v>0</v>
      </c>
      <c r="J742" s="4904"/>
      <c r="K742" s="4905">
        <f>SUM(K723*0.75)</f>
        <v>0</v>
      </c>
      <c r="L742" s="4904"/>
      <c r="M742" s="4905">
        <f>SUM(M723*0.75)</f>
        <v>0</v>
      </c>
    </row>
    <row r="743" spans="2:14">
      <c r="B743" s="4949" t="str">
        <f>B39</f>
        <v>Tax Collection Ratio (Jan, Mar, June)</v>
      </c>
      <c r="C743" s="4910"/>
      <c r="D743" s="4910"/>
      <c r="E743" s="4951"/>
      <c r="F743" s="4938"/>
      <c r="G743" s="4951">
        <f>IF(G721&lt;&gt;0,(G725+G727+G729+G731+G733)/G721*100,0)</f>
        <v>0</v>
      </c>
      <c r="H743" s="4938" t="s">
        <v>886</v>
      </c>
      <c r="I743" s="4951">
        <f>IF(I721&lt;&gt;0,(I725+I727+I729+I731+I733)/I721*100,0)</f>
        <v>0</v>
      </c>
      <c r="J743" s="4938" t="s">
        <v>886</v>
      </c>
      <c r="K743" s="4951">
        <f>IF(K721&lt;&gt;0,(K725+K727+K729+K731+K733)/K721*100,0)</f>
        <v>0</v>
      </c>
      <c r="L743" s="4938" t="s">
        <v>886</v>
      </c>
      <c r="M743" s="4951">
        <f>IF(M721&lt;&gt;0,(M725+M727+M729+M731+M733)/M721*100,0)</f>
        <v>0</v>
      </c>
      <c r="N743" s="4917" t="s">
        <v>886</v>
      </c>
    </row>
    <row r="744" spans="2:14" ht="3" customHeight="1">
      <c r="B744" s="4918"/>
      <c r="C744" s="4917"/>
      <c r="D744" s="4917"/>
      <c r="E744" s="4917"/>
      <c r="F744" s="4917"/>
      <c r="G744" s="4917"/>
      <c r="H744" s="4917"/>
      <c r="I744" s="4917"/>
      <c r="J744" s="4917"/>
      <c r="K744" s="4917"/>
      <c r="L744" s="4917"/>
      <c r="M744" s="4917"/>
    </row>
    <row r="745" spans="2:14" ht="0.75" customHeight="1">
      <c r="B745" s="4910"/>
      <c r="C745" s="4910"/>
      <c r="D745" s="4910"/>
      <c r="E745" s="4910"/>
      <c r="F745" s="4910"/>
      <c r="G745" s="4910"/>
      <c r="H745" s="4910"/>
      <c r="I745" s="4962"/>
      <c r="J745" s="4910"/>
      <c r="K745" s="4910"/>
      <c r="L745" s="4910"/>
      <c r="M745" s="4910"/>
    </row>
    <row r="746" spans="2:14" ht="3" hidden="1" customHeight="1">
      <c r="G746" s="4893"/>
      <c r="I746" s="4966"/>
      <c r="J746" s="4910"/>
      <c r="K746" s="4967"/>
      <c r="L746" s="4910"/>
      <c r="M746" s="4966"/>
    </row>
    <row r="747" spans="2:14" ht="3" hidden="1" customHeight="1">
      <c r="B747" s="4920"/>
      <c r="C747" s="4920"/>
      <c r="D747" s="4920"/>
      <c r="E747" s="4920"/>
      <c r="F747" s="4920"/>
      <c r="G747" s="4968"/>
      <c r="H747" s="4920"/>
      <c r="I747" s="4966"/>
      <c r="J747" s="4910"/>
      <c r="K747" s="4932"/>
      <c r="L747" s="4910"/>
      <c r="M747" s="4966"/>
    </row>
    <row r="748" spans="2:14" ht="3" hidden="1" customHeight="1">
      <c r="G748" s="4928"/>
      <c r="I748" s="4966"/>
      <c r="J748" s="4910"/>
      <c r="K748" s="4932"/>
      <c r="L748" s="4910"/>
      <c r="M748" s="4966"/>
    </row>
    <row r="749" spans="2:14" ht="3" hidden="1" customHeight="1">
      <c r="G749" s="4928"/>
      <c r="I749" s="4969"/>
      <c r="J749" s="4910"/>
      <c r="K749" s="4932"/>
      <c r="L749" s="4910"/>
      <c r="M749" s="4910"/>
    </row>
    <row r="750" spans="2:14" ht="1.5" hidden="1" customHeight="1">
      <c r="I750" s="4943"/>
      <c r="J750" s="4910"/>
      <c r="K750" s="4910"/>
      <c r="L750" s="4910"/>
      <c r="M750" s="4970"/>
    </row>
    <row r="751" spans="2:14" ht="4.5" hidden="1" customHeight="1">
      <c r="C751" s="4931"/>
      <c r="D751" s="4931"/>
      <c r="I751" s="4943"/>
      <c r="J751" s="4910"/>
      <c r="K751" s="4910"/>
      <c r="L751" s="4910"/>
      <c r="M751" s="4971"/>
    </row>
    <row r="752" spans="2:14">
      <c r="B752" s="4957" t="str">
        <f>B97</f>
        <v>*Amounts are available from the County Treasurer.       **These Jan.-June, 2021 amounts are available from the County Treasurer.  (Should correspond to school</v>
      </c>
      <c r="C752" s="4972"/>
      <c r="D752" s="4972"/>
      <c r="E752" s="4972"/>
      <c r="F752" s="4972"/>
      <c r="G752" s="4972"/>
      <c r="H752" s="4972"/>
      <c r="I752" s="4973"/>
      <c r="J752" s="4957"/>
      <c r="K752" s="4957"/>
      <c r="L752" s="4957"/>
      <c r="M752" s="4957"/>
    </row>
    <row r="753" spans="2:15">
      <c r="B753" s="4889" t="str">
        <f>B98</f>
        <v xml:space="preserve"> records and does not include MVPT.)   Include Watercraft Tax if USD received payment direct from county.</v>
      </c>
    </row>
    <row r="754" spans="2:15" ht="6.75" customHeight="1"/>
    <row r="755" spans="2:15">
      <c r="B755" s="4892" t="str">
        <f>$B$1</f>
        <v>Kansas Department of Education</v>
      </c>
      <c r="M755" s="4890" t="s">
        <v>1433</v>
      </c>
    </row>
    <row r="756" spans="2:15">
      <c r="B756" s="4933" t="str">
        <f>$B$2</f>
        <v>Form 0-135-110</v>
      </c>
      <c r="C756" s="4892"/>
      <c r="D756" s="4892"/>
      <c r="F756" s="4893"/>
      <c r="G756" s="4893" t="s">
        <v>1408</v>
      </c>
      <c r="H756" s="4893"/>
      <c r="I756" s="4894" t="str">
        <f>I706</f>
        <v>237 - Smith Center</v>
      </c>
      <c r="J756" s="4895"/>
      <c r="K756" s="4934"/>
      <c r="L756" s="4893" t="s">
        <v>1409</v>
      </c>
      <c r="M756" s="4896">
        <f>M706</f>
        <v>237</v>
      </c>
      <c r="O756" s="4910"/>
    </row>
    <row r="757" spans="2:15">
      <c r="B757" s="4933">
        <f>$B$3</f>
        <v>44348</v>
      </c>
      <c r="K757" s="4893" t="s">
        <v>879</v>
      </c>
      <c r="M757" s="4895">
        <f>M707</f>
        <v>0</v>
      </c>
    </row>
    <row r="758" spans="2:15" ht="6.75" customHeight="1">
      <c r="E758" s="4900"/>
      <c r="F758" s="4900"/>
      <c r="G758" s="4900"/>
      <c r="H758" s="4900"/>
      <c r="I758" s="4900"/>
      <c r="J758" s="4900"/>
      <c r="K758" s="4901"/>
      <c r="L758" s="4901"/>
      <c r="M758" s="4900"/>
    </row>
    <row r="759" spans="2:15" ht="15" customHeight="1">
      <c r="B759" s="4900" t="str">
        <f>B5</f>
        <v>2021-2022</v>
      </c>
      <c r="C759" s="4900"/>
      <c r="D759" s="4900"/>
      <c r="E759" s="4900"/>
      <c r="F759" s="4900"/>
      <c r="G759" s="4900"/>
      <c r="H759" s="4900"/>
      <c r="I759" s="4900"/>
      <c r="J759" s="4900"/>
      <c r="K759" s="4900"/>
      <c r="L759" s="4900"/>
      <c r="M759" s="4900"/>
    </row>
    <row r="760" spans="2:15">
      <c r="B760" s="4900" t="s">
        <v>1411</v>
      </c>
      <c r="C760" s="4900"/>
      <c r="D760" s="4900"/>
      <c r="E760" s="4900"/>
      <c r="F760" s="4900"/>
      <c r="G760" s="4900"/>
      <c r="H760" s="4900"/>
      <c r="I760" s="4900"/>
      <c r="J760" s="4900"/>
      <c r="K760" s="4900"/>
      <c r="L760" s="4900"/>
      <c r="M760" s="4900"/>
    </row>
    <row r="761" spans="2:15">
      <c r="B761" s="4900" t="s">
        <v>1412</v>
      </c>
      <c r="C761" s="4900"/>
      <c r="D761" s="4900"/>
      <c r="E761" s="4900"/>
      <c r="F761" s="4900"/>
      <c r="G761" s="4900"/>
      <c r="H761" s="4900"/>
      <c r="I761" s="4900"/>
      <c r="J761" s="4900"/>
      <c r="K761" s="4900"/>
      <c r="L761" s="4900"/>
      <c r="M761" s="4900"/>
    </row>
    <row r="762" spans="2:15">
      <c r="B762" s="4902" t="s">
        <v>1413</v>
      </c>
      <c r="C762" s="4902"/>
      <c r="D762" s="4902"/>
      <c r="E762" s="4900"/>
      <c r="F762" s="4900"/>
      <c r="G762" s="4900"/>
      <c r="H762" s="4900"/>
      <c r="I762" s="4900"/>
      <c r="J762" s="4900"/>
      <c r="K762" s="4900"/>
      <c r="L762" s="4900"/>
      <c r="M762" s="4900"/>
    </row>
    <row r="763" spans="2:15" ht="7.5" customHeight="1">
      <c r="E763" s="4898"/>
      <c r="F763" s="4898"/>
      <c r="G763" s="4898"/>
      <c r="H763" s="4898"/>
      <c r="I763" s="4898"/>
      <c r="J763" s="4898"/>
      <c r="K763" s="4898"/>
      <c r="L763" s="4898"/>
      <c r="M763" s="4898"/>
    </row>
    <row r="764" spans="2:15">
      <c r="E764" s="4898" t="s">
        <v>1434</v>
      </c>
      <c r="F764" s="4898"/>
      <c r="G764" s="4898" t="s">
        <v>1435</v>
      </c>
      <c r="H764" s="4898"/>
      <c r="I764" s="4898" t="s">
        <v>1475</v>
      </c>
      <c r="J764" s="4898"/>
      <c r="K764" s="4898" t="s">
        <v>1437</v>
      </c>
      <c r="M764" s="661"/>
      <c r="N764" s="661"/>
    </row>
    <row r="765" spans="2:15">
      <c r="E765" s="4898" t="s">
        <v>1438</v>
      </c>
      <c r="F765" s="4898"/>
      <c r="G765" s="4898" t="s">
        <v>1439</v>
      </c>
      <c r="H765" s="4898"/>
      <c r="I765" s="4898" t="s">
        <v>1440</v>
      </c>
      <c r="J765" s="4898"/>
      <c r="K765" s="4898" t="str">
        <f>K60</f>
        <v>Interest #2</v>
      </c>
      <c r="M765" s="661"/>
      <c r="N765" s="661"/>
    </row>
    <row r="766" spans="2:15" ht="8.25" customHeight="1">
      <c r="M766" s="661"/>
      <c r="N766" s="661"/>
    </row>
    <row r="767" spans="2:15">
      <c r="B767" s="4889" t="str">
        <f>B14</f>
        <v>1.  County Treasurer Balance 6/30/2021 *</v>
      </c>
      <c r="E767" s="4954"/>
      <c r="F767" s="4942"/>
      <c r="G767" s="4954"/>
      <c r="H767" s="4942"/>
      <c r="I767" s="4953"/>
      <c r="J767" s="4942"/>
      <c r="K767" s="4954"/>
      <c r="M767" s="661"/>
      <c r="N767" s="661"/>
    </row>
    <row r="768" spans="2:15" ht="8.25" customHeight="1">
      <c r="B768" s="4906"/>
      <c r="C768" s="4906"/>
      <c r="D768" s="4906"/>
      <c r="E768" s="4955"/>
      <c r="F768" s="4955"/>
      <c r="G768" s="4955"/>
      <c r="H768" s="4955"/>
      <c r="I768" s="4955"/>
      <c r="J768" s="4955"/>
      <c r="K768" s="4955"/>
      <c r="M768" s="661"/>
      <c r="N768" s="661"/>
    </row>
    <row r="769" spans="2:14">
      <c r="B769" s="4889" t="str">
        <f>B16</f>
        <v>2.  2020 Actual Taxes Levied*</v>
      </c>
      <c r="E769" s="4954"/>
      <c r="F769" s="4942"/>
      <c r="G769" s="4954"/>
      <c r="H769" s="4942"/>
      <c r="I769" s="4953"/>
      <c r="J769" s="4942"/>
      <c r="K769" s="4954"/>
      <c r="M769" s="661"/>
      <c r="N769" s="661"/>
    </row>
    <row r="770" spans="2:14" ht="8.25" customHeight="1">
      <c r="E770" s="4942"/>
      <c r="F770" s="4942"/>
      <c r="G770" s="4942"/>
      <c r="H770" s="4942"/>
      <c r="I770" s="4942"/>
      <c r="J770" s="4942"/>
      <c r="K770" s="4942"/>
      <c r="M770" s="661"/>
      <c r="N770" s="661"/>
    </row>
    <row r="771" spans="2:14">
      <c r="B771" s="4889" t="s">
        <v>1441</v>
      </c>
      <c r="C771" s="4929">
        <f>C723</f>
        <v>0</v>
      </c>
      <c r="D771" s="4935"/>
      <c r="E771" s="4905">
        <f>E769*$C$771/100</f>
        <v>0</v>
      </c>
      <c r="F771" s="4908"/>
      <c r="G771" s="4905">
        <f>G769*$C$771/100</f>
        <v>0</v>
      </c>
      <c r="H771" s="4908"/>
      <c r="I771" s="4953"/>
      <c r="J771" s="4908"/>
      <c r="K771" s="4905">
        <f>K769*$C$771/100</f>
        <v>0</v>
      </c>
      <c r="L771" s="4908"/>
      <c r="M771" s="661"/>
      <c r="N771" s="661"/>
    </row>
    <row r="772" spans="2:14" ht="8.25" customHeight="1">
      <c r="E772" s="4942"/>
      <c r="F772" s="4942"/>
      <c r="G772" s="4942"/>
      <c r="H772" s="4942"/>
      <c r="I772" s="4942"/>
      <c r="J772" s="4942"/>
      <c r="K772" s="4942"/>
      <c r="M772" s="661"/>
      <c r="N772" s="661"/>
    </row>
    <row r="773" spans="2:14">
      <c r="B773" s="4889" t="str">
        <f>B20</f>
        <v>4.  Less:  Jan. 20, 2021 Taxes received**</v>
      </c>
      <c r="E773" s="4954"/>
      <c r="F773" s="4942"/>
      <c r="G773" s="4954"/>
      <c r="H773" s="4942"/>
      <c r="I773" s="4953"/>
      <c r="J773" s="4942"/>
      <c r="K773" s="4954"/>
      <c r="M773" s="661"/>
      <c r="N773" s="661"/>
    </row>
    <row r="774" spans="2:14" ht="9" customHeight="1">
      <c r="E774" s="4942"/>
      <c r="F774" s="4942"/>
      <c r="G774" s="4942"/>
      <c r="H774" s="4942"/>
      <c r="I774" s="4942"/>
      <c r="J774" s="4942"/>
      <c r="K774" s="4942"/>
      <c r="M774" s="661"/>
      <c r="N774" s="661"/>
    </row>
    <row r="775" spans="2:14">
      <c r="B775" s="4889" t="str">
        <f>B22</f>
        <v>5.  Less:  Mar. 20, 2021  Taxes received**</v>
      </c>
      <c r="E775" s="4954"/>
      <c r="F775" s="4942"/>
      <c r="G775" s="4954"/>
      <c r="H775" s="4942"/>
      <c r="I775" s="4953"/>
      <c r="J775" s="4942"/>
      <c r="K775" s="4954"/>
      <c r="M775" s="661"/>
      <c r="N775" s="661"/>
    </row>
    <row r="776" spans="2:14" ht="8.25" customHeight="1">
      <c r="E776" s="4943"/>
      <c r="F776" s="4942"/>
      <c r="G776" s="4943"/>
      <c r="H776" s="4942"/>
      <c r="I776" s="4943"/>
      <c r="J776" s="4942"/>
      <c r="K776" s="4943"/>
      <c r="M776" s="661"/>
      <c r="N776" s="661"/>
    </row>
    <row r="777" spans="2:14">
      <c r="B777" s="4889" t="str">
        <f>B24</f>
        <v>6.  Less:  June 5,  2021 Taxes received**</v>
      </c>
      <c r="E777" s="4954"/>
      <c r="F777" s="4942"/>
      <c r="G777" s="4954"/>
      <c r="H777" s="4942"/>
      <c r="I777" s="4953"/>
      <c r="J777" s="4942"/>
      <c r="K777" s="4954"/>
      <c r="M777" s="661"/>
      <c r="N777" s="661"/>
    </row>
    <row r="778" spans="2:14" ht="7.5" customHeight="1">
      <c r="E778" s="4943"/>
      <c r="F778" s="4942"/>
      <c r="G778" s="4943"/>
      <c r="H778" s="4942"/>
      <c r="I778" s="4943"/>
      <c r="J778" s="4942"/>
      <c r="K778" s="4943"/>
      <c r="M778" s="661"/>
      <c r="N778" s="661"/>
    </row>
    <row r="779" spans="2:14">
      <c r="B779" s="4889" t="s">
        <v>1421</v>
      </c>
      <c r="E779" s="4954"/>
      <c r="F779" s="4942"/>
      <c r="G779" s="4954"/>
      <c r="H779" s="4942"/>
      <c r="I779" s="4953"/>
      <c r="J779" s="4942"/>
      <c r="K779" s="4954"/>
      <c r="M779" s="661"/>
      <c r="N779" s="661"/>
    </row>
    <row r="780" spans="2:14" ht="8.25" customHeight="1">
      <c r="E780" s="4942"/>
      <c r="F780" s="4942"/>
      <c r="G780" s="4942"/>
      <c r="H780" s="4942"/>
      <c r="I780" s="4942"/>
      <c r="J780" s="4942"/>
      <c r="K780" s="4942"/>
      <c r="M780" s="661"/>
      <c r="N780" s="661"/>
    </row>
    <row r="781" spans="2:14">
      <c r="B781" s="4889" t="s">
        <v>1422</v>
      </c>
      <c r="E781" s="4954"/>
      <c r="F781" s="4942"/>
      <c r="G781" s="4954"/>
      <c r="H781" s="4942"/>
      <c r="I781" s="4953"/>
      <c r="J781" s="4942"/>
      <c r="K781" s="4954"/>
      <c r="M781" s="661"/>
      <c r="N781" s="661"/>
    </row>
    <row r="782" spans="2:14">
      <c r="B782" s="4889" t="s">
        <v>1423</v>
      </c>
      <c r="E782" s="4956"/>
      <c r="F782" s="4942"/>
      <c r="G782" s="4956"/>
      <c r="H782" s="4942"/>
      <c r="I782" s="4953"/>
      <c r="J782" s="4942"/>
      <c r="K782" s="4956"/>
      <c r="M782" s="661"/>
      <c r="N782" s="661"/>
    </row>
    <row r="783" spans="2:14">
      <c r="B783" s="4889" t="s">
        <v>1442</v>
      </c>
      <c r="E783" s="4905">
        <f>SUM(E771:E782)</f>
        <v>0</v>
      </c>
      <c r="F783" s="4908"/>
      <c r="G783" s="4905">
        <f>SUM(G771:G782)</f>
        <v>0</v>
      </c>
      <c r="H783" s="4908"/>
      <c r="I783" s="4953"/>
      <c r="J783" s="4908"/>
      <c r="K783" s="4905">
        <f>SUM(K771:K782)</f>
        <v>0</v>
      </c>
      <c r="L783" s="4935"/>
      <c r="M783" s="661"/>
      <c r="N783" s="661"/>
    </row>
    <row r="784" spans="2:14" ht="9" customHeight="1">
      <c r="E784" s="4904"/>
      <c r="F784" s="4904"/>
      <c r="G784" s="4904"/>
      <c r="H784" s="4904"/>
      <c r="I784" s="4904"/>
      <c r="J784" s="4904"/>
      <c r="K784" s="4904"/>
      <c r="L784" s="4935"/>
      <c r="M784" s="661"/>
      <c r="N784" s="661"/>
    </row>
    <row r="785" spans="2:14">
      <c r="B785" s="4889" t="str">
        <f>B32</f>
        <v>11. 2020 taxes receivable (taxes in process</v>
      </c>
      <c r="E785" s="4904"/>
      <c r="F785" s="4904"/>
      <c r="G785" s="4904"/>
      <c r="H785" s="4904"/>
      <c r="I785" s="4904"/>
      <c r="J785" s="4904"/>
      <c r="K785" s="4904"/>
      <c r="L785" s="4935"/>
      <c r="M785" s="661"/>
      <c r="N785" s="661"/>
    </row>
    <row r="786" spans="2:14">
      <c r="B786" s="4889" t="str">
        <f>B33</f>
        <v xml:space="preserve">     of collection 6/30/2021) (Line 2 less Line 10)</v>
      </c>
      <c r="E786" s="4905">
        <f>IF(E783&lt;=0,0,E769-E783)</f>
        <v>0</v>
      </c>
      <c r="F786" s="4908"/>
      <c r="G786" s="4905">
        <f>IF(G783&lt;=0,0,G769-G783)</f>
        <v>0</v>
      </c>
      <c r="H786" s="4908"/>
      <c r="I786" s="4953"/>
      <c r="J786" s="4908"/>
      <c r="K786" s="4905">
        <f>IF(K783&lt;=0,0,K769-K783)</f>
        <v>0</v>
      </c>
      <c r="L786" s="4908"/>
      <c r="M786" s="661"/>
      <c r="N786" s="661"/>
    </row>
    <row r="787" spans="2:14" ht="8.25" customHeight="1">
      <c r="E787" s="4904"/>
      <c r="F787" s="4904"/>
      <c r="G787" s="4904"/>
      <c r="H787" s="4904"/>
      <c r="I787" s="4904"/>
      <c r="J787" s="4904"/>
      <c r="K787" s="4904"/>
      <c r="L787" s="4935"/>
      <c r="M787" s="661"/>
      <c r="N787" s="661"/>
    </row>
    <row r="788" spans="2:14">
      <c r="B788" s="4889" t="s">
        <v>1443</v>
      </c>
      <c r="E788" s="4904"/>
      <c r="F788" s="4904"/>
      <c r="G788" s="4904"/>
      <c r="H788" s="4904"/>
      <c r="I788" s="4904"/>
      <c r="J788" s="4904"/>
      <c r="K788" s="4904"/>
      <c r="L788" s="4935"/>
      <c r="M788" s="661"/>
      <c r="N788" s="661"/>
    </row>
    <row r="789" spans="2:14">
      <c r="B789" s="4889" t="s">
        <v>1426</v>
      </c>
      <c r="E789" s="4904"/>
      <c r="F789" s="4904"/>
      <c r="G789" s="4904"/>
      <c r="H789" s="4904"/>
      <c r="I789" s="4904"/>
      <c r="J789" s="4904"/>
      <c r="K789" s="4904"/>
      <c r="L789" s="4935"/>
      <c r="M789" s="661"/>
      <c r="N789" s="661"/>
    </row>
    <row r="790" spans="2:14">
      <c r="B790" s="4889" t="str">
        <f>B37</f>
        <v xml:space="preserve">     (7-1-2021 to 12-31-2022) (Line 3 x 75%)</v>
      </c>
      <c r="E790" s="4905">
        <f>SUM(E771*0.75)</f>
        <v>0</v>
      </c>
      <c r="F790" s="4908"/>
      <c r="G790" s="4905">
        <f>SUM(G771*0.75)</f>
        <v>0</v>
      </c>
      <c r="H790" s="4908"/>
      <c r="I790" s="4953"/>
      <c r="J790" s="4908"/>
      <c r="K790" s="4905">
        <f>SUM(K771*0.75)</f>
        <v>0</v>
      </c>
      <c r="L790" s="4935"/>
      <c r="M790" s="661"/>
      <c r="N790" s="661"/>
    </row>
    <row r="791" spans="2:14">
      <c r="B791" s="4931" t="str">
        <f>B39</f>
        <v>Tax Collection Ratio (Jan, Mar, June)</v>
      </c>
      <c r="E791" s="4964">
        <f>IF(E769&lt;&gt;0,(E773+E775+E777+E779+E781)/E769*100,0)</f>
        <v>0</v>
      </c>
      <c r="F791" s="4938" t="s">
        <v>886</v>
      </c>
      <c r="G791" s="4964">
        <f>IF(G769&lt;&gt;0,(G773+G775+G777+G779+G781)/G769*100,0)</f>
        <v>0</v>
      </c>
      <c r="H791" s="4938" t="s">
        <v>886</v>
      </c>
      <c r="I791" s="4908"/>
      <c r="J791" s="4938"/>
      <c r="K791" s="4964">
        <f>IF(K769&lt;&gt;0,(K773+K775+K777+K779+K781)/K769*100,0)</f>
        <v>0</v>
      </c>
      <c r="L791" s="4938" t="s">
        <v>886</v>
      </c>
      <c r="M791" s="661"/>
      <c r="N791" s="661"/>
    </row>
    <row r="792" spans="2:14" ht="5.0999999999999996" customHeight="1">
      <c r="B792" s="4906"/>
      <c r="C792" s="4906"/>
      <c r="D792" s="4906"/>
      <c r="E792" s="4906"/>
      <c r="F792" s="4906"/>
      <c r="G792" s="4906"/>
      <c r="H792" s="4906"/>
      <c r="I792" s="4906"/>
      <c r="J792" s="4906"/>
      <c r="K792" s="4906"/>
      <c r="L792" s="4910"/>
      <c r="M792" s="4910"/>
    </row>
    <row r="793" spans="2:14">
      <c r="B793" s="4889" t="str">
        <f>B97</f>
        <v>*Amounts are available from the County Treasurer.       **These Jan.-June, 2021 amounts are available from the County Treasurer.  (Should correspond to school</v>
      </c>
    </row>
    <row r="794" spans="2:14">
      <c r="B794" s="4889" t="str">
        <f>B98</f>
        <v xml:space="preserve"> records and does not include MVPT.)   Include Watercraft Tax if USD received payment direct from county.</v>
      </c>
    </row>
    <row r="795" spans="2:14" ht="3" customHeight="1"/>
    <row r="796" spans="2:14">
      <c r="B796" s="4892" t="str">
        <f>$B$1</f>
        <v>Kansas Department of Education</v>
      </c>
      <c r="M796" s="4890" t="s">
        <v>1453</v>
      </c>
    </row>
    <row r="797" spans="2:14">
      <c r="B797" s="4933" t="str">
        <f>$B$2</f>
        <v>Form 0-135-110</v>
      </c>
      <c r="C797" s="4892"/>
      <c r="D797" s="4892"/>
      <c r="G797" s="4893" t="s">
        <v>1408</v>
      </c>
      <c r="H797" s="4893"/>
      <c r="I797" s="4894" t="str">
        <f>I706</f>
        <v>237 - Smith Center</v>
      </c>
      <c r="J797" s="4895"/>
      <c r="K797" s="4895"/>
      <c r="L797" s="4893" t="s">
        <v>1409</v>
      </c>
      <c r="M797" s="4896">
        <f>M706</f>
        <v>237</v>
      </c>
    </row>
    <row r="798" spans="2:14">
      <c r="B798" s="4933">
        <f>$B$3</f>
        <v>44348</v>
      </c>
      <c r="K798" s="4893" t="s">
        <v>879</v>
      </c>
      <c r="M798" s="4895">
        <f>M707</f>
        <v>0</v>
      </c>
    </row>
    <row r="799" spans="2:14" ht="7.5" customHeight="1">
      <c r="E799" s="4900"/>
      <c r="F799" s="4900"/>
      <c r="G799" s="4900"/>
      <c r="H799" s="4900"/>
      <c r="I799" s="4900"/>
      <c r="J799" s="4900"/>
      <c r="K799" s="4901"/>
      <c r="L799" s="4901"/>
      <c r="M799" s="4900"/>
    </row>
    <row r="800" spans="2:14">
      <c r="B800" s="4900" t="str">
        <f>B5</f>
        <v>2021-2022</v>
      </c>
      <c r="C800" s="4900"/>
      <c r="D800" s="4900"/>
      <c r="E800" s="4900"/>
      <c r="F800" s="4900"/>
      <c r="G800" s="4900"/>
      <c r="H800" s="4900"/>
      <c r="I800" s="4900"/>
      <c r="J800" s="4900"/>
      <c r="K800" s="4900"/>
      <c r="L800" s="4900"/>
      <c r="M800" s="4900"/>
    </row>
    <row r="801" spans="2:13">
      <c r="B801" s="4900" t="s">
        <v>1411</v>
      </c>
      <c r="C801" s="4900"/>
      <c r="D801" s="4900"/>
      <c r="E801" s="4900"/>
      <c r="F801" s="4900"/>
      <c r="G801" s="4900"/>
      <c r="H801" s="4900"/>
      <c r="I801" s="4900"/>
      <c r="J801" s="4900"/>
      <c r="K801" s="4900"/>
      <c r="L801" s="4900"/>
      <c r="M801" s="4900"/>
    </row>
    <row r="802" spans="2:13">
      <c r="B802" s="4900" t="s">
        <v>1412</v>
      </c>
      <c r="C802" s="4900"/>
      <c r="D802" s="4900"/>
      <c r="E802" s="4900"/>
      <c r="F802" s="4900"/>
      <c r="G802" s="4900"/>
      <c r="H802" s="4900"/>
      <c r="I802" s="4900"/>
      <c r="J802" s="4900"/>
      <c r="K802" s="4900"/>
      <c r="L802" s="4900"/>
      <c r="M802" s="4900"/>
    </row>
    <row r="803" spans="2:13">
      <c r="B803" s="4902" t="s">
        <v>1413</v>
      </c>
      <c r="C803" s="4902"/>
      <c r="D803" s="4902"/>
      <c r="E803" s="4900"/>
      <c r="F803" s="4900"/>
      <c r="G803" s="4900"/>
      <c r="H803" s="4900"/>
      <c r="I803" s="4900"/>
      <c r="J803" s="4900"/>
      <c r="K803" s="4900"/>
      <c r="L803" s="4900"/>
      <c r="M803" s="4900"/>
    </row>
    <row r="804" spans="2:13" ht="8.25" customHeight="1">
      <c r="E804" s="4898"/>
      <c r="F804" s="4898"/>
      <c r="G804" s="4898"/>
      <c r="H804" s="4898"/>
      <c r="I804" s="4898"/>
      <c r="J804" s="4898"/>
      <c r="K804" s="4898"/>
      <c r="L804" s="4898"/>
      <c r="M804" s="4898"/>
    </row>
    <row r="805" spans="2:13">
      <c r="E805" s="4898" t="s">
        <v>1454</v>
      </c>
      <c r="F805" s="4898"/>
      <c r="G805" s="4898" t="s">
        <v>1455</v>
      </c>
      <c r="H805" s="4898"/>
      <c r="I805" s="4898" t="s">
        <v>1456</v>
      </c>
      <c r="J805" s="4898"/>
      <c r="K805" s="4898" t="s">
        <v>1457</v>
      </c>
      <c r="L805" s="4898"/>
      <c r="M805" s="4898" t="s">
        <v>1458</v>
      </c>
    </row>
    <row r="806" spans="2:13">
      <c r="E806" s="4898" t="s">
        <v>1459</v>
      </c>
      <c r="F806" s="4898"/>
      <c r="G806" s="4898" t="s">
        <v>1460</v>
      </c>
      <c r="H806" s="4898"/>
      <c r="I806" s="4898" t="s">
        <v>1461</v>
      </c>
      <c r="J806" s="4898"/>
      <c r="K806" s="4898" t="s">
        <v>1462</v>
      </c>
      <c r="L806" s="4898"/>
      <c r="M806" s="4898" t="s">
        <v>1463</v>
      </c>
    </row>
    <row r="807" spans="2:13" ht="7.5" customHeight="1"/>
    <row r="808" spans="2:13">
      <c r="B808" s="4889" t="str">
        <f>B14</f>
        <v>1.  County Treasurer Balance 6/30/2021 *</v>
      </c>
      <c r="E808" s="4954"/>
      <c r="F808" s="4942"/>
      <c r="G808" s="4954"/>
      <c r="H808" s="4942"/>
      <c r="I808" s="4954"/>
      <c r="J808" s="4942"/>
      <c r="K808" s="4954"/>
      <c r="M808" s="4954"/>
    </row>
    <row r="809" spans="2:13" ht="7.5" customHeight="1">
      <c r="B809" s="4906"/>
      <c r="C809" s="4906"/>
      <c r="D809" s="4906"/>
      <c r="E809" s="4955"/>
      <c r="F809" s="4955"/>
      <c r="G809" s="4955"/>
      <c r="H809" s="4955"/>
      <c r="I809" s="4955"/>
      <c r="J809" s="4955"/>
      <c r="K809" s="4955"/>
      <c r="M809" s="4907"/>
    </row>
    <row r="810" spans="2:13">
      <c r="B810" s="4889" t="str">
        <f>B16</f>
        <v>2.  2020 Actual Taxes Levied*</v>
      </c>
      <c r="E810" s="4954"/>
      <c r="F810" s="4942"/>
      <c r="G810" s="4954"/>
      <c r="H810" s="4942"/>
      <c r="I810" s="4954"/>
      <c r="J810" s="4942"/>
      <c r="K810" s="4954"/>
      <c r="M810" s="4954"/>
    </row>
    <row r="811" spans="2:13" ht="8.25" customHeight="1">
      <c r="E811" s="4942"/>
      <c r="F811" s="4942"/>
      <c r="G811" s="4942"/>
      <c r="H811" s="4942"/>
      <c r="I811" s="4942"/>
      <c r="J811" s="4942"/>
      <c r="K811" s="4942"/>
      <c r="M811" s="4942"/>
    </row>
    <row r="812" spans="2:13">
      <c r="B812" s="4889" t="s">
        <v>1441</v>
      </c>
      <c r="C812" s="4929">
        <f>C723</f>
        <v>0</v>
      </c>
      <c r="D812" s="4935"/>
      <c r="E812" s="4905">
        <f>E810*$C$812/100</f>
        <v>0</v>
      </c>
      <c r="F812" s="4908"/>
      <c r="G812" s="4905">
        <f>G810*$C$812/100</f>
        <v>0</v>
      </c>
      <c r="H812" s="4908"/>
      <c r="I812" s="4905">
        <f>I810*$C$812/100</f>
        <v>0</v>
      </c>
      <c r="J812" s="4908"/>
      <c r="K812" s="4905">
        <f>K810*$C$812/100</f>
        <v>0</v>
      </c>
      <c r="L812" s="4908"/>
      <c r="M812" s="4905">
        <f>M810*$C$812/100</f>
        <v>0</v>
      </c>
    </row>
    <row r="813" spans="2:13" ht="8.25" customHeight="1">
      <c r="E813" s="4942"/>
      <c r="F813" s="4942"/>
      <c r="G813" s="4942"/>
      <c r="H813" s="4942"/>
      <c r="I813" s="4942"/>
      <c r="J813" s="4942"/>
      <c r="K813" s="4942"/>
      <c r="M813" s="4942"/>
    </row>
    <row r="814" spans="2:13">
      <c r="B814" s="4889" t="str">
        <f>B20</f>
        <v>4.  Less:  Jan. 20, 2021 Taxes received**</v>
      </c>
      <c r="E814" s="4954"/>
      <c r="F814" s="4942"/>
      <c r="G814" s="4954"/>
      <c r="H814" s="4942"/>
      <c r="I814" s="4954"/>
      <c r="J814" s="4942"/>
      <c r="K814" s="4954"/>
      <c r="M814" s="4954"/>
    </row>
    <row r="815" spans="2:13" ht="8.25" customHeight="1">
      <c r="E815" s="4942"/>
      <c r="F815" s="4942"/>
      <c r="G815" s="4942"/>
      <c r="H815" s="4942"/>
      <c r="I815" s="4942"/>
      <c r="J815" s="4942"/>
      <c r="K815" s="4942"/>
      <c r="M815" s="4942"/>
    </row>
    <row r="816" spans="2:13">
      <c r="B816" s="4889" t="str">
        <f>B22</f>
        <v>5.  Less:  Mar. 20, 2021  Taxes received**</v>
      </c>
      <c r="E816" s="4954"/>
      <c r="F816" s="4942"/>
      <c r="G816" s="4954"/>
      <c r="H816" s="4942"/>
      <c r="I816" s="4954"/>
      <c r="J816" s="4942"/>
      <c r="K816" s="4954"/>
      <c r="M816" s="4954"/>
    </row>
    <row r="817" spans="2:14" ht="9" customHeight="1">
      <c r="E817" s="4943"/>
      <c r="F817" s="4942"/>
      <c r="G817" s="4943"/>
      <c r="H817" s="4942"/>
      <c r="I817" s="4943"/>
      <c r="J817" s="4942"/>
      <c r="K817" s="4943"/>
      <c r="M817" s="4943"/>
    </row>
    <row r="818" spans="2:14">
      <c r="B818" s="4889" t="str">
        <f>B24</f>
        <v>6.  Less:  June 5,  2021 Taxes received**</v>
      </c>
      <c r="E818" s="4954"/>
      <c r="F818" s="4942"/>
      <c r="G818" s="4954"/>
      <c r="H818" s="4942"/>
      <c r="I818" s="4954"/>
      <c r="J818" s="4942"/>
      <c r="K818" s="4954"/>
      <c r="M818" s="4954"/>
    </row>
    <row r="819" spans="2:14" ht="7.5" customHeight="1">
      <c r="E819" s="4943"/>
      <c r="F819" s="4942"/>
      <c r="G819" s="4943"/>
      <c r="H819" s="4942"/>
      <c r="I819" s="4943"/>
      <c r="J819" s="4942"/>
      <c r="K819" s="4943"/>
      <c r="M819" s="4943"/>
    </row>
    <row r="820" spans="2:14">
      <c r="B820" s="4889" t="s">
        <v>1421</v>
      </c>
      <c r="E820" s="4954"/>
      <c r="F820" s="4942"/>
      <c r="G820" s="4954"/>
      <c r="H820" s="4942"/>
      <c r="I820" s="4954"/>
      <c r="J820" s="4942"/>
      <c r="K820" s="4954"/>
      <c r="M820" s="4954"/>
    </row>
    <row r="821" spans="2:14" ht="9" customHeight="1">
      <c r="E821" s="4942"/>
      <c r="F821" s="4942"/>
      <c r="G821" s="4942"/>
      <c r="H821" s="4942"/>
      <c r="I821" s="4942"/>
      <c r="J821" s="4942"/>
      <c r="K821" s="4942"/>
      <c r="M821" s="4942"/>
    </row>
    <row r="822" spans="2:14">
      <c r="B822" s="4889" t="s">
        <v>1422</v>
      </c>
      <c r="E822" s="4954"/>
      <c r="F822" s="4942"/>
      <c r="G822" s="4954"/>
      <c r="H822" s="4942"/>
      <c r="I822" s="4954"/>
      <c r="J822" s="4942"/>
      <c r="K822" s="4954"/>
      <c r="M822" s="4954"/>
    </row>
    <row r="823" spans="2:14">
      <c r="B823" s="4889" t="s">
        <v>1423</v>
      </c>
      <c r="E823" s="4956"/>
      <c r="F823" s="4942"/>
      <c r="G823" s="4956"/>
      <c r="H823" s="4942"/>
      <c r="I823" s="4956"/>
      <c r="J823" s="4942"/>
      <c r="K823" s="4956"/>
      <c r="M823" s="4956"/>
    </row>
    <row r="824" spans="2:14">
      <c r="B824" s="4889" t="s">
        <v>1442</v>
      </c>
      <c r="E824" s="4905">
        <f>SUM(E812:E823)</f>
        <v>0</v>
      </c>
      <c r="F824" s="4908"/>
      <c r="G824" s="4905">
        <f>SUM(G812:G823)</f>
        <v>0</v>
      </c>
      <c r="H824" s="4908"/>
      <c r="I824" s="4905">
        <f>SUM(I812:I823)</f>
        <v>0</v>
      </c>
      <c r="J824" s="4908"/>
      <c r="K824" s="4905">
        <f>SUM(K812:K823)</f>
        <v>0</v>
      </c>
      <c r="L824" s="4935"/>
      <c r="M824" s="4905">
        <f>SUM(M812:M823)</f>
        <v>0</v>
      </c>
    </row>
    <row r="825" spans="2:14" ht="8.25" customHeight="1">
      <c r="E825" s="4904"/>
      <c r="F825" s="4904"/>
      <c r="G825" s="4904"/>
      <c r="H825" s="4904"/>
      <c r="I825" s="4904"/>
      <c r="J825" s="4904"/>
      <c r="K825" s="4904"/>
      <c r="L825" s="4935"/>
      <c r="M825" s="4904"/>
    </row>
    <row r="826" spans="2:14">
      <c r="B826" s="4889" t="str">
        <f>B32</f>
        <v>11. 2020 taxes receivable (taxes in process</v>
      </c>
      <c r="E826" s="4904"/>
      <c r="F826" s="4904"/>
      <c r="G826" s="4904"/>
      <c r="H826" s="4904"/>
      <c r="I826" s="4904"/>
      <c r="J826" s="4904"/>
      <c r="K826" s="4904"/>
      <c r="L826" s="4935"/>
      <c r="M826" s="4904"/>
    </row>
    <row r="827" spans="2:14">
      <c r="B827" s="4889" t="str">
        <f>B33</f>
        <v xml:space="preserve">     of collection 6/30/2021) (Line 2 less Line 10)</v>
      </c>
      <c r="E827" s="4905">
        <f>IF(E824&lt;=0,0,E810-E824)</f>
        <v>0</v>
      </c>
      <c r="F827" s="4908"/>
      <c r="G827" s="4905">
        <f>IF(G824&lt;=0,0,G810-G824)</f>
        <v>0</v>
      </c>
      <c r="H827" s="4908"/>
      <c r="I827" s="4905">
        <f>IF(I824&lt;=0,0,I810-I824)</f>
        <v>0</v>
      </c>
      <c r="J827" s="4908"/>
      <c r="K827" s="4905">
        <f>IF(K824&lt;=0,0,K810-K824)</f>
        <v>0</v>
      </c>
      <c r="L827" s="4908"/>
      <c r="M827" s="4905">
        <f>IF(M824&lt;=0,0,M810-M824)</f>
        <v>0</v>
      </c>
    </row>
    <row r="828" spans="2:14" ht="8.25" customHeight="1">
      <c r="E828" s="4904"/>
      <c r="F828" s="4904"/>
      <c r="G828" s="4904"/>
      <c r="H828" s="4904"/>
      <c r="I828" s="4904"/>
      <c r="J828" s="4904"/>
      <c r="K828" s="4904"/>
      <c r="L828" s="4935"/>
      <c r="M828" s="4904"/>
    </row>
    <row r="829" spans="2:14">
      <c r="B829" s="4889" t="s">
        <v>1443</v>
      </c>
      <c r="E829" s="4904"/>
      <c r="F829" s="4904"/>
      <c r="G829" s="4904"/>
      <c r="H829" s="4904"/>
      <c r="I829" s="4904"/>
      <c r="J829" s="4904"/>
      <c r="K829" s="4904"/>
      <c r="L829" s="4935"/>
      <c r="M829" s="4904"/>
    </row>
    <row r="830" spans="2:14">
      <c r="B830" s="4889" t="s">
        <v>1426</v>
      </c>
      <c r="E830" s="4904"/>
      <c r="F830" s="4904"/>
      <c r="G830" s="4904"/>
      <c r="H830" s="4904"/>
      <c r="I830" s="4904"/>
      <c r="J830" s="4904"/>
      <c r="K830" s="4904"/>
      <c r="L830" s="4935"/>
      <c r="M830" s="4904"/>
    </row>
    <row r="831" spans="2:14">
      <c r="B831" s="4889" t="str">
        <f>B37</f>
        <v xml:space="preserve">     (7-1-2021 to 12-31-2022) (Line 3 x 75%)</v>
      </c>
      <c r="E831" s="4905">
        <f>SUM(E812*0.75)</f>
        <v>0</v>
      </c>
      <c r="F831" s="4908"/>
      <c r="G831" s="4905">
        <f>SUM(G812*0.75)</f>
        <v>0</v>
      </c>
      <c r="H831" s="4908"/>
      <c r="I831" s="4905">
        <f>SUM(I812*0.75)</f>
        <v>0</v>
      </c>
      <c r="J831" s="4908"/>
      <c r="K831" s="4905">
        <f>SUM(K812*0.75)</f>
        <v>0</v>
      </c>
      <c r="L831" s="4935"/>
      <c r="M831" s="4905">
        <f>SUM(M812*0.75)</f>
        <v>0</v>
      </c>
    </row>
    <row r="832" spans="2:14">
      <c r="B832" s="4931" t="str">
        <f>B39</f>
        <v>Tax Collection Ratio (Jan, Mar, June)</v>
      </c>
      <c r="E832" s="4964">
        <f>IF(E810&lt;&gt;0,(E814+E816+E818+E820+E822)/E810*100,0)</f>
        <v>0</v>
      </c>
      <c r="F832" s="4938" t="s">
        <v>886</v>
      </c>
      <c r="G832" s="4964">
        <f>IF(G810&lt;&gt;0,(G814+G816+G818+G820+G822)/G810*100,0)</f>
        <v>0</v>
      </c>
      <c r="H832" s="4938" t="s">
        <v>886</v>
      </c>
      <c r="I832" s="4964">
        <f>IF(I810&lt;&gt;0,(I814+I816+I818+I820+I822)/I810*100,0)</f>
        <v>0</v>
      </c>
      <c r="J832" s="4938" t="s">
        <v>886</v>
      </c>
      <c r="K832" s="4964">
        <f>IF(K810&lt;&gt;0,(K814+K816+K818+K820+K822)/K810*100,0)</f>
        <v>0</v>
      </c>
      <c r="L832" s="4938" t="s">
        <v>886</v>
      </c>
      <c r="M832" s="4964">
        <f>IF(M810&lt;&gt;0,(M814+M816+M818+M820+M822)/M810*100,0)</f>
        <v>0</v>
      </c>
      <c r="N832" s="4917" t="s">
        <v>886</v>
      </c>
    </row>
    <row r="833" spans="2:13" ht="3.75" customHeight="1">
      <c r="B833" s="4906"/>
      <c r="C833" s="4906"/>
      <c r="D833" s="4906"/>
      <c r="E833" s="4906"/>
      <c r="F833" s="4906"/>
      <c r="G833" s="4906"/>
      <c r="H833" s="4906"/>
      <c r="I833" s="4906"/>
      <c r="J833" s="4906"/>
      <c r="K833" s="4906"/>
      <c r="L833" s="4906"/>
      <c r="M833" s="4906"/>
    </row>
    <row r="834" spans="2:13">
      <c r="B834" s="4889" t="str">
        <f>B97</f>
        <v>*Amounts are available from the County Treasurer.       **These Jan.-June, 2021 amounts are available from the County Treasurer.  (Should correspond to school</v>
      </c>
    </row>
    <row r="835" spans="2:13">
      <c r="B835" s="4889" t="str">
        <f>B98</f>
        <v xml:space="preserve"> records and does not include MVPT.)   Include Watercraft Tax if USD received payment direct from county.</v>
      </c>
    </row>
    <row r="836" spans="2:13">
      <c r="B836" s="4892" t="str">
        <f>$B$1</f>
        <v>Kansas Department of Education</v>
      </c>
      <c r="M836" s="4890" t="s">
        <v>1464</v>
      </c>
    </row>
    <row r="837" spans="2:13">
      <c r="B837" s="4933" t="str">
        <f>$B$2</f>
        <v>Form 0-135-110</v>
      </c>
      <c r="C837" s="4892"/>
      <c r="D837" s="4892"/>
      <c r="G837" s="4893" t="s">
        <v>1408</v>
      </c>
      <c r="H837" s="4893"/>
      <c r="I837" s="4894" t="str">
        <f>I706</f>
        <v>237 - Smith Center</v>
      </c>
      <c r="J837" s="4895"/>
      <c r="K837" s="4895"/>
      <c r="L837" s="4893" t="s">
        <v>1409</v>
      </c>
      <c r="M837" s="4896">
        <f>M706</f>
        <v>237</v>
      </c>
    </row>
    <row r="838" spans="2:13">
      <c r="B838" s="4933">
        <f>$B$3</f>
        <v>44348</v>
      </c>
      <c r="K838" s="4893" t="s">
        <v>879</v>
      </c>
      <c r="M838" s="4895">
        <f>M707</f>
        <v>0</v>
      </c>
    </row>
    <row r="839" spans="2:13" ht="9" customHeight="1">
      <c r="E839" s="4900"/>
      <c r="F839" s="4900"/>
      <c r="G839" s="4900"/>
      <c r="H839" s="4900"/>
      <c r="I839" s="4900"/>
      <c r="J839" s="4900"/>
      <c r="K839" s="4901"/>
      <c r="L839" s="4901"/>
      <c r="M839" s="4900"/>
    </row>
    <row r="840" spans="2:13">
      <c r="B840" s="4900" t="str">
        <f>B5</f>
        <v>2021-2022</v>
      </c>
      <c r="C840" s="4900"/>
      <c r="D840" s="4900"/>
      <c r="E840" s="4900"/>
      <c r="F840" s="4900"/>
      <c r="G840" s="4900"/>
      <c r="H840" s="4900"/>
      <c r="I840" s="4900"/>
      <c r="J840" s="4900"/>
      <c r="K840" s="4900"/>
      <c r="L840" s="4900"/>
      <c r="M840" s="4900"/>
    </row>
    <row r="841" spans="2:13">
      <c r="B841" s="4900" t="s">
        <v>1411</v>
      </c>
      <c r="C841" s="4900"/>
      <c r="D841" s="4900"/>
      <c r="E841" s="4900"/>
      <c r="F841" s="4900"/>
      <c r="G841" s="4900"/>
      <c r="H841" s="4900"/>
      <c r="I841" s="4900"/>
      <c r="J841" s="4900"/>
      <c r="K841" s="4900"/>
      <c r="L841" s="4900"/>
      <c r="M841" s="4900"/>
    </row>
    <row r="842" spans="2:13">
      <c r="B842" s="4900" t="s">
        <v>1412</v>
      </c>
      <c r="C842" s="4900"/>
      <c r="D842" s="4900"/>
      <c r="E842" s="4900"/>
      <c r="F842" s="4900"/>
      <c r="G842" s="4900"/>
      <c r="H842" s="4900"/>
      <c r="I842" s="4900"/>
      <c r="J842" s="4900"/>
      <c r="K842" s="4900"/>
      <c r="L842" s="4900"/>
      <c r="M842" s="4900"/>
    </row>
    <row r="843" spans="2:13">
      <c r="B843" s="4902" t="s">
        <v>1413</v>
      </c>
      <c r="C843" s="4902"/>
      <c r="D843" s="4902"/>
      <c r="E843" s="4900"/>
      <c r="F843" s="4900"/>
      <c r="G843" s="4900"/>
      <c r="H843" s="4900"/>
      <c r="I843" s="4900"/>
      <c r="J843" s="4900"/>
      <c r="K843" s="4900"/>
      <c r="L843" s="4900"/>
      <c r="M843" s="4900"/>
    </row>
    <row r="844" spans="2:13" ht="8.25" customHeight="1">
      <c r="E844" s="4898"/>
      <c r="F844" s="4898"/>
      <c r="G844" s="4898"/>
      <c r="H844" s="4898"/>
      <c r="I844" s="4898"/>
      <c r="J844" s="4898"/>
      <c r="K844" s="4898"/>
      <c r="L844" s="4898"/>
      <c r="M844" s="4898"/>
    </row>
    <row r="845" spans="2:13">
      <c r="E845" s="4952"/>
      <c r="F845" s="4898"/>
      <c r="G845" s="4898" t="str">
        <f>G149</f>
        <v>Rec. Comm</v>
      </c>
      <c r="H845" s="4898"/>
      <c r="I845" s="4898" t="s">
        <v>1465</v>
      </c>
      <c r="J845" s="4898"/>
      <c r="K845" s="4931" t="s">
        <v>1466</v>
      </c>
      <c r="L845" s="4898"/>
      <c r="M845" s="4935"/>
    </row>
    <row r="846" spans="2:13">
      <c r="E846" s="4952" t="s">
        <v>1467</v>
      </c>
      <c r="F846" s="4898"/>
      <c r="G846" s="4898" t="str">
        <f>G150</f>
        <v>Emp Benef</v>
      </c>
      <c r="H846" s="4898"/>
      <c r="I846" s="4898" t="s">
        <v>1468</v>
      </c>
      <c r="J846" s="4898"/>
      <c r="K846" s="4898" t="s">
        <v>1469</v>
      </c>
      <c r="L846" s="4898"/>
      <c r="M846" s="4952" t="s">
        <v>1480</v>
      </c>
    </row>
    <row r="847" spans="2:13">
      <c r="E847" s="4952" t="s">
        <v>1471</v>
      </c>
      <c r="G847" s="4898" t="str">
        <f>G151</f>
        <v>&amp; Spec Liab</v>
      </c>
      <c r="I847" s="4898" t="s">
        <v>1472</v>
      </c>
      <c r="K847" s="4898" t="s">
        <v>1473</v>
      </c>
      <c r="M847" s="4952" t="s">
        <v>1474</v>
      </c>
    </row>
    <row r="848" spans="2:13" ht="8.25" customHeight="1">
      <c r="G848" s="4931"/>
    </row>
    <row r="849" spans="2:13">
      <c r="B849" s="4889" t="str">
        <f>B14</f>
        <v>1.  County Treasurer Balance 6/30/2021 *</v>
      </c>
      <c r="E849" s="4953"/>
      <c r="F849" s="4942"/>
      <c r="G849" s="4954"/>
      <c r="H849" s="4942"/>
      <c r="I849" s="4954"/>
      <c r="J849" s="4942"/>
      <c r="K849" s="4954"/>
      <c r="M849" s="4959"/>
    </row>
    <row r="850" spans="2:13" ht="7.5" customHeight="1">
      <c r="B850" s="4906"/>
      <c r="C850" s="4906"/>
      <c r="D850" s="4906"/>
      <c r="E850" s="4955"/>
      <c r="F850" s="4955"/>
      <c r="G850" s="4955"/>
      <c r="H850" s="4955"/>
      <c r="I850" s="4955"/>
      <c r="J850" s="4955"/>
      <c r="K850" s="4955"/>
      <c r="M850" s="4955"/>
    </row>
    <row r="851" spans="2:13">
      <c r="B851" s="4889" t="str">
        <f>B16</f>
        <v>2.  2020 Actual Taxes Levied*</v>
      </c>
      <c r="E851" s="4953"/>
      <c r="F851" s="4942"/>
      <c r="G851" s="4954"/>
      <c r="H851" s="4942"/>
      <c r="I851" s="4954"/>
      <c r="J851" s="4942"/>
      <c r="K851" s="4954"/>
      <c r="M851" s="4959"/>
    </row>
    <row r="852" spans="2:13" ht="8.25" customHeight="1">
      <c r="E852" s="4942"/>
      <c r="F852" s="4942"/>
      <c r="G852" s="4942"/>
      <c r="H852" s="4942"/>
      <c r="I852" s="4942"/>
      <c r="J852" s="4942"/>
      <c r="K852" s="4942"/>
      <c r="M852" s="4942"/>
    </row>
    <row r="853" spans="2:13">
      <c r="B853" s="4889" t="s">
        <v>1441</v>
      </c>
      <c r="C853" s="4929">
        <f>C723</f>
        <v>0</v>
      </c>
      <c r="D853" s="4935"/>
      <c r="E853" s="4953"/>
      <c r="F853" s="4908"/>
      <c r="G853" s="4905">
        <f>G851*$C$853/100</f>
        <v>0</v>
      </c>
      <c r="H853" s="4908"/>
      <c r="I853" s="4905">
        <f>I851*$C$853/100</f>
        <v>0</v>
      </c>
      <c r="J853" s="4908"/>
      <c r="K853" s="4905">
        <f>K851*$C$853/100</f>
        <v>0</v>
      </c>
      <c r="L853" s="4908"/>
      <c r="M853" s="4905">
        <f>M851*$C$853/100</f>
        <v>0</v>
      </c>
    </row>
    <row r="854" spans="2:13" ht="8.25" customHeight="1">
      <c r="E854" s="4942"/>
      <c r="F854" s="4942"/>
      <c r="G854" s="4942"/>
      <c r="H854" s="4942"/>
      <c r="I854" s="4942"/>
      <c r="J854" s="4942"/>
      <c r="K854" s="4942"/>
      <c r="M854" s="4942"/>
    </row>
    <row r="855" spans="2:13">
      <c r="B855" s="4889" t="str">
        <f>B20</f>
        <v>4.  Less:  Jan. 20, 2021 Taxes received**</v>
      </c>
      <c r="E855" s="4953"/>
      <c r="F855" s="4942"/>
      <c r="G855" s="4954"/>
      <c r="H855" s="4942"/>
      <c r="I855" s="4954"/>
      <c r="J855" s="4942"/>
      <c r="K855" s="4954"/>
      <c r="M855" s="4959"/>
    </row>
    <row r="856" spans="2:13" ht="8.25" customHeight="1">
      <c r="E856" s="4942"/>
      <c r="F856" s="4942"/>
      <c r="G856" s="4942"/>
      <c r="H856" s="4942"/>
      <c r="I856" s="4942"/>
      <c r="J856" s="4942"/>
      <c r="K856" s="4942"/>
      <c r="M856" s="4942"/>
    </row>
    <row r="857" spans="2:13">
      <c r="B857" s="4889" t="str">
        <f>B22</f>
        <v>5.  Less:  Mar. 20, 2021  Taxes received**</v>
      </c>
      <c r="E857" s="4953"/>
      <c r="F857" s="4942"/>
      <c r="G857" s="4954"/>
      <c r="H857" s="4942"/>
      <c r="I857" s="4954"/>
      <c r="J857" s="4942"/>
      <c r="K857" s="4954"/>
      <c r="M857" s="4959"/>
    </row>
    <row r="858" spans="2:13" ht="8.25" customHeight="1">
      <c r="E858" s="4943"/>
      <c r="F858" s="4942"/>
      <c r="G858" s="4943"/>
      <c r="H858" s="4942"/>
      <c r="I858" s="4943"/>
      <c r="J858" s="4942"/>
      <c r="K858" s="4943"/>
      <c r="M858" s="4943"/>
    </row>
    <row r="859" spans="2:13">
      <c r="B859" s="4889" t="str">
        <f>B24</f>
        <v>6.  Less:  June 5,  2021 Taxes received**</v>
      </c>
      <c r="E859" s="4953"/>
      <c r="F859" s="4942"/>
      <c r="G859" s="4954"/>
      <c r="H859" s="4942"/>
      <c r="I859" s="4954"/>
      <c r="J859" s="4942"/>
      <c r="K859" s="4954"/>
      <c r="M859" s="4959"/>
    </row>
    <row r="860" spans="2:13" ht="8.25" customHeight="1">
      <c r="E860" s="4943"/>
      <c r="F860" s="4942"/>
      <c r="G860" s="4943"/>
      <c r="H860" s="4942"/>
      <c r="I860" s="4943"/>
      <c r="J860" s="4942"/>
      <c r="K860" s="4943"/>
      <c r="M860" s="4943"/>
    </row>
    <row r="861" spans="2:13">
      <c r="B861" s="4889" t="s">
        <v>1421</v>
      </c>
      <c r="E861" s="4953"/>
      <c r="F861" s="4942"/>
      <c r="G861" s="4954"/>
      <c r="H861" s="4942"/>
      <c r="I861" s="4954"/>
      <c r="J861" s="4942"/>
      <c r="K861" s="4954"/>
      <c r="M861" s="4959"/>
    </row>
    <row r="862" spans="2:13" ht="6.75" customHeight="1">
      <c r="E862" s="4942"/>
      <c r="F862" s="4942"/>
      <c r="G862" s="4942"/>
      <c r="H862" s="4942"/>
      <c r="I862" s="4942"/>
      <c r="J862" s="4942"/>
      <c r="K862" s="4942"/>
      <c r="M862" s="4942"/>
    </row>
    <row r="863" spans="2:13">
      <c r="B863" s="4889" t="s">
        <v>1422</v>
      </c>
      <c r="E863" s="4953"/>
      <c r="F863" s="4942"/>
      <c r="G863" s="4954"/>
      <c r="H863" s="4942"/>
      <c r="I863" s="4954"/>
      <c r="J863" s="4942"/>
      <c r="K863" s="4954"/>
      <c r="M863" s="4959"/>
    </row>
    <row r="864" spans="2:13">
      <c r="B864" s="4889" t="s">
        <v>1423</v>
      </c>
      <c r="E864" s="4953"/>
      <c r="F864" s="4942"/>
      <c r="G864" s="4956"/>
      <c r="H864" s="4942"/>
      <c r="I864" s="4956"/>
      <c r="J864" s="4942"/>
      <c r="K864" s="4956"/>
      <c r="M864" s="4960"/>
    </row>
    <row r="865" spans="2:15">
      <c r="B865" s="4889" t="s">
        <v>1479</v>
      </c>
      <c r="E865" s="4953"/>
      <c r="F865" s="4908"/>
      <c r="G865" s="4905">
        <f>SUM(G853:G864)</f>
        <v>0</v>
      </c>
      <c r="H865" s="4908"/>
      <c r="I865" s="4905">
        <f>SUM(I853:I864)</f>
        <v>0</v>
      </c>
      <c r="J865" s="4908"/>
      <c r="K865" s="4905">
        <f>SUM(K853:K864)</f>
        <v>0</v>
      </c>
      <c r="L865" s="4935"/>
      <c r="M865" s="4905">
        <f>SUM(M853:M864)</f>
        <v>0</v>
      </c>
    </row>
    <row r="866" spans="2:15" ht="6.75" customHeight="1">
      <c r="E866" s="4904"/>
      <c r="F866" s="4904"/>
      <c r="G866" s="4904"/>
      <c r="H866" s="4904"/>
      <c r="I866" s="4904"/>
      <c r="J866" s="4904"/>
      <c r="K866" s="4904"/>
      <c r="L866" s="4935"/>
      <c r="M866" s="4904"/>
    </row>
    <row r="867" spans="2:15">
      <c r="B867" s="4889" t="str">
        <f>B32</f>
        <v>11. 2020 taxes receivable (taxes in process</v>
      </c>
      <c r="E867" s="4904"/>
      <c r="F867" s="4904"/>
      <c r="G867" s="4904"/>
      <c r="H867" s="4904"/>
      <c r="I867" s="4904"/>
      <c r="J867" s="4904"/>
      <c r="K867" s="4904"/>
      <c r="L867" s="4935"/>
      <c r="M867" s="4904"/>
    </row>
    <row r="868" spans="2:15">
      <c r="B868" s="4889" t="str">
        <f>B33</f>
        <v xml:space="preserve">     of collection 6/30/2021) (Line 2 less Line 10)</v>
      </c>
      <c r="E868" s="4953"/>
      <c r="F868" s="4908"/>
      <c r="G868" s="4905">
        <f>IF(G865&lt;=0,0,G851-G865)</f>
        <v>0</v>
      </c>
      <c r="H868" s="4908"/>
      <c r="I868" s="4905">
        <f>IF(I865&lt;=0,0,I851-I865)</f>
        <v>0</v>
      </c>
      <c r="J868" s="4908"/>
      <c r="K868" s="4905">
        <f>IF(K865&lt;=0,0,K851-K865)</f>
        <v>0</v>
      </c>
      <c r="L868" s="4908"/>
      <c r="M868" s="4905">
        <f>IF(M865&lt;=0,0,M851-M865)</f>
        <v>0</v>
      </c>
    </row>
    <row r="869" spans="2:15" ht="8.25" customHeight="1">
      <c r="E869" s="4904"/>
      <c r="F869" s="4904"/>
      <c r="G869" s="4904"/>
      <c r="H869" s="4904"/>
      <c r="I869" s="4904"/>
      <c r="J869" s="4904"/>
      <c r="K869" s="4904"/>
      <c r="L869" s="4935"/>
      <c r="M869" s="4904"/>
    </row>
    <row r="870" spans="2:15">
      <c r="B870" s="4889" t="s">
        <v>1443</v>
      </c>
      <c r="E870" s="4904"/>
      <c r="F870" s="4904"/>
      <c r="G870" s="4904"/>
      <c r="H870" s="4904"/>
      <c r="I870" s="4904"/>
      <c r="J870" s="4904"/>
      <c r="K870" s="4904"/>
      <c r="L870" s="4935"/>
      <c r="M870" s="4904"/>
    </row>
    <row r="871" spans="2:15">
      <c r="B871" s="4889" t="s">
        <v>1426</v>
      </c>
      <c r="E871" s="4904"/>
      <c r="F871" s="4904"/>
      <c r="G871" s="4904"/>
      <c r="H871" s="4904"/>
      <c r="I871" s="4904"/>
      <c r="J871" s="4904"/>
      <c r="K871" s="4904"/>
      <c r="L871" s="4935"/>
      <c r="M871" s="4904"/>
    </row>
    <row r="872" spans="2:15">
      <c r="B872" s="4889" t="str">
        <f>B37</f>
        <v xml:space="preserve">     (7-1-2021 to 12-31-2022) (Line 3 x 75%)</v>
      </c>
      <c r="E872" s="4953"/>
      <c r="F872" s="4908"/>
      <c r="G872" s="4905">
        <f>SUM(G853*0.75)</f>
        <v>0</v>
      </c>
      <c r="H872" s="4908"/>
      <c r="I872" s="4905">
        <f>SUM(I853*0.75)</f>
        <v>0</v>
      </c>
      <c r="J872" s="4908"/>
      <c r="K872" s="4905">
        <f>SUM(K853*0.75)</f>
        <v>0</v>
      </c>
      <c r="L872" s="4935"/>
      <c r="M872" s="4905">
        <f>SUM(M853*0.75)</f>
        <v>0</v>
      </c>
    </row>
    <row r="873" spans="2:15">
      <c r="B873" s="4931" t="str">
        <f>B39</f>
        <v>Tax Collection Ratio (Jan, Mar, June)</v>
      </c>
      <c r="E873" s="4908"/>
      <c r="F873" s="4938"/>
      <c r="G873" s="4964">
        <f>IF(G851&lt;&gt;0,(G855+G857+G859+G861+G863)/G851*100,0)</f>
        <v>0</v>
      </c>
      <c r="H873" s="4938" t="s">
        <v>886</v>
      </c>
      <c r="I873" s="4964">
        <f>IF(I851&lt;&gt;0,(I855+I857+I859+I861+I863)/I851*100,0)</f>
        <v>0</v>
      </c>
      <c r="J873" s="4938" t="s">
        <v>886</v>
      </c>
      <c r="K873" s="4964">
        <f>IF(K851&lt;&gt;0,(K855+K857+K859+K861+K863)/K851*100,0)</f>
        <v>0</v>
      </c>
      <c r="L873" s="4938" t="s">
        <v>886</v>
      </c>
      <c r="M873" s="4964">
        <f>IF(M851&lt;&gt;0,(M855+M857+M859+M861+M863)/M851*100,0)</f>
        <v>0</v>
      </c>
      <c r="N873" s="4917" t="s">
        <v>886</v>
      </c>
    </row>
    <row r="874" spans="2:15" ht="5.0999999999999996" customHeight="1">
      <c r="B874" s="4906"/>
      <c r="C874" s="4906"/>
      <c r="D874" s="4906"/>
      <c r="E874" s="4906"/>
      <c r="F874" s="4906"/>
      <c r="G874" s="4906"/>
      <c r="H874" s="4906"/>
      <c r="I874" s="4906"/>
      <c r="J874" s="4906"/>
      <c r="K874" s="4906"/>
      <c r="L874" s="4906"/>
      <c r="M874" s="4974"/>
    </row>
    <row r="875" spans="2:15">
      <c r="B875" s="4910" t="str">
        <f>B97</f>
        <v>*Amounts are available from the County Treasurer.       **These Jan.-June, 2021 amounts are available from the County Treasurer.  (Should correspond to school</v>
      </c>
      <c r="C875" s="4910"/>
      <c r="D875" s="4910"/>
      <c r="E875" s="4910"/>
      <c r="F875" s="4910"/>
      <c r="G875" s="4910"/>
      <c r="H875" s="4910"/>
      <c r="I875" s="4910"/>
      <c r="J875" s="4910"/>
      <c r="K875" s="4910"/>
      <c r="L875" s="4910"/>
      <c r="M875" s="4910"/>
    </row>
    <row r="876" spans="2:15">
      <c r="B876" s="4889" t="str">
        <f>B98</f>
        <v xml:space="preserve"> records and does not include MVPT.)   Include Watercraft Tax if USD received payment direct from county.</v>
      </c>
    </row>
    <row r="877" spans="2:15">
      <c r="B877" s="4892" t="str">
        <f>$B$1</f>
        <v>Kansas Department of Education</v>
      </c>
      <c r="M877" s="4890" t="s">
        <v>1407</v>
      </c>
    </row>
    <row r="878" spans="2:15">
      <c r="B878" s="4933" t="str">
        <f>$B$2</f>
        <v>Form 0-135-110</v>
      </c>
      <c r="C878" s="4892"/>
      <c r="D878" s="4892"/>
      <c r="F878" s="4893"/>
      <c r="G878" s="4893" t="s">
        <v>1408</v>
      </c>
      <c r="H878" s="4893"/>
      <c r="I878" s="4894" t="str">
        <f>I837</f>
        <v>237 - Smith Center</v>
      </c>
      <c r="J878" s="4895"/>
      <c r="K878" s="4895"/>
      <c r="L878" s="4893" t="s">
        <v>1409</v>
      </c>
      <c r="M878" s="4896">
        <f>M837</f>
        <v>237</v>
      </c>
    </row>
    <row r="879" spans="2:15">
      <c r="B879" s="4933">
        <f>$B$3</f>
        <v>44348</v>
      </c>
      <c r="K879" s="4893" t="s">
        <v>879</v>
      </c>
      <c r="M879" s="4961"/>
      <c r="O879" s="4910"/>
    </row>
    <row r="880" spans="2:15" ht="7.5" customHeight="1">
      <c r="E880" s="4900"/>
      <c r="F880" s="4900"/>
      <c r="G880" s="4900"/>
      <c r="H880" s="4900"/>
      <c r="I880" s="4900"/>
      <c r="J880" s="4900"/>
      <c r="K880" s="4901"/>
      <c r="L880" s="4901"/>
      <c r="M880" s="4900"/>
    </row>
    <row r="881" spans="2:13" ht="8.25" customHeight="1">
      <c r="E881" s="4900"/>
      <c r="F881" s="4900"/>
      <c r="G881" s="4900"/>
      <c r="H881" s="4900"/>
      <c r="I881" s="4900"/>
      <c r="J881" s="4900"/>
      <c r="K881" s="4901"/>
      <c r="L881" s="4901"/>
      <c r="M881" s="4900"/>
    </row>
    <row r="882" spans="2:13">
      <c r="B882" s="4900" t="str">
        <f>B5</f>
        <v>2021-2022</v>
      </c>
      <c r="C882" s="4900"/>
      <c r="D882" s="4900"/>
      <c r="E882" s="4900"/>
      <c r="F882" s="4900"/>
      <c r="G882" s="4900"/>
      <c r="H882" s="4900"/>
      <c r="I882" s="4900"/>
      <c r="J882" s="4900"/>
      <c r="K882" s="4900"/>
      <c r="L882" s="4900"/>
      <c r="M882" s="4900"/>
    </row>
    <row r="883" spans="2:13">
      <c r="B883" s="4900" t="s">
        <v>1411</v>
      </c>
      <c r="C883" s="4900"/>
      <c r="D883" s="4900"/>
      <c r="E883" s="4900"/>
      <c r="F883" s="4900"/>
      <c r="G883" s="4900"/>
      <c r="H883" s="4900"/>
      <c r="I883" s="4900"/>
      <c r="J883" s="4900"/>
      <c r="K883" s="4900"/>
      <c r="L883" s="4900"/>
      <c r="M883" s="4900"/>
    </row>
    <row r="884" spans="2:13">
      <c r="B884" s="4900" t="s">
        <v>1412</v>
      </c>
      <c r="C884" s="4900"/>
      <c r="D884" s="4900"/>
      <c r="E884" s="4900"/>
      <c r="F884" s="4900"/>
      <c r="G884" s="4900"/>
      <c r="H884" s="4900"/>
      <c r="I884" s="4900"/>
      <c r="J884" s="4900"/>
      <c r="K884" s="4900"/>
      <c r="L884" s="4900"/>
      <c r="M884" s="4900"/>
    </row>
    <row r="885" spans="2:13">
      <c r="B885" s="4902" t="s">
        <v>1413</v>
      </c>
      <c r="C885" s="4902"/>
      <c r="D885" s="4902"/>
      <c r="E885" s="4900"/>
      <c r="F885" s="4900"/>
      <c r="G885" s="4900"/>
      <c r="H885" s="4900"/>
      <c r="I885" s="4900"/>
      <c r="J885" s="4900"/>
      <c r="K885" s="4900"/>
      <c r="L885" s="4900"/>
      <c r="M885" s="4900"/>
    </row>
    <row r="886" spans="2:13" ht="7.5" customHeight="1"/>
    <row r="887" spans="2:13">
      <c r="E887" s="4898"/>
      <c r="F887" s="4898"/>
      <c r="G887" s="4898" t="s">
        <v>1414</v>
      </c>
      <c r="H887" s="4898"/>
      <c r="I887" s="4898" t="s">
        <v>1415</v>
      </c>
      <c r="J887" s="4898"/>
      <c r="K887" s="4898" t="s">
        <v>1416</v>
      </c>
      <c r="L887" s="4898"/>
      <c r="M887" s="4898"/>
    </row>
    <row r="888" spans="2:13">
      <c r="E888" s="4898" t="s">
        <v>813</v>
      </c>
      <c r="F888" s="4898"/>
      <c r="G888" s="4898" t="s">
        <v>813</v>
      </c>
      <c r="H888" s="4898"/>
      <c r="I888" s="4898" t="s">
        <v>1417</v>
      </c>
      <c r="J888" s="4898"/>
      <c r="K888" s="4898" t="s">
        <v>1418</v>
      </c>
      <c r="L888" s="4898"/>
      <c r="M888" s="4898" t="s">
        <v>1419</v>
      </c>
    </row>
    <row r="889" spans="2:13">
      <c r="E889" s="4898" t="s">
        <v>896</v>
      </c>
      <c r="F889" s="4898"/>
      <c r="G889" s="4898" t="s">
        <v>896</v>
      </c>
      <c r="H889" s="4898"/>
      <c r="I889" s="4898" t="s">
        <v>896</v>
      </c>
      <c r="J889" s="4898"/>
      <c r="K889" s="4898" t="str">
        <f>K12</f>
        <v>Fund #1</v>
      </c>
      <c r="L889" s="4898"/>
      <c r="M889" s="4898" t="str">
        <f>M12</f>
        <v>Fund</v>
      </c>
    </row>
    <row r="890" spans="2:13" ht="7.5" customHeight="1"/>
    <row r="891" spans="2:13">
      <c r="B891" s="4889" t="str">
        <f>B14</f>
        <v>1.  County Treasurer Balance 6/30/2021 *</v>
      </c>
      <c r="E891" s="4953"/>
      <c r="F891" s="4942"/>
      <c r="G891" s="4954"/>
      <c r="H891" s="4942"/>
      <c r="I891" s="4954"/>
      <c r="J891" s="4942"/>
      <c r="K891" s="4954"/>
      <c r="L891" s="4942"/>
      <c r="M891" s="4954"/>
    </row>
    <row r="892" spans="2:13" ht="7.5" customHeight="1">
      <c r="B892" s="4906"/>
      <c r="C892" s="4906"/>
      <c r="D892" s="4906"/>
      <c r="E892" s="4955"/>
      <c r="F892" s="4955"/>
      <c r="G892" s="4955"/>
      <c r="H892" s="4955"/>
      <c r="I892" s="4955"/>
      <c r="J892" s="4955"/>
      <c r="K892" s="4955"/>
      <c r="L892" s="4955"/>
      <c r="M892" s="4955"/>
    </row>
    <row r="893" spans="2:13">
      <c r="B893" s="4889" t="str">
        <f>B16</f>
        <v>2.  2020 Actual Taxes Levied*</v>
      </c>
      <c r="E893" s="4953"/>
      <c r="F893" s="4942"/>
      <c r="G893" s="4954"/>
      <c r="H893" s="4942"/>
      <c r="I893" s="4954"/>
      <c r="J893" s="4942"/>
      <c r="K893" s="4954"/>
      <c r="L893" s="4904"/>
      <c r="M893" s="4954"/>
    </row>
    <row r="894" spans="2:13" ht="9" customHeight="1">
      <c r="E894" s="4943"/>
      <c r="F894" s="4942"/>
      <c r="G894" s="4942"/>
      <c r="H894" s="4942"/>
      <c r="I894" s="4942"/>
      <c r="J894" s="4942"/>
      <c r="K894" s="4942"/>
      <c r="L894" s="4942"/>
      <c r="M894" s="4942"/>
    </row>
    <row r="895" spans="2:13">
      <c r="B895" s="4889" t="s">
        <v>1420</v>
      </c>
      <c r="C895" s="4909"/>
      <c r="E895" s="4908"/>
      <c r="F895" s="4908"/>
      <c r="G895" s="4905">
        <f>SUM(G893*$C$895/100)</f>
        <v>0</v>
      </c>
      <c r="H895" s="4908"/>
      <c r="I895" s="4905">
        <f>SUM(I893*$C$895/100)</f>
        <v>0</v>
      </c>
      <c r="J895" s="4908"/>
      <c r="K895" s="4905">
        <f>SUM(K893*$C$895/100)</f>
        <v>0</v>
      </c>
      <c r="L895" s="4908"/>
      <c r="M895" s="4905">
        <f>SUM(M893*$C$895/100)</f>
        <v>0</v>
      </c>
    </row>
    <row r="896" spans="2:13" ht="9.75" customHeight="1">
      <c r="E896" s="4943"/>
      <c r="F896" s="4942"/>
      <c r="G896" s="4942"/>
      <c r="H896" s="4942"/>
      <c r="I896" s="4942"/>
      <c r="J896" s="4942"/>
      <c r="K896" s="4942"/>
      <c r="L896" s="4942"/>
      <c r="M896" s="4942"/>
    </row>
    <row r="897" spans="2:13">
      <c r="B897" s="4889" t="str">
        <f>B20</f>
        <v>4.  Less:  Jan. 20, 2021 Taxes received**</v>
      </c>
      <c r="C897" s="4893"/>
      <c r="E897" s="4953"/>
      <c r="F897" s="4942"/>
      <c r="G897" s="4954"/>
      <c r="H897" s="4942"/>
      <c r="I897" s="4954"/>
      <c r="J897" s="4942"/>
      <c r="K897" s="4954"/>
      <c r="L897" s="4942"/>
      <c r="M897" s="4954"/>
    </row>
    <row r="898" spans="2:13" ht="9.75" customHeight="1">
      <c r="E898" s="4943"/>
      <c r="F898" s="4942"/>
      <c r="G898" s="4942"/>
      <c r="H898" s="4942"/>
      <c r="I898" s="4942"/>
      <c r="J898" s="4942"/>
      <c r="K898" s="4942"/>
      <c r="L898" s="4942"/>
      <c r="M898" s="4942"/>
    </row>
    <row r="899" spans="2:13">
      <c r="B899" s="4889" t="str">
        <f>B22</f>
        <v>5.  Less:  Mar. 20, 2021  Taxes received**</v>
      </c>
      <c r="E899" s="4953"/>
      <c r="F899" s="4942"/>
      <c r="G899" s="4954"/>
      <c r="H899" s="4942"/>
      <c r="I899" s="4954"/>
      <c r="J899" s="4942"/>
      <c r="K899" s="4954"/>
      <c r="L899" s="4942"/>
      <c r="M899" s="4954"/>
    </row>
    <row r="900" spans="2:13" ht="9.75" customHeight="1">
      <c r="E900" s="4943"/>
      <c r="F900" s="4942"/>
      <c r="G900" s="4942"/>
      <c r="H900" s="4942"/>
      <c r="I900" s="4942"/>
      <c r="J900" s="4942"/>
      <c r="K900" s="4942"/>
      <c r="L900" s="4942"/>
      <c r="M900" s="4942"/>
    </row>
    <row r="901" spans="2:13">
      <c r="B901" s="4889" t="str">
        <f>B24</f>
        <v>6.  Less:  June 5,  2021 Taxes received**</v>
      </c>
      <c r="E901" s="4953"/>
      <c r="F901" s="4942"/>
      <c r="G901" s="4954"/>
      <c r="H901" s="4942"/>
      <c r="I901" s="4954"/>
      <c r="J901" s="4942"/>
      <c r="K901" s="4954"/>
      <c r="L901" s="4942"/>
      <c r="M901" s="4954"/>
    </row>
    <row r="902" spans="2:13" ht="9.75" customHeight="1">
      <c r="E902" s="4943"/>
      <c r="F902" s="4942"/>
      <c r="G902" s="4942"/>
      <c r="H902" s="4942"/>
      <c r="I902" s="4942"/>
      <c r="J902" s="4942"/>
      <c r="K902" s="4942"/>
      <c r="L902" s="4942"/>
      <c r="M902" s="4942"/>
    </row>
    <row r="903" spans="2:13">
      <c r="B903" s="4889" t="s">
        <v>1421</v>
      </c>
      <c r="E903" s="4953"/>
      <c r="F903" s="4942"/>
      <c r="G903" s="4954"/>
      <c r="H903" s="4942"/>
      <c r="I903" s="4954"/>
      <c r="J903" s="4942"/>
      <c r="K903" s="4954"/>
      <c r="L903" s="4942"/>
      <c r="M903" s="4954"/>
    </row>
    <row r="904" spans="2:13" ht="9.75" customHeight="1">
      <c r="E904" s="4943"/>
      <c r="F904" s="4942"/>
      <c r="G904" s="4942"/>
      <c r="H904" s="4942"/>
      <c r="I904" s="4904"/>
      <c r="J904" s="4942"/>
      <c r="K904" s="4942"/>
      <c r="L904" s="4942"/>
      <c r="M904" s="4942"/>
    </row>
    <row r="905" spans="2:13">
      <c r="B905" s="4889" t="s">
        <v>1422</v>
      </c>
      <c r="E905" s="4953"/>
      <c r="F905" s="4942"/>
      <c r="G905" s="4954"/>
      <c r="H905" s="4942"/>
      <c r="I905" s="4954"/>
      <c r="J905" s="4942"/>
      <c r="K905" s="4954"/>
      <c r="L905" s="4942"/>
      <c r="M905" s="4954"/>
    </row>
    <row r="906" spans="2:13" ht="12.75" customHeight="1">
      <c r="B906" s="4889" t="s">
        <v>1423</v>
      </c>
      <c r="E906" s="4953"/>
      <c r="F906" s="4942"/>
      <c r="G906" s="4956"/>
      <c r="H906" s="4942"/>
      <c r="I906" s="4956"/>
      <c r="J906" s="4942"/>
      <c r="K906" s="4956"/>
      <c r="L906" s="4942"/>
      <c r="M906" s="4956"/>
    </row>
    <row r="907" spans="2:13">
      <c r="B907" s="4889" t="s">
        <v>1424</v>
      </c>
      <c r="E907" s="4953"/>
      <c r="F907" s="4904"/>
      <c r="G907" s="4905">
        <f>SUM(G895:G906)</f>
        <v>0</v>
      </c>
      <c r="H907" s="4904"/>
      <c r="I907" s="4905">
        <f>SUM(I895:I906)</f>
        <v>0</v>
      </c>
      <c r="J907" s="4904"/>
      <c r="K907" s="4905">
        <f>SUM(K895:K906)</f>
        <v>0</v>
      </c>
      <c r="L907" s="4904"/>
      <c r="M907" s="4905">
        <f>SUM(M895:M906)</f>
        <v>0</v>
      </c>
    </row>
    <row r="908" spans="2:13" ht="7.5" customHeight="1">
      <c r="E908" s="4908"/>
      <c r="F908" s="4904"/>
      <c r="G908" s="4904"/>
      <c r="H908" s="4904"/>
      <c r="I908" s="4904"/>
      <c r="J908" s="4904"/>
      <c r="K908" s="4904"/>
      <c r="L908" s="4904"/>
      <c r="M908" s="4904"/>
    </row>
    <row r="909" spans="2:13">
      <c r="B909" s="4889" t="str">
        <f>B32</f>
        <v>11. 2020 taxes receivable (taxes in process</v>
      </c>
      <c r="E909" s="4908"/>
      <c r="F909" s="4904"/>
      <c r="G909" s="4904"/>
      <c r="H909" s="4904"/>
      <c r="I909" s="4904"/>
      <c r="J909" s="4904"/>
      <c r="K909" s="4904"/>
      <c r="L909" s="4904"/>
      <c r="M909" s="4904"/>
    </row>
    <row r="910" spans="2:13">
      <c r="B910" s="4889" t="str">
        <f>B33</f>
        <v xml:space="preserve">     of collection 6/30/2021) (Line 2 less Line 10)</v>
      </c>
      <c r="E910" s="4953"/>
      <c r="F910" s="4904"/>
      <c r="G910" s="4905">
        <f>IF(G907&lt;=0,0,G893-G907)</f>
        <v>0</v>
      </c>
      <c r="H910" s="4904"/>
      <c r="I910" s="4905">
        <f>IF(I907&lt;=0,0,I893-I907)</f>
        <v>0</v>
      </c>
      <c r="J910" s="4904"/>
      <c r="K910" s="4905">
        <f>IF(K907&lt;=0,0,(K893-K907))</f>
        <v>0</v>
      </c>
      <c r="L910" s="4904"/>
      <c r="M910" s="4905">
        <f>IF(M907&lt;=0,0,M893-M907)</f>
        <v>0</v>
      </c>
    </row>
    <row r="911" spans="2:13" ht="6.75" customHeight="1">
      <c r="E911" s="4908"/>
      <c r="F911" s="4904"/>
      <c r="G911" s="4908"/>
      <c r="H911" s="4904"/>
      <c r="I911" s="4908"/>
      <c r="J911" s="4904"/>
      <c r="K911" s="4908"/>
      <c r="L911" s="4904"/>
      <c r="M911" s="4908"/>
    </row>
    <row r="912" spans="2:13">
      <c r="B912" s="4889" t="s">
        <v>1425</v>
      </c>
      <c r="E912" s="4908"/>
      <c r="F912" s="4904"/>
      <c r="G912" s="4904"/>
      <c r="H912" s="4904"/>
      <c r="I912" s="4904"/>
      <c r="J912" s="4904"/>
      <c r="K912" s="4904"/>
      <c r="L912" s="4904"/>
      <c r="M912" s="4904"/>
    </row>
    <row r="913" spans="2:15">
      <c r="B913" s="4889" t="s">
        <v>1426</v>
      </c>
      <c r="E913" s="4908"/>
      <c r="F913" s="4904"/>
      <c r="G913" s="4904"/>
      <c r="H913" s="4904"/>
      <c r="I913" s="4904"/>
      <c r="J913" s="4904"/>
      <c r="K913" s="4904"/>
      <c r="L913" s="4904"/>
      <c r="M913" s="4904"/>
    </row>
    <row r="914" spans="2:15">
      <c r="B914" s="4889" t="str">
        <f>B37</f>
        <v xml:space="preserve">     (7-1-2021 to 12-31-2022) (Line 3 x 75%)</v>
      </c>
      <c r="E914" s="4953"/>
      <c r="F914" s="4904"/>
      <c r="G914" s="4905">
        <f>SUM(G895*0.75)</f>
        <v>0</v>
      </c>
      <c r="H914" s="4904"/>
      <c r="I914" s="4905">
        <f>SUM(I895*0.75)</f>
        <v>0</v>
      </c>
      <c r="J914" s="4904"/>
      <c r="K914" s="4905">
        <f>SUM(K895*0.75)</f>
        <v>0</v>
      </c>
      <c r="L914" s="4904"/>
      <c r="M914" s="4905">
        <f>SUM(M895*0.75)</f>
        <v>0</v>
      </c>
      <c r="O914" s="4910"/>
    </row>
    <row r="915" spans="2:15">
      <c r="B915" s="4949" t="str">
        <f>B39</f>
        <v>Tax Collection Ratio (Jan, Mar, June)</v>
      </c>
      <c r="C915" s="4910"/>
      <c r="D915" s="4910"/>
      <c r="E915" s="4951"/>
      <c r="F915" s="4938"/>
      <c r="G915" s="4951">
        <f>IF(G893&lt;&gt;0,(G897+G899+G901+G903+G905)/G893*100,0)</f>
        <v>0</v>
      </c>
      <c r="H915" s="4938" t="s">
        <v>886</v>
      </c>
      <c r="I915" s="4951">
        <f>IF(I893&lt;&gt;0,(I897+I899+I901+I903+I905)/I893*100,0)</f>
        <v>0</v>
      </c>
      <c r="J915" s="4938" t="s">
        <v>886</v>
      </c>
      <c r="K915" s="4951">
        <f>IF(K893&lt;&gt;0,(K897+K899+K901+K903+K905)/K893*100,0)</f>
        <v>0</v>
      </c>
      <c r="L915" s="4938" t="s">
        <v>886</v>
      </c>
      <c r="M915" s="4951">
        <f>IF(M893&lt;&gt;0,(M897+M899+M901+M903+M905)/M893*100,0)</f>
        <v>0</v>
      </c>
      <c r="N915" s="4917" t="s">
        <v>886</v>
      </c>
    </row>
    <row r="916" spans="2:15" ht="3" customHeight="1">
      <c r="B916" s="4975"/>
      <c r="C916" s="4914"/>
      <c r="D916" s="4914"/>
      <c r="E916" s="4914"/>
      <c r="F916" s="4914"/>
      <c r="G916" s="4914"/>
      <c r="H916" s="4914"/>
      <c r="I916" s="4914"/>
      <c r="J916" s="4914"/>
      <c r="K916" s="4914"/>
      <c r="L916" s="4914"/>
      <c r="M916" s="4914"/>
    </row>
    <row r="917" spans="2:15">
      <c r="B917" s="4889" t="str">
        <f>B97</f>
        <v>*Amounts are available from the County Treasurer.       **These Jan.-June, 2021 amounts are available from the County Treasurer.  (Should correspond to school</v>
      </c>
      <c r="C917" s="4920"/>
      <c r="D917" s="4920"/>
      <c r="E917" s="4920"/>
      <c r="F917" s="4920"/>
      <c r="G917" s="4920"/>
      <c r="H917" s="4920"/>
      <c r="I917" s="4943"/>
      <c r="J917" s="4910"/>
      <c r="K917" s="4910"/>
      <c r="L917" s="4910"/>
      <c r="M917" s="4910"/>
    </row>
    <row r="918" spans="2:15">
      <c r="B918" s="4889" t="str">
        <f>B98</f>
        <v xml:space="preserve"> records and does not include MVPT.)   Include Watercraft Tax if USD received payment direct from county.</v>
      </c>
    </row>
    <row r="919" spans="2:15" ht="7.5" customHeight="1"/>
    <row r="920" spans="2:15">
      <c r="B920" s="4892" t="str">
        <f>$B$1</f>
        <v>Kansas Department of Education</v>
      </c>
      <c r="M920" s="4890" t="s">
        <v>1433</v>
      </c>
    </row>
    <row r="921" spans="2:15">
      <c r="B921" s="4933" t="str">
        <f>$B$2</f>
        <v>Form 0-135-110</v>
      </c>
      <c r="C921" s="4892"/>
      <c r="D921" s="4892"/>
      <c r="F921" s="4893"/>
      <c r="G921" s="4893" t="s">
        <v>1408</v>
      </c>
      <c r="H921" s="4893"/>
      <c r="I921" s="4894" t="str">
        <f>I878</f>
        <v>237 - Smith Center</v>
      </c>
      <c r="J921" s="4895"/>
      <c r="K921" s="4934"/>
      <c r="L921" s="4893" t="s">
        <v>1409</v>
      </c>
      <c r="M921" s="4896">
        <f>M878</f>
        <v>237</v>
      </c>
    </row>
    <row r="922" spans="2:15">
      <c r="B922" s="4933">
        <f>$B$3</f>
        <v>44348</v>
      </c>
      <c r="K922" s="4893" t="s">
        <v>879</v>
      </c>
      <c r="M922" s="4934">
        <f>M879</f>
        <v>0</v>
      </c>
    </row>
    <row r="923" spans="2:15" ht="7.5" customHeight="1">
      <c r="E923" s="4900"/>
      <c r="F923" s="4900"/>
      <c r="G923" s="4900"/>
      <c r="H923" s="4900"/>
      <c r="I923" s="4900"/>
      <c r="J923" s="4900"/>
      <c r="K923" s="4901"/>
      <c r="L923" s="4901"/>
      <c r="M923" s="4900"/>
    </row>
    <row r="924" spans="2:15">
      <c r="B924" s="4900" t="str">
        <f>B5</f>
        <v>2021-2022</v>
      </c>
      <c r="C924" s="4900"/>
      <c r="D924" s="4900"/>
      <c r="E924" s="4900"/>
      <c r="F924" s="4900"/>
      <c r="G924" s="4900"/>
      <c r="H924" s="4900"/>
      <c r="I924" s="4900"/>
      <c r="J924" s="4900"/>
      <c r="K924" s="4900"/>
      <c r="L924" s="4900"/>
      <c r="M924" s="4900"/>
    </row>
    <row r="925" spans="2:15">
      <c r="B925" s="4900" t="s">
        <v>1411</v>
      </c>
      <c r="C925" s="4900"/>
      <c r="D925" s="4900"/>
      <c r="E925" s="4900"/>
      <c r="F925" s="4900"/>
      <c r="G925" s="4900"/>
      <c r="H925" s="4900"/>
      <c r="I925" s="4900"/>
      <c r="J925" s="4900"/>
      <c r="K925" s="4900"/>
      <c r="L925" s="4900"/>
      <c r="M925" s="4900"/>
    </row>
    <row r="926" spans="2:15">
      <c r="B926" s="4900" t="s">
        <v>1412</v>
      </c>
      <c r="C926" s="4900"/>
      <c r="D926" s="4900"/>
      <c r="E926" s="4900"/>
      <c r="F926" s="4900"/>
      <c r="G926" s="4900"/>
      <c r="H926" s="4900"/>
      <c r="I926" s="4900"/>
      <c r="J926" s="4900"/>
      <c r="K926" s="4900"/>
      <c r="L926" s="4900"/>
      <c r="M926" s="4900"/>
    </row>
    <row r="927" spans="2:15">
      <c r="B927" s="4902" t="s">
        <v>1413</v>
      </c>
      <c r="C927" s="4902"/>
      <c r="D927" s="4902"/>
      <c r="E927" s="4900"/>
      <c r="F927" s="4900"/>
      <c r="G927" s="4900"/>
      <c r="H927" s="4900"/>
      <c r="I927" s="4900"/>
      <c r="J927" s="4900"/>
      <c r="K927" s="4900"/>
      <c r="L927" s="4900"/>
      <c r="M927" s="4900"/>
    </row>
    <row r="928" spans="2:15" ht="8.25" customHeight="1">
      <c r="E928" s="4898"/>
      <c r="F928" s="4898"/>
      <c r="G928" s="4898"/>
      <c r="H928" s="4898"/>
      <c r="I928" s="4898"/>
      <c r="J928" s="4898"/>
      <c r="K928" s="4898"/>
      <c r="L928" s="4898"/>
      <c r="M928" s="4898"/>
    </row>
    <row r="929" spans="2:14">
      <c r="E929" s="4898" t="s">
        <v>1434</v>
      </c>
      <c r="F929" s="4898"/>
      <c r="G929" s="4898" t="s">
        <v>1455</v>
      </c>
      <c r="H929" s="4898"/>
      <c r="I929" s="4898" t="s">
        <v>1475</v>
      </c>
      <c r="J929" s="4898"/>
      <c r="K929" s="4898" t="s">
        <v>1437</v>
      </c>
      <c r="M929" s="661"/>
      <c r="N929" s="661"/>
    </row>
    <row r="930" spans="2:14">
      <c r="E930" s="4898" t="s">
        <v>1438</v>
      </c>
      <c r="F930" s="4898"/>
      <c r="G930" s="4898" t="s">
        <v>1439</v>
      </c>
      <c r="H930" s="4898"/>
      <c r="I930" s="4898" t="s">
        <v>1440</v>
      </c>
      <c r="J930" s="4898"/>
      <c r="K930" s="4898" t="str">
        <f>K60</f>
        <v>Interest #2</v>
      </c>
      <c r="M930" s="661"/>
      <c r="N930" s="661"/>
    </row>
    <row r="931" spans="2:14" ht="7.5" customHeight="1">
      <c r="M931" s="661"/>
      <c r="N931" s="661"/>
    </row>
    <row r="932" spans="2:14">
      <c r="B932" s="4889" t="str">
        <f>B14</f>
        <v>1.  County Treasurer Balance 6/30/2021 *</v>
      </c>
      <c r="E932" s="4954"/>
      <c r="F932" s="4942"/>
      <c r="G932" s="4954"/>
      <c r="H932" s="4942"/>
      <c r="I932" s="4953"/>
      <c r="J932" s="4942"/>
      <c r="K932" s="4954"/>
      <c r="M932" s="661"/>
      <c r="N932" s="661"/>
    </row>
    <row r="933" spans="2:14" ht="6.75" customHeight="1">
      <c r="B933" s="4906"/>
      <c r="C933" s="4906"/>
      <c r="D933" s="4906"/>
      <c r="E933" s="4955"/>
      <c r="F933" s="4955"/>
      <c r="G933" s="4955"/>
      <c r="H933" s="4955"/>
      <c r="I933" s="4955"/>
      <c r="J933" s="4955"/>
      <c r="K933" s="4955"/>
      <c r="M933" s="661"/>
      <c r="N933" s="661"/>
    </row>
    <row r="934" spans="2:14">
      <c r="B934" s="4889" t="str">
        <f>B16</f>
        <v>2.  2020 Actual Taxes Levied*</v>
      </c>
      <c r="E934" s="4954"/>
      <c r="F934" s="4942"/>
      <c r="G934" s="4954"/>
      <c r="H934" s="4942"/>
      <c r="I934" s="4953"/>
      <c r="J934" s="4942"/>
      <c r="K934" s="4954"/>
      <c r="M934" s="661"/>
      <c r="N934" s="661"/>
    </row>
    <row r="935" spans="2:14" ht="8.25" customHeight="1">
      <c r="E935" s="4942"/>
      <c r="F935" s="4942"/>
      <c r="G935" s="4942"/>
      <c r="H935" s="4942"/>
      <c r="I935" s="4942"/>
      <c r="J935" s="4942"/>
      <c r="K935" s="4942"/>
      <c r="M935" s="661"/>
      <c r="N935" s="661"/>
    </row>
    <row r="936" spans="2:14">
      <c r="B936" s="4889" t="s">
        <v>1441</v>
      </c>
      <c r="C936" s="4929">
        <f>C895</f>
        <v>0</v>
      </c>
      <c r="D936" s="4935"/>
      <c r="E936" s="4905">
        <f>E934*$C$936/100</f>
        <v>0</v>
      </c>
      <c r="F936" s="4908"/>
      <c r="G936" s="4905">
        <f>G934*$C$936/100</f>
        <v>0</v>
      </c>
      <c r="H936" s="4908"/>
      <c r="I936" s="4953"/>
      <c r="J936" s="4908"/>
      <c r="K936" s="4905">
        <f>K934*$C$936/100</f>
        <v>0</v>
      </c>
      <c r="L936" s="4908"/>
      <c r="M936" s="661"/>
      <c r="N936" s="661"/>
    </row>
    <row r="937" spans="2:14" ht="9.75" customHeight="1">
      <c r="E937" s="4942"/>
      <c r="F937" s="4942"/>
      <c r="G937" s="4942"/>
      <c r="H937" s="4942"/>
      <c r="I937" s="4942"/>
      <c r="J937" s="4942"/>
      <c r="K937" s="4942"/>
      <c r="M937" s="661"/>
      <c r="N937" s="661"/>
    </row>
    <row r="938" spans="2:14">
      <c r="B938" s="4889" t="str">
        <f>B20</f>
        <v>4.  Less:  Jan. 20, 2021 Taxes received**</v>
      </c>
      <c r="E938" s="4954"/>
      <c r="F938" s="4942"/>
      <c r="G938" s="4954"/>
      <c r="H938" s="4942"/>
      <c r="I938" s="4953"/>
      <c r="J938" s="4942"/>
      <c r="K938" s="4954"/>
      <c r="M938" s="661"/>
      <c r="N938" s="661"/>
    </row>
    <row r="939" spans="2:14" ht="9.75" customHeight="1">
      <c r="E939" s="4942"/>
      <c r="F939" s="4942"/>
      <c r="G939" s="4942"/>
      <c r="H939" s="4942"/>
      <c r="I939" s="4942"/>
      <c r="J939" s="4942"/>
      <c r="K939" s="4942"/>
      <c r="M939" s="661"/>
      <c r="N939" s="661"/>
    </row>
    <row r="940" spans="2:14">
      <c r="B940" s="4889" t="str">
        <f>B22</f>
        <v>5.  Less:  Mar. 20, 2021  Taxes received**</v>
      </c>
      <c r="E940" s="4954"/>
      <c r="F940" s="4942"/>
      <c r="G940" s="4954"/>
      <c r="H940" s="4942"/>
      <c r="I940" s="4953"/>
      <c r="J940" s="4942"/>
      <c r="K940" s="4954"/>
      <c r="M940" s="661"/>
      <c r="N940" s="661"/>
    </row>
    <row r="941" spans="2:14" ht="9.75" customHeight="1">
      <c r="E941" s="4943"/>
      <c r="F941" s="4942"/>
      <c r="G941" s="4943"/>
      <c r="H941" s="4942"/>
      <c r="I941" s="4943"/>
      <c r="J941" s="4942"/>
      <c r="K941" s="4943"/>
      <c r="M941" s="661"/>
      <c r="N941" s="661"/>
    </row>
    <row r="942" spans="2:14">
      <c r="B942" s="4889" t="str">
        <f>B24</f>
        <v>6.  Less:  June 5,  2021 Taxes received**</v>
      </c>
      <c r="E942" s="4954"/>
      <c r="F942" s="4942"/>
      <c r="G942" s="4954"/>
      <c r="H942" s="4942"/>
      <c r="I942" s="4953"/>
      <c r="J942" s="4942"/>
      <c r="K942" s="4954"/>
      <c r="M942" s="661"/>
      <c r="N942" s="661"/>
    </row>
    <row r="943" spans="2:14" ht="9.75" customHeight="1">
      <c r="E943" s="4943"/>
      <c r="F943" s="4942"/>
      <c r="G943" s="4943"/>
      <c r="H943" s="4942"/>
      <c r="I943" s="4943"/>
      <c r="J943" s="4942"/>
      <c r="K943" s="4943"/>
      <c r="L943" s="4935"/>
      <c r="M943" s="661"/>
      <c r="N943" s="661"/>
    </row>
    <row r="944" spans="2:14">
      <c r="B944" s="4889" t="s">
        <v>1421</v>
      </c>
      <c r="E944" s="4954"/>
      <c r="F944" s="4942"/>
      <c r="G944" s="4954"/>
      <c r="H944" s="4942"/>
      <c r="I944" s="4953"/>
      <c r="J944" s="4942"/>
      <c r="K944" s="4954"/>
      <c r="M944" s="661"/>
      <c r="N944" s="661"/>
    </row>
    <row r="945" spans="2:15" ht="7.5" customHeight="1">
      <c r="E945" s="4942"/>
      <c r="F945" s="4942"/>
      <c r="G945" s="4942"/>
      <c r="H945" s="4942"/>
      <c r="I945" s="4942"/>
      <c r="J945" s="4942"/>
      <c r="K945" s="4904"/>
      <c r="M945" s="661"/>
      <c r="N945" s="661"/>
    </row>
    <row r="946" spans="2:15">
      <c r="B946" s="4889" t="s">
        <v>1422</v>
      </c>
      <c r="E946" s="4954"/>
      <c r="F946" s="4942"/>
      <c r="G946" s="4954"/>
      <c r="H946" s="4942"/>
      <c r="I946" s="4953"/>
      <c r="J946" s="4942"/>
      <c r="K946" s="4954"/>
      <c r="M946" s="661"/>
      <c r="N946" s="661"/>
    </row>
    <row r="947" spans="2:15" ht="12" customHeight="1">
      <c r="B947" s="4889" t="s">
        <v>1423</v>
      </c>
      <c r="E947" s="4956"/>
      <c r="F947" s="4942"/>
      <c r="G947" s="4956"/>
      <c r="H947" s="4942"/>
      <c r="I947" s="4953"/>
      <c r="J947" s="4942"/>
      <c r="K947" s="4956"/>
      <c r="M947" s="661"/>
      <c r="N947" s="661"/>
    </row>
    <row r="948" spans="2:15">
      <c r="B948" s="4889" t="s">
        <v>1442</v>
      </c>
      <c r="E948" s="4905">
        <f>SUM(E936:E947)</f>
        <v>0</v>
      </c>
      <c r="F948" s="4908"/>
      <c r="G948" s="4905">
        <f>SUM(G936:G947)</f>
        <v>0</v>
      </c>
      <c r="H948" s="4908"/>
      <c r="I948" s="4953"/>
      <c r="J948" s="4908"/>
      <c r="K948" s="4905">
        <f>SUM(K936:K947)</f>
        <v>0</v>
      </c>
      <c r="L948" s="4935"/>
      <c r="M948" s="661"/>
      <c r="N948" s="661"/>
    </row>
    <row r="949" spans="2:15" ht="9.75" customHeight="1">
      <c r="E949" s="4904"/>
      <c r="F949" s="4904"/>
      <c r="G949" s="4904"/>
      <c r="H949" s="4904"/>
      <c r="I949" s="4904"/>
      <c r="J949" s="4904"/>
      <c r="K949" s="4904"/>
      <c r="L949" s="4935"/>
      <c r="M949" s="661"/>
      <c r="N949" s="661"/>
    </row>
    <row r="950" spans="2:15">
      <c r="B950" s="4889" t="str">
        <f>B32</f>
        <v>11. 2020 taxes receivable (taxes in process</v>
      </c>
      <c r="E950" s="4904"/>
      <c r="F950" s="4904"/>
      <c r="G950" s="4904"/>
      <c r="H950" s="4904"/>
      <c r="I950" s="4904"/>
      <c r="J950" s="4904"/>
      <c r="K950" s="4904"/>
      <c r="L950" s="4935"/>
      <c r="M950" s="661"/>
      <c r="N950" s="661"/>
    </row>
    <row r="951" spans="2:15">
      <c r="B951" s="4889" t="str">
        <f>B33</f>
        <v xml:space="preserve">     of collection 6/30/2021) (Line 2 less Line 10)</v>
      </c>
      <c r="E951" s="4905">
        <f>IF(E948&lt;=0,0,E934-E948)</f>
        <v>0</v>
      </c>
      <c r="F951" s="4908"/>
      <c r="G951" s="4905">
        <f>IF(G948&lt;=0,0,G934-G948)</f>
        <v>0</v>
      </c>
      <c r="H951" s="4908"/>
      <c r="I951" s="4953"/>
      <c r="J951" s="4908"/>
      <c r="K951" s="4905">
        <f>IF(K948&lt;=0,0,K934-K948)</f>
        <v>0</v>
      </c>
      <c r="L951" s="4908"/>
      <c r="M951" s="661"/>
      <c r="N951" s="661"/>
    </row>
    <row r="952" spans="2:15" ht="9.75" customHeight="1">
      <c r="E952" s="4904"/>
      <c r="F952" s="4904"/>
      <c r="G952" s="4904"/>
      <c r="H952" s="4904"/>
      <c r="I952" s="4904"/>
      <c r="J952" s="4904"/>
      <c r="K952" s="4904"/>
      <c r="L952" s="4935"/>
      <c r="M952" s="661"/>
      <c r="N952" s="661"/>
    </row>
    <row r="953" spans="2:15">
      <c r="B953" s="4889" t="s">
        <v>1443</v>
      </c>
      <c r="E953" s="4904"/>
      <c r="F953" s="4904"/>
      <c r="G953" s="4904"/>
      <c r="H953" s="4904"/>
      <c r="I953" s="4904"/>
      <c r="J953" s="4904"/>
      <c r="K953" s="4904"/>
      <c r="L953" s="4935"/>
      <c r="M953" s="661"/>
      <c r="N953" s="661"/>
    </row>
    <row r="954" spans="2:15">
      <c r="B954" s="4889" t="s">
        <v>1426</v>
      </c>
      <c r="E954" s="4904"/>
      <c r="F954" s="4904"/>
      <c r="G954" s="4904"/>
      <c r="H954" s="4904"/>
      <c r="I954" s="4904"/>
      <c r="J954" s="4904"/>
      <c r="K954" s="4904"/>
      <c r="L954" s="4935"/>
      <c r="M954" s="661"/>
      <c r="N954" s="661"/>
    </row>
    <row r="955" spans="2:15">
      <c r="B955" s="4889" t="str">
        <f>B37</f>
        <v xml:space="preserve">     (7-1-2021 to 12-31-2022) (Line 3 x 75%)</v>
      </c>
      <c r="E955" s="4905">
        <f>SUM(E936*0.75)</f>
        <v>0</v>
      </c>
      <c r="F955" s="4908"/>
      <c r="G955" s="4905">
        <f>SUM(G936*0.75)</f>
        <v>0</v>
      </c>
      <c r="H955" s="4908"/>
      <c r="I955" s="4953"/>
      <c r="J955" s="4908"/>
      <c r="K955" s="4905">
        <f>SUM(K936*0.75)</f>
        <v>0</v>
      </c>
      <c r="L955" s="4935"/>
      <c r="M955" s="661"/>
      <c r="N955" s="661"/>
    </row>
    <row r="956" spans="2:15" ht="6.75" customHeight="1">
      <c r="E956" s="4935"/>
      <c r="F956" s="4935"/>
      <c r="G956" s="4935"/>
      <c r="H956" s="4935"/>
      <c r="I956" s="4935"/>
      <c r="J956" s="4935"/>
      <c r="K956" s="4935"/>
      <c r="L956" s="4935"/>
      <c r="M956" s="661"/>
      <c r="N956" s="661"/>
      <c r="O956" s="4910"/>
    </row>
    <row r="957" spans="2:15">
      <c r="B957" s="4949" t="str">
        <f>B39</f>
        <v>Tax Collection Ratio (Jan, Mar, June)</v>
      </c>
      <c r="C957" s="4910"/>
      <c r="D957" s="4910"/>
      <c r="E957" s="4951">
        <f>IF(E934&lt;&gt;0,(E938+E940+E942+E944+E946)/E934*100,0)</f>
        <v>0</v>
      </c>
      <c r="F957" s="4938" t="s">
        <v>886</v>
      </c>
      <c r="G957" s="4951">
        <f>IF(G934&lt;&gt;0,(G938+G940+G942+G944+G946)/G934*100,0)</f>
        <v>0</v>
      </c>
      <c r="H957" s="4938" t="s">
        <v>886</v>
      </c>
      <c r="I957" s="4908"/>
      <c r="J957" s="4938"/>
      <c r="K957" s="4951">
        <f>IF(K934&lt;&gt;0,(K938+K940+K942+K944+K946)/K934*100,0)</f>
        <v>0</v>
      </c>
      <c r="L957" s="4938" t="s">
        <v>886</v>
      </c>
      <c r="M957" s="661"/>
      <c r="N957" s="661"/>
    </row>
    <row r="958" spans="2:15" ht="3" customHeight="1">
      <c r="B958" s="4906"/>
      <c r="C958" s="4906"/>
      <c r="D958" s="4906"/>
      <c r="E958" s="4906"/>
      <c r="F958" s="4906"/>
      <c r="G958" s="4906"/>
      <c r="H958" s="4906"/>
      <c r="I958" s="4906"/>
      <c r="J958" s="4906"/>
      <c r="K958" s="4906"/>
      <c r="L958" s="4910"/>
      <c r="M958" s="4910"/>
    </row>
    <row r="959" spans="2:15">
      <c r="B959" s="4889" t="str">
        <f>B97</f>
        <v>*Amounts are available from the County Treasurer.       **These Jan.-June, 2021 amounts are available from the County Treasurer.  (Should correspond to school</v>
      </c>
    </row>
    <row r="960" spans="2:15">
      <c r="B960" s="4889" t="str">
        <f>B98</f>
        <v xml:space="preserve"> records and does not include MVPT.)   Include Watercraft Tax if USD received payment direct from county.</v>
      </c>
    </row>
    <row r="961" spans="2:13">
      <c r="B961" s="4892" t="str">
        <f>$B$1</f>
        <v>Kansas Department of Education</v>
      </c>
      <c r="M961" s="4890" t="s">
        <v>1453</v>
      </c>
    </row>
    <row r="962" spans="2:13">
      <c r="B962" s="4933" t="str">
        <f>$B$2</f>
        <v>Form 0-135-110</v>
      </c>
      <c r="C962" s="4892"/>
      <c r="D962" s="4892"/>
      <c r="G962" s="4893" t="s">
        <v>1408</v>
      </c>
      <c r="H962" s="4893"/>
      <c r="I962" s="4894" t="str">
        <f>I878</f>
        <v>237 - Smith Center</v>
      </c>
      <c r="J962" s="4895"/>
      <c r="K962" s="4895"/>
      <c r="L962" s="4893" t="s">
        <v>1409</v>
      </c>
      <c r="M962" s="4896">
        <f>M878</f>
        <v>237</v>
      </c>
    </row>
    <row r="963" spans="2:13">
      <c r="B963" s="4933">
        <f>$B$3</f>
        <v>44348</v>
      </c>
      <c r="K963" s="4893" t="s">
        <v>879</v>
      </c>
      <c r="M963" s="4934">
        <f>M879</f>
        <v>0</v>
      </c>
    </row>
    <row r="964" spans="2:13" ht="7.5" customHeight="1">
      <c r="E964" s="4900"/>
      <c r="F964" s="4900"/>
      <c r="G964" s="4900"/>
      <c r="H964" s="4900"/>
      <c r="I964" s="4900"/>
      <c r="J964" s="4900"/>
      <c r="K964" s="4901"/>
      <c r="L964" s="4901"/>
      <c r="M964" s="4900"/>
    </row>
    <row r="965" spans="2:13">
      <c r="B965" s="4900" t="str">
        <f>B5</f>
        <v>2021-2022</v>
      </c>
      <c r="C965" s="4900"/>
      <c r="D965" s="4900"/>
      <c r="E965" s="4900"/>
      <c r="F965" s="4900"/>
      <c r="G965" s="4900"/>
      <c r="H965" s="4900"/>
      <c r="I965" s="4900"/>
      <c r="J965" s="4900"/>
      <c r="K965" s="4900"/>
      <c r="L965" s="4900"/>
      <c r="M965" s="4900"/>
    </row>
    <row r="966" spans="2:13">
      <c r="B966" s="4900" t="s">
        <v>1411</v>
      </c>
      <c r="C966" s="4900"/>
      <c r="D966" s="4900"/>
      <c r="E966" s="4900"/>
      <c r="F966" s="4900"/>
      <c r="G966" s="4900"/>
      <c r="H966" s="4900"/>
      <c r="I966" s="4900"/>
      <c r="J966" s="4900"/>
      <c r="K966" s="4900"/>
      <c r="L966" s="4900"/>
      <c r="M966" s="4900"/>
    </row>
    <row r="967" spans="2:13">
      <c r="B967" s="4900" t="s">
        <v>1412</v>
      </c>
      <c r="C967" s="4900"/>
      <c r="D967" s="4900"/>
      <c r="E967" s="4900"/>
      <c r="F967" s="4900"/>
      <c r="G967" s="4900"/>
      <c r="H967" s="4900"/>
      <c r="I967" s="4900"/>
      <c r="J967" s="4900"/>
      <c r="K967" s="4900"/>
      <c r="L967" s="4900"/>
      <c r="M967" s="4900"/>
    </row>
    <row r="968" spans="2:13">
      <c r="B968" s="4902" t="s">
        <v>1413</v>
      </c>
      <c r="C968" s="4902"/>
      <c r="D968" s="4902"/>
      <c r="E968" s="4900"/>
      <c r="F968" s="4900"/>
      <c r="G968" s="4900"/>
      <c r="H968" s="4900"/>
      <c r="I968" s="4900"/>
      <c r="J968" s="4900"/>
      <c r="K968" s="4900"/>
      <c r="L968" s="4900"/>
      <c r="M968" s="4900"/>
    </row>
    <row r="969" spans="2:13" ht="9" customHeight="1">
      <c r="E969" s="4898"/>
      <c r="F969" s="4898"/>
      <c r="G969" s="4898"/>
      <c r="H969" s="4898"/>
      <c r="I969" s="4898"/>
      <c r="J969" s="4898"/>
      <c r="K969" s="4898"/>
      <c r="L969" s="4898"/>
      <c r="M969" s="4898"/>
    </row>
    <row r="970" spans="2:13">
      <c r="E970" s="4898" t="s">
        <v>1454</v>
      </c>
      <c r="F970" s="4898"/>
      <c r="G970" s="4898" t="s">
        <v>1455</v>
      </c>
      <c r="H970" s="4898"/>
      <c r="I970" s="4898" t="s">
        <v>1456</v>
      </c>
      <c r="J970" s="4898"/>
      <c r="K970" s="4898" t="s">
        <v>1457</v>
      </c>
      <c r="L970" s="4898"/>
      <c r="M970" s="4898" t="s">
        <v>1458</v>
      </c>
    </row>
    <row r="971" spans="2:13">
      <c r="E971" s="4898" t="s">
        <v>1459</v>
      </c>
      <c r="F971" s="4898"/>
      <c r="G971" s="4898" t="s">
        <v>1460</v>
      </c>
      <c r="H971" s="4898"/>
      <c r="I971" s="4898" t="s">
        <v>1461</v>
      </c>
      <c r="J971" s="4898"/>
      <c r="K971" s="4898" t="s">
        <v>1462</v>
      </c>
      <c r="L971" s="4898"/>
      <c r="M971" s="4898" t="s">
        <v>1463</v>
      </c>
    </row>
    <row r="973" spans="2:13">
      <c r="B973" s="4889" t="str">
        <f>B14</f>
        <v>1.  County Treasurer Balance 6/30/2021 *</v>
      </c>
      <c r="E973" s="4954"/>
      <c r="F973" s="4942"/>
      <c r="G973" s="4954"/>
      <c r="H973" s="4942"/>
      <c r="I973" s="4954"/>
      <c r="J973" s="4942"/>
      <c r="K973" s="4954"/>
      <c r="M973" s="4954"/>
    </row>
    <row r="974" spans="2:13" ht="7.5" customHeight="1">
      <c r="B974" s="4906"/>
      <c r="C974" s="4906"/>
      <c r="D974" s="4906"/>
      <c r="E974" s="4955"/>
      <c r="F974" s="4955"/>
      <c r="G974" s="4955"/>
      <c r="H974" s="4955"/>
      <c r="I974" s="4955"/>
      <c r="J974" s="4955"/>
      <c r="K974" s="4955"/>
      <c r="M974" s="4955"/>
    </row>
    <row r="975" spans="2:13">
      <c r="B975" s="4889" t="str">
        <f>B16</f>
        <v>2.  2020 Actual Taxes Levied*</v>
      </c>
      <c r="E975" s="4954"/>
      <c r="F975" s="4942"/>
      <c r="G975" s="4954"/>
      <c r="H975" s="4942"/>
      <c r="I975" s="4954"/>
      <c r="J975" s="4942"/>
      <c r="K975" s="4954"/>
      <c r="M975" s="4954"/>
    </row>
    <row r="976" spans="2:13" ht="7.5" customHeight="1">
      <c r="E976" s="4942"/>
      <c r="F976" s="4942"/>
      <c r="G976" s="4942"/>
      <c r="H976" s="4942"/>
      <c r="I976" s="4942"/>
      <c r="J976" s="4942"/>
      <c r="K976" s="4942"/>
      <c r="M976" s="4942"/>
    </row>
    <row r="977" spans="2:13">
      <c r="B977" s="4889" t="s">
        <v>1441</v>
      </c>
      <c r="C977" s="4929">
        <f>C895</f>
        <v>0</v>
      </c>
      <c r="D977" s="4935"/>
      <c r="E977" s="4905">
        <f>E975*$C$977/100</f>
        <v>0</v>
      </c>
      <c r="F977" s="4908"/>
      <c r="G977" s="4905">
        <f>G975*$C$977/100</f>
        <v>0</v>
      </c>
      <c r="H977" s="4908"/>
      <c r="I977" s="4905">
        <f>I975*$C$977/100</f>
        <v>0</v>
      </c>
      <c r="J977" s="4908"/>
      <c r="K977" s="4905">
        <f>K975*$C$977/100</f>
        <v>0</v>
      </c>
      <c r="L977" s="4908"/>
      <c r="M977" s="4905">
        <f>M975*$C$977/100</f>
        <v>0</v>
      </c>
    </row>
    <row r="978" spans="2:13" ht="9.75" customHeight="1">
      <c r="E978" s="4942"/>
      <c r="F978" s="4942"/>
      <c r="G978" s="4942"/>
      <c r="H978" s="4942"/>
      <c r="I978" s="4942"/>
      <c r="J978" s="4942"/>
      <c r="K978" s="4942"/>
      <c r="M978" s="4942"/>
    </row>
    <row r="979" spans="2:13">
      <c r="B979" s="4889" t="str">
        <f>B20</f>
        <v>4.  Less:  Jan. 20, 2021 Taxes received**</v>
      </c>
      <c r="E979" s="4954"/>
      <c r="F979" s="4942"/>
      <c r="G979" s="4954"/>
      <c r="H979" s="4942"/>
      <c r="I979" s="4954"/>
      <c r="J979" s="4942"/>
      <c r="K979" s="4954"/>
      <c r="M979" s="4954"/>
    </row>
    <row r="980" spans="2:13" ht="9.75" customHeight="1">
      <c r="E980" s="4942"/>
      <c r="F980" s="4942"/>
      <c r="G980" s="4942"/>
      <c r="H980" s="4942"/>
      <c r="I980" s="4942"/>
      <c r="J980" s="4942"/>
      <c r="K980" s="4942"/>
      <c r="M980" s="4942"/>
    </row>
    <row r="981" spans="2:13">
      <c r="B981" s="4889" t="str">
        <f>B22</f>
        <v>5.  Less:  Mar. 20, 2021  Taxes received**</v>
      </c>
      <c r="E981" s="4954"/>
      <c r="F981" s="4942"/>
      <c r="G981" s="4954"/>
      <c r="H981" s="4942"/>
      <c r="I981" s="4954"/>
      <c r="J981" s="4942"/>
      <c r="K981" s="4954"/>
      <c r="M981" s="4954"/>
    </row>
    <row r="982" spans="2:13" ht="9.75" customHeight="1">
      <c r="E982" s="4943"/>
      <c r="F982" s="4942"/>
      <c r="G982" s="4943"/>
      <c r="H982" s="4942"/>
      <c r="I982" s="4943"/>
      <c r="J982" s="4942"/>
      <c r="K982" s="4943"/>
      <c r="M982" s="4943"/>
    </row>
    <row r="983" spans="2:13">
      <c r="B983" s="4889" t="str">
        <f>B24</f>
        <v>6.  Less:  June 5,  2021 Taxes received**</v>
      </c>
      <c r="E983" s="4954"/>
      <c r="F983" s="4942"/>
      <c r="G983" s="4954"/>
      <c r="H983" s="4942"/>
      <c r="I983" s="4954"/>
      <c r="J983" s="4942"/>
      <c r="K983" s="4954"/>
      <c r="M983" s="4954"/>
    </row>
    <row r="984" spans="2:13" ht="9.75" customHeight="1">
      <c r="E984" s="4943"/>
      <c r="F984" s="4942"/>
      <c r="G984" s="4943"/>
      <c r="H984" s="4942"/>
      <c r="I984" s="4943"/>
      <c r="J984" s="4942"/>
      <c r="K984" s="4943"/>
      <c r="M984" s="4943"/>
    </row>
    <row r="985" spans="2:13">
      <c r="B985" s="4889" t="s">
        <v>1421</v>
      </c>
      <c r="E985" s="4954"/>
      <c r="F985" s="4942"/>
      <c r="G985" s="4954"/>
      <c r="H985" s="4942"/>
      <c r="I985" s="4954"/>
      <c r="J985" s="4942"/>
      <c r="K985" s="4954"/>
      <c r="M985" s="4954"/>
    </row>
    <row r="986" spans="2:13" ht="9.75" customHeight="1">
      <c r="E986" s="4904"/>
      <c r="F986" s="4942"/>
      <c r="G986" s="4942"/>
      <c r="H986" s="4942"/>
      <c r="I986" s="4942"/>
      <c r="J986" s="4942"/>
      <c r="K986" s="4942"/>
      <c r="M986" s="4942"/>
    </row>
    <row r="987" spans="2:13">
      <c r="B987" s="4889" t="s">
        <v>1422</v>
      </c>
      <c r="E987" s="4954"/>
      <c r="F987" s="4942"/>
      <c r="G987" s="4954"/>
      <c r="H987" s="4942"/>
      <c r="I987" s="4954"/>
      <c r="J987" s="4942"/>
      <c r="K987" s="4954"/>
      <c r="M987" s="4954"/>
    </row>
    <row r="988" spans="2:13" ht="12.75" customHeight="1">
      <c r="B988" s="4889" t="s">
        <v>1423</v>
      </c>
      <c r="E988" s="4956"/>
      <c r="F988" s="4942"/>
      <c r="G988" s="4956"/>
      <c r="H988" s="4942"/>
      <c r="I988" s="4956"/>
      <c r="J988" s="4942"/>
      <c r="K988" s="4956"/>
      <c r="M988" s="4956"/>
    </row>
    <row r="989" spans="2:13">
      <c r="B989" s="4889" t="s">
        <v>1442</v>
      </c>
      <c r="E989" s="4905">
        <f>SUM(E977:E988)</f>
        <v>0</v>
      </c>
      <c r="F989" s="4908"/>
      <c r="G989" s="4905">
        <f>SUM(G977:G988)</f>
        <v>0</v>
      </c>
      <c r="H989" s="4908"/>
      <c r="I989" s="4905">
        <f>SUM(I977:I988)</f>
        <v>0</v>
      </c>
      <c r="J989" s="4908"/>
      <c r="K989" s="4905">
        <f>SUM(K977:K988)</f>
        <v>0</v>
      </c>
      <c r="L989" s="4935"/>
      <c r="M989" s="4905">
        <f>SUM(M977:M988)</f>
        <v>0</v>
      </c>
    </row>
    <row r="990" spans="2:13" ht="5.0999999999999996" customHeight="1">
      <c r="E990" s="4904"/>
      <c r="F990" s="4904"/>
      <c r="G990" s="4904"/>
      <c r="H990" s="4904"/>
      <c r="I990" s="4904"/>
      <c r="J990" s="4904"/>
      <c r="K990" s="4904"/>
      <c r="L990" s="4935"/>
      <c r="M990" s="4904"/>
    </row>
    <row r="991" spans="2:13">
      <c r="B991" s="4889" t="str">
        <f>B32</f>
        <v>11. 2020 taxes receivable (taxes in process</v>
      </c>
      <c r="E991" s="4904"/>
      <c r="F991" s="4904"/>
      <c r="G991" s="4904"/>
      <c r="H991" s="4904"/>
      <c r="I991" s="4904"/>
      <c r="J991" s="4904"/>
      <c r="K991" s="4904"/>
      <c r="L991" s="4935"/>
      <c r="M991" s="4904"/>
    </row>
    <row r="992" spans="2:13">
      <c r="B992" s="4889" t="str">
        <f>B33</f>
        <v xml:space="preserve">     of collection 6/30/2021) (Line 2 less Line 10)</v>
      </c>
      <c r="E992" s="4905">
        <f>IF(E989&lt;=0,0,E975-E989)</f>
        <v>0</v>
      </c>
      <c r="F992" s="4908"/>
      <c r="G992" s="4905">
        <f>IF(G989&lt;=0,0,G975-G989)</f>
        <v>0</v>
      </c>
      <c r="H992" s="4908"/>
      <c r="I992" s="4905">
        <f>IF(I989&lt;=0,0,I975-I989)</f>
        <v>0</v>
      </c>
      <c r="J992" s="4908"/>
      <c r="K992" s="4905">
        <f>IF(K989&lt;=0,0,K975-K989)</f>
        <v>0</v>
      </c>
      <c r="L992" s="4908"/>
      <c r="M992" s="4905">
        <f>IF(M989&lt;=0,0,M975-M989)</f>
        <v>0</v>
      </c>
    </row>
    <row r="993" spans="2:14" ht="5.0999999999999996" customHeight="1">
      <c r="E993" s="4904"/>
      <c r="F993" s="4904"/>
      <c r="G993" s="4904"/>
      <c r="H993" s="4904"/>
      <c r="I993" s="4904"/>
      <c r="J993" s="4904"/>
      <c r="K993" s="4904"/>
      <c r="L993" s="4935"/>
      <c r="M993" s="4904"/>
    </row>
    <row r="994" spans="2:14">
      <c r="B994" s="4889" t="s">
        <v>1443</v>
      </c>
      <c r="E994" s="4904"/>
      <c r="F994" s="4904"/>
      <c r="G994" s="4904"/>
      <c r="H994" s="4904"/>
      <c r="I994" s="4904"/>
      <c r="J994" s="4904"/>
      <c r="K994" s="4904"/>
      <c r="L994" s="4935"/>
      <c r="M994" s="4904"/>
    </row>
    <row r="995" spans="2:14">
      <c r="B995" s="4889" t="s">
        <v>1426</v>
      </c>
      <c r="E995" s="4904"/>
      <c r="F995" s="4904"/>
      <c r="G995" s="4904"/>
      <c r="H995" s="4904"/>
      <c r="I995" s="4904"/>
      <c r="J995" s="4904"/>
      <c r="K995" s="4904"/>
      <c r="L995" s="4935"/>
      <c r="M995" s="4904"/>
    </row>
    <row r="996" spans="2:14">
      <c r="B996" s="4889" t="str">
        <f>B37</f>
        <v xml:space="preserve">     (7-1-2021 to 12-31-2022) (Line 3 x 75%)</v>
      </c>
      <c r="E996" s="4905">
        <f>SUM(E977*0.75)</f>
        <v>0</v>
      </c>
      <c r="F996" s="4908"/>
      <c r="G996" s="4905">
        <f>SUM(G977*0.75)</f>
        <v>0</v>
      </c>
      <c r="H996" s="4908"/>
      <c r="I996" s="4905">
        <f>SUM(I977*0.75)</f>
        <v>0</v>
      </c>
      <c r="J996" s="4908"/>
      <c r="K996" s="4905">
        <f>SUM(K977*0.75)</f>
        <v>0</v>
      </c>
      <c r="L996" s="4935"/>
      <c r="M996" s="4905">
        <f>SUM(M977*0.75)</f>
        <v>0</v>
      </c>
    </row>
    <row r="997" spans="2:14" ht="5.0999999999999996" customHeight="1">
      <c r="E997" s="4935"/>
      <c r="F997" s="4935"/>
      <c r="G997" s="4935"/>
      <c r="H997" s="4935"/>
      <c r="I997" s="4935"/>
      <c r="J997" s="4935"/>
      <c r="K997" s="4935"/>
      <c r="L997" s="4935"/>
      <c r="M997" s="4935"/>
    </row>
    <row r="998" spans="2:14" ht="13.5" customHeight="1">
      <c r="B998" s="4931" t="str">
        <f>B39</f>
        <v>Tax Collection Ratio (Jan, Mar, June)</v>
      </c>
      <c r="E998" s="4964">
        <f>IF(E975&lt;&gt;0,(E979+E981+E983+E985+E987)/E975*100,0)</f>
        <v>0</v>
      </c>
      <c r="F998" s="4938" t="s">
        <v>886</v>
      </c>
      <c r="G998" s="4964">
        <f>IF(G975&lt;&gt;0,(G979+G981+G983+G985+G987)/G975*100,0)</f>
        <v>0</v>
      </c>
      <c r="H998" s="4938" t="s">
        <v>886</v>
      </c>
      <c r="I998" s="4964">
        <f>IF(I975&lt;&gt;0,(I979+I981+I983+I985+I987)/I975*100,0)</f>
        <v>0</v>
      </c>
      <c r="J998" s="4938" t="s">
        <v>886</v>
      </c>
      <c r="K998" s="4964">
        <f>IF(K975&lt;&gt;0,(K979+K981+K983+K985+K987)/K975*100,0)</f>
        <v>0</v>
      </c>
      <c r="L998" s="4938" t="s">
        <v>886</v>
      </c>
      <c r="M998" s="4964">
        <f>IF(M975&lt;&gt;0,(M979+M981+M983+M985+M987)/M975*100,0)</f>
        <v>0</v>
      </c>
      <c r="N998" s="4917" t="s">
        <v>886</v>
      </c>
    </row>
    <row r="999" spans="2:14" ht="5.0999999999999996" customHeight="1">
      <c r="B999" s="4906"/>
      <c r="C999" s="4906"/>
      <c r="D999" s="4906"/>
      <c r="E999" s="4906"/>
      <c r="F999" s="4906"/>
      <c r="G999" s="4906"/>
      <c r="H999" s="4906"/>
      <c r="I999" s="4906"/>
      <c r="J999" s="4906"/>
      <c r="K999" s="4906"/>
      <c r="L999" s="4906"/>
      <c r="M999" s="4906"/>
    </row>
    <row r="1000" spans="2:14">
      <c r="B1000" s="4889" t="str">
        <f>B97</f>
        <v>*Amounts are available from the County Treasurer.       **These Jan.-June, 2021 amounts are available from the County Treasurer.  (Should correspond to school</v>
      </c>
    </row>
    <row r="1001" spans="2:14">
      <c r="B1001" s="4889" t="str">
        <f>B98</f>
        <v xml:space="preserve"> records and does not include MVPT.)   Include Watercraft Tax if USD received payment direct from county.</v>
      </c>
    </row>
    <row r="1002" spans="2:14">
      <c r="B1002" s="4892" t="str">
        <f>$B$1</f>
        <v>Kansas Department of Education</v>
      </c>
      <c r="M1002" s="4890" t="s">
        <v>1464</v>
      </c>
    </row>
    <row r="1003" spans="2:14">
      <c r="B1003" s="4933" t="str">
        <f>$B$2</f>
        <v>Form 0-135-110</v>
      </c>
      <c r="C1003" s="4892"/>
      <c r="D1003" s="4892"/>
      <c r="G1003" s="4893" t="s">
        <v>1408</v>
      </c>
      <c r="H1003" s="4893"/>
      <c r="I1003" s="4894" t="str">
        <f>I878</f>
        <v>237 - Smith Center</v>
      </c>
      <c r="J1003" s="4895"/>
      <c r="K1003" s="4895"/>
      <c r="L1003" s="4893" t="s">
        <v>1409</v>
      </c>
      <c r="M1003" s="4896">
        <f>M878</f>
        <v>237</v>
      </c>
    </row>
    <row r="1004" spans="2:14">
      <c r="B1004" s="4933">
        <f>$B$3</f>
        <v>44348</v>
      </c>
      <c r="K1004" s="4893" t="s">
        <v>879</v>
      </c>
      <c r="M1004" s="4934">
        <f>M879</f>
        <v>0</v>
      </c>
    </row>
    <row r="1005" spans="2:14" ht="8.25" customHeight="1">
      <c r="E1005" s="4900"/>
      <c r="F1005" s="4900"/>
      <c r="G1005" s="4900"/>
      <c r="H1005" s="4900"/>
      <c r="I1005" s="4900"/>
      <c r="J1005" s="4900"/>
      <c r="K1005" s="4901"/>
      <c r="L1005" s="4901"/>
      <c r="M1005" s="4900"/>
    </row>
    <row r="1006" spans="2:14">
      <c r="B1006" s="4900" t="str">
        <f>B5</f>
        <v>2021-2022</v>
      </c>
      <c r="C1006" s="4900"/>
      <c r="D1006" s="4900"/>
      <c r="E1006" s="4900"/>
      <c r="F1006" s="4900"/>
      <c r="G1006" s="4900"/>
      <c r="H1006" s="4900"/>
      <c r="I1006" s="4900"/>
      <c r="J1006" s="4900"/>
      <c r="K1006" s="4900"/>
      <c r="L1006" s="4900"/>
      <c r="M1006" s="4900"/>
    </row>
    <row r="1007" spans="2:14">
      <c r="B1007" s="4900" t="s">
        <v>1411</v>
      </c>
      <c r="C1007" s="4900"/>
      <c r="D1007" s="4900"/>
      <c r="E1007" s="4900"/>
      <c r="F1007" s="4900"/>
      <c r="G1007" s="4900"/>
      <c r="H1007" s="4900"/>
      <c r="I1007" s="4900"/>
      <c r="J1007" s="4900"/>
      <c r="K1007" s="4900"/>
      <c r="L1007" s="4900"/>
      <c r="M1007" s="4900"/>
    </row>
    <row r="1008" spans="2:14">
      <c r="B1008" s="4900" t="s">
        <v>1412</v>
      </c>
      <c r="C1008" s="4900"/>
      <c r="D1008" s="4900"/>
      <c r="E1008" s="4900"/>
      <c r="F1008" s="4900"/>
      <c r="G1008" s="4900"/>
      <c r="H1008" s="4900"/>
      <c r="I1008" s="4900"/>
      <c r="J1008" s="4900"/>
      <c r="K1008" s="4900"/>
      <c r="L1008" s="4900"/>
      <c r="M1008" s="4900"/>
    </row>
    <row r="1009" spans="2:13">
      <c r="B1009" s="4902" t="s">
        <v>1413</v>
      </c>
      <c r="C1009" s="4902"/>
      <c r="D1009" s="4902"/>
      <c r="E1009" s="4900"/>
      <c r="F1009" s="4900"/>
      <c r="G1009" s="4900"/>
      <c r="H1009" s="4900"/>
      <c r="I1009" s="4900"/>
      <c r="J1009" s="4900"/>
      <c r="K1009" s="4900"/>
      <c r="L1009" s="4900"/>
      <c r="M1009" s="4900"/>
    </row>
    <row r="1010" spans="2:13">
      <c r="E1010" s="4898"/>
      <c r="F1010" s="4898"/>
      <c r="G1010" s="4898"/>
      <c r="H1010" s="4898"/>
      <c r="I1010" s="4898"/>
      <c r="J1010" s="4898"/>
      <c r="K1010" s="4898"/>
      <c r="L1010" s="4898"/>
      <c r="M1010" s="4898"/>
    </row>
    <row r="1011" spans="2:13">
      <c r="E1011" s="4952"/>
      <c r="F1011" s="4898"/>
      <c r="G1011" s="4898" t="str">
        <f>G149</f>
        <v>Rec. Comm</v>
      </c>
      <c r="H1011" s="4898"/>
      <c r="I1011" s="4898" t="s">
        <v>1465</v>
      </c>
      <c r="J1011" s="4898"/>
      <c r="K1011" s="4931" t="s">
        <v>1466</v>
      </c>
      <c r="L1011" s="4898"/>
      <c r="M1011" s="4935"/>
    </row>
    <row r="1012" spans="2:13">
      <c r="E1012" s="4952" t="s">
        <v>1467</v>
      </c>
      <c r="F1012" s="4898"/>
      <c r="G1012" s="4898" t="str">
        <f>G150</f>
        <v>Emp Benef</v>
      </c>
      <c r="H1012" s="4898"/>
      <c r="I1012" s="4898" t="s">
        <v>1468</v>
      </c>
      <c r="J1012" s="4898"/>
      <c r="K1012" s="4898" t="s">
        <v>1469</v>
      </c>
      <c r="L1012" s="4898"/>
      <c r="M1012" s="4952" t="s">
        <v>1470</v>
      </c>
    </row>
    <row r="1013" spans="2:13">
      <c r="E1013" s="4952" t="s">
        <v>1471</v>
      </c>
      <c r="G1013" s="4898" t="str">
        <f>G151</f>
        <v>&amp; Spec Liab</v>
      </c>
      <c r="I1013" s="4898" t="s">
        <v>1472</v>
      </c>
      <c r="K1013" s="4898" t="s">
        <v>1473</v>
      </c>
      <c r="M1013" s="4952" t="s">
        <v>1474</v>
      </c>
    </row>
    <row r="1014" spans="2:13" ht="7.5" customHeight="1">
      <c r="G1014" s="4931"/>
    </row>
    <row r="1015" spans="2:13">
      <c r="B1015" s="4889" t="str">
        <f>B14</f>
        <v>1.  County Treasurer Balance 6/30/2021 *</v>
      </c>
      <c r="E1015" s="4953"/>
      <c r="F1015" s="4942"/>
      <c r="G1015" s="4954"/>
      <c r="H1015" s="4942"/>
      <c r="I1015" s="4954"/>
      <c r="J1015" s="4942"/>
      <c r="K1015" s="4954"/>
      <c r="M1015" s="4959"/>
    </row>
    <row r="1016" spans="2:13" ht="8.25" customHeight="1">
      <c r="B1016" s="4906"/>
      <c r="C1016" s="4906"/>
      <c r="D1016" s="4906"/>
      <c r="E1016" s="4955"/>
      <c r="F1016" s="4955"/>
      <c r="G1016" s="4955"/>
      <c r="H1016" s="4955"/>
      <c r="I1016" s="4955"/>
      <c r="J1016" s="4955"/>
      <c r="K1016" s="4955"/>
      <c r="M1016" s="4955"/>
    </row>
    <row r="1017" spans="2:13">
      <c r="B1017" s="4889" t="str">
        <f>B16</f>
        <v>2.  2020 Actual Taxes Levied*</v>
      </c>
      <c r="E1017" s="4953"/>
      <c r="F1017" s="4942"/>
      <c r="G1017" s="4954"/>
      <c r="H1017" s="4942"/>
      <c r="I1017" s="4954"/>
      <c r="J1017" s="4942"/>
      <c r="K1017" s="4954"/>
      <c r="M1017" s="4959"/>
    </row>
    <row r="1018" spans="2:13" ht="9.75" customHeight="1">
      <c r="E1018" s="4942"/>
      <c r="F1018" s="4942"/>
      <c r="G1018" s="4942"/>
      <c r="H1018" s="4942"/>
      <c r="I1018" s="4942"/>
      <c r="J1018" s="4942"/>
      <c r="K1018" s="4942"/>
      <c r="M1018" s="4942"/>
    </row>
    <row r="1019" spans="2:13">
      <c r="B1019" s="4889" t="s">
        <v>1441</v>
      </c>
      <c r="C1019" s="4929">
        <f>C895</f>
        <v>0</v>
      </c>
      <c r="D1019" s="4935"/>
      <c r="E1019" s="4953"/>
      <c r="F1019" s="4908"/>
      <c r="G1019" s="4905">
        <f>G1017*$C$1019/100</f>
        <v>0</v>
      </c>
      <c r="H1019" s="4908"/>
      <c r="I1019" s="4905">
        <f>I1017*$C$1019/100</f>
        <v>0</v>
      </c>
      <c r="J1019" s="4908"/>
      <c r="K1019" s="4905">
        <f>K1017*$C$1019/100</f>
        <v>0</v>
      </c>
      <c r="L1019" s="4908"/>
      <c r="M1019" s="4905">
        <f>M1017*$C$1019/100</f>
        <v>0</v>
      </c>
    </row>
    <row r="1020" spans="2:13" ht="9.75" customHeight="1">
      <c r="E1020" s="4942"/>
      <c r="F1020" s="4942"/>
      <c r="G1020" s="4942"/>
      <c r="H1020" s="4942"/>
      <c r="I1020" s="4942"/>
      <c r="J1020" s="4942"/>
      <c r="K1020" s="4942"/>
      <c r="M1020" s="4942"/>
    </row>
    <row r="1021" spans="2:13">
      <c r="B1021" s="4889" t="str">
        <f>B20</f>
        <v>4.  Less:  Jan. 20, 2021 Taxes received**</v>
      </c>
      <c r="E1021" s="4953"/>
      <c r="F1021" s="4942"/>
      <c r="G1021" s="4954"/>
      <c r="H1021" s="4942"/>
      <c r="I1021" s="4954"/>
      <c r="J1021" s="4942"/>
      <c r="K1021" s="4954"/>
      <c r="M1021" s="4959"/>
    </row>
    <row r="1022" spans="2:13" ht="9.75" customHeight="1">
      <c r="E1022" s="4942"/>
      <c r="F1022" s="4942"/>
      <c r="G1022" s="4942"/>
      <c r="H1022" s="4942"/>
      <c r="I1022" s="4942"/>
      <c r="J1022" s="4942"/>
      <c r="K1022" s="4942"/>
      <c r="M1022" s="4942"/>
    </row>
    <row r="1023" spans="2:13">
      <c r="B1023" s="4889" t="str">
        <f>B22</f>
        <v>5.  Less:  Mar. 20, 2021  Taxes received**</v>
      </c>
      <c r="E1023" s="4953"/>
      <c r="F1023" s="4942"/>
      <c r="G1023" s="4954"/>
      <c r="H1023" s="4942"/>
      <c r="I1023" s="4954"/>
      <c r="J1023" s="4942"/>
      <c r="K1023" s="4954"/>
      <c r="M1023" s="4959"/>
    </row>
    <row r="1024" spans="2:13" ht="9.75" customHeight="1">
      <c r="E1024" s="4943"/>
      <c r="F1024" s="4942"/>
      <c r="G1024" s="4943"/>
      <c r="H1024" s="4942"/>
      <c r="I1024" s="4943"/>
      <c r="J1024" s="4942"/>
      <c r="K1024" s="4943"/>
      <c r="M1024" s="4943"/>
    </row>
    <row r="1025" spans="2:14">
      <c r="B1025" s="4889" t="str">
        <f>B24</f>
        <v>6.  Less:  June 5,  2021 Taxes received**</v>
      </c>
      <c r="E1025" s="4953"/>
      <c r="F1025" s="4942"/>
      <c r="G1025" s="4954"/>
      <c r="H1025" s="4942"/>
      <c r="I1025" s="4954"/>
      <c r="J1025" s="4942"/>
      <c r="K1025" s="4954"/>
      <c r="M1025" s="4959"/>
    </row>
    <row r="1026" spans="2:14" ht="9.75" customHeight="1">
      <c r="E1026" s="4943"/>
      <c r="F1026" s="4942"/>
      <c r="G1026" s="4943"/>
      <c r="H1026" s="4942"/>
      <c r="I1026" s="4943"/>
      <c r="J1026" s="4942"/>
      <c r="K1026" s="4943"/>
      <c r="M1026" s="4943"/>
    </row>
    <row r="1027" spans="2:14">
      <c r="B1027" s="4889" t="s">
        <v>1421</v>
      </c>
      <c r="E1027" s="4953"/>
      <c r="F1027" s="4942"/>
      <c r="G1027" s="4954"/>
      <c r="H1027" s="4942"/>
      <c r="I1027" s="4954"/>
      <c r="J1027" s="4942"/>
      <c r="K1027" s="4954"/>
      <c r="M1027" s="4959"/>
    </row>
    <row r="1028" spans="2:14" ht="9.75" customHeight="1">
      <c r="E1028" s="4942"/>
      <c r="F1028" s="4942"/>
      <c r="G1028" s="4942"/>
      <c r="H1028" s="4942"/>
      <c r="I1028" s="4942"/>
      <c r="J1028" s="4942"/>
      <c r="K1028" s="4942"/>
      <c r="M1028" s="4942"/>
    </row>
    <row r="1029" spans="2:14">
      <c r="B1029" s="4889" t="s">
        <v>1422</v>
      </c>
      <c r="E1029" s="4953"/>
      <c r="F1029" s="4942"/>
      <c r="G1029" s="4954"/>
      <c r="H1029" s="4942"/>
      <c r="I1029" s="4954"/>
      <c r="J1029" s="4942"/>
      <c r="K1029" s="4954"/>
      <c r="M1029" s="4959"/>
    </row>
    <row r="1030" spans="2:14" ht="13.5" customHeight="1">
      <c r="B1030" s="4889" t="s">
        <v>1423</v>
      </c>
      <c r="E1030" s="4953"/>
      <c r="F1030" s="4942"/>
      <c r="G1030" s="4956"/>
      <c r="H1030" s="4942"/>
      <c r="I1030" s="4956"/>
      <c r="J1030" s="4942"/>
      <c r="K1030" s="4956"/>
      <c r="M1030" s="4960"/>
    </row>
    <row r="1031" spans="2:14">
      <c r="B1031" s="4889" t="s">
        <v>1442</v>
      </c>
      <c r="E1031" s="4953"/>
      <c r="F1031" s="4908"/>
      <c r="G1031" s="4905">
        <f>SUM(G1019:G1030)</f>
        <v>0</v>
      </c>
      <c r="H1031" s="4908"/>
      <c r="I1031" s="4905">
        <f>SUM(I1019:I1030)</f>
        <v>0</v>
      </c>
      <c r="J1031" s="4908"/>
      <c r="K1031" s="4905">
        <f>SUM(K1019:K1030)</f>
        <v>0</v>
      </c>
      <c r="L1031" s="4935"/>
      <c r="M1031" s="4905">
        <f>SUM(M1019:M1030)</f>
        <v>0</v>
      </c>
    </row>
    <row r="1032" spans="2:14" ht="7.5" customHeight="1">
      <c r="E1032" s="4904"/>
      <c r="F1032" s="4904"/>
      <c r="G1032" s="4904"/>
      <c r="H1032" s="4904"/>
      <c r="I1032" s="4904"/>
      <c r="J1032" s="4904"/>
      <c r="K1032" s="4904"/>
      <c r="L1032" s="4935"/>
      <c r="M1032" s="4904"/>
    </row>
    <row r="1033" spans="2:14">
      <c r="B1033" s="4889" t="str">
        <f>B32</f>
        <v>11. 2020 taxes receivable (taxes in process</v>
      </c>
      <c r="E1033" s="4904"/>
      <c r="F1033" s="4904"/>
      <c r="G1033" s="4904"/>
      <c r="H1033" s="4904"/>
      <c r="I1033" s="4904"/>
      <c r="J1033" s="4904"/>
      <c r="K1033" s="4904"/>
      <c r="L1033" s="4935"/>
      <c r="M1033" s="4904"/>
    </row>
    <row r="1034" spans="2:14">
      <c r="B1034" s="4889" t="str">
        <f>B33</f>
        <v xml:space="preserve">     of collection 6/30/2021) (Line 2 less Line 10)</v>
      </c>
      <c r="E1034" s="4953"/>
      <c r="F1034" s="4908"/>
      <c r="G1034" s="4905">
        <f>IF(G1031&lt;=0,0,G1017-G1031)</f>
        <v>0</v>
      </c>
      <c r="H1034" s="4908"/>
      <c r="I1034" s="4905">
        <f>IF(I1031&lt;=0,0,I1017-I1031)</f>
        <v>0</v>
      </c>
      <c r="J1034" s="4908"/>
      <c r="K1034" s="4905">
        <f>IF(K1031&lt;=0,0,K1017-K1031)</f>
        <v>0</v>
      </c>
      <c r="L1034" s="4908"/>
      <c r="M1034" s="4905">
        <f>IF(M1031&lt;=0,0,M1017-M1031)</f>
        <v>0</v>
      </c>
    </row>
    <row r="1035" spans="2:14" ht="6.75" customHeight="1">
      <c r="E1035" s="4904"/>
      <c r="F1035" s="4904"/>
      <c r="G1035" s="4904"/>
      <c r="H1035" s="4904"/>
      <c r="I1035" s="4904"/>
      <c r="J1035" s="4904"/>
      <c r="K1035" s="4904"/>
      <c r="L1035" s="4935"/>
      <c r="M1035" s="4904"/>
    </row>
    <row r="1036" spans="2:14">
      <c r="B1036" s="4889" t="s">
        <v>1443</v>
      </c>
      <c r="E1036" s="4904"/>
      <c r="F1036" s="4904"/>
      <c r="G1036" s="4904"/>
      <c r="H1036" s="4904"/>
      <c r="I1036" s="4904"/>
      <c r="J1036" s="4904"/>
      <c r="K1036" s="4904"/>
      <c r="L1036" s="4935"/>
      <c r="M1036" s="4904"/>
    </row>
    <row r="1037" spans="2:14">
      <c r="B1037" s="4889" t="s">
        <v>1481</v>
      </c>
      <c r="E1037" s="4904"/>
      <c r="F1037" s="4904"/>
      <c r="G1037" s="4904"/>
      <c r="H1037" s="4904"/>
      <c r="I1037" s="4904"/>
      <c r="J1037" s="4904"/>
      <c r="K1037" s="4904"/>
      <c r="L1037" s="4935"/>
      <c r="M1037" s="4904"/>
    </row>
    <row r="1038" spans="2:14">
      <c r="B1038" s="4889" t="str">
        <f>B37</f>
        <v xml:space="preserve">     (7-1-2021 to 12-31-2022) (Line 3 x 75%)</v>
      </c>
      <c r="E1038" s="4953"/>
      <c r="F1038" s="4908"/>
      <c r="G1038" s="4905">
        <f>SUM(G1019*0.75)</f>
        <v>0</v>
      </c>
      <c r="H1038" s="4908"/>
      <c r="I1038" s="4905">
        <f>SUM(I1019*0.75)</f>
        <v>0</v>
      </c>
      <c r="J1038" s="4908"/>
      <c r="K1038" s="4905">
        <f>SUM(K1019*0.75)</f>
        <v>0</v>
      </c>
      <c r="L1038" s="4935"/>
      <c r="M1038" s="4905">
        <f>SUM(M1019*0.75)</f>
        <v>0</v>
      </c>
    </row>
    <row r="1039" spans="2:14">
      <c r="B1039" s="4931" t="str">
        <f>B39</f>
        <v>Tax Collection Ratio (Jan, Mar, June)</v>
      </c>
      <c r="E1039" s="4908"/>
      <c r="F1039" s="4938"/>
      <c r="G1039" s="4964">
        <f>IF(G1017&lt;&gt;0,(G1021+G1023+G1025+G1027+G1029)/G1017*100,0)</f>
        <v>0</v>
      </c>
      <c r="H1039" s="4938" t="s">
        <v>886</v>
      </c>
      <c r="I1039" s="4964">
        <f>IF(I1017&lt;&gt;0,(I1021+I1023+I1025+I1027+I1029)/I1017*100,0)</f>
        <v>0</v>
      </c>
      <c r="J1039" s="4938" t="s">
        <v>886</v>
      </c>
      <c r="K1039" s="4964">
        <f>IF(K1017&lt;&gt;0,(K1021+K1023+K1025+K1027+K1029)/K1017*100,0)</f>
        <v>0</v>
      </c>
      <c r="L1039" s="4938" t="s">
        <v>886</v>
      </c>
      <c r="M1039" s="4964">
        <f>IF(M1017&lt;&gt;0,(M1021+M1023+M1025+M1027+M1029)/M1017*100,0)</f>
        <v>0</v>
      </c>
      <c r="N1039" s="4917" t="s">
        <v>886</v>
      </c>
    </row>
    <row r="1040" spans="2:14" ht="5.0999999999999996" customHeight="1">
      <c r="B1040" s="4906"/>
      <c r="C1040" s="4906"/>
      <c r="D1040" s="4906"/>
      <c r="E1040" s="4906"/>
      <c r="F1040" s="4906"/>
      <c r="G1040" s="4906"/>
      <c r="H1040" s="4906"/>
      <c r="I1040" s="4906"/>
      <c r="J1040" s="4906"/>
      <c r="K1040" s="4906"/>
      <c r="L1040" s="4906"/>
      <c r="M1040" s="4906"/>
    </row>
    <row r="1041" spans="2:2">
      <c r="B1041" s="4889" t="str">
        <f>B97</f>
        <v>*Amounts are available from the County Treasurer.       **These Jan.-June, 2021 amounts are available from the County Treasurer.  (Should correspond to school</v>
      </c>
    </row>
    <row r="1042" spans="2:2">
      <c r="B1042" s="4889" t="str">
        <f>B98</f>
        <v xml:space="preserve"> records and does not include MVPT.)   Include Watercraft Tax if USD received payment direct from county.</v>
      </c>
    </row>
  </sheetData>
  <sheetProtection algorithmName="SHA-512" hashValue="TJboGKcRu2uDQ0CqzVatMF9InbdB1UyM3EAhHfWxE3COQB5dlZkCFSR/P9h5XUVaKGl/rWivq0t52n4wxmBC7w==" saltValue="JZXb/H+YdYWKzJyF+fO5Vg==" spinCount="100000" sheet="1" objects="1" scenarios="1"/>
  <dataValidations count="4">
    <dataValidation type="whole" operator="greaterThanOrEqual" showInputMessage="1" showErrorMessage="1" errorTitle="Invalid Data Entry" error="Please enter a whole number or press the delete key or enter zero." sqref="E195 G195 I195 K195 M195 M197 K197 I197 G197 E197 E241 G241 I241 K241 K243 I243 G243 E243 E284 G284 I284 K284 M284 M286 K286 I286 G286 E286 M326 I326:K326 G326 E326 E328 G328 I328 K328 M328 E369 G369 I369 K369 M369 M371 K371 I371 G371 E371 E417 G417 I417 K417 K419 I419 G419 E419 M462 K462 I462 G462 E462 E464 G464 I464 K464 M464 M504 K504 I504 G504 E504 E506 G506 I506 K506 M506 M547 K547 I547 G547 E547 E549 G549 I549 K549 M549:M550 K595 K597 I595 G595 E595 E597 G597 I597 M635 K635 I635 G635 E635 E637 G637 I637 K637 M637 M677 K677 I677 G677 E677 E679 G679 I679 K679 M679 M719 K719 I719 G719 E719 E721 G721 I721 K721 M721 K767 I767 G767 E767 E769 G769 I769 K769 M808 K808 I808 G808 E808 E810 G810 I810 K810 M810 M849 K849 I849 G849 E849 E851 G851 I851 K851 M851 E891 G891 I891 K891 M891 M893 K893 I893 G893 E893 K932 I932 G932 E932 E934 G934 I934 K934 M973 K973 I973 G973 E973 E975 G975 I975 K975 M975 M1015 K1015 I1015 G1015 E1015 E1017 G1017 I1017 K1017 M1017">
      <formula1>-1000000000</formula1>
    </dataValidation>
    <dataValidation type="whole" operator="greaterThanOrEqual" showInputMessage="1" showErrorMessage="1" errorTitle="Invalid Data Entry" error="Please enter a whole positive number or press the delete key or enter zero." sqref="E897 G897 I897 K897 M897 E899 G899 I899 K899 M899 E901 G901 I901 K901 M901 E903 G903 I903 K903 M903 E905:E906 G905:G906 I905:I906 K905:K906 M905:M906 E938 G938 I938 K938 E940 G940 I940 K940 K942 I942 G942 E942 E944 G944 I944 K944 K946:K947 I946:I947 G946:G947 E946:E947 E979 G979 I979 K979 M979 M981 K981 I981 G981 E981 E983 G983 I983 K983 M983 M985 K985 I985 G985 E985 E987:E988 G987:G988 I987:I988 K987:K988 M987:M988 E1021 G1021 I1021 K1020:K1021 M1021 M1023 K1023 I1023 G1023 E1023 E1025 G1025 I1025 K1025 M1025 M1027 K1027 I1027 G1027 E1027 E1029:E1030 G1029:G1030 I1029:I1030 K1029:K1030 M1029:M1030 G201 I201 K201 M201 M203 K203 I203 G203 E203 E205 G205 I205 E201 K205 M205 M207 K207 I207 G207 E207 E209:E210 G209:G210 I209:I210 K209:K210 M209:M210 E247 G247 I247 K247 K249 I249 G249 E249 E251 G251 I251 K251 K253 I253 G253 E253 E255:E256 G255:G256 I255:I256 K255:K256 E290 G290 I290 K290 M290 M292 K292 I292 G292 E292 E294 G294 I294 K294 M294 M296 K296 I296 G296 E296 E298:E299 G298:G299 I298:I299 K298:K299 M298:M299 E332 G332 I332 K332 M332 M334 K334 I334 G334 E334 E336 G336 I336 K336 M336 M338 K338 I338 G338 E338 E340:E341 G340:G341 I340:I341 K340:K341 M340:M341 I555 E553 G553 I553 K553 M553 M555 K555 G555 E555 E557 G557 I557 K557 M557 M559 K559 I559 G559 E559 E561:E562 G561:G562 I561:I562 K561:K562 M561:M562 E601 G601 I601 K601 K603 I603 G603 E603 E605 G605 I605 K605 K607 I607 G607 E607 E609:E610 G609:G610 I609:I610 K609:K610 E641 G641 I641 K640:K641 M641 M643 K643 I643 G643 E643 E645 I645 K645 M645 M647 K647 I647 G645:G647 E647 E649:E650 G649:G650 I649:I650 K649:K650 M649:M650 E683 G683 I683 K683 M683 M685 K685 I685 G685 E685 E687 G687 I687 K687 M687 M689 K689 I689 G689 E689 E691:E692 G691:G692 I691:I692 K691:K692 M691:M692 E725 G725 I725 K725 M725 E727 G727 I727 K727 M727 E729 G729 I729 K729 M729 M731 K731 I731 G731 E731 E733:E734 G733:G734 I733:I734 K733:K734 M733:M734 E773 G773 I773 K773 K775 I775 G775 E775 E777 G777 I777 K777 K779 I779 G779 E779 K781:K782 I781:I782 G781:G782 E781:E782 E814 G814 I814 K814 M814 M816 K816 I816 G816 E816 E818 G818 I818 K818 M818 M820 K820 I820 G820 E820 E822:E823 G822:G823 I822:I823 K822:K823 M822:M823 E855 G855 I855 K855 M855 M857 K857 I857 G857 E857 E859 G859 I859 K859 M859 M861 K861 I861 G861 E861 M863:M864 K863:K864 I863:I864 G863:G864 E863:E864">
      <formula1>0</formula1>
    </dataValidation>
    <dataValidation type="whole" operator="greaterThanOrEqual" showInputMessage="1" showErrorMessage="1" errorTitle="Invalid Data Entry" error="Please enter a positive whole number or press the delete key or enter zero." sqref="E375 G375 I375 K375 M375 E377 G377 I377 K377 M377 E379 G379 I379 K379 M379 E381 E383:E384 G383:G384 G381 I381 I383:I384 K381 K383:K384 M383:M384 M381 E423 G423 I423 K423 E425 G425 I425 K425 E427 G427 I427 K427 E429 G429 I429 K429 E431:E432 G431:G432 I431:I432 K431:K432 E468 G468 I468 K468 M468 M470 K470 I470 G470 E470 E472 G472 I472 K472 M472 M474 K474 I474 G474 E474 E476:E477 G476:G477 I476:I477 K476:K477 M476:M477 E510 G510 I510 K510 M510 M512 K512 I512 G512 E512 E514 G514 I514 K514 M514 M516 K516 I516 G516 E516 E518:E519 G518:G519 I518:I519 K518:K519 M518:M519">
      <formula1>0</formula1>
    </dataValidation>
    <dataValidation type="whole" operator="greaterThanOrEqual" showInputMessage="1" showErrorMessage="1" errorTitle="Invalid Data Entry" error="Please enter a positive whole number or press the delete key or enter key." sqref="K337 I293">
      <formula1>0</formula1>
    </dataValidation>
  </dataValidations>
  <hyperlinks>
    <hyperlink ref="O1" location="Contents!A1" display="Return to Contents page"/>
  </hyperlinks>
  <printOptions horizontalCentered="1"/>
  <pageMargins left="0.75" right="0.75" top="0.5" bottom="0.5" header="0.3" footer="0.25"/>
  <pageSetup scale="78" orientation="landscape" blackAndWhite="1" r:id="rId1"/>
  <headerFooter scaleWithDoc="0">
    <oddFooter>&amp;L&amp;"Open Sans Light,Regular"&amp;8&amp;D   &amp;T&amp;C&amp;"Open Sans Light,Regular"&amp;8Page &amp;P&amp;R&amp;"Open Sans Light,Regular"&amp;8Form 110</oddFooter>
  </headerFooter>
  <rowBreaks count="23" manualBreakCount="23">
    <brk id="50" max="13" man="1"/>
    <brk id="98" max="13" man="1"/>
    <brk id="139" max="13" man="1"/>
    <brk id="181" max="13" man="1"/>
    <brk id="228" max="13" man="1"/>
    <brk id="271" max="13" man="1"/>
    <brk id="312" max="13" man="1"/>
    <brk id="354" max="13" man="1"/>
    <brk id="404" max="13" man="1"/>
    <brk id="449" max="13" man="1"/>
    <brk id="490" max="13" man="1"/>
    <brk id="532" max="13" man="1"/>
    <brk id="582" max="13" man="1"/>
    <brk id="622" max="13" man="1"/>
    <brk id="663" max="13" man="1"/>
    <brk id="704" max="13" man="1"/>
    <brk id="754" max="13" man="1"/>
    <brk id="794" max="13" man="1"/>
    <brk id="835" max="13" man="1"/>
    <brk id="876" max="13" man="1"/>
    <brk id="919" max="13" man="1"/>
    <brk id="960" max="13" man="1"/>
    <brk id="1001" max="13" man="1"/>
  </rowBreaks>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4" tint="0.39997558519241921"/>
  </sheetPr>
  <dimension ref="A1:Z151"/>
  <sheetViews>
    <sheetView showGridLines="0" zoomScaleNormal="100" zoomScaleSheetLayoutView="100" workbookViewId="0">
      <pane ySplit="8" topLeftCell="A105" activePane="bottomLeft" state="frozen"/>
      <selection activeCell="B22" sqref="B22"/>
      <selection pane="bottomLeft" activeCell="E109" sqref="E109"/>
    </sheetView>
  </sheetViews>
  <sheetFormatPr defaultColWidth="10.6640625" defaultRowHeight="12.75" customHeight="1"/>
  <cols>
    <col min="1" max="1" width="40.6640625" style="61" customWidth="1"/>
    <col min="2" max="2" width="5.6640625" style="1605" customWidth="1"/>
    <col min="3" max="6" width="14.33203125" style="1595" customWidth="1"/>
    <col min="7" max="7" width="2.44140625" style="61" customWidth="1"/>
    <col min="8" max="8" width="21.109375" style="61" customWidth="1"/>
    <col min="9" max="26" width="10.6640625" style="61"/>
    <col min="27" max="16384" width="10.6640625" style="60"/>
  </cols>
  <sheetData>
    <row r="1" spans="1:8" ht="12.75" customHeight="1">
      <c r="A1" s="1606" t="s">
        <v>809</v>
      </c>
      <c r="B1" s="4408">
        <f>OPEN!$B$4</f>
        <v>237</v>
      </c>
      <c r="C1" s="1577"/>
      <c r="D1" s="1577"/>
      <c r="E1" s="6117" t="s">
        <v>836</v>
      </c>
      <c r="F1" s="6117"/>
      <c r="H1" s="304" t="s">
        <v>754</v>
      </c>
    </row>
    <row r="2" spans="1:8" ht="12.75" customHeight="1">
      <c r="A2" s="1577"/>
      <c r="B2" s="1578"/>
      <c r="C2" s="1577"/>
      <c r="D2" s="1577"/>
      <c r="E2" s="6117" t="s">
        <v>921</v>
      </c>
      <c r="F2" s="6117"/>
    </row>
    <row r="3" spans="1:8" ht="12.75" customHeight="1">
      <c r="A3" s="1577"/>
      <c r="B3" s="1578"/>
      <c r="C3" s="1577"/>
      <c r="D3" s="1577"/>
      <c r="E3" s="1577"/>
      <c r="F3" s="1579" t="str">
        <f>OpenData!N2</f>
        <v>2021-2022</v>
      </c>
    </row>
    <row r="4" spans="1:8" ht="12.75" customHeight="1">
      <c r="A4" s="1577"/>
      <c r="B4" s="1578"/>
      <c r="C4" s="1577"/>
      <c r="D4" s="1577"/>
      <c r="E4" s="1577"/>
      <c r="F4" s="1577"/>
    </row>
    <row r="5" spans="1:8" ht="12.75" customHeight="1">
      <c r="A5" s="1577"/>
      <c r="B5" s="1578"/>
      <c r="C5" s="1580" t="s">
        <v>922</v>
      </c>
      <c r="D5" s="1580" t="s">
        <v>922</v>
      </c>
      <c r="E5" s="1580" t="s">
        <v>922</v>
      </c>
      <c r="F5" s="1580" t="s">
        <v>5</v>
      </c>
    </row>
    <row r="6" spans="1:8" ht="12.75" customHeight="1">
      <c r="A6" s="1577"/>
      <c r="B6" s="1581" t="s">
        <v>854</v>
      </c>
      <c r="C6" s="1582" t="str">
        <f>OpenData!N4</f>
        <v>2019-2020</v>
      </c>
      <c r="D6" s="1582" t="str">
        <f>OpenData!O4</f>
        <v>2020-2021</v>
      </c>
      <c r="E6" s="1582" t="str">
        <f>OpenData!P4</f>
        <v>2021-2022</v>
      </c>
      <c r="F6" s="1582" t="s">
        <v>6</v>
      </c>
    </row>
    <row r="7" spans="1:8" ht="12.75" customHeight="1">
      <c r="A7" s="1607" t="s">
        <v>78</v>
      </c>
      <c r="B7" s="1583">
        <v>16</v>
      </c>
      <c r="C7" s="1584" t="s">
        <v>893</v>
      </c>
      <c r="D7" s="1584" t="s">
        <v>893</v>
      </c>
      <c r="E7" s="1584" t="s">
        <v>923</v>
      </c>
      <c r="F7" s="1584" t="s">
        <v>11</v>
      </c>
    </row>
    <row r="8" spans="1:8" ht="12.75" customHeight="1">
      <c r="A8" s="1608"/>
      <c r="B8" s="1585" t="s">
        <v>858</v>
      </c>
      <c r="C8" s="1586">
        <v>1</v>
      </c>
      <c r="D8" s="1586">
        <v>2</v>
      </c>
      <c r="E8" s="1586">
        <v>3</v>
      </c>
      <c r="F8" s="1586">
        <v>4</v>
      </c>
    </row>
    <row r="9" spans="1:8" ht="12.75" customHeight="1">
      <c r="A9" s="1609" t="s">
        <v>1043</v>
      </c>
      <c r="B9" s="1587">
        <v>1</v>
      </c>
      <c r="C9" s="1588">
        <v>175951</v>
      </c>
      <c r="D9" s="1589">
        <f>C47</f>
        <v>182557</v>
      </c>
      <c r="E9" s="1589">
        <f>D47</f>
        <v>204548</v>
      </c>
      <c r="F9" s="1589">
        <f>E9</f>
        <v>204548</v>
      </c>
    </row>
    <row r="10" spans="1:8" ht="12.75" customHeight="1">
      <c r="A10" s="3974" t="s">
        <v>4940</v>
      </c>
      <c r="B10" s="1583">
        <v>3</v>
      </c>
      <c r="C10" s="1590"/>
      <c r="D10" s="1590"/>
      <c r="E10" s="4631"/>
      <c r="F10" s="4630"/>
    </row>
    <row r="11" spans="1:8" ht="12.75" customHeight="1">
      <c r="A11" s="2375"/>
      <c r="B11" s="3998"/>
      <c r="C11" s="3998"/>
      <c r="D11" s="3998"/>
      <c r="E11" s="3997"/>
      <c r="F11" s="4002"/>
    </row>
    <row r="12" spans="1:8" ht="12.75" customHeight="1">
      <c r="A12" s="3999" t="s">
        <v>4767</v>
      </c>
      <c r="B12" s="4000"/>
      <c r="C12" s="4000"/>
      <c r="D12" s="4000"/>
      <c r="E12" s="4000"/>
      <c r="F12" s="4001"/>
    </row>
    <row r="13" spans="1:8" ht="12.75" customHeight="1">
      <c r="A13" s="2378" t="s">
        <v>13</v>
      </c>
      <c r="B13" s="3389"/>
      <c r="C13" s="3389"/>
      <c r="D13" s="3389"/>
      <c r="E13" s="3389"/>
      <c r="F13" s="3389"/>
    </row>
    <row r="14" spans="1:8" ht="12.75" customHeight="1">
      <c r="A14" s="3370" t="s">
        <v>14</v>
      </c>
      <c r="B14" s="3398"/>
      <c r="C14" s="3398"/>
      <c r="D14" s="3398"/>
      <c r="E14" s="3398"/>
      <c r="F14" s="3398"/>
    </row>
    <row r="15" spans="1:8" ht="12.75" customHeight="1">
      <c r="A15" s="3912" t="str">
        <f>OpenData!N8</f>
        <v xml:space="preserve">    2018 $</v>
      </c>
      <c r="B15" s="3403">
        <v>5</v>
      </c>
      <c r="C15" s="3387">
        <v>15336</v>
      </c>
      <c r="D15" s="3405"/>
      <c r="E15" s="3405"/>
      <c r="F15" s="3405"/>
    </row>
    <row r="16" spans="1:8" ht="12.75" customHeight="1">
      <c r="A16" s="2377" t="str">
        <f>OpenData!N9</f>
        <v xml:space="preserve">    2019 $</v>
      </c>
      <c r="B16" s="3404">
        <v>10</v>
      </c>
      <c r="C16" s="1597">
        <v>364223</v>
      </c>
      <c r="D16" s="3388">
        <v>11790</v>
      </c>
      <c r="E16" s="3405"/>
      <c r="F16" s="3405"/>
    </row>
    <row r="17" spans="1:9" ht="12.75" customHeight="1">
      <c r="A17" s="3372" t="str">
        <f>OpenData!N10</f>
        <v xml:space="preserve">    2020 $</v>
      </c>
      <c r="B17" s="3404">
        <v>15</v>
      </c>
      <c r="C17" s="3405"/>
      <c r="D17" s="1594">
        <f>'C04'!$E$14</f>
        <v>391173</v>
      </c>
      <c r="E17" s="3405">
        <f>'F110'!$I$33</f>
        <v>333</v>
      </c>
      <c r="F17" s="3405">
        <f>E17</f>
        <v>333</v>
      </c>
    </row>
    <row r="18" spans="1:9" ht="12.75" customHeight="1">
      <c r="A18" s="3372" t="str">
        <f>OpenData!N11</f>
        <v xml:space="preserve">    2021 $</v>
      </c>
      <c r="B18" s="3404">
        <v>20</v>
      </c>
      <c r="C18" s="3405"/>
      <c r="D18" s="3405"/>
      <c r="E18" s="1594">
        <f>'C04'!L14</f>
        <v>358950</v>
      </c>
      <c r="F18" s="1594">
        <f>'C04'!$L$33</f>
        <v>407898</v>
      </c>
    </row>
    <row r="19" spans="1:9" ht="12.75" customHeight="1">
      <c r="A19" s="3372" t="s">
        <v>1376</v>
      </c>
      <c r="B19" s="3404">
        <v>25</v>
      </c>
      <c r="C19" s="3387">
        <v>4051</v>
      </c>
      <c r="D19" s="3387">
        <v>5801</v>
      </c>
      <c r="E19" s="3406">
        <f>0.667*F19</f>
        <v>6057</v>
      </c>
      <c r="F19" s="1594">
        <f>'F110'!$I$37</f>
        <v>9081</v>
      </c>
      <c r="H19" s="340" t="s">
        <v>319</v>
      </c>
      <c r="I19" s="341">
        <f>IF(ISERROR(F18/OPEN!A15*1000),"See errors below",F18/OPEN!A15*1000)</f>
        <v>8</v>
      </c>
    </row>
    <row r="20" spans="1:9" ht="12.75" customHeight="1">
      <c r="A20" s="3372" t="s">
        <v>17</v>
      </c>
      <c r="B20" s="3404">
        <v>30</v>
      </c>
      <c r="C20" s="1597">
        <v>4123</v>
      </c>
      <c r="D20" s="1597">
        <v>1020</v>
      </c>
      <c r="E20" s="3388">
        <v>1020</v>
      </c>
      <c r="F20" s="1594">
        <f>E20</f>
        <v>1020</v>
      </c>
      <c r="H20" s="342" t="str">
        <f>IF(OPEN!A17&gt;0," ","Capital Outlay Valuation is missing on OPEN worksheet Cell A17.")</f>
        <v xml:space="preserve"> </v>
      </c>
    </row>
    <row r="21" spans="1:9" ht="12.75" customHeight="1">
      <c r="A21" s="3372" t="s">
        <v>16</v>
      </c>
      <c r="B21" s="3404">
        <v>35</v>
      </c>
      <c r="C21" s="3405"/>
      <c r="D21" s="3405"/>
      <c r="E21" s="3405"/>
      <c r="F21" s="1597"/>
    </row>
    <row r="22" spans="1:9" ht="12.75" customHeight="1">
      <c r="A22" s="3372" t="s">
        <v>18</v>
      </c>
      <c r="B22" s="3404">
        <v>40</v>
      </c>
      <c r="C22" s="3387">
        <v>158340</v>
      </c>
      <c r="D22" s="3387">
        <v>9676</v>
      </c>
      <c r="E22" s="3387"/>
      <c r="F22" s="1594">
        <f>E22</f>
        <v>0</v>
      </c>
    </row>
    <row r="23" spans="1:9" ht="12.75" customHeight="1">
      <c r="A23" s="3372" t="s">
        <v>16</v>
      </c>
      <c r="B23" s="3404">
        <v>45</v>
      </c>
      <c r="C23" s="3408"/>
      <c r="D23" s="3408"/>
      <c r="E23" s="3408"/>
      <c r="F23" s="1597"/>
    </row>
    <row r="24" spans="1:9" ht="12.75" customHeight="1">
      <c r="A24" s="2378" t="s">
        <v>21</v>
      </c>
      <c r="B24" s="3389"/>
      <c r="C24" s="3389"/>
      <c r="D24" s="3389"/>
      <c r="E24" s="3389"/>
      <c r="F24" s="3389"/>
    </row>
    <row r="25" spans="1:9" ht="12.75" customHeight="1">
      <c r="A25" s="3374" t="s">
        <v>243</v>
      </c>
      <c r="B25" s="3391">
        <v>55</v>
      </c>
      <c r="C25" s="3388">
        <v>25143</v>
      </c>
      <c r="D25" s="3388">
        <v>23428</v>
      </c>
      <c r="E25" s="3406">
        <f>IF(ISERROR('F194'!$H$77+'F194'!$H$20+'F194'!$P$77+'F194'!$P$20),0,('F194'!$H$77+'F194'!$H$20+'F194'!$P$77+'F194'!$P$20))</f>
        <v>16966</v>
      </c>
      <c r="F25" s="3406">
        <f>E25</f>
        <v>16966</v>
      </c>
    </row>
    <row r="26" spans="1:9" ht="12.75" customHeight="1">
      <c r="A26" s="3372" t="s">
        <v>79</v>
      </c>
      <c r="B26" s="3404">
        <v>60</v>
      </c>
      <c r="C26" s="3408"/>
      <c r="D26" s="3408"/>
      <c r="E26" s="3408"/>
      <c r="F26" s="1594">
        <f>F25*0.5</f>
        <v>8483</v>
      </c>
    </row>
    <row r="27" spans="1:9" ht="12.75" customHeight="1">
      <c r="A27" s="3372" t="s">
        <v>23</v>
      </c>
      <c r="B27" s="3404">
        <v>65</v>
      </c>
      <c r="C27" s="3388">
        <v>468</v>
      </c>
      <c r="D27" s="3388">
        <v>629</v>
      </c>
      <c r="E27" s="3406">
        <f>IF(ISERROR('F194'!$L$77+'F194'!$L$20),0,('F194'!$L$77+'F194'!$L$20))</f>
        <v>355</v>
      </c>
      <c r="F27" s="1594">
        <f>E27</f>
        <v>355</v>
      </c>
    </row>
    <row r="28" spans="1:9" ht="12.75" customHeight="1">
      <c r="A28" s="3372" t="s">
        <v>24</v>
      </c>
      <c r="B28" s="3404">
        <v>66</v>
      </c>
      <c r="C28" s="3408"/>
      <c r="D28" s="3408"/>
      <c r="E28" s="3408"/>
      <c r="F28" s="1594">
        <f>F27*0.5</f>
        <v>178</v>
      </c>
    </row>
    <row r="29" spans="1:9" ht="12.75" customHeight="1">
      <c r="A29" s="3378" t="s">
        <v>1374</v>
      </c>
      <c r="B29" s="3384">
        <v>67</v>
      </c>
      <c r="C29" s="3383"/>
      <c r="D29" s="3383"/>
      <c r="E29" s="3406">
        <f>IF(ISERROR('F194'!$R$77+'F194'!$R$20),0,('F194'!$R$77+'F194'!$R$20))</f>
        <v>1166</v>
      </c>
      <c r="F29" s="1594">
        <f>E29</f>
        <v>1166</v>
      </c>
    </row>
    <row r="30" spans="1:9" ht="12.75" customHeight="1">
      <c r="A30" s="3378" t="s">
        <v>24</v>
      </c>
      <c r="B30" s="3384">
        <v>68</v>
      </c>
      <c r="C30" s="3405"/>
      <c r="D30" s="3405"/>
      <c r="E30" s="3405"/>
      <c r="F30" s="1594">
        <f>F29*0.5</f>
        <v>583</v>
      </c>
      <c r="H30" s="684"/>
    </row>
    <row r="31" spans="1:9" ht="12.75" customHeight="1">
      <c r="A31" s="3372" t="s">
        <v>80</v>
      </c>
      <c r="B31" s="3404">
        <v>70</v>
      </c>
      <c r="C31" s="3388"/>
      <c r="D31" s="3388"/>
      <c r="E31" s="3388"/>
      <c r="F31" s="1594">
        <f>E31</f>
        <v>0</v>
      </c>
      <c r="H31" s="684"/>
    </row>
    <row r="32" spans="1:9" ht="12.75" customHeight="1">
      <c r="A32" s="3372" t="s">
        <v>22</v>
      </c>
      <c r="B32" s="3404">
        <v>75</v>
      </c>
      <c r="C32" s="3408"/>
      <c r="D32" s="3408"/>
      <c r="E32" s="3408"/>
      <c r="F32" s="1597"/>
    </row>
    <row r="33" spans="1:10" ht="12.75" customHeight="1">
      <c r="A33" s="3372" t="s">
        <v>1387</v>
      </c>
      <c r="B33" s="3404">
        <v>80</v>
      </c>
      <c r="C33" s="3387"/>
      <c r="D33" s="3387"/>
      <c r="E33" s="3405">
        <f>IF(ISERROR('F194'!$N$77+'F194'!$N$20),0,('F194'!$N$77+'F194'!$N$20))</f>
        <v>0</v>
      </c>
      <c r="F33" s="1594">
        <f>E33</f>
        <v>0</v>
      </c>
    </row>
    <row r="34" spans="1:10" ht="12.75" customHeight="1">
      <c r="A34" s="3372" t="s">
        <v>22</v>
      </c>
      <c r="B34" s="3384">
        <v>82</v>
      </c>
      <c r="C34" s="3408"/>
      <c r="D34" s="3408"/>
      <c r="E34" s="3408"/>
      <c r="F34" s="1594">
        <f>F33*0.5</f>
        <v>0</v>
      </c>
    </row>
    <row r="35" spans="1:10" ht="12.75" customHeight="1">
      <c r="A35" s="2378" t="s">
        <v>272</v>
      </c>
      <c r="B35" s="3389"/>
      <c r="C35" s="3389"/>
      <c r="D35" s="3389"/>
      <c r="E35" s="3389"/>
      <c r="F35" s="3389"/>
    </row>
    <row r="36" spans="1:10" ht="12.75" customHeight="1">
      <c r="A36" s="2377" t="s">
        <v>1332</v>
      </c>
      <c r="B36" s="3381">
        <v>87</v>
      </c>
      <c r="C36" s="3406">
        <f>VLOOKUP(B1,DATA!A4:BE289,49,FALSE)</f>
        <v>7604</v>
      </c>
      <c r="D36" s="3407">
        <f>VLOOKUP(B1,DATA!A4:BE289,50,FALSE)</f>
        <v>0</v>
      </c>
      <c r="E36" s="3406">
        <f>'F239'!I30</f>
        <v>0</v>
      </c>
      <c r="F36" s="3406">
        <f>E36</f>
        <v>0</v>
      </c>
      <c r="H36" s="685"/>
      <c r="J36" s="686"/>
    </row>
    <row r="37" spans="1:10" ht="12.75" customHeight="1">
      <c r="A37" s="2375" t="s">
        <v>37</v>
      </c>
      <c r="B37" s="3380"/>
      <c r="C37" s="3380"/>
      <c r="D37" s="3380"/>
      <c r="E37" s="3380"/>
      <c r="F37" s="3380"/>
      <c r="H37" s="687"/>
    </row>
    <row r="38" spans="1:10" ht="12.75" customHeight="1">
      <c r="A38" s="3373" t="s">
        <v>81</v>
      </c>
      <c r="B38" s="3402">
        <v>90</v>
      </c>
      <c r="C38" s="3388"/>
      <c r="D38" s="3388"/>
      <c r="E38" s="3388"/>
      <c r="F38" s="3406">
        <f>E38</f>
        <v>0</v>
      </c>
    </row>
    <row r="39" spans="1:10" ht="12.75" customHeight="1">
      <c r="A39" s="3375" t="s">
        <v>22</v>
      </c>
      <c r="B39" s="3395">
        <v>95</v>
      </c>
      <c r="C39" s="3405"/>
      <c r="D39" s="3405"/>
      <c r="E39" s="3405"/>
      <c r="F39" s="3388"/>
    </row>
    <row r="40" spans="1:10" ht="12.75" customHeight="1">
      <c r="A40" s="3379" t="s">
        <v>1138</v>
      </c>
      <c r="B40" s="3396">
        <v>97</v>
      </c>
      <c r="C40" s="3383"/>
      <c r="D40" s="3383"/>
      <c r="E40" s="3383"/>
      <c r="F40" s="3405">
        <f>E40</f>
        <v>0</v>
      </c>
    </row>
    <row r="41" spans="1:10" ht="12.75" customHeight="1">
      <c r="A41" s="2379" t="s">
        <v>39</v>
      </c>
      <c r="B41" s="3393"/>
      <c r="C41" s="3393"/>
      <c r="D41" s="3393"/>
      <c r="E41" s="3393"/>
      <c r="F41" s="3393"/>
    </row>
    <row r="42" spans="1:10" ht="12.75" customHeight="1">
      <c r="A42" s="3373" t="s">
        <v>1064</v>
      </c>
      <c r="B42" s="3402">
        <v>100</v>
      </c>
      <c r="C42" s="3406">
        <f>'C06'!$C$269</f>
        <v>0</v>
      </c>
      <c r="D42" s="3406">
        <f>'C06'!$D$269</f>
        <v>0</v>
      </c>
      <c r="E42" s="3406">
        <f>'C06'!$E$269</f>
        <v>0</v>
      </c>
      <c r="F42" s="3406">
        <f>E42</f>
        <v>0</v>
      </c>
      <c r="H42" s="584"/>
    </row>
    <row r="43" spans="1:10" ht="12.75" customHeight="1">
      <c r="A43" s="1612" t="s">
        <v>42</v>
      </c>
      <c r="B43" s="1593">
        <v>170</v>
      </c>
      <c r="C43" s="1591">
        <f>SUM(C9:C42)</f>
        <v>755239</v>
      </c>
      <c r="D43" s="1589">
        <f>SUM(D9:D42)</f>
        <v>626074</v>
      </c>
      <c r="E43" s="1589">
        <f>SUM(E9:E42)</f>
        <v>589395</v>
      </c>
      <c r="F43" s="1589">
        <f>SUM(F9:F42)</f>
        <v>650611</v>
      </c>
    </row>
    <row r="44" spans="1:10" ht="12.75" customHeight="1">
      <c r="A44" s="1610" t="s">
        <v>43</v>
      </c>
      <c r="B44" s="1592">
        <v>175</v>
      </c>
      <c r="C44" s="1589">
        <f>C144</f>
        <v>572682</v>
      </c>
      <c r="D44" s="1589">
        <f>D144</f>
        <v>421526</v>
      </c>
      <c r="E44" s="1589">
        <f>E144</f>
        <v>578752</v>
      </c>
      <c r="F44" s="1589">
        <f>E44</f>
        <v>578752</v>
      </c>
    </row>
    <row r="45" spans="1:10" ht="12.75" customHeight="1">
      <c r="A45" s="1610" t="s">
        <v>22</v>
      </c>
      <c r="B45" s="1592">
        <v>180</v>
      </c>
      <c r="C45" s="4237" t="s">
        <v>4905</v>
      </c>
      <c r="D45" s="4238" t="s">
        <v>4905</v>
      </c>
      <c r="E45" s="4239" t="s">
        <v>4905</v>
      </c>
      <c r="F45" s="1589">
        <f>F43-F44</f>
        <v>71859</v>
      </c>
      <c r="H45" s="584" t="str">
        <f>IF(F45&lt;0,"&lt;-- Should NOT be negative - increase resources or decrease expenditures","")</f>
        <v/>
      </c>
    </row>
    <row r="46" spans="1:10" ht="12.75" customHeight="1">
      <c r="A46" s="1610" t="s">
        <v>82</v>
      </c>
      <c r="B46" s="1593">
        <v>185</v>
      </c>
      <c r="C46" s="2422" t="s">
        <v>4905</v>
      </c>
      <c r="D46" s="2423" t="s">
        <v>4905</v>
      </c>
      <c r="E46" s="2424" t="s">
        <v>4905</v>
      </c>
      <c r="F46" s="1589">
        <f>F43</f>
        <v>650611</v>
      </c>
    </row>
    <row r="47" spans="1:10" ht="12.75" customHeight="1">
      <c r="A47" s="4003" t="s">
        <v>935</v>
      </c>
      <c r="B47" s="3396">
        <v>190</v>
      </c>
      <c r="C47" s="3408">
        <f>C43-C44</f>
        <v>182557</v>
      </c>
      <c r="D47" s="3408">
        <f>D43-D44</f>
        <v>204548</v>
      </c>
      <c r="E47" s="3408">
        <f>E43-E44</f>
        <v>10643</v>
      </c>
      <c r="F47" s="3810" t="s">
        <v>4905</v>
      </c>
      <c r="H47" s="332" t="str">
        <f>IF(F46="ERROR","Lines 175+180 must equal Line 170 (Resources Available)","")</f>
        <v/>
      </c>
    </row>
    <row r="48" spans="1:10" ht="12.75" customHeight="1">
      <c r="A48" s="4004"/>
      <c r="B48" s="4005"/>
      <c r="C48" s="4006"/>
      <c r="D48" s="4006"/>
      <c r="E48" s="4006"/>
      <c r="F48" s="4007"/>
      <c r="H48" s="332"/>
    </row>
    <row r="49" spans="1:6" s="3745" customFormat="1" ht="12.75" customHeight="1">
      <c r="A49" s="3742" t="str">
        <f>A1</f>
        <v>USD #</v>
      </c>
      <c r="B49" s="3743">
        <f>B1</f>
        <v>237</v>
      </c>
      <c r="C49" s="3744"/>
      <c r="D49" s="6118" t="s">
        <v>836</v>
      </c>
      <c r="E49" s="6118"/>
    </row>
    <row r="50" spans="1:6" s="61" customFormat="1" ht="12.75" customHeight="1">
      <c r="A50" s="1577"/>
      <c r="B50" s="1578"/>
      <c r="C50" s="1577"/>
      <c r="D50" s="6117" t="s">
        <v>921</v>
      </c>
      <c r="E50" s="6117"/>
      <c r="F50" s="1595"/>
    </row>
    <row r="51" spans="1:6" s="61" customFormat="1" ht="12.75" customHeight="1">
      <c r="A51" s="1577"/>
      <c r="B51" s="1578"/>
      <c r="C51" s="1577"/>
      <c r="D51" s="1577"/>
      <c r="E51" s="1579" t="str">
        <f>F3</f>
        <v>2021-2022</v>
      </c>
      <c r="F51" s="1595"/>
    </row>
    <row r="52" spans="1:6" s="61" customFormat="1" ht="12.75" customHeight="1">
      <c r="A52" s="1577"/>
      <c r="B52" s="1578"/>
      <c r="C52" s="1577"/>
      <c r="D52" s="1577"/>
      <c r="E52" s="1579"/>
      <c r="F52" s="1595"/>
    </row>
    <row r="53" spans="1:6" s="61" customFormat="1" ht="12.75" customHeight="1">
      <c r="A53" s="1577"/>
      <c r="B53" s="1578"/>
      <c r="C53" s="1580" t="s">
        <v>922</v>
      </c>
      <c r="D53" s="1580" t="s">
        <v>922</v>
      </c>
      <c r="E53" s="1580" t="s">
        <v>922</v>
      </c>
      <c r="F53" s="1577"/>
    </row>
    <row r="54" spans="1:6" ht="12.75" customHeight="1">
      <c r="A54" s="1577"/>
      <c r="B54" s="1581" t="s">
        <v>854</v>
      </c>
      <c r="C54" s="1582" t="str">
        <f>C6</f>
        <v>2019-2020</v>
      </c>
      <c r="D54" s="1582" t="str">
        <f>D6</f>
        <v>2020-2021</v>
      </c>
      <c r="E54" s="1582" t="str">
        <f>E6</f>
        <v>2021-2022</v>
      </c>
      <c r="F54" s="1577"/>
    </row>
    <row r="55" spans="1:6" ht="12.75" customHeight="1">
      <c r="A55" s="1607" t="str">
        <f>A7</f>
        <v>CAPITAL OUTLAY</v>
      </c>
      <c r="B55" s="1583">
        <v>16</v>
      </c>
      <c r="C55" s="1584" t="s">
        <v>893</v>
      </c>
      <c r="D55" s="1584" t="s">
        <v>893</v>
      </c>
      <c r="E55" s="1584" t="s">
        <v>923</v>
      </c>
      <c r="F55" s="1577"/>
    </row>
    <row r="56" spans="1:6" ht="12.75" customHeight="1">
      <c r="A56" s="4409"/>
      <c r="B56" s="1583" t="s">
        <v>858</v>
      </c>
      <c r="C56" s="1596">
        <v>1</v>
      </c>
      <c r="D56" s="1596">
        <v>2</v>
      </c>
      <c r="E56" s="1596">
        <v>3</v>
      </c>
      <c r="F56" s="1577"/>
    </row>
    <row r="57" spans="1:6" ht="12.75" customHeight="1">
      <c r="A57" s="2379"/>
      <c r="B57" s="4410"/>
      <c r="C57" s="4411"/>
      <c r="D57" s="4411"/>
      <c r="E57" s="4412"/>
      <c r="F57" s="1577"/>
    </row>
    <row r="58" spans="1:6" ht="12.75" customHeight="1">
      <c r="A58" s="3999" t="s">
        <v>60</v>
      </c>
      <c r="B58" s="4000"/>
      <c r="C58" s="4000"/>
      <c r="D58" s="4000"/>
      <c r="E58" s="4001"/>
      <c r="F58" s="1577"/>
    </row>
    <row r="59" spans="1:6" ht="12.75" customHeight="1">
      <c r="A59" s="2378" t="s">
        <v>940</v>
      </c>
      <c r="B59" s="3389"/>
      <c r="C59" s="3389"/>
      <c r="D59" s="3389"/>
      <c r="E59" s="3389"/>
      <c r="F59" s="1577"/>
    </row>
    <row r="60" spans="1:6" ht="12.75" customHeight="1">
      <c r="A60" s="2377" t="s">
        <v>1306</v>
      </c>
      <c r="B60" s="3381">
        <v>205</v>
      </c>
      <c r="C60" s="3382"/>
      <c r="D60" s="3383"/>
      <c r="E60" s="3382"/>
      <c r="F60" s="1577"/>
    </row>
    <row r="61" spans="1:6" ht="12.75" customHeight="1">
      <c r="A61" s="3372" t="s">
        <v>1335</v>
      </c>
      <c r="B61" s="3384">
        <v>207</v>
      </c>
      <c r="C61" s="3385"/>
      <c r="D61" s="3383"/>
      <c r="E61" s="3385">
        <v>35000</v>
      </c>
      <c r="F61" s="1577"/>
    </row>
    <row r="62" spans="1:6" ht="12.75" customHeight="1">
      <c r="A62" s="3373" t="s">
        <v>109</v>
      </c>
      <c r="B62" s="3386">
        <v>210</v>
      </c>
      <c r="C62" s="3387">
        <v>79831</v>
      </c>
      <c r="D62" s="3387">
        <v>29535</v>
      </c>
      <c r="E62" s="3388">
        <v>100000</v>
      </c>
      <c r="F62" s="1577"/>
    </row>
    <row r="63" spans="1:6" ht="12.75" customHeight="1">
      <c r="A63" s="2375" t="s">
        <v>961</v>
      </c>
      <c r="B63" s="3380"/>
      <c r="C63" s="3380"/>
      <c r="D63" s="3380"/>
      <c r="E63" s="3380"/>
      <c r="F63" s="1577"/>
    </row>
    <row r="64" spans="1:6" ht="12.75" customHeight="1">
      <c r="A64" s="2378" t="s">
        <v>110</v>
      </c>
      <c r="B64" s="3389"/>
      <c r="C64" s="3389"/>
      <c r="D64" s="3389"/>
      <c r="E64" s="3389"/>
      <c r="F64" s="1577"/>
    </row>
    <row r="65" spans="1:8" ht="12.75" customHeight="1">
      <c r="A65" s="2377" t="s">
        <v>1335</v>
      </c>
      <c r="B65" s="3381">
        <v>213</v>
      </c>
      <c r="C65" s="3383"/>
      <c r="D65" s="3383"/>
      <c r="E65" s="3382"/>
      <c r="F65" s="1577"/>
    </row>
    <row r="66" spans="1:8" ht="12.75" customHeight="1">
      <c r="A66" s="3372" t="s">
        <v>109</v>
      </c>
      <c r="B66" s="3384">
        <v>215</v>
      </c>
      <c r="C66" s="1597"/>
      <c r="D66" s="1597"/>
      <c r="E66" s="1597"/>
      <c r="F66" s="1577"/>
    </row>
    <row r="67" spans="1:8" ht="12.75" customHeight="1">
      <c r="A67" s="2375" t="s">
        <v>111</v>
      </c>
      <c r="B67" s="3380"/>
      <c r="C67" s="3380"/>
      <c r="D67" s="3380"/>
      <c r="E67" s="3380"/>
      <c r="F67" s="1577"/>
    </row>
    <row r="68" spans="1:8" ht="12.75" customHeight="1">
      <c r="A68" s="2377" t="s">
        <v>1335</v>
      </c>
      <c r="B68" s="3381">
        <v>217</v>
      </c>
      <c r="C68" s="3383"/>
      <c r="D68" s="3383"/>
      <c r="E68" s="3382"/>
      <c r="F68" s="1577"/>
    </row>
    <row r="69" spans="1:8" ht="12.75" customHeight="1">
      <c r="A69" s="3372" t="s">
        <v>109</v>
      </c>
      <c r="B69" s="3384">
        <v>220</v>
      </c>
      <c r="C69" s="3387"/>
      <c r="D69" s="1597"/>
      <c r="E69" s="3390"/>
      <c r="F69" s="1577"/>
    </row>
    <row r="70" spans="1:8" ht="12.75" customHeight="1">
      <c r="A70" s="2375" t="s">
        <v>112</v>
      </c>
      <c r="B70" s="3380"/>
      <c r="C70" s="3380"/>
      <c r="D70" s="3380"/>
      <c r="E70" s="3380"/>
      <c r="F70" s="1577"/>
    </row>
    <row r="71" spans="1:8" ht="12.75" customHeight="1">
      <c r="A71" s="2377" t="s">
        <v>1335</v>
      </c>
      <c r="B71" s="3381">
        <v>223</v>
      </c>
      <c r="C71" s="3388"/>
      <c r="D71" s="3388"/>
      <c r="E71" s="3388"/>
      <c r="F71" s="1577"/>
      <c r="H71" s="684"/>
    </row>
    <row r="72" spans="1:8" ht="12.75" customHeight="1">
      <c r="A72" s="3372" t="s">
        <v>109</v>
      </c>
      <c r="B72" s="3384">
        <v>225</v>
      </c>
      <c r="C72" s="1597"/>
      <c r="D72" s="1597"/>
      <c r="E72" s="3388"/>
      <c r="F72" s="1577"/>
    </row>
    <row r="73" spans="1:8" ht="12.75" customHeight="1">
      <c r="A73" s="2375" t="s">
        <v>113</v>
      </c>
      <c r="B73" s="3380"/>
      <c r="C73" s="3380"/>
      <c r="D73" s="3380"/>
      <c r="E73" s="3380"/>
      <c r="F73" s="1577"/>
    </row>
    <row r="74" spans="1:8" ht="12.75" customHeight="1">
      <c r="A74" s="3374" t="s">
        <v>1335</v>
      </c>
      <c r="B74" s="1598">
        <v>227</v>
      </c>
      <c r="C74" s="3383"/>
      <c r="D74" s="3383"/>
      <c r="E74" s="3383"/>
      <c r="F74" s="1577"/>
    </row>
    <row r="75" spans="1:8" ht="12.75" customHeight="1">
      <c r="A75" s="3374" t="s">
        <v>109</v>
      </c>
      <c r="B75" s="1598">
        <v>230</v>
      </c>
      <c r="C75" s="3388"/>
      <c r="D75" s="3388"/>
      <c r="E75" s="3388"/>
      <c r="F75" s="1577"/>
    </row>
    <row r="76" spans="1:8" ht="12.75" customHeight="1">
      <c r="A76" s="2375" t="s">
        <v>1317</v>
      </c>
      <c r="B76" s="3380"/>
      <c r="C76" s="3380"/>
      <c r="D76" s="3380"/>
      <c r="E76" s="3380"/>
      <c r="F76" s="1577"/>
    </row>
    <row r="77" spans="1:8" ht="12.75" customHeight="1">
      <c r="A77" s="2378" t="s">
        <v>1144</v>
      </c>
      <c r="B77" s="3389"/>
      <c r="C77" s="3389"/>
      <c r="D77" s="3389"/>
      <c r="E77" s="3389"/>
      <c r="F77" s="1577"/>
    </row>
    <row r="78" spans="1:8" ht="12.75" customHeight="1">
      <c r="A78" s="3374" t="s">
        <v>1028</v>
      </c>
      <c r="B78" s="1598">
        <v>236</v>
      </c>
      <c r="C78" s="3383"/>
      <c r="D78" s="3383"/>
      <c r="E78" s="3388"/>
      <c r="F78" s="1577"/>
    </row>
    <row r="79" spans="1:8" ht="12.75" customHeight="1">
      <c r="A79" s="2375" t="s">
        <v>794</v>
      </c>
      <c r="B79" s="3380"/>
      <c r="C79" s="3380"/>
      <c r="D79" s="3380"/>
      <c r="E79" s="3380"/>
      <c r="F79" s="1577"/>
    </row>
    <row r="80" spans="1:8" ht="12.75" customHeight="1">
      <c r="A80" s="2377" t="s">
        <v>1309</v>
      </c>
      <c r="B80" s="3381">
        <v>237</v>
      </c>
      <c r="C80" s="3382"/>
      <c r="D80" s="3383"/>
      <c r="E80" s="3387"/>
      <c r="F80" s="1577"/>
    </row>
    <row r="81" spans="1:8" ht="12.75" customHeight="1">
      <c r="A81" s="3372" t="s">
        <v>1145</v>
      </c>
      <c r="B81" s="3384">
        <v>238</v>
      </c>
      <c r="C81" s="3385"/>
      <c r="D81" s="3383"/>
      <c r="E81" s="1597"/>
      <c r="F81" s="1577"/>
    </row>
    <row r="82" spans="1:8" ht="12.75" customHeight="1">
      <c r="A82" s="3372" t="s">
        <v>1146</v>
      </c>
      <c r="B82" s="3384">
        <v>239</v>
      </c>
      <c r="C82" s="3385"/>
      <c r="D82" s="3383"/>
      <c r="E82" s="1597"/>
      <c r="F82" s="1577"/>
    </row>
    <row r="83" spans="1:8" ht="12.75" customHeight="1">
      <c r="A83" s="3374" t="s">
        <v>1336</v>
      </c>
      <c r="B83" s="1598">
        <v>233</v>
      </c>
      <c r="C83" s="3383"/>
      <c r="D83" s="3383"/>
      <c r="E83" s="3383"/>
      <c r="F83" s="1577"/>
    </row>
    <row r="84" spans="1:8" ht="12.75" customHeight="1">
      <c r="A84" s="3374" t="s">
        <v>1318</v>
      </c>
      <c r="B84" s="3391">
        <v>235</v>
      </c>
      <c r="C84" s="3387"/>
      <c r="D84" s="3387"/>
      <c r="E84" s="3388"/>
      <c r="F84" s="1577"/>
    </row>
    <row r="85" spans="1:8" ht="12.75" customHeight="1">
      <c r="A85" s="2375" t="s">
        <v>1307</v>
      </c>
      <c r="B85" s="3380"/>
      <c r="C85" s="3380"/>
      <c r="D85" s="3380"/>
      <c r="E85" s="3380"/>
      <c r="F85" s="1577"/>
    </row>
    <row r="86" spans="1:8" ht="12.75" customHeight="1">
      <c r="A86" s="2378" t="s">
        <v>1144</v>
      </c>
      <c r="B86" s="3389"/>
      <c r="C86" s="3389"/>
      <c r="D86" s="3389"/>
      <c r="E86" s="3389"/>
      <c r="F86" s="1577"/>
    </row>
    <row r="87" spans="1:8" ht="12.75" customHeight="1">
      <c r="A87" s="3374" t="s">
        <v>1028</v>
      </c>
      <c r="B87" s="1598">
        <v>310</v>
      </c>
      <c r="C87" s="3383">
        <v>35236</v>
      </c>
      <c r="D87" s="3383">
        <v>55000</v>
      </c>
      <c r="E87" s="3388">
        <v>55000</v>
      </c>
      <c r="F87" s="1577"/>
    </row>
    <row r="88" spans="1:8" ht="12.75" customHeight="1">
      <c r="A88" s="2375" t="s">
        <v>794</v>
      </c>
      <c r="B88" s="3380"/>
      <c r="C88" s="3380"/>
      <c r="D88" s="3380"/>
      <c r="E88" s="3380"/>
      <c r="F88" s="1577"/>
    </row>
    <row r="89" spans="1:8" ht="12.75" customHeight="1">
      <c r="A89" s="2377" t="s">
        <v>1309</v>
      </c>
      <c r="B89" s="3381">
        <v>315</v>
      </c>
      <c r="C89" s="3382"/>
      <c r="D89" s="3383"/>
      <c r="E89" s="3387">
        <v>11000</v>
      </c>
      <c r="F89" s="1577"/>
    </row>
    <row r="90" spans="1:8" ht="12.75" customHeight="1">
      <c r="A90" s="3372" t="s">
        <v>1145</v>
      </c>
      <c r="B90" s="3384">
        <v>320</v>
      </c>
      <c r="C90" s="3385"/>
      <c r="D90" s="3383"/>
      <c r="E90" s="1597"/>
      <c r="F90" s="1577"/>
    </row>
    <row r="91" spans="1:8" ht="12.75" customHeight="1">
      <c r="A91" s="3372" t="s">
        <v>1146</v>
      </c>
      <c r="B91" s="3384">
        <v>325</v>
      </c>
      <c r="C91" s="3385"/>
      <c r="D91" s="3383"/>
      <c r="E91" s="1597"/>
      <c r="F91" s="1577"/>
    </row>
    <row r="92" spans="1:8" ht="12.75" customHeight="1">
      <c r="A92" s="3372" t="s">
        <v>4818</v>
      </c>
      <c r="B92" s="3384">
        <v>330</v>
      </c>
      <c r="C92" s="3385"/>
      <c r="D92" s="3385"/>
      <c r="E92" s="3390"/>
      <c r="F92" s="1577"/>
    </row>
    <row r="93" spans="1:8" ht="12.75" customHeight="1">
      <c r="A93" s="2375" t="s">
        <v>632</v>
      </c>
      <c r="B93" s="3380"/>
      <c r="C93" s="3380"/>
      <c r="D93" s="3380"/>
      <c r="E93" s="3380"/>
      <c r="F93" s="1577"/>
    </row>
    <row r="94" spans="1:8" ht="12.75" customHeight="1">
      <c r="A94" s="2377" t="s">
        <v>261</v>
      </c>
      <c r="B94" s="3381">
        <v>335</v>
      </c>
      <c r="C94" s="3383"/>
      <c r="D94" s="3383"/>
      <c r="E94" s="3388">
        <v>10000</v>
      </c>
      <c r="F94" s="1577"/>
    </row>
    <row r="95" spans="1:8" ht="12.75" customHeight="1">
      <c r="A95" s="3372" t="s">
        <v>262</v>
      </c>
      <c r="B95" s="3384">
        <v>340</v>
      </c>
      <c r="C95" s="3385"/>
      <c r="D95" s="3383"/>
      <c r="E95" s="3388">
        <v>36000</v>
      </c>
      <c r="F95" s="1577"/>
    </row>
    <row r="96" spans="1:8" ht="12.75" customHeight="1">
      <c r="A96" s="3372" t="s">
        <v>263</v>
      </c>
      <c r="B96" s="3384">
        <v>345</v>
      </c>
      <c r="C96" s="3385"/>
      <c r="D96" s="3383"/>
      <c r="E96" s="1597"/>
      <c r="F96" s="1577"/>
      <c r="H96" s="684"/>
    </row>
    <row r="97" spans="1:6" ht="12.75" customHeight="1">
      <c r="A97" s="3372" t="s">
        <v>1310</v>
      </c>
      <c r="B97" s="3384">
        <v>350</v>
      </c>
      <c r="C97" s="3385">
        <v>31991</v>
      </c>
      <c r="D97" s="3383">
        <v>48162</v>
      </c>
      <c r="E97" s="1597">
        <v>31752</v>
      </c>
      <c r="F97" s="1577"/>
    </row>
    <row r="98" spans="1:6" ht="12.75" customHeight="1">
      <c r="A98" s="3372" t="s">
        <v>264</v>
      </c>
      <c r="B98" s="3384">
        <v>355</v>
      </c>
      <c r="C98" s="3385"/>
      <c r="D98" s="3383"/>
      <c r="E98" s="1597"/>
      <c r="F98" s="1577"/>
    </row>
    <row r="99" spans="1:6" ht="12.75" customHeight="1">
      <c r="A99" s="3372" t="s">
        <v>610</v>
      </c>
      <c r="B99" s="3384">
        <v>360</v>
      </c>
      <c r="C99" s="3392"/>
      <c r="D99" s="3383"/>
      <c r="E99" s="3390"/>
      <c r="F99" s="1577"/>
    </row>
    <row r="100" spans="1:6" ht="12.75" customHeight="1">
      <c r="A100" s="2375" t="s">
        <v>1313</v>
      </c>
      <c r="B100" s="3380"/>
      <c r="C100" s="3380"/>
      <c r="D100" s="3380"/>
      <c r="E100" s="3380"/>
      <c r="F100" s="1577"/>
    </row>
    <row r="101" spans="1:6" ht="12.75" customHeight="1">
      <c r="A101" s="3374" t="s">
        <v>4609</v>
      </c>
      <c r="B101" s="1598">
        <v>363</v>
      </c>
      <c r="C101" s="3383"/>
      <c r="D101" s="3383"/>
      <c r="E101" s="3388"/>
      <c r="F101" s="1577"/>
    </row>
    <row r="102" spans="1:6" ht="12.75" customHeight="1">
      <c r="A102" s="3372" t="s">
        <v>4920</v>
      </c>
      <c r="B102" s="3384">
        <v>365</v>
      </c>
      <c r="C102" s="3383"/>
      <c r="D102" s="3383"/>
      <c r="E102" s="3388"/>
    </row>
    <row r="103" spans="1:6" ht="12.75" customHeight="1">
      <c r="A103" s="3372" t="s">
        <v>1314</v>
      </c>
      <c r="B103" s="3384">
        <v>240</v>
      </c>
      <c r="C103" s="3387"/>
      <c r="D103" s="3387"/>
      <c r="E103" s="3388"/>
      <c r="F103" s="1577"/>
    </row>
    <row r="104" spans="1:6" ht="12.75" customHeight="1">
      <c r="A104" s="2375" t="s">
        <v>1315</v>
      </c>
      <c r="B104" s="3380"/>
      <c r="C104" s="3380"/>
      <c r="D104" s="3380"/>
      <c r="E104" s="3380"/>
      <c r="F104" s="1577"/>
    </row>
    <row r="105" spans="1:6" ht="12.75" customHeight="1">
      <c r="A105" s="2377" t="s">
        <v>1336</v>
      </c>
      <c r="B105" s="3381">
        <v>370</v>
      </c>
      <c r="C105" s="3383"/>
      <c r="D105" s="3383"/>
      <c r="E105" s="3387"/>
      <c r="F105" s="1577"/>
    </row>
    <row r="106" spans="1:6" ht="12.75" customHeight="1">
      <c r="A106" s="3372" t="s">
        <v>1311</v>
      </c>
      <c r="B106" s="3384">
        <v>243</v>
      </c>
      <c r="C106" s="1597">
        <v>170176</v>
      </c>
      <c r="D106" s="1597">
        <v>161742</v>
      </c>
      <c r="E106" s="1597">
        <v>180000</v>
      </c>
      <c r="F106" s="1577"/>
    </row>
    <row r="107" spans="1:6" ht="12.75" customHeight="1">
      <c r="A107" s="2375" t="s">
        <v>1312</v>
      </c>
      <c r="B107" s="3380"/>
      <c r="C107" s="3380"/>
      <c r="D107" s="3380"/>
      <c r="E107" s="3380"/>
      <c r="F107" s="1577"/>
    </row>
    <row r="108" spans="1:6" ht="12.75" customHeight="1">
      <c r="A108" s="2378" t="s">
        <v>1144</v>
      </c>
      <c r="B108" s="3389"/>
      <c r="C108" s="3389"/>
      <c r="D108" s="3389"/>
      <c r="E108" s="3389"/>
      <c r="F108" s="1577"/>
    </row>
    <row r="109" spans="1:6" ht="12.75" customHeight="1">
      <c r="A109" s="2377" t="s">
        <v>1308</v>
      </c>
      <c r="B109" s="3381">
        <v>375</v>
      </c>
      <c r="C109" s="3383">
        <v>38748</v>
      </c>
      <c r="D109" s="3383">
        <v>45000</v>
      </c>
      <c r="E109" s="3387">
        <v>45000</v>
      </c>
      <c r="F109" s="1577"/>
    </row>
    <row r="110" spans="1:6" ht="12.75" customHeight="1">
      <c r="A110" s="2375" t="s">
        <v>794</v>
      </c>
      <c r="B110" s="3380"/>
      <c r="C110" s="3380"/>
      <c r="D110" s="3380"/>
      <c r="E110" s="3380"/>
      <c r="F110" s="1577"/>
    </row>
    <row r="111" spans="1:6" ht="12.75" customHeight="1">
      <c r="A111" s="2377" t="s">
        <v>1029</v>
      </c>
      <c r="B111" s="3381">
        <v>380</v>
      </c>
      <c r="C111" s="3382"/>
      <c r="D111" s="3383"/>
      <c r="E111" s="3387"/>
      <c r="F111" s="1577"/>
    </row>
    <row r="112" spans="1:6" ht="12.75" customHeight="1">
      <c r="A112" s="3372" t="s">
        <v>1145</v>
      </c>
      <c r="B112" s="3384">
        <v>385</v>
      </c>
      <c r="C112" s="3385"/>
      <c r="D112" s="3383"/>
      <c r="E112" s="1597"/>
      <c r="F112" s="1577"/>
    </row>
    <row r="113" spans="1:6" ht="12.75" customHeight="1">
      <c r="A113" s="3372" t="s">
        <v>1146</v>
      </c>
      <c r="B113" s="3384">
        <v>390</v>
      </c>
      <c r="C113" s="3385"/>
      <c r="D113" s="3383"/>
      <c r="E113" s="1597"/>
      <c r="F113" s="1577"/>
    </row>
    <row r="114" spans="1:6" ht="12.75" customHeight="1">
      <c r="A114" s="3372" t="s">
        <v>4818</v>
      </c>
      <c r="B114" s="3384">
        <v>395</v>
      </c>
      <c r="C114" s="3385"/>
      <c r="D114" s="3385"/>
      <c r="E114" s="1597"/>
      <c r="F114" s="1577"/>
    </row>
    <row r="115" spans="1:6" ht="12.75" customHeight="1">
      <c r="A115" s="3372" t="s">
        <v>632</v>
      </c>
      <c r="B115" s="3384">
        <v>400</v>
      </c>
      <c r="C115" s="3385"/>
      <c r="D115" s="3385"/>
      <c r="E115" s="1597"/>
      <c r="F115" s="1577"/>
    </row>
    <row r="116" spans="1:6" ht="12.75" customHeight="1">
      <c r="A116" s="3372" t="s">
        <v>610</v>
      </c>
      <c r="B116" s="3384">
        <v>405</v>
      </c>
      <c r="C116" s="3385"/>
      <c r="D116" s="3383"/>
      <c r="E116" s="1597"/>
      <c r="F116" s="1577"/>
    </row>
    <row r="117" spans="1:6" ht="12.75" customHeight="1">
      <c r="A117" s="3372" t="s">
        <v>1313</v>
      </c>
      <c r="B117" s="3384">
        <v>410</v>
      </c>
      <c r="C117" s="3385"/>
      <c r="D117" s="3383"/>
      <c r="E117" s="1597"/>
      <c r="F117" s="1577"/>
    </row>
    <row r="118" spans="1:6" ht="12.75" customHeight="1">
      <c r="A118" s="3372" t="s">
        <v>1337</v>
      </c>
      <c r="B118" s="3384">
        <v>415</v>
      </c>
      <c r="C118" s="3385"/>
      <c r="D118" s="3383"/>
      <c r="E118" s="1597"/>
      <c r="F118" s="1577"/>
    </row>
    <row r="119" spans="1:6" ht="12.75" customHeight="1">
      <c r="A119" s="3372" t="s">
        <v>1314</v>
      </c>
      <c r="B119" s="3384">
        <v>420</v>
      </c>
      <c r="C119" s="3385"/>
      <c r="D119" s="3383"/>
      <c r="E119" s="1597"/>
      <c r="F119" s="1577"/>
    </row>
    <row r="120" spans="1:6" ht="12.75" customHeight="1">
      <c r="A120" s="4413" t="s">
        <v>793</v>
      </c>
      <c r="B120" s="3384">
        <v>425</v>
      </c>
      <c r="C120" s="3385"/>
      <c r="D120" s="3385"/>
      <c r="E120" s="1597"/>
      <c r="F120" s="1577"/>
    </row>
    <row r="121" spans="1:6" ht="12.75" customHeight="1">
      <c r="A121" s="2375" t="s">
        <v>1316</v>
      </c>
      <c r="B121" s="3380"/>
      <c r="C121" s="3380"/>
      <c r="D121" s="3380"/>
      <c r="E121" s="3380"/>
      <c r="F121" s="1577"/>
    </row>
    <row r="122" spans="1:6" ht="12.75" customHeight="1">
      <c r="A122" s="3374" t="s">
        <v>1337</v>
      </c>
      <c r="B122" s="1598">
        <v>430</v>
      </c>
      <c r="C122" s="3383"/>
      <c r="D122" s="3383"/>
      <c r="E122" s="3388"/>
      <c r="F122" s="1600"/>
    </row>
    <row r="123" spans="1:6" ht="12.75" customHeight="1">
      <c r="A123" s="3372" t="s">
        <v>1314</v>
      </c>
      <c r="B123" s="3384">
        <v>250</v>
      </c>
      <c r="C123" s="1597"/>
      <c r="D123" s="1597"/>
      <c r="E123" s="1597"/>
      <c r="F123" s="1600"/>
    </row>
    <row r="124" spans="1:6" ht="12.75" customHeight="1">
      <c r="A124" s="2379" t="s">
        <v>4917</v>
      </c>
      <c r="B124" s="3393"/>
      <c r="C124" s="3393"/>
      <c r="D124" s="3393"/>
      <c r="E124" s="3393"/>
      <c r="F124" s="1577"/>
    </row>
    <row r="125" spans="1:6" ht="12.75" customHeight="1">
      <c r="A125" s="3373" t="s">
        <v>233</v>
      </c>
      <c r="B125" s="3386">
        <v>255</v>
      </c>
      <c r="C125" s="3388"/>
      <c r="D125" s="3388"/>
      <c r="E125" s="3388"/>
      <c r="F125" s="1577"/>
    </row>
    <row r="126" spans="1:6" ht="12.75" customHeight="1">
      <c r="A126" s="3375" t="s">
        <v>234</v>
      </c>
      <c r="B126" s="3394">
        <v>260</v>
      </c>
      <c r="C126" s="1597"/>
      <c r="D126" s="1597"/>
      <c r="E126" s="1597"/>
      <c r="F126" s="1577"/>
    </row>
    <row r="127" spans="1:6" ht="12.75" customHeight="1">
      <c r="A127" s="3375" t="s">
        <v>115</v>
      </c>
      <c r="B127" s="3394">
        <v>265</v>
      </c>
      <c r="C127" s="1597"/>
      <c r="D127" s="1597"/>
      <c r="E127" s="1597"/>
      <c r="F127" s="1577"/>
    </row>
    <row r="128" spans="1:6" ht="12.75" customHeight="1">
      <c r="A128" s="3375" t="s">
        <v>915</v>
      </c>
      <c r="B128" s="3395">
        <v>275</v>
      </c>
      <c r="C128" s="1597"/>
      <c r="D128" s="1597"/>
      <c r="E128" s="1597"/>
      <c r="F128" s="1577"/>
    </row>
    <row r="129" spans="1:8" ht="12.75" customHeight="1">
      <c r="A129" s="3375" t="s">
        <v>235</v>
      </c>
      <c r="B129" s="3395">
        <v>280</v>
      </c>
      <c r="C129" s="1597"/>
      <c r="D129" s="1597"/>
      <c r="E129" s="1597"/>
      <c r="F129" s="1577"/>
    </row>
    <row r="130" spans="1:8" ht="12.75" customHeight="1">
      <c r="A130" s="3371" t="s">
        <v>236</v>
      </c>
      <c r="B130" s="3397"/>
      <c r="C130" s="3397"/>
      <c r="D130" s="3397"/>
      <c r="E130" s="3397"/>
      <c r="F130" s="1577"/>
    </row>
    <row r="131" spans="1:8" ht="12.75" customHeight="1">
      <c r="A131" s="3370" t="s">
        <v>908</v>
      </c>
      <c r="B131" s="3398"/>
      <c r="C131" s="3398"/>
      <c r="D131" s="3398"/>
      <c r="E131" s="3398"/>
      <c r="F131" s="1577"/>
    </row>
    <row r="132" spans="1:8" ht="12.75" customHeight="1">
      <c r="A132" s="2376" t="s">
        <v>90</v>
      </c>
      <c r="B132" s="3399">
        <v>286</v>
      </c>
      <c r="C132" s="3387"/>
      <c r="D132" s="3387"/>
      <c r="E132" s="3387"/>
      <c r="F132" s="1577"/>
    </row>
    <row r="133" spans="1:8" ht="12.75" customHeight="1">
      <c r="A133" s="2379" t="s">
        <v>909</v>
      </c>
      <c r="B133" s="3393"/>
      <c r="C133" s="3393"/>
      <c r="D133" s="3393"/>
      <c r="E133" s="3393"/>
      <c r="F133" s="1577"/>
    </row>
    <row r="134" spans="1:8" ht="12.75" customHeight="1">
      <c r="A134" s="3376" t="s">
        <v>85</v>
      </c>
      <c r="B134" s="3400">
        <v>287</v>
      </c>
      <c r="C134" s="3388"/>
      <c r="D134" s="3388"/>
      <c r="E134" s="3388"/>
      <c r="F134" s="1577"/>
    </row>
    <row r="135" spans="1:8" ht="12.75" customHeight="1">
      <c r="A135" s="3376" t="s">
        <v>83</v>
      </c>
      <c r="B135" s="3400">
        <v>288</v>
      </c>
      <c r="C135" s="3388"/>
      <c r="D135" s="3388"/>
      <c r="E135" s="3388"/>
      <c r="F135" s="1577"/>
    </row>
    <row r="136" spans="1:8" ht="12.75" customHeight="1">
      <c r="A136" s="3376" t="s">
        <v>84</v>
      </c>
      <c r="B136" s="3400">
        <v>289</v>
      </c>
      <c r="C136" s="3388"/>
      <c r="D136" s="3388"/>
      <c r="E136" s="3388"/>
      <c r="F136" s="1577"/>
    </row>
    <row r="137" spans="1:8" ht="12.75" customHeight="1">
      <c r="A137" s="3377" t="s">
        <v>696</v>
      </c>
      <c r="B137" s="3401">
        <v>290</v>
      </c>
      <c r="C137" s="3388">
        <v>130958</v>
      </c>
      <c r="D137" s="3388">
        <v>82087</v>
      </c>
      <c r="E137" s="3388">
        <v>75000</v>
      </c>
      <c r="F137" s="1601"/>
    </row>
    <row r="138" spans="1:8" ht="12.75" customHeight="1">
      <c r="A138" s="3375" t="s">
        <v>116</v>
      </c>
      <c r="B138" s="3395">
        <v>291</v>
      </c>
      <c r="C138" s="1597"/>
      <c r="D138" s="1597"/>
      <c r="E138" s="1597"/>
      <c r="F138" s="1602"/>
      <c r="H138" s="684"/>
    </row>
    <row r="139" spans="1:8" ht="12.75" customHeight="1">
      <c r="A139" s="2379" t="s">
        <v>117</v>
      </c>
      <c r="B139" s="3393"/>
      <c r="C139" s="3393"/>
      <c r="D139" s="3393"/>
      <c r="E139" s="3393"/>
      <c r="F139" s="1577"/>
    </row>
    <row r="140" spans="1:8" ht="12.75" customHeight="1">
      <c r="A140" s="3370" t="s">
        <v>118</v>
      </c>
      <c r="B140" s="3398"/>
      <c r="C140" s="3398"/>
      <c r="D140" s="3398"/>
      <c r="E140" s="3398"/>
      <c r="F140" s="1577"/>
    </row>
    <row r="141" spans="1:8" ht="12.75" customHeight="1">
      <c r="A141" s="3373" t="s">
        <v>694</v>
      </c>
      <c r="B141" s="3402">
        <v>295</v>
      </c>
      <c r="C141" s="3388"/>
      <c r="D141" s="3388"/>
      <c r="E141" s="3388"/>
      <c r="F141" s="1577"/>
    </row>
    <row r="142" spans="1:8" ht="12.75" customHeight="1">
      <c r="A142" s="1610" t="s">
        <v>119</v>
      </c>
      <c r="B142" s="1592">
        <v>300</v>
      </c>
      <c r="C142" s="1588"/>
      <c r="D142" s="1588"/>
      <c r="E142" s="1588"/>
      <c r="F142" s="1577"/>
    </row>
    <row r="143" spans="1:8" ht="12.75" customHeight="1">
      <c r="A143" s="1611" t="s">
        <v>695</v>
      </c>
      <c r="B143" s="1582">
        <v>305</v>
      </c>
      <c r="C143" s="1599">
        <v>85742</v>
      </c>
      <c r="D143" s="1599"/>
      <c r="E143" s="1599"/>
      <c r="F143" s="1577"/>
    </row>
    <row r="144" spans="1:8" ht="12.75" customHeight="1">
      <c r="A144" s="1198" t="s">
        <v>5153</v>
      </c>
      <c r="B144" s="2578" t="s">
        <v>4906</v>
      </c>
      <c r="C144" s="1603">
        <f>SUM(C60:C143)</f>
        <v>572682</v>
      </c>
      <c r="D144" s="1603">
        <f t="shared" ref="D144:E144" si="0">SUM(D60:D143)</f>
        <v>421526</v>
      </c>
      <c r="E144" s="1603">
        <f t="shared" si="0"/>
        <v>578752</v>
      </c>
      <c r="F144" s="1577"/>
    </row>
    <row r="145" spans="1:6" ht="12.75" customHeight="1">
      <c r="A145" s="6101" t="s">
        <v>4911</v>
      </c>
      <c r="B145" s="6101"/>
      <c r="C145" s="6101"/>
      <c r="D145" s="6101"/>
      <c r="E145" s="6101"/>
      <c r="F145" s="1604"/>
    </row>
    <row r="146" spans="1:6" ht="12.75" customHeight="1">
      <c r="A146" s="2864"/>
      <c r="B146" s="1192"/>
      <c r="C146" s="1577"/>
      <c r="D146" s="1577"/>
      <c r="E146" s="1577"/>
      <c r="F146" s="1577"/>
    </row>
    <row r="147" spans="1:6" ht="12.75" customHeight="1">
      <c r="A147" s="59"/>
      <c r="B147" s="1580"/>
      <c r="C147" s="1577"/>
      <c r="D147" s="1577"/>
      <c r="E147" s="1577"/>
      <c r="F147" s="1577"/>
    </row>
    <row r="148" spans="1:6" ht="12.75" customHeight="1">
      <c r="A148" s="59"/>
      <c r="B148" s="1580"/>
      <c r="C148" s="1577"/>
      <c r="D148" s="1577"/>
      <c r="E148" s="1577"/>
      <c r="F148" s="1577"/>
    </row>
    <row r="149" spans="1:6" ht="12.75" customHeight="1">
      <c r="A149" s="59"/>
      <c r="B149" s="1580"/>
      <c r="C149" s="1577"/>
      <c r="D149" s="1577"/>
      <c r="E149" s="1577"/>
      <c r="F149" s="1577"/>
    </row>
    <row r="150" spans="1:6" ht="12.75" customHeight="1">
      <c r="A150" s="59"/>
      <c r="B150" s="1580"/>
      <c r="C150" s="1577"/>
      <c r="D150" s="1577"/>
      <c r="E150" s="1577"/>
    </row>
    <row r="151" spans="1:6" ht="12.75" customHeight="1">
      <c r="A151" s="59"/>
      <c r="B151" s="1580"/>
      <c r="C151" s="1577"/>
      <c r="D151" s="1577"/>
      <c r="E151" s="1577"/>
    </row>
  </sheetData>
  <sheetProtection algorithmName="SHA-512" hashValue="R/olsZpypFEA8b2NuS/YGsPKTaG1fHkkrFommy8Quw5MrwHsgXEn5NSnB2VtZVCuPnC2TsMEMP+N6u/Wb5vcBA==" saltValue="aBQ8zgAFLVPKoMOW47jUDA==" spinCount="100000" sheet="1" objects="1" scenarios="1"/>
  <mergeCells count="5">
    <mergeCell ref="E1:F1"/>
    <mergeCell ref="E2:F2"/>
    <mergeCell ref="D49:E49"/>
    <mergeCell ref="D50:E50"/>
    <mergeCell ref="A145:E145"/>
  </mergeCells>
  <phoneticPr fontId="13" type="noConversion"/>
  <dataValidations count="4">
    <dataValidation type="whole" operator="greaterThanOrEqual" showInputMessage="1" showErrorMessage="1" errorTitle="Invalid Data Entry" error="Please enter a positive number or press the delete key or enter a zero." sqref="C10:D10 C15 C16:D16 C19:D19 C20:E20 F21 F23 C22:E22 C27:D27 C31:E31 C33:D33 F32 C38:E40 F39:F40 F45 C66:E66 C69:E69 C72:E72 C60:E62 C103:E103 C25:D25 C84:E84 C141:E143 C106:E106 C132:E132 C125:E129 C75:E75 C123:E123 C134:E138">
      <formula1>0</formula1>
    </dataValidation>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allowBlank="1" showInputMessage="1" showErrorMessage="1" errorTitle="Invalid Data Entry" error="Please enter a positive number or press the delete key or enter a zero." sqref="C65:E65 C68:E68 C74:E74 C78:E78 C105:E105 C109:E109 C122:E122 C111:E120 C80:E83 C87:E87 C89:E92 C71:E71 C94:E99 C101:E102">
      <formula1>0</formula1>
    </dataValidation>
    <dataValidation type="whole" operator="greaterThanOrEqual" allowBlank="1" showInputMessage="1" showErrorMessage="1" errorTitle="Invalid Data Entry" error="Please enter a positive number or press the delete key or enter zero." sqref="C29">
      <formula1>0</formula1>
    </dataValidation>
  </dataValidations>
  <hyperlinks>
    <hyperlink ref="H1" location="Contents!F1" display="Return to Contents page"/>
  </hyperlinks>
  <printOptions horizontalCentered="1"/>
  <pageMargins left="0.75" right="0.75" top="0.5" bottom="0.5" header="0.3" footer="0.3"/>
  <pageSetup scale="81" fitToHeight="0" orientation="portrait" blackAndWhite="1" r:id="rId1"/>
  <headerFooter scaleWithDoc="0">
    <oddFooter>&amp;L&amp;"Open Sans Light,Regular"&amp;8&amp;D    &amp;T&amp;C&amp;"Open Sans Light,Regular"&amp;8Page &amp;P&amp;R&amp;"Open Sans Light,Regular"&amp;8&amp;A</oddFooter>
  </headerFooter>
  <rowBreaks count="2" manualBreakCount="2">
    <brk id="48" max="5" man="1"/>
    <brk id="119" max="5"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4" tint="0.39997558519241921"/>
  </sheetPr>
  <dimension ref="A1:Z170"/>
  <sheetViews>
    <sheetView showGridLines="0" zoomScaleNormal="100" zoomScaleSheetLayoutView="100" workbookViewId="0">
      <pane ySplit="8" topLeftCell="A9" activePane="bottomLeft" state="frozen"/>
      <selection activeCell="B22" sqref="B22"/>
      <selection pane="bottomLeft" activeCell="B22" sqref="B22"/>
    </sheetView>
  </sheetViews>
  <sheetFormatPr defaultColWidth="10.6640625" defaultRowHeight="12.75" customHeight="1"/>
  <cols>
    <col min="1" max="1" width="40.6640625" style="64" customWidth="1"/>
    <col min="2" max="2" width="4.88671875" style="1157" customWidth="1"/>
    <col min="3" max="5" width="14.33203125" style="1158" customWidth="1"/>
    <col min="6" max="6" width="2.33203125" style="64" customWidth="1"/>
    <col min="7" max="7" width="21" style="64" customWidth="1"/>
    <col min="8" max="26" width="10.6640625" style="64"/>
    <col min="27" max="16384" width="10.6640625" style="63"/>
  </cols>
  <sheetData>
    <row r="1" spans="1:17" ht="12.75" customHeight="1">
      <c r="A1" s="1119" t="s">
        <v>809</v>
      </c>
      <c r="B1" s="4251">
        <f>OPEN!B4</f>
        <v>237</v>
      </c>
      <c r="C1" s="1120"/>
      <c r="D1" s="6119" t="s">
        <v>836</v>
      </c>
      <c r="E1" s="6119"/>
      <c r="F1" s="62"/>
      <c r="G1" s="304" t="s">
        <v>754</v>
      </c>
    </row>
    <row r="2" spans="1:17" ht="12.75" customHeight="1">
      <c r="A2" s="1120"/>
      <c r="B2" s="1121"/>
      <c r="C2" s="1120"/>
      <c r="D2" s="6119" t="s">
        <v>921</v>
      </c>
      <c r="E2" s="6119"/>
      <c r="F2" s="62"/>
    </row>
    <row r="3" spans="1:17" ht="12.75" customHeight="1">
      <c r="A3" s="1120"/>
      <c r="B3" s="1121"/>
      <c r="C3" s="1120"/>
      <c r="D3" s="1120"/>
      <c r="E3" s="1119" t="str">
        <f>OpenData!N2</f>
        <v>2021-2022</v>
      </c>
      <c r="F3" s="62"/>
    </row>
    <row r="4" spans="1:17" ht="12.75" customHeight="1">
      <c r="A4" s="1120"/>
      <c r="B4" s="1121"/>
      <c r="C4" s="1120"/>
      <c r="D4" s="1120"/>
      <c r="E4" s="1120"/>
      <c r="F4" s="62"/>
    </row>
    <row r="5" spans="1:17" ht="12.75" customHeight="1">
      <c r="A5" s="1120"/>
      <c r="B5" s="1121"/>
      <c r="C5" s="1122" t="s">
        <v>922</v>
      </c>
      <c r="D5" s="1122" t="s">
        <v>922</v>
      </c>
      <c r="E5" s="1122" t="s">
        <v>922</v>
      </c>
      <c r="F5" s="62"/>
    </row>
    <row r="6" spans="1:17" ht="12.75" customHeight="1">
      <c r="B6" s="1124" t="s">
        <v>854</v>
      </c>
      <c r="C6" s="1125" t="str">
        <f>OpenData!N4</f>
        <v>2019-2020</v>
      </c>
      <c r="D6" s="1125" t="str">
        <f>OpenData!O4</f>
        <v>2020-2021</v>
      </c>
      <c r="E6" s="1125" t="str">
        <f>OpenData!P4</f>
        <v>2021-2022</v>
      </c>
      <c r="F6" s="62"/>
      <c r="N6" s="65"/>
    </row>
    <row r="7" spans="1:17" ht="12.75" customHeight="1">
      <c r="A7" s="1123" t="s">
        <v>124</v>
      </c>
      <c r="B7" s="1126">
        <v>18</v>
      </c>
      <c r="C7" s="1127" t="s">
        <v>893</v>
      </c>
      <c r="D7" s="1127" t="s">
        <v>893</v>
      </c>
      <c r="E7" s="1127" t="s">
        <v>923</v>
      </c>
      <c r="F7" s="62"/>
      <c r="O7" s="66"/>
      <c r="P7" s="66"/>
      <c r="Q7" s="66"/>
    </row>
    <row r="8" spans="1:17" ht="12.75" customHeight="1">
      <c r="A8" s="1128"/>
      <c r="B8" s="1129" t="s">
        <v>858</v>
      </c>
      <c r="C8" s="1130">
        <v>1</v>
      </c>
      <c r="D8" s="1130">
        <v>2</v>
      </c>
      <c r="E8" s="1130">
        <v>3</v>
      </c>
      <c r="F8" s="62"/>
      <c r="O8" s="66"/>
      <c r="P8" s="66"/>
      <c r="Q8" s="66"/>
    </row>
    <row r="9" spans="1:17" ht="12.75" customHeight="1">
      <c r="A9" s="1131" t="s">
        <v>1043</v>
      </c>
      <c r="B9" s="1132">
        <v>1</v>
      </c>
      <c r="C9" s="1133">
        <v>16370</v>
      </c>
      <c r="D9" s="1134">
        <f>C26</f>
        <v>16352</v>
      </c>
      <c r="E9" s="1135">
        <f>D26</f>
        <v>14876</v>
      </c>
      <c r="F9" s="62"/>
      <c r="O9" s="66"/>
      <c r="P9" s="66"/>
      <c r="Q9" s="66"/>
    </row>
    <row r="10" spans="1:17" ht="12.75" customHeight="1">
      <c r="A10" s="3974" t="s">
        <v>4940</v>
      </c>
      <c r="B10" s="3351">
        <v>3</v>
      </c>
      <c r="C10" s="2013"/>
      <c r="D10" s="2013"/>
      <c r="E10" s="3366"/>
      <c r="F10" s="62"/>
      <c r="O10" s="66"/>
      <c r="P10" s="66"/>
      <c r="Q10" s="66"/>
    </row>
    <row r="11" spans="1:17" ht="12.75" customHeight="1">
      <c r="A11" s="2381"/>
      <c r="B11" s="4394"/>
      <c r="C11" s="4394"/>
      <c r="D11" s="4394"/>
      <c r="E11" s="4398"/>
      <c r="F11" s="62"/>
      <c r="O11" s="66"/>
      <c r="P11" s="66"/>
      <c r="Q11" s="66"/>
    </row>
    <row r="12" spans="1:17" ht="12.75" customHeight="1">
      <c r="A12" s="4395" t="s">
        <v>4767</v>
      </c>
      <c r="B12" s="4396"/>
      <c r="C12" s="4396"/>
      <c r="D12" s="4396"/>
      <c r="E12" s="4397"/>
      <c r="F12" s="62"/>
      <c r="O12" s="66"/>
      <c r="P12" s="66"/>
      <c r="Q12" s="66"/>
    </row>
    <row r="13" spans="1:17" ht="12.75" customHeight="1">
      <c r="A13" s="3339" t="s">
        <v>71</v>
      </c>
      <c r="B13" s="3348">
        <v>5</v>
      </c>
      <c r="C13" s="3367"/>
      <c r="D13" s="3367"/>
      <c r="E13" s="3349"/>
      <c r="F13" s="62"/>
      <c r="O13" s="66"/>
      <c r="P13" s="66"/>
      <c r="Q13" s="66"/>
    </row>
    <row r="14" spans="1:17" ht="12.75" customHeight="1">
      <c r="A14" s="3339" t="s">
        <v>18</v>
      </c>
      <c r="B14" s="3348">
        <v>15</v>
      </c>
      <c r="C14" s="3349">
        <v>2646</v>
      </c>
      <c r="D14" s="3349">
        <v>2254</v>
      </c>
      <c r="E14" s="3349">
        <v>1500</v>
      </c>
      <c r="F14" s="62"/>
    </row>
    <row r="15" spans="1:17" ht="12.75" customHeight="1">
      <c r="A15" s="2381" t="s">
        <v>25</v>
      </c>
      <c r="B15" s="3346"/>
      <c r="C15" s="3346"/>
      <c r="D15" s="3346"/>
      <c r="E15" s="3346"/>
      <c r="F15" s="62"/>
      <c r="N15" s="65"/>
      <c r="O15" s="67"/>
    </row>
    <row r="16" spans="1:17" ht="12.75" customHeight="1">
      <c r="A16" s="3339" t="s">
        <v>125</v>
      </c>
      <c r="B16" s="3348">
        <v>25</v>
      </c>
      <c r="C16" s="3349">
        <v>2860</v>
      </c>
      <c r="D16" s="3349">
        <v>2550</v>
      </c>
      <c r="E16" s="3368">
        <f>'F195'!H11</f>
        <v>4440</v>
      </c>
      <c r="F16" s="62"/>
      <c r="O16" s="67"/>
      <c r="P16" s="67"/>
      <c r="Q16" s="67"/>
    </row>
    <row r="17" spans="1:26" ht="12.75" customHeight="1">
      <c r="A17" s="3339" t="s">
        <v>126</v>
      </c>
      <c r="B17" s="3348">
        <v>35</v>
      </c>
      <c r="C17" s="3349"/>
      <c r="D17" s="3349"/>
      <c r="E17" s="3368">
        <f>'F195'!H16</f>
        <v>0</v>
      </c>
      <c r="F17" s="62"/>
      <c r="O17" s="67"/>
      <c r="P17" s="67"/>
      <c r="Q17" s="67"/>
    </row>
    <row r="18" spans="1:26" ht="12.75" customHeight="1">
      <c r="A18" s="2382" t="s">
        <v>273</v>
      </c>
      <c r="B18" s="3369"/>
      <c r="C18" s="3369"/>
      <c r="D18" s="3369"/>
      <c r="E18" s="3369"/>
      <c r="F18" s="62"/>
      <c r="O18" s="67"/>
      <c r="P18" s="67"/>
      <c r="Q18" s="67"/>
    </row>
    <row r="19" spans="1:26" ht="12.75" customHeight="1">
      <c r="A19" s="3345" t="s">
        <v>1138</v>
      </c>
      <c r="B19" s="3138">
        <v>40</v>
      </c>
      <c r="C19" s="3355"/>
      <c r="D19" s="3355"/>
      <c r="E19" s="3355"/>
      <c r="F19" s="62"/>
      <c r="O19" s="67"/>
      <c r="P19" s="67"/>
      <c r="Q19" s="67"/>
    </row>
    <row r="20" spans="1:26" ht="12.75" customHeight="1">
      <c r="A20" s="2381" t="s">
        <v>39</v>
      </c>
      <c r="B20" s="3346"/>
      <c r="C20" s="3346"/>
      <c r="D20" s="3346"/>
      <c r="E20" s="3346"/>
      <c r="F20" s="62"/>
      <c r="O20" s="67"/>
      <c r="P20" s="67"/>
      <c r="Q20" s="67"/>
    </row>
    <row r="21" spans="1:26" ht="12.75" customHeight="1">
      <c r="A21" s="3339" t="s">
        <v>40</v>
      </c>
      <c r="B21" s="3348">
        <v>45</v>
      </c>
      <c r="C21" s="3368">
        <f>'C06'!C270</f>
        <v>0</v>
      </c>
      <c r="D21" s="3368">
        <f>'C06'!D270</f>
        <v>0</v>
      </c>
      <c r="E21" s="3368">
        <f>'C06'!E270</f>
        <v>0</v>
      </c>
      <c r="F21" s="62"/>
      <c r="G21" s="688"/>
      <c r="O21" s="67"/>
      <c r="P21" s="67"/>
      <c r="Q21" s="67"/>
    </row>
    <row r="22" spans="1:26" ht="12.75" customHeight="1">
      <c r="A22" s="1159" t="s">
        <v>932</v>
      </c>
      <c r="B22" s="1143">
        <v>50</v>
      </c>
      <c r="C22" s="1144">
        <f>'C08'!$C$275</f>
        <v>0</v>
      </c>
      <c r="D22" s="1145">
        <f>'C08'!$D$275</f>
        <v>0</v>
      </c>
      <c r="E22" s="1144">
        <f>'C08'!$E$275</f>
        <v>0</v>
      </c>
      <c r="F22" s="62"/>
    </row>
    <row r="23" spans="1:26" ht="12.75" customHeight="1">
      <c r="A23" s="1131" t="s">
        <v>232</v>
      </c>
      <c r="B23" s="1132">
        <v>55</v>
      </c>
      <c r="C23" s="1142">
        <f>'C053'!C232</f>
        <v>0</v>
      </c>
      <c r="D23" s="1145">
        <f>'C053'!D232</f>
        <v>0</v>
      </c>
      <c r="E23" s="3810" t="s">
        <v>4905</v>
      </c>
      <c r="F23" s="62"/>
      <c r="O23" s="67"/>
      <c r="P23" s="67"/>
      <c r="Q23" s="67"/>
    </row>
    <row r="24" spans="1:26" ht="12.75" customHeight="1">
      <c r="A24" s="1160" t="s">
        <v>42</v>
      </c>
      <c r="B24" s="1146">
        <v>170</v>
      </c>
      <c r="C24" s="1142">
        <f>SUM(C9:C23)</f>
        <v>21876</v>
      </c>
      <c r="D24" s="1134">
        <f>SUM(D9:D23)</f>
        <v>21156</v>
      </c>
      <c r="E24" s="3368">
        <f>SUM(E9:E23)</f>
        <v>20816</v>
      </c>
      <c r="F24" s="62"/>
    </row>
    <row r="25" spans="1:26" ht="12.75" customHeight="1">
      <c r="A25" s="1159" t="s">
        <v>43</v>
      </c>
      <c r="B25" s="1143">
        <v>175</v>
      </c>
      <c r="C25" s="1144">
        <f>C166</f>
        <v>5524</v>
      </c>
      <c r="D25" s="1145">
        <f>D166</f>
        <v>6280</v>
      </c>
      <c r="E25" s="1144">
        <f>IF((E166&lt;=E24),E166,"ERROR")</f>
        <v>11280</v>
      </c>
      <c r="F25" s="62"/>
      <c r="G25" s="323" t="str">
        <f>IF(E25="ERROR","Expenditures must be less than or equal to Resources Available","")</f>
        <v/>
      </c>
      <c r="H25" s="689"/>
    </row>
    <row r="26" spans="1:26" ht="12.75" customHeight="1">
      <c r="A26" s="1159" t="s">
        <v>247</v>
      </c>
      <c r="B26" s="1143">
        <v>190</v>
      </c>
      <c r="C26" s="1144">
        <f>SUM(C24-C25)</f>
        <v>16352</v>
      </c>
      <c r="D26" s="2014">
        <f>SUM(D24-D25)</f>
        <v>14876</v>
      </c>
      <c r="E26" s="2015">
        <f>IF(ISERROR(E24-E25),"NEGATIVE",E24-E25)</f>
        <v>9536</v>
      </c>
      <c r="F26" s="62"/>
      <c r="G26" s="424"/>
      <c r="H26" s="689"/>
    </row>
    <row r="27" spans="1:26" ht="12.75" customHeight="1">
      <c r="A27" s="1136"/>
      <c r="B27" s="1138"/>
      <c r="C27" s="1137"/>
      <c r="D27" s="1137"/>
      <c r="E27" s="3914"/>
      <c r="F27" s="62"/>
      <c r="G27" s="424"/>
      <c r="H27" s="689"/>
    </row>
    <row r="28" spans="1:26" s="3752" customFormat="1" ht="12.75" customHeight="1">
      <c r="A28" s="3746" t="str">
        <f>A1</f>
        <v>USD #</v>
      </c>
      <c r="B28" s="4258">
        <f>B1</f>
        <v>237</v>
      </c>
      <c r="C28" s="3747"/>
      <c r="D28" s="6120" t="str">
        <f>D1</f>
        <v>STATE OF KANSAS</v>
      </c>
      <c r="E28" s="6120"/>
      <c r="F28" s="3748"/>
      <c r="G28" s="3749"/>
      <c r="H28" s="3750"/>
      <c r="I28" s="3751"/>
      <c r="J28" s="3751"/>
      <c r="K28" s="3751"/>
      <c r="L28" s="3751"/>
      <c r="M28" s="3751"/>
      <c r="N28" s="3751"/>
      <c r="O28" s="3751"/>
      <c r="P28" s="3751"/>
      <c r="Q28" s="3751"/>
      <c r="R28" s="3751"/>
      <c r="S28" s="3751"/>
      <c r="T28" s="3751"/>
      <c r="U28" s="3751"/>
      <c r="V28" s="3751"/>
      <c r="W28" s="3751"/>
      <c r="X28" s="3751"/>
      <c r="Y28" s="3751"/>
      <c r="Z28" s="3751"/>
    </row>
    <row r="29" spans="1:26" ht="12.75" customHeight="1">
      <c r="A29" s="1136"/>
      <c r="B29" s="1138"/>
      <c r="C29" s="1137"/>
      <c r="D29" s="6121" t="str">
        <f>D2</f>
        <v>Budget Form USD-E</v>
      </c>
      <c r="E29" s="6121"/>
      <c r="F29" s="62"/>
      <c r="G29" s="424"/>
      <c r="H29" s="689"/>
    </row>
    <row r="30" spans="1:26" ht="12.75" customHeight="1">
      <c r="A30" s="1136"/>
      <c r="B30" s="1138"/>
      <c r="C30" s="1137"/>
      <c r="D30" s="1137"/>
      <c r="E30" s="1139" t="str">
        <f>E3</f>
        <v>2021-2022</v>
      </c>
      <c r="F30" s="62"/>
      <c r="G30" s="689"/>
      <c r="H30" s="689"/>
    </row>
    <row r="31" spans="1:26" s="64" customFormat="1" ht="12.75" customHeight="1">
      <c r="A31" s="936"/>
      <c r="B31" s="936"/>
      <c r="C31" s="936"/>
      <c r="D31" s="936"/>
      <c r="E31" s="936"/>
      <c r="F31" s="62"/>
    </row>
    <row r="32" spans="1:26" ht="12.75" customHeight="1">
      <c r="A32" s="1120"/>
      <c r="B32" s="1121"/>
      <c r="C32" s="1122" t="s">
        <v>922</v>
      </c>
      <c r="D32" s="1122" t="s">
        <v>922</v>
      </c>
      <c r="E32" s="1122" t="s">
        <v>922</v>
      </c>
      <c r="F32" s="62"/>
    </row>
    <row r="33" spans="1:6" ht="12.75" customHeight="1">
      <c r="A33" s="1123"/>
      <c r="B33" s="1124" t="s">
        <v>854</v>
      </c>
      <c r="C33" s="1125" t="str">
        <f>C6</f>
        <v>2019-2020</v>
      </c>
      <c r="D33" s="1125" t="str">
        <f>D6</f>
        <v>2020-2021</v>
      </c>
      <c r="E33" s="1125" t="str">
        <f>E6</f>
        <v>2021-2022</v>
      </c>
      <c r="F33" s="62"/>
    </row>
    <row r="34" spans="1:6" ht="12.75" customHeight="1">
      <c r="A34" s="1123" t="str">
        <f>A7</f>
        <v>DRIVER TRAINING</v>
      </c>
      <c r="B34" s="1126">
        <v>18</v>
      </c>
      <c r="C34" s="1127" t="s">
        <v>893</v>
      </c>
      <c r="D34" s="1127" t="s">
        <v>893</v>
      </c>
      <c r="E34" s="1127" t="s">
        <v>923</v>
      </c>
      <c r="F34" s="62"/>
    </row>
    <row r="35" spans="1:6" ht="12.75" customHeight="1">
      <c r="A35" s="4399"/>
      <c r="B35" s="1126" t="s">
        <v>858</v>
      </c>
      <c r="C35" s="4400">
        <v>1</v>
      </c>
      <c r="D35" s="4400">
        <v>2</v>
      </c>
      <c r="E35" s="4400">
        <v>3</v>
      </c>
      <c r="F35" s="62"/>
    </row>
    <row r="36" spans="1:6" ht="12.75" customHeight="1">
      <c r="A36" s="3335"/>
      <c r="B36" s="4401"/>
      <c r="C36" s="4402"/>
      <c r="D36" s="4402"/>
      <c r="E36" s="4403"/>
      <c r="F36" s="62"/>
    </row>
    <row r="37" spans="1:6" ht="12.75" customHeight="1">
      <c r="A37" s="4404" t="s">
        <v>60</v>
      </c>
      <c r="B37" s="4405"/>
      <c r="C37" s="4405"/>
      <c r="D37" s="4405"/>
      <c r="E37" s="4406"/>
      <c r="F37" s="62"/>
    </row>
    <row r="38" spans="1:6" ht="12.75" customHeight="1">
      <c r="A38" s="3338" t="s">
        <v>61</v>
      </c>
      <c r="B38" s="3347"/>
      <c r="C38" s="3347"/>
      <c r="D38" s="3347"/>
      <c r="E38" s="3347"/>
      <c r="F38" s="62"/>
    </row>
    <row r="39" spans="1:6" ht="12.75" customHeight="1">
      <c r="A39" s="3338" t="s">
        <v>972</v>
      </c>
      <c r="B39" s="3347"/>
      <c r="C39" s="3347"/>
      <c r="D39" s="3347"/>
      <c r="E39" s="3347"/>
      <c r="F39" s="62"/>
    </row>
    <row r="40" spans="1:6" ht="12.75" customHeight="1">
      <c r="A40" s="3339" t="s">
        <v>999</v>
      </c>
      <c r="B40" s="3348">
        <v>210</v>
      </c>
      <c r="C40" s="3349">
        <v>5000</v>
      </c>
      <c r="D40" s="3349">
        <v>5000</v>
      </c>
      <c r="E40" s="3349">
        <v>10000</v>
      </c>
      <c r="F40" s="62"/>
    </row>
    <row r="41" spans="1:6" ht="12.75" customHeight="1">
      <c r="A41" s="3340" t="s">
        <v>943</v>
      </c>
      <c r="B41" s="3350">
        <v>215</v>
      </c>
      <c r="C41" s="2052">
        <v>131</v>
      </c>
      <c r="D41" s="2052">
        <v>619</v>
      </c>
      <c r="E41" s="2052">
        <v>619</v>
      </c>
      <c r="F41" s="62"/>
    </row>
    <row r="42" spans="1:6" ht="12.75" customHeight="1">
      <c r="A42" s="2381" t="s">
        <v>973</v>
      </c>
      <c r="B42" s="3346"/>
      <c r="C42" s="3346"/>
      <c r="D42" s="3346"/>
      <c r="E42" s="3346"/>
      <c r="F42" s="62"/>
    </row>
    <row r="43" spans="1:6" ht="12.75" customHeight="1">
      <c r="A43" s="3339" t="s">
        <v>974</v>
      </c>
      <c r="B43" s="3348">
        <v>220</v>
      </c>
      <c r="C43" s="3349"/>
      <c r="D43" s="3349"/>
      <c r="E43" s="3349"/>
      <c r="F43" s="62"/>
    </row>
    <row r="44" spans="1:6" ht="12.75" customHeight="1">
      <c r="A44" s="3340" t="s">
        <v>977</v>
      </c>
      <c r="B44" s="3350">
        <v>225</v>
      </c>
      <c r="C44" s="2052">
        <v>393</v>
      </c>
      <c r="D44" s="2052">
        <v>430</v>
      </c>
      <c r="E44" s="2052">
        <v>430</v>
      </c>
      <c r="F44" s="62"/>
    </row>
    <row r="45" spans="1:6" ht="12.75" customHeight="1">
      <c r="A45" s="3340" t="s">
        <v>978</v>
      </c>
      <c r="B45" s="3350">
        <v>230</v>
      </c>
      <c r="C45" s="2052"/>
      <c r="D45" s="2052"/>
      <c r="E45" s="2052"/>
      <c r="F45" s="62"/>
    </row>
    <row r="46" spans="1:6" ht="12.75" customHeight="1">
      <c r="A46" s="2380" t="s">
        <v>4818</v>
      </c>
      <c r="B46" s="3351">
        <v>235</v>
      </c>
      <c r="C46" s="2013"/>
      <c r="D46" s="2013"/>
      <c r="E46" s="2013"/>
      <c r="F46" s="62"/>
    </row>
    <row r="47" spans="1:6" ht="12.75" customHeight="1">
      <c r="A47" s="3341" t="s">
        <v>632</v>
      </c>
      <c r="B47" s="3352">
        <v>237</v>
      </c>
      <c r="C47" s="2013"/>
      <c r="D47" s="2013"/>
      <c r="E47" s="2013"/>
      <c r="F47" s="62"/>
    </row>
    <row r="48" spans="1:6" ht="12.75" customHeight="1">
      <c r="A48" s="2381" t="s">
        <v>986</v>
      </c>
      <c r="B48" s="3346"/>
      <c r="C48" s="3346"/>
      <c r="D48" s="3346"/>
      <c r="E48" s="3346"/>
      <c r="F48" s="62"/>
    </row>
    <row r="49" spans="1:6" ht="12.75" customHeight="1">
      <c r="A49" s="3338" t="s">
        <v>62</v>
      </c>
      <c r="B49" s="3347"/>
      <c r="C49" s="3347"/>
      <c r="D49" s="3347"/>
      <c r="E49" s="3347"/>
      <c r="F49" s="62"/>
    </row>
    <row r="50" spans="1:6" ht="12.75" customHeight="1">
      <c r="A50" s="3339" t="s">
        <v>74</v>
      </c>
      <c r="B50" s="3348">
        <v>240</v>
      </c>
      <c r="C50" s="3349"/>
      <c r="D50" s="3349"/>
      <c r="E50" s="3349"/>
      <c r="F50" s="62"/>
    </row>
    <row r="51" spans="1:6" ht="12.75" customHeight="1">
      <c r="A51" s="3339" t="s">
        <v>75</v>
      </c>
      <c r="B51" s="3348">
        <v>245</v>
      </c>
      <c r="C51" s="3349"/>
      <c r="D51" s="3349"/>
      <c r="E51" s="3349"/>
      <c r="F51" s="62"/>
    </row>
    <row r="52" spans="1:6" ht="12.75" customHeight="1">
      <c r="A52" s="3340" t="s">
        <v>988</v>
      </c>
      <c r="B52" s="3350">
        <v>250</v>
      </c>
      <c r="C52" s="2052"/>
      <c r="D52" s="2052"/>
      <c r="E52" s="2052"/>
      <c r="F52" s="62"/>
    </row>
    <row r="53" spans="1:6" ht="12.75" customHeight="1">
      <c r="A53" s="2381" t="s">
        <v>989</v>
      </c>
      <c r="B53" s="3346"/>
      <c r="C53" s="3346"/>
      <c r="D53" s="3346"/>
      <c r="E53" s="3346"/>
      <c r="F53" s="62"/>
    </row>
    <row r="54" spans="1:6" ht="12.75" customHeight="1">
      <c r="A54" s="3339" t="s">
        <v>769</v>
      </c>
      <c r="B54" s="3348">
        <v>255</v>
      </c>
      <c r="C54" s="3349"/>
      <c r="D54" s="3349"/>
      <c r="E54" s="3349"/>
      <c r="F54" s="62"/>
    </row>
    <row r="55" spans="1:6" ht="12.75" customHeight="1">
      <c r="A55" s="3339" t="s">
        <v>64</v>
      </c>
      <c r="B55" s="3348">
        <v>260</v>
      </c>
      <c r="C55" s="3349"/>
      <c r="D55" s="3349"/>
      <c r="E55" s="3349"/>
      <c r="F55" s="62"/>
    </row>
    <row r="56" spans="1:6" ht="12.75" customHeight="1">
      <c r="A56" s="3342" t="s">
        <v>936</v>
      </c>
      <c r="B56" s="3353">
        <v>263</v>
      </c>
      <c r="C56" s="3349"/>
      <c r="D56" s="3349"/>
      <c r="E56" s="3349"/>
      <c r="F56" s="62"/>
    </row>
    <row r="57" spans="1:6" ht="12.75" customHeight="1">
      <c r="A57" s="3340" t="s">
        <v>996</v>
      </c>
      <c r="B57" s="3350">
        <v>265</v>
      </c>
      <c r="C57" s="2052"/>
      <c r="D57" s="2052"/>
      <c r="E57" s="2052"/>
      <c r="F57" s="62"/>
    </row>
    <row r="58" spans="1:6" ht="12.75" customHeight="1">
      <c r="A58" s="3340" t="s">
        <v>997</v>
      </c>
      <c r="B58" s="3350">
        <v>270</v>
      </c>
      <c r="C58" s="2052"/>
      <c r="D58" s="2052"/>
      <c r="E58" s="2052"/>
      <c r="F58" s="62"/>
    </row>
    <row r="59" spans="1:6" ht="12.75" customHeight="1">
      <c r="A59" s="3340" t="s">
        <v>998</v>
      </c>
      <c r="B59" s="3350">
        <v>275</v>
      </c>
      <c r="C59" s="2052"/>
      <c r="D59" s="2052"/>
      <c r="E59" s="2052"/>
      <c r="F59" s="62"/>
    </row>
    <row r="60" spans="1:6" ht="12.75" customHeight="1">
      <c r="A60" s="2381" t="s">
        <v>65</v>
      </c>
      <c r="B60" s="3346"/>
      <c r="C60" s="3346"/>
      <c r="D60" s="3346"/>
      <c r="E60" s="3346"/>
      <c r="F60" s="62"/>
    </row>
    <row r="61" spans="1:6" ht="12.75" customHeight="1">
      <c r="A61" s="3338" t="s">
        <v>66</v>
      </c>
      <c r="B61" s="3347"/>
      <c r="C61" s="3347"/>
      <c r="D61" s="3347"/>
      <c r="E61" s="3347"/>
      <c r="F61" s="62"/>
    </row>
    <row r="62" spans="1:6" ht="12.75" customHeight="1">
      <c r="A62" s="3338" t="s">
        <v>972</v>
      </c>
      <c r="B62" s="3347"/>
      <c r="C62" s="3347"/>
      <c r="D62" s="3347"/>
      <c r="E62" s="3347"/>
      <c r="F62" s="62"/>
    </row>
    <row r="63" spans="1:6" ht="12.75" customHeight="1">
      <c r="A63" s="3339" t="s">
        <v>999</v>
      </c>
      <c r="B63" s="3348">
        <v>280</v>
      </c>
      <c r="C63" s="3349"/>
      <c r="D63" s="3349"/>
      <c r="E63" s="3349"/>
      <c r="F63" s="62"/>
    </row>
    <row r="64" spans="1:6" ht="12.75" customHeight="1">
      <c r="A64" s="3339" t="s">
        <v>943</v>
      </c>
      <c r="B64" s="3348">
        <v>285</v>
      </c>
      <c r="C64" s="3349"/>
      <c r="D64" s="3349"/>
      <c r="E64" s="3349"/>
      <c r="F64" s="62"/>
    </row>
    <row r="65" spans="1:6" ht="12.75" customHeight="1">
      <c r="A65" s="2381" t="s">
        <v>973</v>
      </c>
      <c r="B65" s="3346"/>
      <c r="C65" s="3346"/>
      <c r="D65" s="3346"/>
      <c r="E65" s="3346"/>
      <c r="F65" s="62"/>
    </row>
    <row r="66" spans="1:6" ht="12.75" customHeight="1">
      <c r="A66" s="3339" t="s">
        <v>974</v>
      </c>
      <c r="B66" s="3348">
        <v>290</v>
      </c>
      <c r="C66" s="3349"/>
      <c r="D66" s="3349"/>
      <c r="E66" s="3349"/>
      <c r="F66" s="62"/>
    </row>
    <row r="67" spans="1:6" ht="12.75" customHeight="1">
      <c r="A67" s="3339" t="s">
        <v>977</v>
      </c>
      <c r="B67" s="3348">
        <v>295</v>
      </c>
      <c r="C67" s="3349"/>
      <c r="D67" s="3349"/>
      <c r="E67" s="3349"/>
      <c r="F67" s="62"/>
    </row>
    <row r="68" spans="1:6" ht="12.75" customHeight="1">
      <c r="A68" s="3340" t="s">
        <v>978</v>
      </c>
      <c r="B68" s="3350">
        <v>300</v>
      </c>
      <c r="C68" s="2052"/>
      <c r="D68" s="2052"/>
      <c r="E68" s="2052"/>
      <c r="F68" s="62"/>
    </row>
    <row r="69" spans="1:6" ht="12.75" customHeight="1">
      <c r="A69" s="3340" t="s">
        <v>4818</v>
      </c>
      <c r="B69" s="3350">
        <v>305</v>
      </c>
      <c r="C69" s="2052"/>
      <c r="D69" s="2052"/>
      <c r="E69" s="2052"/>
      <c r="F69" s="62"/>
    </row>
    <row r="70" spans="1:6" ht="12.75" customHeight="1">
      <c r="A70" s="4580" t="s">
        <v>979</v>
      </c>
      <c r="B70" s="4581">
        <v>307</v>
      </c>
      <c r="C70" s="2052"/>
      <c r="D70" s="2052"/>
      <c r="E70" s="2052"/>
      <c r="F70" s="62"/>
    </row>
    <row r="71" spans="1:6" ht="12.75" customHeight="1">
      <c r="A71" s="3340" t="s">
        <v>986</v>
      </c>
      <c r="B71" s="3350">
        <v>310</v>
      </c>
      <c r="C71" s="2052"/>
      <c r="D71" s="2052"/>
      <c r="E71" s="2052"/>
      <c r="F71" s="62"/>
    </row>
    <row r="72" spans="1:6" ht="12.75" customHeight="1">
      <c r="A72" s="3340" t="s">
        <v>989</v>
      </c>
      <c r="B72" s="3350">
        <v>315</v>
      </c>
      <c r="C72" s="2052"/>
      <c r="D72" s="2052"/>
      <c r="E72" s="2052"/>
      <c r="F72" s="62"/>
    </row>
    <row r="73" spans="1:6" ht="12.75" customHeight="1">
      <c r="A73" s="3340" t="s">
        <v>997</v>
      </c>
      <c r="B73" s="3350">
        <v>320</v>
      </c>
      <c r="C73" s="2052"/>
      <c r="D73" s="2052"/>
      <c r="E73" s="2052"/>
      <c r="F73" s="62"/>
    </row>
    <row r="74" spans="1:6" ht="12.75" customHeight="1">
      <c r="A74" s="3340" t="s">
        <v>998</v>
      </c>
      <c r="B74" s="3350">
        <v>325</v>
      </c>
      <c r="C74" s="2052"/>
      <c r="D74" s="2052"/>
      <c r="E74" s="2052"/>
      <c r="F74" s="62"/>
    </row>
    <row r="75" spans="1:6" ht="12.75" customHeight="1">
      <c r="A75" s="2381" t="s">
        <v>67</v>
      </c>
      <c r="B75" s="3346"/>
      <c r="C75" s="3346"/>
      <c r="D75" s="3346"/>
      <c r="E75" s="3346"/>
      <c r="F75" s="62"/>
    </row>
    <row r="76" spans="1:6" ht="12.75" customHeight="1">
      <c r="A76" s="3338" t="s">
        <v>972</v>
      </c>
      <c r="B76" s="3347"/>
      <c r="C76" s="3347"/>
      <c r="D76" s="3347"/>
      <c r="E76" s="3347"/>
      <c r="F76" s="62"/>
    </row>
    <row r="77" spans="1:6" ht="12.75" customHeight="1">
      <c r="A77" s="3339" t="s">
        <v>999</v>
      </c>
      <c r="B77" s="3348">
        <v>330</v>
      </c>
      <c r="C77" s="3349"/>
      <c r="D77" s="3349"/>
      <c r="E77" s="3349"/>
      <c r="F77" s="62"/>
    </row>
    <row r="78" spans="1:6" ht="12.75" customHeight="1">
      <c r="A78" s="3340" t="s">
        <v>943</v>
      </c>
      <c r="B78" s="3350">
        <v>335</v>
      </c>
      <c r="C78" s="2052"/>
      <c r="D78" s="2052"/>
      <c r="E78" s="2052"/>
      <c r="F78" s="62"/>
    </row>
    <row r="79" spans="1:6" ht="12.75" customHeight="1">
      <c r="A79" s="2381" t="s">
        <v>973</v>
      </c>
      <c r="B79" s="3346"/>
      <c r="C79" s="3346"/>
      <c r="D79" s="3346"/>
      <c r="E79" s="3346"/>
      <c r="F79" s="62"/>
    </row>
    <row r="80" spans="1:6" ht="12.75" customHeight="1">
      <c r="A80" s="3339" t="s">
        <v>974</v>
      </c>
      <c r="B80" s="3348">
        <v>340</v>
      </c>
      <c r="C80" s="3349"/>
      <c r="D80" s="3349"/>
      <c r="E80" s="3349"/>
      <c r="F80" s="62"/>
    </row>
    <row r="81" spans="1:6" ht="12.75" customHeight="1">
      <c r="A81" s="3340" t="s">
        <v>977</v>
      </c>
      <c r="B81" s="3350">
        <v>345</v>
      </c>
      <c r="C81" s="2052"/>
      <c r="D81" s="2052"/>
      <c r="E81" s="2052"/>
      <c r="F81" s="62"/>
    </row>
    <row r="82" spans="1:6" ht="12.75" customHeight="1">
      <c r="A82" s="3340" t="s">
        <v>978</v>
      </c>
      <c r="B82" s="3350">
        <v>350</v>
      </c>
      <c r="C82" s="2052"/>
      <c r="D82" s="2052"/>
      <c r="E82" s="2052"/>
      <c r="F82" s="62"/>
    </row>
    <row r="83" spans="1:6" ht="12.75" customHeight="1">
      <c r="A83" s="4407" t="s">
        <v>4818</v>
      </c>
      <c r="B83" s="3348">
        <v>355</v>
      </c>
      <c r="C83" s="3349"/>
      <c r="D83" s="3349"/>
      <c r="E83" s="3349"/>
      <c r="F83" s="62"/>
    </row>
    <row r="84" spans="1:6" ht="12.75" customHeight="1">
      <c r="A84" s="3342" t="s">
        <v>979</v>
      </c>
      <c r="B84" s="3353">
        <v>357</v>
      </c>
      <c r="C84" s="3349"/>
      <c r="D84" s="3349"/>
      <c r="E84" s="3349"/>
      <c r="F84" s="62"/>
    </row>
    <row r="85" spans="1:6" ht="12.75" customHeight="1">
      <c r="A85" s="3340" t="s">
        <v>986</v>
      </c>
      <c r="B85" s="3350">
        <v>360</v>
      </c>
      <c r="C85" s="2052"/>
      <c r="D85" s="2052"/>
      <c r="E85" s="2052"/>
      <c r="F85" s="62"/>
    </row>
    <row r="86" spans="1:6" ht="12.75" customHeight="1">
      <c r="A86" s="2381" t="s">
        <v>989</v>
      </c>
      <c r="B86" s="3346"/>
      <c r="C86" s="3346"/>
      <c r="D86" s="3346"/>
      <c r="E86" s="3346"/>
      <c r="F86" s="62"/>
    </row>
    <row r="87" spans="1:6" ht="12.75" customHeight="1">
      <c r="A87" s="3339" t="s">
        <v>5150</v>
      </c>
      <c r="B87" s="3348">
        <v>365</v>
      </c>
      <c r="C87" s="3349"/>
      <c r="D87" s="3349"/>
      <c r="E87" s="3349"/>
      <c r="F87" s="62"/>
    </row>
    <row r="88" spans="1:6" ht="12.75" customHeight="1">
      <c r="A88" s="3339" t="s">
        <v>691</v>
      </c>
      <c r="B88" s="3348">
        <v>370</v>
      </c>
      <c r="C88" s="3349"/>
      <c r="D88" s="3349"/>
      <c r="E88" s="3349"/>
      <c r="F88" s="62"/>
    </row>
    <row r="89" spans="1:6" ht="12.75" customHeight="1">
      <c r="A89" s="3339" t="s">
        <v>996</v>
      </c>
      <c r="B89" s="3348">
        <v>375</v>
      </c>
      <c r="C89" s="3349"/>
      <c r="D89" s="3349"/>
      <c r="E89" s="3349"/>
      <c r="F89" s="62"/>
    </row>
    <row r="90" spans="1:6" ht="12.75" customHeight="1">
      <c r="A90" s="3340" t="s">
        <v>997</v>
      </c>
      <c r="B90" s="3350">
        <v>380</v>
      </c>
      <c r="C90" s="2052"/>
      <c r="D90" s="2052"/>
      <c r="E90" s="2052"/>
      <c r="F90" s="62"/>
    </row>
    <row r="91" spans="1:6" ht="12.75" customHeight="1">
      <c r="A91" s="3340" t="s">
        <v>998</v>
      </c>
      <c r="B91" s="3350">
        <v>385</v>
      </c>
      <c r="C91" s="2052"/>
      <c r="D91" s="2052"/>
      <c r="E91" s="2052"/>
      <c r="F91" s="62"/>
    </row>
    <row r="92" spans="1:6" ht="12.75" customHeight="1">
      <c r="A92" s="2381" t="s">
        <v>77</v>
      </c>
      <c r="B92" s="3346"/>
      <c r="C92" s="3346"/>
      <c r="D92" s="3346"/>
      <c r="E92" s="3346"/>
      <c r="F92" s="62"/>
    </row>
    <row r="93" spans="1:6" ht="12.75" customHeight="1">
      <c r="A93" s="3338" t="s">
        <v>972</v>
      </c>
      <c r="B93" s="3347"/>
      <c r="C93" s="3347"/>
      <c r="D93" s="3347"/>
      <c r="E93" s="3347"/>
      <c r="F93" s="62"/>
    </row>
    <row r="94" spans="1:6" ht="12.75" customHeight="1">
      <c r="A94" s="3339" t="s">
        <v>999</v>
      </c>
      <c r="B94" s="3348">
        <v>390</v>
      </c>
      <c r="C94" s="3349"/>
      <c r="D94" s="3349"/>
      <c r="E94" s="3349"/>
      <c r="F94" s="62"/>
    </row>
    <row r="95" spans="1:6" ht="12.75" customHeight="1">
      <c r="A95" s="3340" t="s">
        <v>943</v>
      </c>
      <c r="B95" s="3350">
        <v>395</v>
      </c>
      <c r="C95" s="2052"/>
      <c r="D95" s="2052"/>
      <c r="E95" s="2052"/>
      <c r="F95" s="62"/>
    </row>
    <row r="96" spans="1:6" ht="12.75" customHeight="1">
      <c r="A96" s="2381" t="s">
        <v>973</v>
      </c>
      <c r="B96" s="3346"/>
      <c r="C96" s="3346"/>
      <c r="D96" s="3346"/>
      <c r="E96" s="3346"/>
      <c r="F96" s="62"/>
    </row>
    <row r="97" spans="1:6" ht="12.75" customHeight="1">
      <c r="A97" s="3339" t="s">
        <v>974</v>
      </c>
      <c r="B97" s="3348">
        <v>400</v>
      </c>
      <c r="C97" s="3349"/>
      <c r="D97" s="3349"/>
      <c r="E97" s="3349"/>
      <c r="F97" s="62"/>
    </row>
    <row r="98" spans="1:6" ht="12.75" customHeight="1">
      <c r="A98" s="3340" t="s">
        <v>977</v>
      </c>
      <c r="B98" s="3350">
        <v>405</v>
      </c>
      <c r="C98" s="2052"/>
      <c r="D98" s="2052"/>
      <c r="E98" s="2052"/>
      <c r="F98" s="62"/>
    </row>
    <row r="99" spans="1:6" ht="12.75" customHeight="1">
      <c r="A99" s="3340" t="s">
        <v>978</v>
      </c>
      <c r="B99" s="3350">
        <v>410</v>
      </c>
      <c r="C99" s="2052"/>
      <c r="D99" s="2052"/>
      <c r="E99" s="2052"/>
      <c r="F99" s="62"/>
    </row>
    <row r="100" spans="1:6" ht="12.75" customHeight="1">
      <c r="A100" s="2380" t="s">
        <v>4818</v>
      </c>
      <c r="B100" s="3348">
        <v>415</v>
      </c>
      <c r="C100" s="3349"/>
      <c r="D100" s="3349"/>
      <c r="E100" s="3349"/>
      <c r="F100" s="62"/>
    </row>
    <row r="101" spans="1:6" ht="12.75" customHeight="1">
      <c r="A101" s="3340" t="s">
        <v>986</v>
      </c>
      <c r="B101" s="3350">
        <v>420</v>
      </c>
      <c r="C101" s="2052"/>
      <c r="D101" s="2052"/>
      <c r="E101" s="2052"/>
      <c r="F101" s="62"/>
    </row>
    <row r="102" spans="1:6" ht="12.75" customHeight="1">
      <c r="A102" s="3340" t="s">
        <v>989</v>
      </c>
      <c r="B102" s="3350">
        <v>425</v>
      </c>
      <c r="C102" s="2052"/>
      <c r="D102" s="2052"/>
      <c r="E102" s="2052"/>
      <c r="F102" s="62"/>
    </row>
    <row r="103" spans="1:6" ht="12.75" customHeight="1">
      <c r="A103" s="3340" t="s">
        <v>997</v>
      </c>
      <c r="B103" s="3350">
        <v>430</v>
      </c>
      <c r="C103" s="2052"/>
      <c r="D103" s="2052"/>
      <c r="E103" s="2052"/>
      <c r="F103" s="62"/>
    </row>
    <row r="104" spans="1:6" ht="12.75" customHeight="1">
      <c r="A104" s="3340" t="s">
        <v>998</v>
      </c>
      <c r="B104" s="3350">
        <v>435</v>
      </c>
      <c r="C104" s="2052"/>
      <c r="D104" s="2052"/>
      <c r="E104" s="2052"/>
      <c r="F104" s="62"/>
    </row>
    <row r="105" spans="1:6" ht="12.75" customHeight="1">
      <c r="A105" s="2068" t="s">
        <v>1320</v>
      </c>
      <c r="B105" s="2092"/>
      <c r="C105" s="2092"/>
      <c r="D105" s="2092"/>
      <c r="E105" s="2092"/>
      <c r="F105" s="62"/>
    </row>
    <row r="106" spans="1:6" ht="12.75" customHeight="1">
      <c r="A106" s="2069" t="s">
        <v>1144</v>
      </c>
      <c r="B106" s="2093"/>
      <c r="C106" s="2093"/>
      <c r="D106" s="2093"/>
      <c r="E106" s="2093"/>
      <c r="F106" s="62"/>
    </row>
    <row r="107" spans="1:6" ht="12.75" customHeight="1">
      <c r="A107" s="2074" t="s">
        <v>1321</v>
      </c>
      <c r="B107" s="2094">
        <v>565</v>
      </c>
      <c r="C107" s="3214"/>
      <c r="D107" s="3214"/>
      <c r="E107" s="3215"/>
      <c r="F107" s="62"/>
    </row>
    <row r="108" spans="1:6" ht="12.75" customHeight="1">
      <c r="A108" s="2075" t="s">
        <v>1308</v>
      </c>
      <c r="B108" s="2095">
        <v>570</v>
      </c>
      <c r="C108" s="3216"/>
      <c r="D108" s="3216"/>
      <c r="E108" s="3216"/>
      <c r="F108" s="62"/>
    </row>
    <row r="109" spans="1:6" ht="12.75" customHeight="1">
      <c r="A109" s="2068" t="s">
        <v>794</v>
      </c>
      <c r="B109" s="2092"/>
      <c r="C109" s="2092"/>
      <c r="D109" s="2092"/>
      <c r="E109" s="2092"/>
      <c r="F109" s="62"/>
    </row>
    <row r="110" spans="1:6" ht="12.75" customHeight="1">
      <c r="A110" s="2074" t="s">
        <v>1323</v>
      </c>
      <c r="B110" s="2096">
        <v>575</v>
      </c>
      <c r="C110" s="3214"/>
      <c r="D110" s="3214"/>
      <c r="E110" s="3214"/>
      <c r="F110" s="62"/>
    </row>
    <row r="111" spans="1:6" ht="12.75" customHeight="1">
      <c r="A111" s="2075" t="s">
        <v>1322</v>
      </c>
      <c r="B111" s="2095">
        <v>580</v>
      </c>
      <c r="C111" s="3216"/>
      <c r="D111" s="3216"/>
      <c r="E111" s="3216"/>
      <c r="F111" s="62"/>
    </row>
    <row r="112" spans="1:6" ht="12.75" customHeight="1">
      <c r="A112" s="2075" t="s">
        <v>1324</v>
      </c>
      <c r="B112" s="2095">
        <v>585</v>
      </c>
      <c r="C112" s="3216"/>
      <c r="D112" s="3216"/>
      <c r="E112" s="3216"/>
      <c r="F112" s="62"/>
    </row>
    <row r="113" spans="1:6" ht="12.75" customHeight="1">
      <c r="A113" s="2380" t="s">
        <v>4818</v>
      </c>
      <c r="B113" s="2095">
        <v>590</v>
      </c>
      <c r="C113" s="3216"/>
      <c r="D113" s="3216"/>
      <c r="E113" s="3216"/>
      <c r="F113" s="62"/>
    </row>
    <row r="114" spans="1:6" ht="12.75" customHeight="1">
      <c r="A114" s="2075" t="s">
        <v>632</v>
      </c>
      <c r="B114" s="2095">
        <v>595</v>
      </c>
      <c r="C114" s="3216"/>
      <c r="D114" s="3216"/>
      <c r="E114" s="3216"/>
      <c r="F114" s="62"/>
    </row>
    <row r="115" spans="1:6" ht="12.75" customHeight="1">
      <c r="A115" s="2075" t="s">
        <v>610</v>
      </c>
      <c r="B115" s="2095">
        <v>600</v>
      </c>
      <c r="C115" s="3216"/>
      <c r="D115" s="3216"/>
      <c r="E115" s="3216"/>
      <c r="F115" s="62"/>
    </row>
    <row r="116" spans="1:6" ht="12.75" customHeight="1">
      <c r="A116" s="2075" t="s">
        <v>1313</v>
      </c>
      <c r="B116" s="2095">
        <v>605</v>
      </c>
      <c r="C116" s="3216"/>
      <c r="D116" s="3216"/>
      <c r="E116" s="3216"/>
      <c r="F116" s="62"/>
    </row>
    <row r="117" spans="1:6" ht="12.75" customHeight="1">
      <c r="A117" s="2075" t="s">
        <v>1314</v>
      </c>
      <c r="B117" s="2095">
        <v>610</v>
      </c>
      <c r="C117" s="3216"/>
      <c r="D117" s="3216"/>
      <c r="E117" s="3216"/>
      <c r="F117" s="62"/>
    </row>
    <row r="118" spans="1:6" ht="12.75" customHeight="1">
      <c r="A118" s="2075" t="s">
        <v>793</v>
      </c>
      <c r="B118" s="2095">
        <v>615</v>
      </c>
      <c r="C118" s="3216"/>
      <c r="D118" s="3216"/>
      <c r="E118" s="3216"/>
      <c r="F118" s="62"/>
    </row>
    <row r="119" spans="1:6" ht="12.75" customHeight="1">
      <c r="A119" s="2381" t="s">
        <v>971</v>
      </c>
      <c r="B119" s="3346"/>
      <c r="C119" s="3346"/>
      <c r="D119" s="3346"/>
      <c r="E119" s="3346"/>
      <c r="F119" s="62"/>
    </row>
    <row r="120" spans="1:6" ht="12.75" customHeight="1">
      <c r="A120" s="3338" t="s">
        <v>972</v>
      </c>
      <c r="B120" s="3347"/>
      <c r="C120" s="3347"/>
      <c r="D120" s="3347"/>
      <c r="E120" s="3347"/>
      <c r="F120" s="62"/>
    </row>
    <row r="121" spans="1:6" ht="12.75" customHeight="1">
      <c r="A121" s="3339" t="s">
        <v>943</v>
      </c>
      <c r="B121" s="3348">
        <v>440</v>
      </c>
      <c r="C121" s="3349"/>
      <c r="D121" s="3349"/>
      <c r="E121" s="3349"/>
      <c r="F121" s="62"/>
    </row>
    <row r="122" spans="1:6" ht="12.75" customHeight="1">
      <c r="A122" s="2381" t="s">
        <v>973</v>
      </c>
      <c r="B122" s="3346"/>
      <c r="C122" s="3346"/>
      <c r="D122" s="3346"/>
      <c r="E122" s="3346"/>
      <c r="F122" s="62"/>
    </row>
    <row r="123" spans="1:6" ht="12.75" customHeight="1">
      <c r="A123" s="2383" t="s">
        <v>974</v>
      </c>
      <c r="B123" s="3354">
        <v>445</v>
      </c>
      <c r="C123" s="3355"/>
      <c r="D123" s="3355"/>
      <c r="E123" s="3355"/>
      <c r="F123" s="62"/>
    </row>
    <row r="124" spans="1:6" ht="12.75" customHeight="1">
      <c r="A124" s="3340" t="s">
        <v>977</v>
      </c>
      <c r="B124" s="3350">
        <v>450</v>
      </c>
      <c r="C124" s="2052"/>
      <c r="D124" s="2052"/>
      <c r="E124" s="2052"/>
      <c r="F124" s="62"/>
    </row>
    <row r="125" spans="1:6" ht="12.75" customHeight="1">
      <c r="A125" s="3340" t="s">
        <v>978</v>
      </c>
      <c r="B125" s="3350">
        <v>455</v>
      </c>
      <c r="C125" s="2052"/>
      <c r="D125" s="2052"/>
      <c r="E125" s="2052"/>
      <c r="F125" s="62"/>
    </row>
    <row r="126" spans="1:6" ht="12.75" customHeight="1">
      <c r="A126" s="2380" t="s">
        <v>4818</v>
      </c>
      <c r="B126" s="3348">
        <v>460</v>
      </c>
      <c r="C126" s="3349"/>
      <c r="D126" s="3349"/>
      <c r="E126" s="3349"/>
      <c r="F126" s="62"/>
    </row>
    <row r="127" spans="1:6" ht="12.75" customHeight="1">
      <c r="A127" s="2380" t="s">
        <v>979</v>
      </c>
      <c r="B127" s="3351">
        <v>465</v>
      </c>
      <c r="C127" s="2013"/>
      <c r="D127" s="2013"/>
      <c r="E127" s="2013"/>
      <c r="F127" s="62"/>
    </row>
    <row r="128" spans="1:6" ht="12.75" customHeight="1">
      <c r="A128" s="3340" t="s">
        <v>986</v>
      </c>
      <c r="B128" s="3350">
        <v>470</v>
      </c>
      <c r="C128" s="2052"/>
      <c r="D128" s="2052"/>
      <c r="E128" s="2052"/>
      <c r="F128" s="62"/>
    </row>
    <row r="129" spans="1:6" ht="12.75" customHeight="1">
      <c r="A129" s="3335" t="s">
        <v>989</v>
      </c>
      <c r="B129" s="3356"/>
      <c r="C129" s="3356"/>
      <c r="D129" s="3356"/>
      <c r="E129" s="3356"/>
      <c r="F129" s="62"/>
    </row>
    <row r="130" spans="1:6" ht="12.75" customHeight="1">
      <c r="A130" s="3343" t="s">
        <v>990</v>
      </c>
      <c r="B130" s="3357">
        <v>475</v>
      </c>
      <c r="C130" s="3349"/>
      <c r="D130" s="3349"/>
      <c r="E130" s="3349"/>
      <c r="F130" s="62"/>
    </row>
    <row r="131" spans="1:6" ht="12.75" customHeight="1">
      <c r="A131" s="3335" t="s">
        <v>991</v>
      </c>
      <c r="B131" s="3356"/>
      <c r="C131" s="3356"/>
      <c r="D131" s="3356"/>
      <c r="E131" s="3356"/>
      <c r="F131" s="62"/>
    </row>
    <row r="132" spans="1:6" ht="12.75" customHeight="1">
      <c r="A132" s="3343" t="s">
        <v>992</v>
      </c>
      <c r="B132" s="3357">
        <v>480</v>
      </c>
      <c r="C132" s="3349"/>
      <c r="D132" s="3349"/>
      <c r="E132" s="3349"/>
      <c r="F132" s="62"/>
    </row>
    <row r="133" spans="1:6" ht="12.75" customHeight="1">
      <c r="A133" s="3344" t="s">
        <v>993</v>
      </c>
      <c r="B133" s="3358">
        <v>485</v>
      </c>
      <c r="C133" s="2052"/>
      <c r="D133" s="2052"/>
      <c r="E133" s="2052"/>
      <c r="F133" s="62"/>
    </row>
    <row r="134" spans="1:6" ht="12.75" customHeight="1">
      <c r="A134" s="3344" t="s">
        <v>248</v>
      </c>
      <c r="B134" s="3358">
        <v>490</v>
      </c>
      <c r="C134" s="2052"/>
      <c r="D134" s="2052"/>
      <c r="E134" s="2052"/>
      <c r="F134" s="62"/>
    </row>
    <row r="135" spans="1:6" ht="12.75" customHeight="1">
      <c r="A135" s="3344" t="s">
        <v>995</v>
      </c>
      <c r="B135" s="3358">
        <v>495</v>
      </c>
      <c r="C135" s="2052"/>
      <c r="D135" s="2052"/>
      <c r="E135" s="2052"/>
      <c r="F135" s="62"/>
    </row>
    <row r="136" spans="1:6" ht="12.75" customHeight="1">
      <c r="A136" s="3344" t="s">
        <v>996</v>
      </c>
      <c r="B136" s="3358">
        <v>500</v>
      </c>
      <c r="C136" s="2052"/>
      <c r="D136" s="2052"/>
      <c r="E136" s="2052"/>
      <c r="F136" s="62"/>
    </row>
    <row r="137" spans="1:6" ht="12.75" customHeight="1">
      <c r="A137" s="3343" t="s">
        <v>997</v>
      </c>
      <c r="B137" s="3357">
        <v>505</v>
      </c>
      <c r="C137" s="3349"/>
      <c r="D137" s="3349"/>
      <c r="E137" s="3349"/>
      <c r="F137" s="62"/>
    </row>
    <row r="138" spans="1:6" ht="12.75" customHeight="1">
      <c r="A138" s="3344" t="s">
        <v>998</v>
      </c>
      <c r="B138" s="3359">
        <v>510</v>
      </c>
      <c r="C138" s="2013"/>
      <c r="D138" s="2013"/>
      <c r="E138" s="2013"/>
      <c r="F138" s="62"/>
    </row>
    <row r="139" spans="1:6" ht="12.75" customHeight="1">
      <c r="A139" s="3337" t="s">
        <v>4814</v>
      </c>
      <c r="B139" s="3360"/>
      <c r="C139" s="3360"/>
      <c r="D139" s="3360"/>
      <c r="E139" s="3360"/>
      <c r="F139" s="62"/>
    </row>
    <row r="140" spans="1:6" ht="12.75" customHeight="1">
      <c r="A140" s="3336" t="s">
        <v>972</v>
      </c>
      <c r="B140" s="3361"/>
      <c r="C140" s="3361"/>
      <c r="D140" s="3361"/>
      <c r="E140" s="3361"/>
      <c r="F140" s="70"/>
    </row>
    <row r="141" spans="1:6" ht="12.75" customHeight="1">
      <c r="A141" s="3343" t="s">
        <v>943</v>
      </c>
      <c r="B141" s="3357">
        <v>515</v>
      </c>
      <c r="C141" s="3349"/>
      <c r="D141" s="3349"/>
      <c r="E141" s="3349"/>
      <c r="F141" s="70"/>
    </row>
    <row r="142" spans="1:6" ht="12.75" customHeight="1">
      <c r="A142" s="3335" t="s">
        <v>973</v>
      </c>
      <c r="B142" s="3356"/>
      <c r="C142" s="3356"/>
      <c r="D142" s="3356"/>
      <c r="E142" s="3356"/>
      <c r="F142" s="62"/>
    </row>
    <row r="143" spans="1:6" ht="12.75" customHeight="1">
      <c r="A143" s="3343" t="s">
        <v>1000</v>
      </c>
      <c r="B143" s="3357">
        <v>520</v>
      </c>
      <c r="C143" s="3349"/>
      <c r="D143" s="3349"/>
      <c r="E143" s="3349"/>
      <c r="F143" s="62"/>
    </row>
    <row r="144" spans="1:6" ht="12.75" customHeight="1">
      <c r="A144" s="3344" t="s">
        <v>977</v>
      </c>
      <c r="B144" s="3358">
        <v>525</v>
      </c>
      <c r="C144" s="2052"/>
      <c r="D144" s="2052"/>
      <c r="E144" s="2052"/>
      <c r="F144" s="62"/>
    </row>
    <row r="145" spans="1:6" ht="12.75" customHeight="1">
      <c r="A145" s="3344" t="s">
        <v>978</v>
      </c>
      <c r="B145" s="3358">
        <v>530</v>
      </c>
      <c r="C145" s="2052"/>
      <c r="D145" s="2052"/>
      <c r="E145" s="2052"/>
      <c r="F145" s="62"/>
    </row>
    <row r="146" spans="1:6" ht="12.75" customHeight="1">
      <c r="A146" s="2380" t="s">
        <v>4818</v>
      </c>
      <c r="B146" s="3357">
        <v>535</v>
      </c>
      <c r="C146" s="3349"/>
      <c r="D146" s="3349"/>
      <c r="E146" s="3349"/>
      <c r="F146" s="62"/>
    </row>
    <row r="147" spans="1:6" ht="12.75" customHeight="1">
      <c r="A147" s="3344" t="s">
        <v>249</v>
      </c>
      <c r="B147" s="3358">
        <v>540</v>
      </c>
      <c r="C147" s="2052"/>
      <c r="D147" s="2052"/>
      <c r="E147" s="2052"/>
      <c r="F147" s="62"/>
    </row>
    <row r="148" spans="1:6" ht="12.75" customHeight="1">
      <c r="A148" s="3344" t="s">
        <v>250</v>
      </c>
      <c r="B148" s="3358">
        <v>545</v>
      </c>
      <c r="C148" s="2052"/>
      <c r="D148" s="2052"/>
      <c r="E148" s="2052"/>
      <c r="F148" s="62"/>
    </row>
    <row r="149" spans="1:6" ht="12.75" customHeight="1">
      <c r="A149" s="3343" t="s">
        <v>5156</v>
      </c>
      <c r="B149" s="3357">
        <v>550</v>
      </c>
      <c r="C149" s="3349"/>
      <c r="D149" s="3349">
        <v>231</v>
      </c>
      <c r="E149" s="3349">
        <v>231</v>
      </c>
      <c r="F149" s="62"/>
    </row>
    <row r="150" spans="1:6" ht="12.75" customHeight="1">
      <c r="A150" s="3344" t="s">
        <v>997</v>
      </c>
      <c r="B150" s="3358">
        <v>555</v>
      </c>
      <c r="C150" s="2052"/>
      <c r="D150" s="2052"/>
      <c r="E150" s="2052"/>
      <c r="F150" s="62"/>
    </row>
    <row r="151" spans="1:6" ht="12.75" customHeight="1">
      <c r="A151" s="3344" t="s">
        <v>998</v>
      </c>
      <c r="B151" s="3358">
        <v>560</v>
      </c>
      <c r="C151" s="2052"/>
      <c r="D151" s="2052"/>
      <c r="E151" s="2052"/>
      <c r="F151" s="62"/>
    </row>
    <row r="152" spans="1:6" ht="12.75" customHeight="1">
      <c r="A152" s="3335" t="s">
        <v>1326</v>
      </c>
      <c r="B152" s="3356"/>
      <c r="C152" s="3356"/>
      <c r="D152" s="3356"/>
      <c r="E152" s="3356"/>
      <c r="F152" s="62"/>
    </row>
    <row r="153" spans="1:6" ht="12.75" customHeight="1">
      <c r="A153" s="3336" t="s">
        <v>972</v>
      </c>
      <c r="B153" s="3361"/>
      <c r="C153" s="3361"/>
      <c r="D153" s="3361"/>
      <c r="E153" s="3361"/>
      <c r="F153" s="62"/>
    </row>
    <row r="154" spans="1:6" ht="12.75" customHeight="1">
      <c r="A154" s="3343" t="s">
        <v>999</v>
      </c>
      <c r="B154" s="3362">
        <v>630</v>
      </c>
      <c r="C154" s="3363"/>
      <c r="D154" s="3349"/>
      <c r="E154" s="3349"/>
      <c r="F154" s="62"/>
    </row>
    <row r="155" spans="1:6" ht="12.75" customHeight="1">
      <c r="A155" s="3344" t="s">
        <v>1066</v>
      </c>
      <c r="B155" s="3364">
        <v>635</v>
      </c>
      <c r="C155" s="3363"/>
      <c r="D155" s="2052"/>
      <c r="E155" s="2052"/>
      <c r="F155" s="62"/>
    </row>
    <row r="156" spans="1:6" ht="12.75" customHeight="1">
      <c r="A156" s="3335" t="s">
        <v>973</v>
      </c>
      <c r="B156" s="3356"/>
      <c r="C156" s="3356"/>
      <c r="D156" s="3356"/>
      <c r="E156" s="3356"/>
      <c r="F156" s="62"/>
    </row>
    <row r="157" spans="1:6" ht="12.75" customHeight="1">
      <c r="A157" s="3343" t="s">
        <v>1000</v>
      </c>
      <c r="B157" s="3365">
        <v>640</v>
      </c>
      <c r="C157" s="3363"/>
      <c r="D157" s="3349"/>
      <c r="E157" s="3349"/>
      <c r="F157" s="62"/>
    </row>
    <row r="158" spans="1:6" ht="12.75" customHeight="1">
      <c r="A158" s="69" t="s">
        <v>977</v>
      </c>
      <c r="B158" s="468">
        <v>645</v>
      </c>
      <c r="C158" s="1151"/>
      <c r="D158" s="1147"/>
      <c r="E158" s="1133"/>
      <c r="F158" s="62"/>
    </row>
    <row r="159" spans="1:6" ht="12.75" customHeight="1">
      <c r="A159" s="69" t="s">
        <v>978</v>
      </c>
      <c r="B159" s="468">
        <v>650</v>
      </c>
      <c r="C159" s="1151"/>
      <c r="D159" s="1147"/>
      <c r="E159" s="1133"/>
      <c r="F159" s="62"/>
    </row>
    <row r="160" spans="1:6" ht="12.75" customHeight="1">
      <c r="A160" s="2380" t="s">
        <v>4818</v>
      </c>
      <c r="B160" s="467">
        <v>655</v>
      </c>
      <c r="C160" s="1151"/>
      <c r="D160" s="1141"/>
      <c r="E160" s="1140"/>
      <c r="F160" s="62"/>
    </row>
    <row r="161" spans="1:7" ht="12.75" customHeight="1">
      <c r="A161" s="69" t="s">
        <v>979</v>
      </c>
      <c r="B161" s="468">
        <v>660</v>
      </c>
      <c r="C161" s="1151"/>
      <c r="D161" s="1147"/>
      <c r="E161" s="1133"/>
      <c r="F161" s="62"/>
    </row>
    <row r="162" spans="1:7" ht="12.75" customHeight="1">
      <c r="A162" s="69" t="s">
        <v>986</v>
      </c>
      <c r="B162" s="468">
        <v>665</v>
      </c>
      <c r="C162" s="1151"/>
      <c r="D162" s="1147"/>
      <c r="E162" s="1133"/>
      <c r="F162" s="62"/>
    </row>
    <row r="163" spans="1:7" ht="12.75" customHeight="1">
      <c r="A163" s="69" t="s">
        <v>989</v>
      </c>
      <c r="B163" s="468">
        <v>670</v>
      </c>
      <c r="C163" s="1151"/>
      <c r="D163" s="1147"/>
      <c r="E163" s="1133"/>
      <c r="F163" s="62"/>
    </row>
    <row r="164" spans="1:7" ht="12.75" customHeight="1">
      <c r="A164" s="1161" t="s">
        <v>997</v>
      </c>
      <c r="B164" s="1152">
        <v>675</v>
      </c>
      <c r="C164" s="1151"/>
      <c r="D164" s="1147"/>
      <c r="E164" s="1133"/>
      <c r="F164" s="62"/>
    </row>
    <row r="165" spans="1:7" ht="12.75" customHeight="1">
      <c r="A165" s="1162" t="s">
        <v>998</v>
      </c>
      <c r="B165" s="1152">
        <v>680</v>
      </c>
      <c r="C165" s="1153"/>
      <c r="D165" s="1154"/>
      <c r="E165" s="1148"/>
      <c r="F165" s="62"/>
      <c r="G165" s="425"/>
    </row>
    <row r="166" spans="1:7" ht="12.75" customHeight="1">
      <c r="A166" s="1163" t="s">
        <v>5153</v>
      </c>
      <c r="B166" s="2578" t="s">
        <v>4906</v>
      </c>
      <c r="C166" s="1155">
        <f>SUM(C40:C165)</f>
        <v>5524</v>
      </c>
      <c r="D166" s="1155">
        <f t="shared" ref="D166:E166" si="0">SUM(D40:D165)</f>
        <v>6280</v>
      </c>
      <c r="E166" s="1155">
        <f t="shared" si="0"/>
        <v>11280</v>
      </c>
      <c r="F166" s="62"/>
      <c r="G166" s="425"/>
    </row>
    <row r="167" spans="1:7" ht="12.75" customHeight="1">
      <c r="A167" s="6101" t="s">
        <v>4911</v>
      </c>
      <c r="B167" s="6101"/>
      <c r="C167" s="6101"/>
      <c r="D167" s="6101"/>
      <c r="E167" s="6101"/>
      <c r="F167" s="62"/>
      <c r="G167" s="425"/>
    </row>
    <row r="168" spans="1:7" ht="12.75" customHeight="1">
      <c r="A168" s="2864"/>
      <c r="B168" s="1121"/>
      <c r="C168" s="1120"/>
      <c r="D168" s="1120"/>
      <c r="E168" s="1120"/>
      <c r="F168" s="62"/>
      <c r="G168" s="425"/>
    </row>
    <row r="169" spans="1:7" ht="12.75" customHeight="1">
      <c r="A169" s="62"/>
      <c r="B169" s="1121"/>
      <c r="C169" s="1120"/>
      <c r="D169" s="1120"/>
      <c r="E169" s="1120"/>
      <c r="F169" s="62"/>
    </row>
    <row r="170" spans="1:7" ht="12.75" customHeight="1">
      <c r="A170" s="68"/>
      <c r="B170" s="1149"/>
      <c r="C170" s="1150"/>
      <c r="D170" s="1150"/>
      <c r="E170" s="1150"/>
      <c r="F170" s="62"/>
    </row>
  </sheetData>
  <sheetProtection algorithmName="SHA-512" hashValue="+JJZ6C2p1XYEBnJW3NnAQH2OZ/YzVBZkXlNRiKJtRwgDz4zx5KFplaFRg2t6y+2PTQiJn9cfN1Mnco6jgoirmA==" saltValue="nx441G+r/bTqwmzU9FfHDQ==" spinCount="100000" sheet="1" objects="1" scenarios="1"/>
  <mergeCells count="5">
    <mergeCell ref="D1:E1"/>
    <mergeCell ref="D2:E2"/>
    <mergeCell ref="D28:E28"/>
    <mergeCell ref="D29:E29"/>
    <mergeCell ref="A167:E167"/>
  </mergeCells>
  <phoneticPr fontId="13" type="noConversion"/>
  <dataValidations count="3">
    <dataValidation type="whole" operator="greaterThanOrEqual" showInputMessage="1" showErrorMessage="1" errorTitle="Invalid Data Entry" error="Please enter a positive number or press the delete key or enter zero." sqref="C130:E130 C132:E138 C143:E151 C141:E141 C154:E155 C19:D19 C87:E91 C14:D14 C94:E95 C40:E41 C63:E64 C77:E78 C80:E85 C66:E74 C54:E59 C50:E52 C43:E47 C97:E104 C157:E165 C10:D10 E13:E14 C16:D17 C121:E121 C123:E128">
      <formula1>0</formula1>
    </dataValidation>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a zero." sqref="C107:E108 C110:E118 D13">
      <formula1>0</formula1>
    </dataValidation>
  </dataValidations>
  <hyperlinks>
    <hyperlink ref="G1" location="Contents!F1" display="Return to Contents page"/>
  </hyperlinks>
  <printOptions horizontalCentered="1"/>
  <pageMargins left="0.75" right="0.75" top="0.5" bottom="0.5" header="0.3" footer="0.3"/>
  <pageSetup scale="86" fitToHeight="0" orientation="portrait" blackAndWhite="1" r:id="rId1"/>
  <headerFooter scaleWithDoc="0">
    <oddFooter>&amp;L&amp;"Open Sans Light,Regular"&amp;8&amp;D    &amp;T&amp;C&amp;"Open Sans Light,Regular"&amp;8Page &amp;P&amp;R&amp;"Open Sans Light,Regular"&amp;8&amp;A</oddFooter>
  </headerFooter>
  <rowBreaks count="1" manualBreakCount="1">
    <brk id="121" max="4" man="1"/>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4" tint="0.39997558519241921"/>
  </sheetPr>
  <dimension ref="A1:Z49"/>
  <sheetViews>
    <sheetView showGridLines="0" workbookViewId="0">
      <pane ySplit="8" topLeftCell="A78" activePane="bottomLeft" state="frozen"/>
      <selection activeCell="B22" sqref="B22"/>
      <selection pane="bottomLeft" activeCell="B22" sqref="B22"/>
    </sheetView>
  </sheetViews>
  <sheetFormatPr defaultColWidth="8.88671875" defaultRowHeight="12.75" customHeight="1"/>
  <cols>
    <col min="1" max="1" width="40.6640625" style="282" customWidth="1"/>
    <col min="2" max="2" width="4.88671875" style="282" customWidth="1"/>
    <col min="3" max="5" width="14.33203125" style="282" customWidth="1"/>
    <col min="6" max="6" width="3.109375" style="282" customWidth="1"/>
    <col min="7" max="7" width="2.109375" style="282" customWidth="1"/>
    <col min="8" max="8" width="20.6640625" style="282" customWidth="1"/>
    <col min="9" max="9" width="11.44140625" style="282" customWidth="1"/>
    <col min="10" max="26" width="9.109375" style="282"/>
  </cols>
  <sheetData>
    <row r="1" spans="1:26" ht="12.75" customHeight="1">
      <c r="A1" s="177" t="s">
        <v>809</v>
      </c>
      <c r="B1" s="4253">
        <f>OPEN!B4</f>
        <v>237</v>
      </c>
      <c r="C1" s="939"/>
      <c r="D1" s="6124" t="s">
        <v>836</v>
      </c>
      <c r="E1" s="6124"/>
      <c r="F1" s="177"/>
      <c r="G1" s="175"/>
      <c r="H1" s="304" t="s">
        <v>754</v>
      </c>
    </row>
    <row r="2" spans="1:26" ht="12.75" customHeight="1">
      <c r="A2" s="175"/>
      <c r="B2" s="176"/>
      <c r="C2" s="175"/>
      <c r="D2" s="6124" t="s">
        <v>921</v>
      </c>
      <c r="E2" s="6124"/>
      <c r="F2" s="177"/>
      <c r="G2" s="175"/>
    </row>
    <row r="3" spans="1:26" ht="12.75" customHeight="1">
      <c r="A3" s="175"/>
      <c r="B3" s="176"/>
      <c r="C3" s="175"/>
      <c r="D3" s="175"/>
      <c r="E3" s="177" t="str">
        <f>OpenData!N2</f>
        <v>2021-2022</v>
      </c>
      <c r="F3" s="177"/>
      <c r="G3" s="175"/>
    </row>
    <row r="4" spans="1:26" ht="12.75" customHeight="1">
      <c r="A4" s="175"/>
      <c r="B4" s="176"/>
      <c r="C4" s="175"/>
      <c r="D4" s="175"/>
      <c r="E4" s="175"/>
      <c r="F4" s="175"/>
      <c r="G4" s="175"/>
    </row>
    <row r="5" spans="1:26" ht="12.75" customHeight="1">
      <c r="A5" s="175"/>
      <c r="B5" s="176"/>
      <c r="C5" s="179" t="s">
        <v>922</v>
      </c>
      <c r="D5" s="179" t="s">
        <v>922</v>
      </c>
      <c r="E5" s="179" t="s">
        <v>922</v>
      </c>
      <c r="F5" s="207"/>
      <c r="G5" s="175"/>
    </row>
    <row r="6" spans="1:26" ht="12.75" customHeight="1">
      <c r="A6" s="180"/>
      <c r="B6" s="181" t="s">
        <v>854</v>
      </c>
      <c r="C6" s="182" t="str">
        <f>OpenData!N4</f>
        <v>2019-2020</v>
      </c>
      <c r="D6" s="182" t="str">
        <f>OpenData!O4</f>
        <v>2020-2021</v>
      </c>
      <c r="E6" s="182" t="str">
        <f>OpenData!P4</f>
        <v>2021-2022</v>
      </c>
      <c r="G6" s="175"/>
    </row>
    <row r="7" spans="1:26" ht="12.75" customHeight="1">
      <c r="A7" s="180" t="s">
        <v>304</v>
      </c>
      <c r="B7" s="183">
        <v>19</v>
      </c>
      <c r="C7" s="184" t="s">
        <v>893</v>
      </c>
      <c r="D7" s="184" t="s">
        <v>893</v>
      </c>
      <c r="E7" s="184" t="s">
        <v>923</v>
      </c>
      <c r="G7" s="175"/>
    </row>
    <row r="8" spans="1:26" ht="12.75" customHeight="1">
      <c r="A8" s="185"/>
      <c r="B8" s="186" t="s">
        <v>858</v>
      </c>
      <c r="C8" s="310">
        <v>1</v>
      </c>
      <c r="D8" s="310">
        <v>2</v>
      </c>
      <c r="E8" s="187">
        <v>3</v>
      </c>
      <c r="G8" s="175"/>
    </row>
    <row r="9" spans="1:26" ht="12.75" customHeight="1">
      <c r="A9" s="188" t="s">
        <v>1043</v>
      </c>
      <c r="B9" s="311">
        <v>1</v>
      </c>
      <c r="C9" s="197"/>
      <c r="D9" s="191">
        <f>C34</f>
        <v>0</v>
      </c>
      <c r="E9" s="190">
        <f>D34</f>
        <v>0</v>
      </c>
      <c r="F9" s="434"/>
      <c r="G9" s="175"/>
    </row>
    <row r="10" spans="1:26" ht="12.75" customHeight="1">
      <c r="A10" s="3974" t="s">
        <v>4940</v>
      </c>
      <c r="B10" s="1991">
        <v>3</v>
      </c>
      <c r="C10" s="2774" t="s">
        <v>4905</v>
      </c>
      <c r="D10" s="2774" t="s">
        <v>4905</v>
      </c>
      <c r="E10" s="2971"/>
      <c r="F10" s="434"/>
      <c r="G10" s="175"/>
    </row>
    <row r="11" spans="1:26" s="667" customFormat="1" ht="12.75" customHeight="1">
      <c r="A11" s="3615"/>
      <c r="B11" s="4391"/>
      <c r="C11" s="3910"/>
      <c r="D11" s="3910"/>
      <c r="E11" s="1650"/>
      <c r="F11" s="434"/>
      <c r="G11" s="175"/>
      <c r="H11" s="898"/>
      <c r="I11" s="898"/>
      <c r="J11" s="898"/>
      <c r="K11" s="898"/>
      <c r="L11" s="898"/>
      <c r="M11" s="898"/>
      <c r="N11" s="898"/>
      <c r="O11" s="898"/>
      <c r="P11" s="898"/>
      <c r="Q11" s="898"/>
      <c r="R11" s="898"/>
      <c r="S11" s="898"/>
      <c r="T11" s="898"/>
      <c r="U11" s="898"/>
      <c r="V11" s="898"/>
      <c r="W11" s="898"/>
      <c r="X11" s="898"/>
      <c r="Y11" s="898"/>
      <c r="Z11" s="898"/>
    </row>
    <row r="12" spans="1:26" ht="12.75" customHeight="1">
      <c r="A12" s="4392" t="s">
        <v>4767</v>
      </c>
      <c r="B12" s="4393"/>
      <c r="C12" s="4383"/>
      <c r="D12" s="4383"/>
      <c r="E12" s="2965"/>
      <c r="F12" s="434"/>
      <c r="G12" s="175"/>
    </row>
    <row r="13" spans="1:26" ht="12.75" customHeight="1">
      <c r="A13" s="192" t="s">
        <v>13</v>
      </c>
      <c r="B13" s="312"/>
      <c r="C13" s="194"/>
      <c r="D13" s="287"/>
      <c r="E13" s="194"/>
      <c r="F13" s="434"/>
      <c r="G13" s="175"/>
    </row>
    <row r="14" spans="1:26" ht="12.75" customHeight="1">
      <c r="A14" s="192" t="s">
        <v>14</v>
      </c>
      <c r="B14" s="312"/>
      <c r="C14" s="194"/>
      <c r="D14" s="287"/>
      <c r="E14" s="194"/>
      <c r="F14" s="434"/>
      <c r="G14" s="175"/>
    </row>
    <row r="15" spans="1:26" ht="12.75" customHeight="1">
      <c r="A15" s="188" t="str">
        <f>OpenData!N8</f>
        <v xml:space="preserve">    2018 $</v>
      </c>
      <c r="B15" s="311">
        <v>5</v>
      </c>
      <c r="C15" s="193"/>
      <c r="D15" s="869"/>
      <c r="E15" s="194"/>
      <c r="F15" s="434"/>
      <c r="G15" s="175"/>
    </row>
    <row r="16" spans="1:26" ht="13.2">
      <c r="A16" s="188" t="str">
        <f>OpenData!N9</f>
        <v xml:space="preserve">    2019 $</v>
      </c>
      <c r="B16" s="314">
        <v>10</v>
      </c>
      <c r="C16" s="197"/>
      <c r="D16" s="4616"/>
      <c r="E16" s="198"/>
      <c r="F16" s="434"/>
      <c r="G16" s="175"/>
    </row>
    <row r="17" spans="1:26" ht="13.2" hidden="1">
      <c r="A17" s="188" t="str">
        <f>OpenData!N10</f>
        <v xml:space="preserve">    2020 $</v>
      </c>
      <c r="B17" s="311">
        <v>15</v>
      </c>
      <c r="C17" s="194"/>
      <c r="D17" s="4616"/>
      <c r="E17" s="4616"/>
      <c r="G17" s="175"/>
      <c r="I17" s="690"/>
    </row>
    <row r="18" spans="1:26" ht="13.2" hidden="1">
      <c r="A18" s="196" t="str">
        <f>OpenData!N11</f>
        <v xml:space="preserve">    2021 $</v>
      </c>
      <c r="B18" s="314">
        <v>20</v>
      </c>
      <c r="C18" s="194"/>
      <c r="D18" s="1650"/>
      <c r="E18" s="4616"/>
      <c r="G18" s="175"/>
      <c r="I18" s="690"/>
    </row>
    <row r="19" spans="1:26" ht="13.2">
      <c r="A19" s="196" t="s">
        <v>1377</v>
      </c>
      <c r="B19" s="314">
        <v>25</v>
      </c>
      <c r="C19" s="189"/>
      <c r="D19" s="189"/>
      <c r="E19" s="2011">
        <f>0.667*'F110'!$E$176</f>
        <v>0</v>
      </c>
      <c r="G19" s="175"/>
      <c r="I19" s="690"/>
    </row>
    <row r="20" spans="1:26" ht="12.75" customHeight="1">
      <c r="A20" s="195" t="s">
        <v>21</v>
      </c>
      <c r="B20" s="313"/>
      <c r="C20" s="198"/>
      <c r="D20" s="287"/>
      <c r="E20" s="2971"/>
      <c r="G20" s="175"/>
    </row>
    <row r="21" spans="1:26" ht="12.75" customHeight="1">
      <c r="A21" s="188" t="s">
        <v>242</v>
      </c>
      <c r="B21" s="311">
        <v>45</v>
      </c>
      <c r="C21" s="189"/>
      <c r="D21" s="189"/>
      <c r="E21" s="4616"/>
      <c r="G21" s="175"/>
    </row>
    <row r="22" spans="1:26" ht="12.75" customHeight="1">
      <c r="A22" s="188" t="s">
        <v>23</v>
      </c>
      <c r="B22" s="311">
        <v>55</v>
      </c>
      <c r="C22" s="193"/>
      <c r="D22" s="193"/>
      <c r="E22" s="4616"/>
      <c r="F22" s="434"/>
      <c r="G22" s="175"/>
    </row>
    <row r="23" spans="1:26" s="476" customFormat="1" ht="12.75" customHeight="1">
      <c r="A23" s="573" t="s">
        <v>1374</v>
      </c>
      <c r="B23" s="574">
        <v>57</v>
      </c>
      <c r="C23" s="483"/>
      <c r="D23" s="483"/>
      <c r="E23" s="4616"/>
      <c r="F23" s="434"/>
      <c r="G23" s="175"/>
      <c r="H23" s="453"/>
      <c r="I23" s="282"/>
      <c r="J23" s="282"/>
      <c r="K23" s="282"/>
      <c r="L23" s="282"/>
      <c r="M23" s="282"/>
      <c r="N23" s="282"/>
      <c r="O23" s="282"/>
      <c r="P23" s="282"/>
      <c r="Q23" s="282"/>
      <c r="R23" s="282"/>
      <c r="S23" s="282"/>
      <c r="T23" s="282"/>
      <c r="U23" s="282"/>
      <c r="V23" s="282"/>
      <c r="W23" s="282"/>
      <c r="X23" s="282"/>
      <c r="Y23" s="282"/>
      <c r="Z23" s="282"/>
    </row>
    <row r="24" spans="1:26" ht="12.75" customHeight="1">
      <c r="A24" s="188" t="s">
        <v>1387</v>
      </c>
      <c r="B24" s="311">
        <v>60</v>
      </c>
      <c r="C24" s="477"/>
      <c r="D24" s="477"/>
      <c r="E24" s="4616"/>
      <c r="F24" s="434"/>
      <c r="G24" s="175"/>
    </row>
    <row r="25" spans="1:26" ht="12.75" hidden="1" customHeight="1">
      <c r="A25" s="301" t="s">
        <v>272</v>
      </c>
      <c r="B25" s="284"/>
      <c r="C25" s="300"/>
      <c r="D25" s="464"/>
      <c r="E25" s="300"/>
      <c r="F25" s="434"/>
      <c r="G25" s="175"/>
    </row>
    <row r="26" spans="1:26" ht="12.75" hidden="1" customHeight="1">
      <c r="A26" s="302" t="s">
        <v>964</v>
      </c>
      <c r="B26" s="290">
        <v>67</v>
      </c>
      <c r="C26" s="4281" t="s">
        <v>4905</v>
      </c>
      <c r="D26" s="4281" t="s">
        <v>4905</v>
      </c>
      <c r="E26" s="4281" t="s">
        <v>4905</v>
      </c>
      <c r="F26" s="434"/>
      <c r="G26" s="175"/>
    </row>
    <row r="27" spans="1:26" ht="12.75" customHeight="1">
      <c r="A27" s="4380" t="s">
        <v>42</v>
      </c>
      <c r="B27" s="4381">
        <v>70</v>
      </c>
      <c r="C27" s="198">
        <f>SUM(C9:C26)</f>
        <v>0</v>
      </c>
      <c r="D27" s="1650">
        <f>SUM(D9:D26)</f>
        <v>0</v>
      </c>
      <c r="E27" s="198">
        <f>SUM(E9:E26)</f>
        <v>0</v>
      </c>
      <c r="G27" s="175"/>
    </row>
    <row r="28" spans="1:26" s="667" customFormat="1" ht="12.75" customHeight="1">
      <c r="A28" s="4382"/>
      <c r="B28" s="4384"/>
      <c r="C28" s="4385"/>
      <c r="D28" s="4385"/>
      <c r="E28" s="4386"/>
      <c r="F28" s="898"/>
      <c r="G28" s="175"/>
      <c r="H28" s="898"/>
      <c r="I28" s="898"/>
      <c r="J28" s="898"/>
      <c r="K28" s="898"/>
      <c r="L28" s="898"/>
      <c r="M28" s="898"/>
      <c r="N28" s="898"/>
      <c r="O28" s="898"/>
      <c r="P28" s="898"/>
      <c r="Q28" s="898"/>
      <c r="R28" s="898"/>
      <c r="S28" s="898"/>
      <c r="T28" s="898"/>
      <c r="U28" s="898"/>
      <c r="V28" s="898"/>
      <c r="W28" s="898"/>
      <c r="X28" s="898"/>
      <c r="Y28" s="898"/>
      <c r="Z28" s="898"/>
    </row>
    <row r="29" spans="1:26" ht="12.75" customHeight="1">
      <c r="A29" s="4387" t="s">
        <v>60</v>
      </c>
      <c r="B29" s="4388"/>
      <c r="C29" s="4389"/>
      <c r="D29" s="4389"/>
      <c r="E29" s="4390"/>
      <c r="G29" s="175"/>
    </row>
    <row r="30" spans="1:26" ht="12.75" customHeight="1">
      <c r="A30" s="201" t="s">
        <v>792</v>
      </c>
      <c r="B30" s="285"/>
      <c r="C30" s="194"/>
      <c r="D30" s="287"/>
      <c r="E30" s="194"/>
      <c r="F30" s="434"/>
      <c r="G30" s="175"/>
    </row>
    <row r="31" spans="1:26" ht="12.75" customHeight="1">
      <c r="A31" s="201" t="s">
        <v>258</v>
      </c>
      <c r="B31" s="285"/>
      <c r="C31" s="194"/>
      <c r="D31" s="287"/>
      <c r="E31" s="194"/>
      <c r="G31" s="175"/>
    </row>
    <row r="32" spans="1:26" ht="12.75" customHeight="1">
      <c r="A32" s="202" t="s">
        <v>679</v>
      </c>
      <c r="B32" s="290">
        <v>75</v>
      </c>
      <c r="C32" s="189"/>
      <c r="D32" s="315"/>
      <c r="E32" s="315"/>
      <c r="F32" s="288"/>
      <c r="G32" s="175"/>
      <c r="I32" s="690"/>
    </row>
    <row r="33" spans="1:12" ht="12.75" customHeight="1">
      <c r="A33" s="199" t="s">
        <v>666</v>
      </c>
      <c r="B33" s="286">
        <v>175</v>
      </c>
      <c r="C33" s="190">
        <f>SUM(C29:C32)</f>
        <v>0</v>
      </c>
      <c r="D33" s="289">
        <f>SUM(D29:D32)</f>
        <v>0</v>
      </c>
      <c r="E33" s="289">
        <f>E32</f>
        <v>0</v>
      </c>
      <c r="F33" s="288"/>
      <c r="G33" s="175"/>
    </row>
    <row r="34" spans="1:12" ht="12.75" customHeight="1">
      <c r="A34" s="202" t="s">
        <v>935</v>
      </c>
      <c r="B34" s="203">
        <v>190</v>
      </c>
      <c r="C34" s="388">
        <f>C27-C33</f>
        <v>0</v>
      </c>
      <c r="D34" s="388">
        <f>D27-D33</f>
        <v>0</v>
      </c>
      <c r="E34" s="388">
        <f>E27-E33</f>
        <v>0</v>
      </c>
      <c r="F34" s="288"/>
      <c r="G34" s="175"/>
      <c r="H34" s="602"/>
      <c r="I34" s="603"/>
      <c r="J34" s="605"/>
      <c r="K34" s="605"/>
      <c r="L34" s="605"/>
    </row>
    <row r="35" spans="1:12" ht="12.75" customHeight="1">
      <c r="A35" s="206"/>
      <c r="B35" s="203">
        <v>195</v>
      </c>
      <c r="C35" s="6122" t="s">
        <v>1147</v>
      </c>
      <c r="D35" s="6123"/>
      <c r="E35" s="3810" t="s">
        <v>4905</v>
      </c>
      <c r="F35" s="288"/>
      <c r="G35" s="175"/>
      <c r="H35" s="604"/>
      <c r="I35" s="605"/>
      <c r="J35" s="605"/>
      <c r="K35" s="605"/>
      <c r="L35" s="605"/>
    </row>
    <row r="36" spans="1:12" ht="12.75" customHeight="1">
      <c r="A36" s="175"/>
      <c r="B36" s="200">
        <v>200</v>
      </c>
      <c r="C36" s="204" t="s">
        <v>668</v>
      </c>
      <c r="D36" s="205"/>
      <c r="E36" s="4281" t="s">
        <v>4905</v>
      </c>
      <c r="F36" s="288"/>
      <c r="G36" s="175"/>
      <c r="H36" s="605"/>
      <c r="I36" s="605"/>
      <c r="J36" s="605"/>
      <c r="K36" s="605"/>
      <c r="L36" s="605"/>
    </row>
    <row r="37" spans="1:12" ht="12.75" customHeight="1">
      <c r="A37" s="175"/>
      <c r="B37" s="200">
        <v>205</v>
      </c>
      <c r="C37" s="204" t="str">
        <f>OpenData!N6</f>
        <v>Amount of 2021 Tax to be Levied</v>
      </c>
      <c r="D37" s="205"/>
      <c r="E37" s="2425" t="s">
        <v>4905</v>
      </c>
      <c r="F37" s="3"/>
      <c r="G37" s="175"/>
      <c r="H37" s="691"/>
      <c r="I37" s="605"/>
      <c r="J37" s="692"/>
      <c r="K37" s="693"/>
      <c r="L37" s="605"/>
    </row>
    <row r="38" spans="1:12" ht="12.75" customHeight="1">
      <c r="A38" s="4379" t="s">
        <v>5155</v>
      </c>
      <c r="B38" s="207"/>
      <c r="C38" s="175"/>
      <c r="D38" s="175"/>
      <c r="E38" s="440"/>
      <c r="F38" s="434"/>
      <c r="G38" s="175"/>
      <c r="H38" s="694"/>
      <c r="I38" s="695"/>
      <c r="J38" s="692"/>
      <c r="K38" s="693"/>
      <c r="L38" s="605"/>
    </row>
    <row r="39" spans="1:12" ht="12.75" customHeight="1">
      <c r="A39" s="175"/>
      <c r="B39" s="179"/>
      <c r="C39" s="175"/>
      <c r="D39" s="175"/>
      <c r="E39" s="440"/>
      <c r="G39" s="175"/>
      <c r="H39" s="605"/>
      <c r="I39" s="605"/>
      <c r="J39" s="605"/>
      <c r="K39" s="605"/>
      <c r="L39" s="605"/>
    </row>
    <row r="40" spans="1:12" ht="12.75" customHeight="1">
      <c r="A40" s="316"/>
      <c r="B40" s="179"/>
      <c r="C40" s="175"/>
      <c r="D40" s="175"/>
      <c r="E40" s="440"/>
      <c r="F40" s="434"/>
      <c r="G40" s="175"/>
      <c r="H40" s="605"/>
      <c r="I40" s="605"/>
      <c r="J40" s="605"/>
      <c r="K40" s="605"/>
      <c r="L40" s="605"/>
    </row>
    <row r="41" spans="1:12" ht="12.75" customHeight="1">
      <c r="A41" s="175"/>
      <c r="B41" s="294"/>
      <c r="C41" s="175"/>
      <c r="D41" s="175"/>
      <c r="E41" s="175"/>
      <c r="G41" s="175"/>
    </row>
    <row r="42" spans="1:12" ht="12.75" customHeight="1">
      <c r="A42" s="175"/>
      <c r="B42" s="179"/>
      <c r="C42" s="175"/>
      <c r="D42" s="175"/>
      <c r="E42" s="175"/>
      <c r="G42" s="175"/>
    </row>
    <row r="43" spans="1:12" ht="12.75" customHeight="1">
      <c r="A43" s="175"/>
      <c r="B43" s="179"/>
      <c r="C43" s="175"/>
      <c r="D43" s="175"/>
      <c r="E43" s="175"/>
      <c r="F43" s="175"/>
      <c r="G43" s="175"/>
    </row>
    <row r="44" spans="1:12" ht="12.75" customHeight="1">
      <c r="F44" s="175"/>
      <c r="G44" s="175"/>
    </row>
    <row r="45" spans="1:12" ht="12.75" customHeight="1">
      <c r="F45" s="175"/>
      <c r="G45" s="175"/>
    </row>
    <row r="46" spans="1:12" ht="12.75" customHeight="1">
      <c r="F46" s="175"/>
      <c r="G46" s="175"/>
    </row>
    <row r="47" spans="1:12" ht="12.75" customHeight="1">
      <c r="F47" s="175"/>
      <c r="G47" s="175"/>
    </row>
    <row r="48" spans="1:12" ht="12.75" customHeight="1">
      <c r="F48" s="175"/>
      <c r="G48" s="175"/>
    </row>
    <row r="49" spans="6:6" ht="12.75" customHeight="1">
      <c r="F49" s="175"/>
    </row>
  </sheetData>
  <sheetProtection algorithmName="SHA-512" hashValue="RgrTfbDsvscLdHIgpy4lG4x55Y1bochHTTWH7oQUf1bGIncHrVIwfKDDBsUFqFy6wxxxXkxz7XaVV+01qkyLiQ==" saltValue="YSkSodqCzyZFMCjxciaSgA==" spinCount="100000" sheet="1" objects="1" scenarios="1"/>
  <mergeCells count="3">
    <mergeCell ref="C35:D35"/>
    <mergeCell ref="D1:E1"/>
    <mergeCell ref="D2:E2"/>
  </mergeCells>
  <phoneticPr fontId="12" type="noConversion"/>
  <dataValidations count="1">
    <dataValidation type="whole" operator="greaterThanOrEqual" allowBlank="1" showInputMessage="1" showErrorMessage="1" errorTitle="Invalid Data Entry" error="Please enter a positive number or press the delete key or enter zero." sqref="C23">
      <formula1>0</formula1>
    </dataValidation>
  </dataValidations>
  <hyperlinks>
    <hyperlink ref="H1" location="Contents!F1" display="Return to Contents page"/>
  </hyperlinks>
  <printOptions horizontalCentered="1"/>
  <pageMargins left="0.75" right="0.75" top="0.5" bottom="0.5" header="0.3" footer="0.3"/>
  <pageSetup scale="86" fitToHeight="0" orientation="portrait" blackAndWhite="1" r:id="rId1"/>
  <headerFooter scaleWithDoc="0">
    <oddFooter>&amp;L&amp;"Open Sans Light,Regular"&amp;8&amp;D    &amp;T&amp;C&amp;"Open Sans Light,Regular"&amp;8Page &amp;P&amp;R&amp;"Open Sans Light,Regular"&amp;8&amp;A</oddFooter>
  </headerFooter>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4" tint="0.39997558519241921"/>
  </sheetPr>
  <dimension ref="A1:Z164"/>
  <sheetViews>
    <sheetView showGridLines="0" zoomScaleNormal="100" zoomScaleSheetLayoutView="100" workbookViewId="0">
      <pane ySplit="8" topLeftCell="A9" activePane="bottomLeft" state="frozen"/>
      <selection activeCell="B22" sqref="B22"/>
      <selection pane="bottomLeft" activeCell="B22" sqref="B22"/>
    </sheetView>
  </sheetViews>
  <sheetFormatPr defaultColWidth="10.6640625" defaultRowHeight="12.75" customHeight="1"/>
  <cols>
    <col min="1" max="1" width="40.6640625" style="73" customWidth="1"/>
    <col min="2" max="2" width="4.88671875" style="1195" customWidth="1"/>
    <col min="3" max="5" width="14.33203125" style="1196" customWidth="1"/>
    <col min="6" max="6" width="2.33203125" style="73" customWidth="1"/>
    <col min="7" max="7" width="21.109375" style="73" customWidth="1"/>
    <col min="8" max="26" width="10.6640625" style="73"/>
    <col min="27" max="16384" width="10.6640625" style="72"/>
  </cols>
  <sheetData>
    <row r="1" spans="1:17" ht="12.75" customHeight="1">
      <c r="A1" s="1164" t="s">
        <v>809</v>
      </c>
      <c r="B1" s="4257">
        <f>OPEN!B4</f>
        <v>237</v>
      </c>
      <c r="C1" s="1165"/>
      <c r="D1" s="6125" t="s">
        <v>836</v>
      </c>
      <c r="E1" s="6125"/>
      <c r="F1" s="71"/>
      <c r="G1" s="304" t="s">
        <v>754</v>
      </c>
    </row>
    <row r="2" spans="1:17" ht="12.75" customHeight="1">
      <c r="A2" s="1165"/>
      <c r="B2" s="1166"/>
      <c r="C2" s="1165"/>
      <c r="D2" s="6125" t="s">
        <v>921</v>
      </c>
      <c r="E2" s="6125"/>
      <c r="F2" s="71"/>
    </row>
    <row r="3" spans="1:17" ht="12.75" customHeight="1">
      <c r="A3" s="1165"/>
      <c r="B3" s="1166"/>
      <c r="C3" s="1165"/>
      <c r="D3" s="1165"/>
      <c r="E3" s="1164" t="str">
        <f>OpenData!N2</f>
        <v>2021-2022</v>
      </c>
      <c r="F3" s="71"/>
    </row>
    <row r="4" spans="1:17" ht="12.75" customHeight="1">
      <c r="A4" s="1165"/>
      <c r="B4" s="1166"/>
      <c r="C4" s="1165"/>
      <c r="D4" s="1165"/>
      <c r="E4" s="1165"/>
      <c r="F4" s="71"/>
    </row>
    <row r="5" spans="1:17" ht="12.75" customHeight="1">
      <c r="A5" s="1165"/>
      <c r="B5" s="1166"/>
      <c r="C5" s="1167" t="s">
        <v>922</v>
      </c>
      <c r="D5" s="1167" t="s">
        <v>922</v>
      </c>
      <c r="E5" s="1167" t="s">
        <v>922</v>
      </c>
      <c r="F5" s="71"/>
    </row>
    <row r="6" spans="1:17" ht="12.75" customHeight="1">
      <c r="A6" s="1168"/>
      <c r="B6" s="1169" t="s">
        <v>854</v>
      </c>
      <c r="C6" s="1170" t="str">
        <f>OpenData!N4</f>
        <v>2019-2020</v>
      </c>
      <c r="D6" s="1170" t="str">
        <f>OpenData!O4</f>
        <v>2020-2021</v>
      </c>
      <c r="E6" s="1170" t="str">
        <f>OpenData!P4</f>
        <v>2021-2022</v>
      </c>
      <c r="F6" s="71"/>
      <c r="N6" s="74"/>
    </row>
    <row r="7" spans="1:17" ht="12.75" customHeight="1">
      <c r="A7" s="1168" t="s">
        <v>4773</v>
      </c>
      <c r="B7" s="1171">
        <v>22</v>
      </c>
      <c r="C7" s="1172" t="s">
        <v>893</v>
      </c>
      <c r="D7" s="1172" t="s">
        <v>893</v>
      </c>
      <c r="E7" s="1172" t="s">
        <v>923</v>
      </c>
      <c r="F7" s="71"/>
      <c r="O7" s="75"/>
      <c r="P7" s="75"/>
      <c r="Q7" s="75"/>
    </row>
    <row r="8" spans="1:17" ht="12.75" customHeight="1">
      <c r="A8" s="1173"/>
      <c r="B8" s="1174" t="s">
        <v>858</v>
      </c>
      <c r="C8" s="1175">
        <v>1</v>
      </c>
      <c r="D8" s="1175">
        <v>2</v>
      </c>
      <c r="E8" s="1175">
        <v>3</v>
      </c>
      <c r="F8" s="71"/>
      <c r="O8" s="75"/>
      <c r="P8" s="75"/>
      <c r="Q8" s="75"/>
    </row>
    <row r="9" spans="1:17" ht="12.75" customHeight="1">
      <c r="A9" s="76" t="s">
        <v>1043</v>
      </c>
      <c r="B9" s="1181">
        <v>1</v>
      </c>
      <c r="C9" s="1182"/>
      <c r="D9" s="1183">
        <f>C25</f>
        <v>0</v>
      </c>
      <c r="E9" s="1184">
        <f>D25</f>
        <v>0</v>
      </c>
      <c r="F9" s="71"/>
      <c r="O9" s="75"/>
      <c r="P9" s="75"/>
      <c r="Q9" s="75"/>
    </row>
    <row r="10" spans="1:17" ht="12.75" customHeight="1">
      <c r="A10" s="3974" t="s">
        <v>4940</v>
      </c>
      <c r="B10" s="1180">
        <v>3</v>
      </c>
      <c r="C10" s="2008"/>
      <c r="D10" s="2007"/>
      <c r="E10" s="3301"/>
      <c r="F10" s="71"/>
      <c r="O10" s="75"/>
      <c r="P10" s="75"/>
      <c r="Q10" s="75"/>
    </row>
    <row r="11" spans="1:17" ht="12.75" customHeight="1">
      <c r="A11" s="3307"/>
      <c r="B11" s="4373"/>
      <c r="C11" s="4373"/>
      <c r="D11" s="4373"/>
      <c r="E11" s="4377"/>
      <c r="F11" s="71"/>
      <c r="O11" s="75"/>
      <c r="P11" s="75"/>
      <c r="Q11" s="75"/>
    </row>
    <row r="12" spans="1:17" ht="12.75" customHeight="1">
      <c r="A12" s="4374" t="s">
        <v>4767</v>
      </c>
      <c r="B12" s="4375"/>
      <c r="C12" s="4375"/>
      <c r="D12" s="4375"/>
      <c r="E12" s="4376"/>
      <c r="F12" s="71"/>
      <c r="O12" s="75"/>
      <c r="P12" s="75"/>
      <c r="Q12" s="75"/>
    </row>
    <row r="13" spans="1:17" ht="12.75" customHeight="1">
      <c r="A13" s="3305" t="s">
        <v>1044</v>
      </c>
      <c r="B13" s="3316"/>
      <c r="C13" s="3316"/>
      <c r="D13" s="3316"/>
      <c r="E13" s="3316"/>
      <c r="F13" s="71"/>
      <c r="O13" s="75"/>
      <c r="P13" s="75"/>
      <c r="Q13" s="75"/>
    </row>
    <row r="14" spans="1:17" ht="12.75" customHeight="1">
      <c r="A14" s="3308" t="s">
        <v>274</v>
      </c>
      <c r="B14" s="3317">
        <v>5</v>
      </c>
      <c r="C14" s="3318"/>
      <c r="D14" s="3318"/>
      <c r="E14" s="3318"/>
      <c r="F14" s="71"/>
      <c r="I14" s="696"/>
    </row>
    <row r="15" spans="1:17" ht="12.75" customHeight="1">
      <c r="A15" s="3309" t="s">
        <v>332</v>
      </c>
      <c r="B15" s="3319">
        <v>10</v>
      </c>
      <c r="C15" s="3332"/>
      <c r="D15" s="3332"/>
      <c r="E15" s="3318"/>
      <c r="F15" s="71"/>
      <c r="N15" s="74"/>
    </row>
    <row r="16" spans="1:17" ht="12.75" customHeight="1">
      <c r="A16" s="3308" t="s">
        <v>18</v>
      </c>
      <c r="B16" s="3317">
        <v>15</v>
      </c>
      <c r="C16" s="3318"/>
      <c r="D16" s="3318"/>
      <c r="E16" s="3318"/>
      <c r="F16" s="71"/>
      <c r="O16" s="77"/>
      <c r="P16" s="77"/>
      <c r="Q16" s="77"/>
    </row>
    <row r="17" spans="1:26" ht="12.75" customHeight="1">
      <c r="A17" s="3306" t="s">
        <v>273</v>
      </c>
      <c r="B17" s="3333"/>
      <c r="C17" s="3333"/>
      <c r="D17" s="3333"/>
      <c r="E17" s="3333"/>
      <c r="F17" s="71"/>
      <c r="O17" s="77"/>
      <c r="P17" s="77"/>
      <c r="Q17" s="77"/>
    </row>
    <row r="18" spans="1:26" ht="12.75" customHeight="1">
      <c r="A18" s="2844" t="s">
        <v>1138</v>
      </c>
      <c r="B18" s="3138">
        <v>40</v>
      </c>
      <c r="C18" s="3318"/>
      <c r="D18" s="3318"/>
      <c r="E18" s="3219"/>
      <c r="F18" s="71"/>
      <c r="O18" s="77"/>
      <c r="P18" s="77"/>
      <c r="Q18" s="77"/>
    </row>
    <row r="19" spans="1:26" ht="12.75" customHeight="1">
      <c r="A19" s="3304" t="s">
        <v>39</v>
      </c>
      <c r="B19" s="3315"/>
      <c r="C19" s="3315"/>
      <c r="D19" s="3315"/>
      <c r="E19" s="3315"/>
      <c r="F19" s="71"/>
      <c r="O19" s="77"/>
      <c r="P19" s="77"/>
      <c r="Q19" s="77"/>
    </row>
    <row r="20" spans="1:26" ht="12.75" customHeight="1">
      <c r="A20" s="3308" t="s">
        <v>40</v>
      </c>
      <c r="B20" s="3317">
        <v>85</v>
      </c>
      <c r="C20" s="3334">
        <f>'C06'!$C$271</f>
        <v>0</v>
      </c>
      <c r="D20" s="3334">
        <f>'C06'!$D$271</f>
        <v>0</v>
      </c>
      <c r="E20" s="3334">
        <f>'C06'!$E$271</f>
        <v>0</v>
      </c>
      <c r="F20" s="71"/>
      <c r="O20" s="77"/>
      <c r="P20" s="77"/>
      <c r="Q20" s="77"/>
    </row>
    <row r="21" spans="1:26" ht="12.75" customHeight="1">
      <c r="A21" s="1197" t="s">
        <v>1062</v>
      </c>
      <c r="B21" s="1181">
        <v>90</v>
      </c>
      <c r="C21" s="1186">
        <f>'C08'!$C$276</f>
        <v>0</v>
      </c>
      <c r="D21" s="1183">
        <f>'C08'!$D$276</f>
        <v>0</v>
      </c>
      <c r="E21" s="1184">
        <f>'C08'!$E$276</f>
        <v>0</v>
      </c>
      <c r="F21" s="71"/>
      <c r="O21" s="77"/>
      <c r="P21" s="77"/>
      <c r="Q21" s="77"/>
    </row>
    <row r="22" spans="1:26" ht="12.75" customHeight="1">
      <c r="A22" s="1197" t="s">
        <v>41</v>
      </c>
      <c r="B22" s="1181">
        <v>95</v>
      </c>
      <c r="C22" s="1186">
        <f>'C053'!$C$233</f>
        <v>0</v>
      </c>
      <c r="D22" s="1183">
        <f>'C053'!$D$233</f>
        <v>0</v>
      </c>
      <c r="E22" s="3810" t="s">
        <v>4905</v>
      </c>
      <c r="F22" s="71"/>
    </row>
    <row r="23" spans="1:26" ht="12.75" customHeight="1">
      <c r="A23" s="1199" t="s">
        <v>42</v>
      </c>
      <c r="B23" s="1187">
        <v>170</v>
      </c>
      <c r="C23" s="1186">
        <f>SUM(C9:C22)</f>
        <v>0</v>
      </c>
      <c r="D23" s="1183">
        <f>SUM(D9:D22)</f>
        <v>0</v>
      </c>
      <c r="E23" s="3334">
        <f>SUM(E9:E21)</f>
        <v>0</v>
      </c>
      <c r="F23" s="71"/>
      <c r="O23" s="77"/>
      <c r="P23" s="77"/>
      <c r="Q23" s="77"/>
    </row>
    <row r="24" spans="1:26" ht="12.75" customHeight="1">
      <c r="A24" s="1198" t="s">
        <v>43</v>
      </c>
      <c r="B24" s="1185">
        <v>175</v>
      </c>
      <c r="C24" s="1186">
        <f>C158</f>
        <v>0</v>
      </c>
      <c r="D24" s="1183">
        <f>D158</f>
        <v>0</v>
      </c>
      <c r="E24" s="1184">
        <f>IF(E158&lt;=E23,E158,"ERROR")</f>
        <v>0</v>
      </c>
      <c r="F24" s="71"/>
      <c r="G24" s="324" t="str">
        <f>IF(E24="ERROR","Expenditures must be less than or equal to Resources Available","")</f>
        <v/>
      </c>
      <c r="H24" s="697"/>
    </row>
    <row r="25" spans="1:26" ht="12.75" customHeight="1">
      <c r="A25" s="1198" t="s">
        <v>247</v>
      </c>
      <c r="B25" s="1185">
        <v>190</v>
      </c>
      <c r="C25" s="1186">
        <f>C23-C24</f>
        <v>0</v>
      </c>
      <c r="D25" s="1188">
        <f>D23-D24</f>
        <v>0</v>
      </c>
      <c r="E25" s="1189">
        <f>IF(ISERROR(E23-E24),"NEGATIVE",E23-E24)</f>
        <v>0</v>
      </c>
      <c r="F25" s="71"/>
      <c r="G25" s="282"/>
      <c r="H25" s="697"/>
    </row>
    <row r="26" spans="1:26" ht="12.75" customHeight="1">
      <c r="A26" s="1176"/>
      <c r="B26" s="1178"/>
      <c r="C26" s="1177"/>
      <c r="D26" s="1177"/>
      <c r="E26" s="3915"/>
      <c r="F26" s="71"/>
      <c r="G26" s="898"/>
      <c r="H26" s="697"/>
    </row>
    <row r="27" spans="1:26" s="3759" customFormat="1" ht="12.75" customHeight="1">
      <c r="A27" s="3753" t="str">
        <f>A1</f>
        <v>USD #</v>
      </c>
      <c r="B27" s="4364">
        <f>B1</f>
        <v>237</v>
      </c>
      <c r="C27" s="3754"/>
      <c r="D27" s="3754"/>
      <c r="E27" s="3755" t="str">
        <f>D1</f>
        <v>STATE OF KANSAS</v>
      </c>
      <c r="F27" s="3756"/>
      <c r="G27" s="669"/>
      <c r="H27" s="3757"/>
      <c r="I27" s="3758"/>
      <c r="J27" s="3758"/>
      <c r="K27" s="3758"/>
      <c r="L27" s="3758"/>
      <c r="M27" s="3758"/>
      <c r="N27" s="3758"/>
      <c r="O27" s="3758"/>
      <c r="P27" s="3758"/>
      <c r="Q27" s="3758"/>
      <c r="R27" s="3758"/>
      <c r="S27" s="3758"/>
      <c r="T27" s="3758"/>
      <c r="U27" s="3758"/>
      <c r="V27" s="3758"/>
      <c r="W27" s="3758"/>
      <c r="X27" s="3758"/>
      <c r="Y27" s="3758"/>
      <c r="Z27" s="3758"/>
    </row>
    <row r="28" spans="1:26" ht="12.75" customHeight="1">
      <c r="A28" s="1176"/>
      <c r="B28" s="4264"/>
      <c r="C28" s="1177"/>
      <c r="D28" s="6126" t="str">
        <f>D2</f>
        <v>Budget Form USD-E</v>
      </c>
      <c r="E28" s="6126"/>
      <c r="F28" s="71"/>
      <c r="G28" s="898"/>
      <c r="H28" s="697"/>
    </row>
    <row r="29" spans="1:26" ht="12.75" customHeight="1">
      <c r="A29" s="936"/>
      <c r="B29" s="936"/>
      <c r="C29" s="1177"/>
      <c r="D29" s="1177"/>
      <c r="E29" s="1179" t="str">
        <f>E3</f>
        <v>2021-2022</v>
      </c>
      <c r="F29" s="71"/>
      <c r="G29" s="282"/>
      <c r="H29" s="697"/>
    </row>
    <row r="30" spans="1:26" ht="12.75" customHeight="1">
      <c r="A30" s="936"/>
      <c r="B30" s="936"/>
      <c r="C30" s="936"/>
      <c r="D30" s="936"/>
      <c r="E30" s="936"/>
      <c r="F30" s="71"/>
    </row>
    <row r="31" spans="1:26" ht="12.75" customHeight="1">
      <c r="A31" s="1165"/>
      <c r="B31" s="1166"/>
      <c r="C31" s="1167" t="s">
        <v>922</v>
      </c>
      <c r="D31" s="1167" t="s">
        <v>922</v>
      </c>
      <c r="E31" s="1167" t="s">
        <v>922</v>
      </c>
      <c r="F31" s="71"/>
    </row>
    <row r="32" spans="1:26" ht="12.75" customHeight="1">
      <c r="A32" s="1168"/>
      <c r="B32" s="1169" t="s">
        <v>854</v>
      </c>
      <c r="C32" s="1170" t="str">
        <f>C6</f>
        <v>2019-2020</v>
      </c>
      <c r="D32" s="1170" t="str">
        <f>D6</f>
        <v>2020-2021</v>
      </c>
      <c r="E32" s="1170" t="str">
        <f>E6</f>
        <v>2021-2022</v>
      </c>
      <c r="F32" s="71"/>
    </row>
    <row r="33" spans="1:6" ht="12.75" customHeight="1">
      <c r="A33" s="1168" t="str">
        <f>A7</f>
        <v>EXTRAORDINARY SCHOOL PROGRAM</v>
      </c>
      <c r="B33" s="1171">
        <v>22</v>
      </c>
      <c r="C33" s="1172" t="s">
        <v>893</v>
      </c>
      <c r="D33" s="1172" t="s">
        <v>893</v>
      </c>
      <c r="E33" s="1172" t="s">
        <v>923</v>
      </c>
      <c r="F33" s="71"/>
    </row>
    <row r="34" spans="1:6" ht="12.75" customHeight="1">
      <c r="A34" s="4365"/>
      <c r="B34" s="1171" t="s">
        <v>858</v>
      </c>
      <c r="C34" s="4366">
        <v>1</v>
      </c>
      <c r="D34" s="4366">
        <v>2</v>
      </c>
      <c r="E34" s="4366">
        <v>3</v>
      </c>
      <c r="F34" s="71"/>
    </row>
    <row r="35" spans="1:6" ht="12.75" customHeight="1">
      <c r="A35" s="3302"/>
      <c r="B35" s="4367"/>
      <c r="C35" s="4368"/>
      <c r="D35" s="4368"/>
      <c r="E35" s="4369"/>
      <c r="F35" s="71"/>
    </row>
    <row r="36" spans="1:6" ht="12.75" customHeight="1">
      <c r="A36" s="4370" t="s">
        <v>60</v>
      </c>
      <c r="B36" s="4371"/>
      <c r="C36" s="4371"/>
      <c r="D36" s="4371"/>
      <c r="E36" s="4372"/>
      <c r="F36" s="71"/>
    </row>
    <row r="37" spans="1:6" ht="12.75" customHeight="1">
      <c r="A37" s="3305" t="s">
        <v>61</v>
      </c>
      <c r="B37" s="3316"/>
      <c r="C37" s="3316"/>
      <c r="D37" s="3316"/>
      <c r="E37" s="3316"/>
      <c r="F37" s="71"/>
    </row>
    <row r="38" spans="1:6" ht="12.75" customHeight="1">
      <c r="A38" s="3305" t="s">
        <v>972</v>
      </c>
      <c r="B38" s="3316"/>
      <c r="C38" s="3316"/>
      <c r="D38" s="3316"/>
      <c r="E38" s="3316"/>
      <c r="F38" s="71"/>
    </row>
    <row r="39" spans="1:6" ht="12.75" customHeight="1">
      <c r="A39" s="3308" t="s">
        <v>999</v>
      </c>
      <c r="B39" s="3317">
        <v>210</v>
      </c>
      <c r="C39" s="3318"/>
      <c r="D39" s="3318"/>
      <c r="E39" s="3318"/>
      <c r="F39" s="71"/>
    </row>
    <row r="40" spans="1:6" ht="12.75" customHeight="1">
      <c r="A40" s="3309" t="s">
        <v>943</v>
      </c>
      <c r="B40" s="3319">
        <v>215</v>
      </c>
      <c r="C40" s="3318"/>
      <c r="D40" s="3318"/>
      <c r="E40" s="2053"/>
      <c r="F40" s="71"/>
    </row>
    <row r="41" spans="1:6" ht="12.75" customHeight="1">
      <c r="A41" s="3304" t="s">
        <v>973</v>
      </c>
      <c r="B41" s="3315"/>
      <c r="C41" s="3315"/>
      <c r="D41" s="3315"/>
      <c r="E41" s="3315"/>
      <c r="F41" s="71"/>
    </row>
    <row r="42" spans="1:6" ht="12.75" customHeight="1">
      <c r="A42" s="3308" t="s">
        <v>974</v>
      </c>
      <c r="B42" s="3317">
        <v>220</v>
      </c>
      <c r="C42" s="3318"/>
      <c r="D42" s="3318"/>
      <c r="E42" s="3318"/>
      <c r="F42" s="71"/>
    </row>
    <row r="43" spans="1:6" ht="12.75" customHeight="1">
      <c r="A43" s="3309" t="s">
        <v>977</v>
      </c>
      <c r="B43" s="3319">
        <v>225</v>
      </c>
      <c r="C43" s="2053"/>
      <c r="D43" s="2053"/>
      <c r="E43" s="2053"/>
      <c r="F43" s="71"/>
    </row>
    <row r="44" spans="1:6" ht="12.75" customHeight="1">
      <c r="A44" s="3309" t="s">
        <v>978</v>
      </c>
      <c r="B44" s="3319">
        <v>230</v>
      </c>
      <c r="C44" s="2053"/>
      <c r="D44" s="2053"/>
      <c r="E44" s="2053"/>
      <c r="F44" s="71"/>
    </row>
    <row r="45" spans="1:6" ht="12.75" customHeight="1">
      <c r="A45" s="2384" t="s">
        <v>4818</v>
      </c>
      <c r="B45" s="3320">
        <v>235</v>
      </c>
      <c r="C45" s="3321"/>
      <c r="D45" s="3321"/>
      <c r="E45" s="3321"/>
      <c r="F45" s="71"/>
    </row>
    <row r="46" spans="1:6" ht="12.75" customHeight="1">
      <c r="A46" s="3310" t="s">
        <v>632</v>
      </c>
      <c r="B46" s="3322">
        <v>237</v>
      </c>
      <c r="C46" s="3321"/>
      <c r="D46" s="3321"/>
      <c r="E46" s="3321"/>
      <c r="F46" s="71"/>
    </row>
    <row r="47" spans="1:6" ht="12.75" customHeight="1">
      <c r="A47" s="3304" t="s">
        <v>986</v>
      </c>
      <c r="B47" s="3315"/>
      <c r="C47" s="3315"/>
      <c r="D47" s="3315"/>
      <c r="E47" s="3315"/>
      <c r="F47" s="71"/>
    </row>
    <row r="48" spans="1:6" ht="12.75" customHeight="1">
      <c r="A48" s="3305" t="s">
        <v>62</v>
      </c>
      <c r="B48" s="3316"/>
      <c r="C48" s="3316"/>
      <c r="D48" s="3316"/>
      <c r="E48" s="3316"/>
      <c r="F48" s="71"/>
    </row>
    <row r="49" spans="1:6" ht="12.75" customHeight="1">
      <c r="A49" s="3308" t="s">
        <v>74</v>
      </c>
      <c r="B49" s="3317">
        <v>240</v>
      </c>
      <c r="C49" s="3318"/>
      <c r="D49" s="3318"/>
      <c r="E49" s="3318"/>
      <c r="F49" s="71"/>
    </row>
    <row r="50" spans="1:6" ht="12.75" customHeight="1">
      <c r="A50" s="3308" t="s">
        <v>255</v>
      </c>
      <c r="B50" s="3317">
        <v>245</v>
      </c>
      <c r="C50" s="3318"/>
      <c r="D50" s="3318"/>
      <c r="E50" s="3318"/>
      <c r="F50" s="71"/>
    </row>
    <row r="51" spans="1:6" ht="12.75" customHeight="1">
      <c r="A51" s="3308" t="s">
        <v>75</v>
      </c>
      <c r="B51" s="3317">
        <v>250</v>
      </c>
      <c r="C51" s="3318"/>
      <c r="D51" s="3318"/>
      <c r="E51" s="3318"/>
      <c r="F51" s="71"/>
    </row>
    <row r="52" spans="1:6" ht="12.75" customHeight="1">
      <c r="A52" s="3309" t="s">
        <v>988</v>
      </c>
      <c r="B52" s="3319">
        <v>255</v>
      </c>
      <c r="C52" s="2053"/>
      <c r="D52" s="2053"/>
      <c r="E52" s="2053"/>
      <c r="F52" s="71"/>
    </row>
    <row r="53" spans="1:6" ht="12.75" customHeight="1">
      <c r="A53" s="3304" t="s">
        <v>989</v>
      </c>
      <c r="B53" s="3315"/>
      <c r="C53" s="3315"/>
      <c r="D53" s="3315"/>
      <c r="E53" s="3315"/>
      <c r="F53" s="71"/>
    </row>
    <row r="54" spans="1:6" ht="12.75" customHeight="1">
      <c r="A54" s="3308" t="s">
        <v>769</v>
      </c>
      <c r="B54" s="3317">
        <v>260</v>
      </c>
      <c r="C54" s="3318"/>
      <c r="D54" s="3318"/>
      <c r="E54" s="3318"/>
      <c r="F54" s="71"/>
    </row>
    <row r="55" spans="1:6" ht="12.75" customHeight="1">
      <c r="A55" s="3308" t="s">
        <v>64</v>
      </c>
      <c r="B55" s="3317">
        <v>265</v>
      </c>
      <c r="C55" s="3318"/>
      <c r="D55" s="3318"/>
      <c r="E55" s="3318"/>
      <c r="F55" s="71"/>
    </row>
    <row r="56" spans="1:6" ht="12.75" customHeight="1">
      <c r="A56" s="3311" t="s">
        <v>936</v>
      </c>
      <c r="B56" s="3323">
        <v>267</v>
      </c>
      <c r="C56" s="3318"/>
      <c r="D56" s="3318"/>
      <c r="E56" s="3318"/>
      <c r="F56" s="71"/>
    </row>
    <row r="57" spans="1:6" ht="12.75" customHeight="1">
      <c r="A57" s="3309" t="s">
        <v>996</v>
      </c>
      <c r="B57" s="3319">
        <v>270</v>
      </c>
      <c r="C57" s="2053"/>
      <c r="D57" s="2053"/>
      <c r="E57" s="2053"/>
      <c r="F57" s="71"/>
    </row>
    <row r="58" spans="1:6" ht="12.75" customHeight="1">
      <c r="A58" s="3309" t="s">
        <v>997</v>
      </c>
      <c r="B58" s="3319">
        <v>275</v>
      </c>
      <c r="C58" s="2053"/>
      <c r="D58" s="2053"/>
      <c r="E58" s="2053"/>
      <c r="F58" s="71"/>
    </row>
    <row r="59" spans="1:6" ht="12.75" customHeight="1">
      <c r="A59" s="3309" t="s">
        <v>998</v>
      </c>
      <c r="B59" s="3319">
        <v>280</v>
      </c>
      <c r="C59" s="2053"/>
      <c r="D59" s="2053"/>
      <c r="E59" s="2053"/>
      <c r="F59" s="71"/>
    </row>
    <row r="60" spans="1:6" ht="12.75" customHeight="1">
      <c r="A60" s="3304" t="s">
        <v>65</v>
      </c>
      <c r="B60" s="3315"/>
      <c r="C60" s="3315"/>
      <c r="D60" s="3315"/>
      <c r="E60" s="3315"/>
      <c r="F60" s="71"/>
    </row>
    <row r="61" spans="1:6" ht="12.75" customHeight="1">
      <c r="A61" s="3305" t="s">
        <v>66</v>
      </c>
      <c r="B61" s="3316"/>
      <c r="C61" s="3316"/>
      <c r="D61" s="3316"/>
      <c r="E61" s="3316"/>
      <c r="F61" s="71"/>
    </row>
    <row r="62" spans="1:6" ht="12.75" customHeight="1">
      <c r="A62" s="3305" t="s">
        <v>972</v>
      </c>
      <c r="B62" s="3316"/>
      <c r="C62" s="3316"/>
      <c r="D62" s="3316"/>
      <c r="E62" s="3316"/>
      <c r="F62" s="71"/>
    </row>
    <row r="63" spans="1:6" ht="12.75" customHeight="1">
      <c r="A63" s="3308" t="s">
        <v>999</v>
      </c>
      <c r="B63" s="3317">
        <v>285</v>
      </c>
      <c r="C63" s="3318"/>
      <c r="D63" s="3318"/>
      <c r="E63" s="3318"/>
      <c r="F63" s="71"/>
    </row>
    <row r="64" spans="1:6" ht="12.75" customHeight="1">
      <c r="A64" s="3308" t="s">
        <v>943</v>
      </c>
      <c r="B64" s="3317">
        <v>290</v>
      </c>
      <c r="C64" s="3318"/>
      <c r="D64" s="3318"/>
      <c r="E64" s="3318"/>
      <c r="F64" s="71"/>
    </row>
    <row r="65" spans="1:6" ht="12.75" customHeight="1">
      <c r="A65" s="3304" t="s">
        <v>973</v>
      </c>
      <c r="B65" s="3315"/>
      <c r="C65" s="3315"/>
      <c r="D65" s="3315"/>
      <c r="E65" s="3315"/>
      <c r="F65" s="71"/>
    </row>
    <row r="66" spans="1:6" ht="12.75" customHeight="1">
      <c r="A66" s="3308" t="s">
        <v>974</v>
      </c>
      <c r="B66" s="3317">
        <v>295</v>
      </c>
      <c r="C66" s="3318"/>
      <c r="D66" s="3318"/>
      <c r="E66" s="3318"/>
      <c r="F66" s="71"/>
    </row>
    <row r="67" spans="1:6" ht="12.75" customHeight="1">
      <c r="A67" s="3308" t="s">
        <v>977</v>
      </c>
      <c r="B67" s="3317">
        <v>300</v>
      </c>
      <c r="C67" s="3318"/>
      <c r="D67" s="3318"/>
      <c r="E67" s="3318"/>
      <c r="F67" s="71"/>
    </row>
    <row r="68" spans="1:6" ht="12.75" customHeight="1">
      <c r="A68" s="2384" t="s">
        <v>978</v>
      </c>
      <c r="B68" s="3320">
        <v>305</v>
      </c>
      <c r="C68" s="2053"/>
      <c r="D68" s="3321"/>
      <c r="E68" s="3321"/>
      <c r="F68" s="71"/>
    </row>
    <row r="69" spans="1:6" ht="12.75" customHeight="1">
      <c r="A69" s="3309" t="s">
        <v>4818</v>
      </c>
      <c r="B69" s="3319">
        <v>310</v>
      </c>
      <c r="C69" s="2053"/>
      <c r="D69" s="2053"/>
      <c r="E69" s="2053"/>
      <c r="F69" s="71"/>
    </row>
    <row r="70" spans="1:6" ht="12.75" customHeight="1">
      <c r="A70" s="3312" t="s">
        <v>237</v>
      </c>
      <c r="B70" s="3324">
        <v>313</v>
      </c>
      <c r="C70" s="2053"/>
      <c r="D70" s="2053"/>
      <c r="E70" s="2053"/>
      <c r="F70" s="71"/>
    </row>
    <row r="71" spans="1:6" ht="12.75" customHeight="1">
      <c r="A71" s="3309" t="s">
        <v>986</v>
      </c>
      <c r="B71" s="3319">
        <v>315</v>
      </c>
      <c r="C71" s="2053"/>
      <c r="D71" s="2053"/>
      <c r="E71" s="2053"/>
      <c r="F71" s="71"/>
    </row>
    <row r="72" spans="1:6" ht="12.75" customHeight="1">
      <c r="A72" s="3309" t="s">
        <v>989</v>
      </c>
      <c r="B72" s="3319">
        <v>320</v>
      </c>
      <c r="C72" s="2053"/>
      <c r="D72" s="2053"/>
      <c r="E72" s="2053"/>
      <c r="F72" s="71"/>
    </row>
    <row r="73" spans="1:6" ht="12.75" customHeight="1">
      <c r="A73" s="3309" t="s">
        <v>997</v>
      </c>
      <c r="B73" s="3319">
        <v>325</v>
      </c>
      <c r="C73" s="2053"/>
      <c r="D73" s="2053"/>
      <c r="E73" s="2053"/>
      <c r="F73" s="71"/>
    </row>
    <row r="74" spans="1:6" ht="12.75" customHeight="1">
      <c r="A74" s="3309" t="s">
        <v>998</v>
      </c>
      <c r="B74" s="3319">
        <v>330</v>
      </c>
      <c r="C74" s="2053"/>
      <c r="D74" s="2053"/>
      <c r="E74" s="2053"/>
      <c r="F74" s="71"/>
    </row>
    <row r="75" spans="1:6" ht="12.75" customHeight="1">
      <c r="A75" s="3304" t="s">
        <v>256</v>
      </c>
      <c r="B75" s="3315"/>
      <c r="C75" s="3315"/>
      <c r="D75" s="3315"/>
      <c r="E75" s="3315"/>
      <c r="F75" s="71"/>
    </row>
    <row r="76" spans="1:6" ht="12.75" customHeight="1">
      <c r="A76" s="3305" t="s">
        <v>972</v>
      </c>
      <c r="B76" s="3316"/>
      <c r="C76" s="3316"/>
      <c r="D76" s="3316"/>
      <c r="E76" s="3316"/>
      <c r="F76" s="71"/>
    </row>
    <row r="77" spans="1:6" ht="12.75" customHeight="1">
      <c r="A77" s="3308" t="s">
        <v>999</v>
      </c>
      <c r="B77" s="3317">
        <v>335</v>
      </c>
      <c r="C77" s="3318"/>
      <c r="D77" s="3318"/>
      <c r="E77" s="3318"/>
      <c r="F77" s="71"/>
    </row>
    <row r="78" spans="1:6" ht="12.75" customHeight="1">
      <c r="A78" s="3309" t="s">
        <v>943</v>
      </c>
      <c r="B78" s="3319">
        <v>340</v>
      </c>
      <c r="C78" s="2053"/>
      <c r="D78" s="2053"/>
      <c r="E78" s="2053"/>
      <c r="F78" s="71"/>
    </row>
    <row r="79" spans="1:6" ht="12.75" customHeight="1">
      <c r="A79" s="3304" t="s">
        <v>973</v>
      </c>
      <c r="B79" s="3315"/>
      <c r="C79" s="3315"/>
      <c r="D79" s="3315"/>
      <c r="E79" s="3315"/>
      <c r="F79" s="71"/>
    </row>
    <row r="80" spans="1:6" ht="12.75" customHeight="1">
      <c r="A80" s="3308" t="s">
        <v>974</v>
      </c>
      <c r="B80" s="3317">
        <v>345</v>
      </c>
      <c r="C80" s="3318"/>
      <c r="D80" s="3318"/>
      <c r="E80" s="3318"/>
      <c r="F80" s="71"/>
    </row>
    <row r="81" spans="1:6" ht="12.75" customHeight="1">
      <c r="A81" s="3309" t="s">
        <v>977</v>
      </c>
      <c r="B81" s="3319">
        <v>350</v>
      </c>
      <c r="C81" s="2053"/>
      <c r="D81" s="2053"/>
      <c r="E81" s="2053"/>
      <c r="F81" s="71"/>
    </row>
    <row r="82" spans="1:6" ht="12.75" customHeight="1">
      <c r="A82" s="3309" t="s">
        <v>978</v>
      </c>
      <c r="B82" s="3319">
        <v>355</v>
      </c>
      <c r="C82" s="2053"/>
      <c r="D82" s="2053"/>
      <c r="E82" s="2053"/>
      <c r="F82" s="71"/>
    </row>
    <row r="83" spans="1:6" ht="12.75" customHeight="1">
      <c r="A83" s="4378" t="s">
        <v>4818</v>
      </c>
      <c r="B83" s="3317">
        <v>360</v>
      </c>
      <c r="C83" s="3318"/>
      <c r="D83" s="3318"/>
      <c r="E83" s="3318"/>
      <c r="F83" s="71"/>
    </row>
    <row r="84" spans="1:6" ht="12.75" customHeight="1">
      <c r="A84" s="3311" t="s">
        <v>632</v>
      </c>
      <c r="B84" s="3317">
        <v>363</v>
      </c>
      <c r="C84" s="3318"/>
      <c r="D84" s="3318"/>
      <c r="E84" s="3318"/>
      <c r="F84" s="71"/>
    </row>
    <row r="85" spans="1:6" ht="12.75" customHeight="1">
      <c r="A85" s="3309" t="s">
        <v>986</v>
      </c>
      <c r="B85" s="3319">
        <v>365</v>
      </c>
      <c r="C85" s="2053"/>
      <c r="D85" s="2053"/>
      <c r="E85" s="2053"/>
      <c r="F85" s="71"/>
    </row>
    <row r="86" spans="1:6" ht="12.75" customHeight="1">
      <c r="A86" s="3304" t="s">
        <v>989</v>
      </c>
      <c r="B86" s="3315"/>
      <c r="C86" s="3315"/>
      <c r="D86" s="3315"/>
      <c r="E86" s="3315"/>
      <c r="F86" s="71"/>
    </row>
    <row r="87" spans="1:6" ht="12.75" customHeight="1">
      <c r="A87" s="3308" t="s">
        <v>5154</v>
      </c>
      <c r="B87" s="3317">
        <v>370</v>
      </c>
      <c r="C87" s="3318"/>
      <c r="D87" s="3318"/>
      <c r="E87" s="3318"/>
      <c r="F87" s="71"/>
    </row>
    <row r="88" spans="1:6" ht="12.75" customHeight="1">
      <c r="A88" s="3309" t="s">
        <v>692</v>
      </c>
      <c r="B88" s="3319">
        <v>375</v>
      </c>
      <c r="C88" s="2053"/>
      <c r="D88" s="2053"/>
      <c r="E88" s="2053"/>
      <c r="F88" s="71"/>
    </row>
    <row r="89" spans="1:6" ht="12.75" customHeight="1">
      <c r="A89" s="3308" t="s">
        <v>996</v>
      </c>
      <c r="B89" s="3317">
        <v>380</v>
      </c>
      <c r="C89" s="3318"/>
      <c r="D89" s="3318"/>
      <c r="E89" s="3318"/>
      <c r="F89" s="71"/>
    </row>
    <row r="90" spans="1:6" ht="12.75" customHeight="1">
      <c r="A90" s="3309" t="s">
        <v>997</v>
      </c>
      <c r="B90" s="3319">
        <v>385</v>
      </c>
      <c r="C90" s="2053"/>
      <c r="D90" s="2053"/>
      <c r="E90" s="2053"/>
      <c r="F90" s="71"/>
    </row>
    <row r="91" spans="1:6" ht="12.75" customHeight="1">
      <c r="A91" s="3309" t="s">
        <v>998</v>
      </c>
      <c r="B91" s="3319">
        <v>390</v>
      </c>
      <c r="C91" s="2053"/>
      <c r="D91" s="2053"/>
      <c r="E91" s="2053"/>
      <c r="F91" s="71"/>
    </row>
    <row r="92" spans="1:6" ht="12.75" customHeight="1">
      <c r="A92" s="3304" t="s">
        <v>77</v>
      </c>
      <c r="B92" s="3315"/>
      <c r="C92" s="3315"/>
      <c r="D92" s="3315"/>
      <c r="E92" s="3315"/>
      <c r="F92" s="71"/>
    </row>
    <row r="93" spans="1:6" ht="12.75" customHeight="1">
      <c r="A93" s="3305" t="s">
        <v>972</v>
      </c>
      <c r="B93" s="3316"/>
      <c r="C93" s="3316"/>
      <c r="D93" s="3316"/>
      <c r="E93" s="3316"/>
      <c r="F93" s="71"/>
    </row>
    <row r="94" spans="1:6" ht="12.75" customHeight="1">
      <c r="A94" s="3308" t="s">
        <v>999</v>
      </c>
      <c r="B94" s="3317">
        <v>450</v>
      </c>
      <c r="C94" s="3318"/>
      <c r="D94" s="3318"/>
      <c r="E94" s="3318"/>
      <c r="F94" s="71"/>
    </row>
    <row r="95" spans="1:6" ht="12.75" customHeight="1">
      <c r="A95" s="3309" t="s">
        <v>943</v>
      </c>
      <c r="B95" s="3319">
        <v>455</v>
      </c>
      <c r="C95" s="2053"/>
      <c r="D95" s="3318"/>
      <c r="E95" s="2053"/>
      <c r="F95" s="71"/>
    </row>
    <row r="96" spans="1:6" ht="12.75" customHeight="1">
      <c r="A96" s="3304" t="s">
        <v>973</v>
      </c>
      <c r="B96" s="3315"/>
      <c r="C96" s="3315"/>
      <c r="D96" s="3315"/>
      <c r="E96" s="3315"/>
      <c r="F96" s="71"/>
    </row>
    <row r="97" spans="1:6" ht="12.75" customHeight="1">
      <c r="A97" s="3308" t="s">
        <v>974</v>
      </c>
      <c r="B97" s="3317">
        <v>460</v>
      </c>
      <c r="C97" s="3318"/>
      <c r="D97" s="3318"/>
      <c r="E97" s="3318"/>
      <c r="F97" s="71"/>
    </row>
    <row r="98" spans="1:6" ht="12.75" customHeight="1">
      <c r="A98" s="3309" t="s">
        <v>977</v>
      </c>
      <c r="B98" s="3319">
        <v>465</v>
      </c>
      <c r="C98" s="2053"/>
      <c r="D98" s="2053"/>
      <c r="E98" s="2053"/>
      <c r="F98" s="71"/>
    </row>
    <row r="99" spans="1:6" ht="12.75" customHeight="1">
      <c r="A99" s="3309" t="s">
        <v>978</v>
      </c>
      <c r="B99" s="3319">
        <v>470</v>
      </c>
      <c r="C99" s="2053"/>
      <c r="D99" s="2053"/>
      <c r="E99" s="2053"/>
      <c r="F99" s="71"/>
    </row>
    <row r="100" spans="1:6" ht="12.75" customHeight="1">
      <c r="A100" s="4378" t="s">
        <v>4818</v>
      </c>
      <c r="B100" s="3319">
        <v>475</v>
      </c>
      <c r="C100" s="2053"/>
      <c r="D100" s="2053"/>
      <c r="E100" s="2053"/>
      <c r="F100" s="71"/>
    </row>
    <row r="101" spans="1:6" ht="12.75" customHeight="1">
      <c r="A101" s="3309" t="s">
        <v>986</v>
      </c>
      <c r="B101" s="3319">
        <v>480</v>
      </c>
      <c r="C101" s="2053"/>
      <c r="D101" s="2053"/>
      <c r="E101" s="2053"/>
      <c r="F101" s="71"/>
    </row>
    <row r="102" spans="1:6" ht="12.75" customHeight="1">
      <c r="A102" s="3309" t="s">
        <v>989</v>
      </c>
      <c r="B102" s="3319">
        <v>485</v>
      </c>
      <c r="C102" s="2053"/>
      <c r="D102" s="2053"/>
      <c r="E102" s="2053"/>
      <c r="F102" s="71"/>
    </row>
    <row r="103" spans="1:6" ht="12.75" customHeight="1">
      <c r="A103" s="3309" t="s">
        <v>997</v>
      </c>
      <c r="B103" s="3319">
        <v>490</v>
      </c>
      <c r="C103" s="2053"/>
      <c r="D103" s="2053"/>
      <c r="E103" s="2053"/>
      <c r="F103" s="71"/>
    </row>
    <row r="104" spans="1:6" ht="12.75" customHeight="1">
      <c r="A104" s="3309" t="s">
        <v>998</v>
      </c>
      <c r="B104" s="3319">
        <v>495</v>
      </c>
      <c r="C104" s="2053"/>
      <c r="D104" s="2053"/>
      <c r="E104" s="2053"/>
      <c r="F104" s="71"/>
    </row>
    <row r="105" spans="1:6" ht="12.75" customHeight="1">
      <c r="A105" s="2068" t="s">
        <v>1320</v>
      </c>
      <c r="B105" s="2092"/>
      <c r="C105" s="2092"/>
      <c r="D105" s="2092"/>
      <c r="E105" s="2092"/>
      <c r="F105" s="71"/>
    </row>
    <row r="106" spans="1:6" ht="12.75" customHeight="1">
      <c r="A106" s="2069" t="s">
        <v>1144</v>
      </c>
      <c r="B106" s="2093"/>
      <c r="C106" s="2093"/>
      <c r="D106" s="2093"/>
      <c r="E106" s="2093"/>
      <c r="F106" s="71"/>
    </row>
    <row r="107" spans="1:6" ht="12.75" customHeight="1">
      <c r="A107" s="2074" t="s">
        <v>1321</v>
      </c>
      <c r="B107" s="2094">
        <v>595</v>
      </c>
      <c r="C107" s="3214"/>
      <c r="D107" s="3214"/>
      <c r="E107" s="3215"/>
      <c r="F107" s="71"/>
    </row>
    <row r="108" spans="1:6" ht="12.75" customHeight="1">
      <c r="A108" s="2075" t="s">
        <v>1308</v>
      </c>
      <c r="B108" s="2095">
        <v>600</v>
      </c>
      <c r="C108" s="3216"/>
      <c r="D108" s="3216"/>
      <c r="E108" s="3216"/>
      <c r="F108" s="71"/>
    </row>
    <row r="109" spans="1:6" ht="12.75" customHeight="1">
      <c r="A109" s="2068" t="s">
        <v>794</v>
      </c>
      <c r="B109" s="2092"/>
      <c r="C109" s="2092"/>
      <c r="D109" s="2092"/>
      <c r="E109" s="2092"/>
      <c r="F109" s="71"/>
    </row>
    <row r="110" spans="1:6" ht="12.75" customHeight="1">
      <c r="A110" s="2074" t="s">
        <v>1323</v>
      </c>
      <c r="B110" s="2096">
        <v>605</v>
      </c>
      <c r="C110" s="3214"/>
      <c r="D110" s="3214"/>
      <c r="E110" s="3214"/>
      <c r="F110" s="71"/>
    </row>
    <row r="111" spans="1:6" ht="12.75" customHeight="1">
      <c r="A111" s="2075" t="s">
        <v>1322</v>
      </c>
      <c r="B111" s="2095">
        <v>610</v>
      </c>
      <c r="C111" s="3216"/>
      <c r="D111" s="3216"/>
      <c r="E111" s="3216"/>
      <c r="F111" s="71"/>
    </row>
    <row r="112" spans="1:6" ht="12.75" customHeight="1">
      <c r="A112" s="2075" t="s">
        <v>1324</v>
      </c>
      <c r="B112" s="2095">
        <v>615</v>
      </c>
      <c r="C112" s="3216"/>
      <c r="D112" s="3216"/>
      <c r="E112" s="3216"/>
      <c r="F112" s="71"/>
    </row>
    <row r="113" spans="1:6" ht="12.75" customHeight="1">
      <c r="A113" s="4378" t="s">
        <v>4818</v>
      </c>
      <c r="B113" s="2095">
        <v>620</v>
      </c>
      <c r="C113" s="3216"/>
      <c r="D113" s="3216"/>
      <c r="E113" s="3216"/>
      <c r="F113" s="71"/>
    </row>
    <row r="114" spans="1:6" ht="12.75" customHeight="1">
      <c r="A114" s="2075" t="s">
        <v>632</v>
      </c>
      <c r="B114" s="2095">
        <v>625</v>
      </c>
      <c r="C114" s="3216"/>
      <c r="D114" s="3216"/>
      <c r="E114" s="3216"/>
      <c r="F114" s="71"/>
    </row>
    <row r="115" spans="1:6" ht="12.75" customHeight="1">
      <c r="A115" s="2075" t="s">
        <v>610</v>
      </c>
      <c r="B115" s="2095">
        <v>630</v>
      </c>
      <c r="C115" s="3216"/>
      <c r="D115" s="3216"/>
      <c r="E115" s="3216"/>
      <c r="F115" s="71"/>
    </row>
    <row r="116" spans="1:6" ht="12.75" customHeight="1">
      <c r="A116" s="2075" t="s">
        <v>1313</v>
      </c>
      <c r="B116" s="2095">
        <v>635</v>
      </c>
      <c r="C116" s="3216"/>
      <c r="D116" s="3216"/>
      <c r="E116" s="3216"/>
      <c r="F116" s="71"/>
    </row>
    <row r="117" spans="1:6" ht="12.75" customHeight="1">
      <c r="A117" s="2075" t="s">
        <v>1314</v>
      </c>
      <c r="B117" s="2095">
        <v>640</v>
      </c>
      <c r="C117" s="3216"/>
      <c r="D117" s="3216"/>
      <c r="E117" s="3216"/>
      <c r="F117" s="71"/>
    </row>
    <row r="118" spans="1:6" ht="12.75" customHeight="1">
      <c r="A118" s="2075" t="s">
        <v>793</v>
      </c>
      <c r="B118" s="2095">
        <v>645</v>
      </c>
      <c r="C118" s="3216"/>
      <c r="D118" s="3216"/>
      <c r="E118" s="3216"/>
      <c r="F118" s="71"/>
    </row>
    <row r="119" spans="1:6" ht="12.75" customHeight="1">
      <c r="A119" s="3304" t="s">
        <v>971</v>
      </c>
      <c r="B119" s="3315"/>
      <c r="C119" s="3315"/>
      <c r="D119" s="3315"/>
      <c r="E119" s="3315"/>
      <c r="F119" s="71"/>
    </row>
    <row r="120" spans="1:6" ht="12.75" customHeight="1">
      <c r="A120" s="3305" t="s">
        <v>972</v>
      </c>
      <c r="B120" s="3316"/>
      <c r="C120" s="3316"/>
      <c r="D120" s="3316"/>
      <c r="E120" s="3316"/>
      <c r="F120" s="71"/>
    </row>
    <row r="121" spans="1:6" ht="12.75" customHeight="1">
      <c r="A121" s="3308" t="s">
        <v>943</v>
      </c>
      <c r="B121" s="3317">
        <v>500</v>
      </c>
      <c r="C121" s="3318"/>
      <c r="D121" s="3318"/>
      <c r="E121" s="3318"/>
      <c r="F121" s="71"/>
    </row>
    <row r="122" spans="1:6" ht="12.75" customHeight="1">
      <c r="A122" s="3304" t="s">
        <v>973</v>
      </c>
      <c r="B122" s="3315"/>
      <c r="C122" s="3315"/>
      <c r="D122" s="3315"/>
      <c r="E122" s="3315"/>
      <c r="F122" s="71"/>
    </row>
    <row r="123" spans="1:6" ht="12.75" customHeight="1">
      <c r="A123" s="3308" t="s">
        <v>974</v>
      </c>
      <c r="B123" s="3317">
        <v>505</v>
      </c>
      <c r="C123" s="3318"/>
      <c r="D123" s="3318"/>
      <c r="E123" s="3318"/>
      <c r="F123" s="71"/>
    </row>
    <row r="124" spans="1:6" ht="12.75" customHeight="1">
      <c r="A124" s="3309" t="s">
        <v>977</v>
      </c>
      <c r="B124" s="3319">
        <v>510</v>
      </c>
      <c r="C124" s="2053"/>
      <c r="D124" s="2053"/>
      <c r="E124" s="2053"/>
      <c r="F124" s="71"/>
    </row>
    <row r="125" spans="1:6" ht="12.75" customHeight="1">
      <c r="A125" s="3309" t="s">
        <v>978</v>
      </c>
      <c r="B125" s="3319">
        <v>515</v>
      </c>
      <c r="C125" s="2053"/>
      <c r="D125" s="2053"/>
      <c r="E125" s="2053"/>
      <c r="F125" s="71"/>
    </row>
    <row r="126" spans="1:6" ht="12.75" customHeight="1">
      <c r="A126" s="4378" t="s">
        <v>4818</v>
      </c>
      <c r="B126" s="3317">
        <v>520</v>
      </c>
      <c r="C126" s="3318"/>
      <c r="D126" s="3318"/>
      <c r="E126" s="3318"/>
      <c r="F126" s="71"/>
    </row>
    <row r="127" spans="1:6" ht="12.75" customHeight="1">
      <c r="A127" s="3304" t="s">
        <v>259</v>
      </c>
      <c r="B127" s="3315"/>
      <c r="C127" s="3315"/>
      <c r="D127" s="3315"/>
      <c r="E127" s="3315"/>
      <c r="F127" s="71"/>
    </row>
    <row r="128" spans="1:6" ht="12.75" customHeight="1">
      <c r="A128" s="3308" t="s">
        <v>260</v>
      </c>
      <c r="B128" s="3317">
        <v>525</v>
      </c>
      <c r="C128" s="3318"/>
      <c r="D128" s="3318"/>
      <c r="E128" s="3318"/>
      <c r="F128" s="71"/>
    </row>
    <row r="129" spans="1:6" ht="12.75" customHeight="1">
      <c r="A129" s="3308" t="s">
        <v>261</v>
      </c>
      <c r="B129" s="3317">
        <v>530</v>
      </c>
      <c r="C129" s="3318"/>
      <c r="D129" s="3318"/>
      <c r="E129" s="3318"/>
      <c r="F129" s="71"/>
    </row>
    <row r="130" spans="1:6" ht="12.75" customHeight="1">
      <c r="A130" s="3308" t="s">
        <v>262</v>
      </c>
      <c r="B130" s="3317">
        <v>535</v>
      </c>
      <c r="C130" s="3318"/>
      <c r="D130" s="3318"/>
      <c r="E130" s="3318"/>
      <c r="F130" s="71"/>
    </row>
    <row r="131" spans="1:6" ht="12.75" customHeight="1">
      <c r="A131" s="3308" t="s">
        <v>263</v>
      </c>
      <c r="B131" s="3317">
        <v>540</v>
      </c>
      <c r="C131" s="3318"/>
      <c r="D131" s="3318"/>
      <c r="E131" s="3318"/>
      <c r="F131" s="71"/>
    </row>
    <row r="132" spans="1:6" ht="12.75" customHeight="1">
      <c r="A132" s="3308" t="s">
        <v>264</v>
      </c>
      <c r="B132" s="3317">
        <v>545</v>
      </c>
      <c r="C132" s="3318"/>
      <c r="D132" s="3318"/>
      <c r="E132" s="3318"/>
      <c r="F132" s="71"/>
    </row>
    <row r="133" spans="1:6" ht="12.75" customHeight="1">
      <c r="A133" s="3309" t="s">
        <v>986</v>
      </c>
      <c r="B133" s="3319">
        <v>550</v>
      </c>
      <c r="C133" s="2053"/>
      <c r="D133" s="2053"/>
      <c r="E133" s="2053"/>
      <c r="F133" s="71"/>
    </row>
    <row r="134" spans="1:6" ht="12.75" customHeight="1">
      <c r="A134" s="3302" t="s">
        <v>989</v>
      </c>
      <c r="B134" s="3325"/>
      <c r="C134" s="3325"/>
      <c r="D134" s="3325"/>
      <c r="E134" s="3325"/>
      <c r="F134" s="71"/>
    </row>
    <row r="135" spans="1:6" ht="12.75" customHeight="1">
      <c r="A135" s="3313" t="s">
        <v>265</v>
      </c>
      <c r="B135" s="3326">
        <v>555</v>
      </c>
      <c r="C135" s="3318"/>
      <c r="D135" s="3318"/>
      <c r="E135" s="3318"/>
      <c r="F135" s="71"/>
    </row>
    <row r="136" spans="1:6" ht="12.75" customHeight="1">
      <c r="A136" s="3302" t="s">
        <v>266</v>
      </c>
      <c r="B136" s="3325"/>
      <c r="C136" s="3325"/>
      <c r="D136" s="3325"/>
      <c r="E136" s="3325"/>
      <c r="F136" s="71"/>
    </row>
    <row r="137" spans="1:6" ht="12.75" customHeight="1">
      <c r="A137" s="3313" t="s">
        <v>267</v>
      </c>
      <c r="B137" s="3326">
        <v>560</v>
      </c>
      <c r="C137" s="3318"/>
      <c r="D137" s="3318"/>
      <c r="E137" s="3318"/>
      <c r="F137" s="71"/>
    </row>
    <row r="138" spans="1:6" ht="12.75" customHeight="1">
      <c r="A138" s="3313" t="s">
        <v>268</v>
      </c>
      <c r="B138" s="3326">
        <v>565</v>
      </c>
      <c r="C138" s="3318"/>
      <c r="D138" s="3318"/>
      <c r="E138" s="3318"/>
      <c r="F138" s="71"/>
    </row>
    <row r="139" spans="1:6" ht="12.75" customHeight="1">
      <c r="A139" s="3313" t="s">
        <v>51</v>
      </c>
      <c r="B139" s="3326">
        <v>570</v>
      </c>
      <c r="C139" s="3318"/>
      <c r="D139" s="3318"/>
      <c r="E139" s="3318"/>
      <c r="F139" s="71"/>
    </row>
    <row r="140" spans="1:6" ht="12.75" customHeight="1">
      <c r="A140" s="3313" t="s">
        <v>269</v>
      </c>
      <c r="B140" s="3326">
        <v>575</v>
      </c>
      <c r="C140" s="3318"/>
      <c r="D140" s="3318"/>
      <c r="E140" s="3318"/>
      <c r="F140" s="71"/>
    </row>
    <row r="141" spans="1:6" ht="12.75" customHeight="1">
      <c r="A141" s="3313" t="s">
        <v>1041</v>
      </c>
      <c r="B141" s="3326">
        <v>580</v>
      </c>
      <c r="C141" s="3318"/>
      <c r="D141" s="3318"/>
      <c r="E141" s="3318"/>
      <c r="F141" s="71"/>
    </row>
    <row r="142" spans="1:6" ht="12.75" customHeight="1">
      <c r="A142" s="3313" t="s">
        <v>997</v>
      </c>
      <c r="B142" s="3326">
        <v>585</v>
      </c>
      <c r="C142" s="3318"/>
      <c r="D142" s="3318"/>
      <c r="E142" s="3318"/>
      <c r="F142" s="71"/>
    </row>
    <row r="143" spans="1:6" ht="12.75" customHeight="1">
      <c r="A143" s="3314" t="s">
        <v>998</v>
      </c>
      <c r="B143" s="3327">
        <v>590</v>
      </c>
      <c r="C143" s="3321"/>
      <c r="D143" s="2053"/>
      <c r="E143" s="2053"/>
      <c r="F143" s="71"/>
    </row>
    <row r="144" spans="1:6" ht="12.75" customHeight="1">
      <c r="A144" s="3302" t="s">
        <v>1326</v>
      </c>
      <c r="B144" s="3325"/>
      <c r="C144" s="3325"/>
      <c r="D144" s="3325"/>
      <c r="E144" s="3325"/>
      <c r="F144" s="71"/>
    </row>
    <row r="145" spans="1:6" ht="12.75" customHeight="1">
      <c r="A145" s="3303" t="s">
        <v>972</v>
      </c>
      <c r="B145" s="3328"/>
      <c r="C145" s="3328"/>
      <c r="D145" s="3328"/>
      <c r="E145" s="3328"/>
      <c r="F145" s="71"/>
    </row>
    <row r="146" spans="1:6" ht="12.75" customHeight="1">
      <c r="A146" s="3313" t="s">
        <v>999</v>
      </c>
      <c r="B146" s="3329">
        <v>650</v>
      </c>
      <c r="C146" s="3330"/>
      <c r="D146" s="3318"/>
      <c r="E146" s="3318"/>
      <c r="F146" s="71"/>
    </row>
    <row r="147" spans="1:6" ht="12.75" customHeight="1">
      <c r="A147" s="3314" t="s">
        <v>943</v>
      </c>
      <c r="B147" s="3331">
        <v>655</v>
      </c>
      <c r="C147" s="3330"/>
      <c r="D147" s="2053"/>
      <c r="E147" s="2053"/>
      <c r="F147" s="71"/>
    </row>
    <row r="148" spans="1:6" ht="12.75" customHeight="1">
      <c r="A148" s="3302" t="s">
        <v>973</v>
      </c>
      <c r="B148" s="3325"/>
      <c r="C148" s="3325"/>
      <c r="D148" s="3325"/>
      <c r="E148" s="3325"/>
      <c r="F148" s="71"/>
    </row>
    <row r="149" spans="1:6" ht="12.75" customHeight="1">
      <c r="A149" s="3313" t="s">
        <v>1000</v>
      </c>
      <c r="B149" s="3329">
        <v>660</v>
      </c>
      <c r="C149" s="3330"/>
      <c r="D149" s="3318"/>
      <c r="E149" s="3318"/>
      <c r="F149" s="71"/>
    </row>
    <row r="150" spans="1:6" ht="12.75" customHeight="1">
      <c r="A150" s="80" t="s">
        <v>977</v>
      </c>
      <c r="B150" s="470">
        <v>665</v>
      </c>
      <c r="C150" s="1191"/>
      <c r="D150" s="1190"/>
      <c r="E150" s="1182"/>
      <c r="F150" s="71"/>
    </row>
    <row r="151" spans="1:6" ht="12.75" customHeight="1">
      <c r="A151" s="80" t="s">
        <v>978</v>
      </c>
      <c r="B151" s="470">
        <v>670</v>
      </c>
      <c r="C151" s="1191"/>
      <c r="D151" s="1190"/>
      <c r="E151" s="1182"/>
      <c r="F151" s="71"/>
    </row>
    <row r="152" spans="1:6" ht="12.75" customHeight="1">
      <c r="A152" s="4378" t="s">
        <v>4818</v>
      </c>
      <c r="B152" s="469">
        <v>675</v>
      </c>
      <c r="C152" s="1191"/>
      <c r="D152" s="79"/>
      <c r="E152" s="280"/>
      <c r="F152" s="71"/>
    </row>
    <row r="153" spans="1:6" ht="12.75" customHeight="1">
      <c r="A153" s="80" t="s">
        <v>979</v>
      </c>
      <c r="B153" s="470">
        <v>680</v>
      </c>
      <c r="C153" s="1191"/>
      <c r="D153" s="1190"/>
      <c r="E153" s="1182"/>
      <c r="F153" s="71"/>
    </row>
    <row r="154" spans="1:6" ht="12.75" customHeight="1">
      <c r="A154" s="80" t="s">
        <v>986</v>
      </c>
      <c r="B154" s="470">
        <v>685</v>
      </c>
      <c r="C154" s="1191"/>
      <c r="D154" s="1190"/>
      <c r="E154" s="1182"/>
      <c r="F154" s="71"/>
    </row>
    <row r="155" spans="1:6" ht="12.75" customHeight="1">
      <c r="A155" s="80" t="s">
        <v>989</v>
      </c>
      <c r="B155" s="470">
        <v>690</v>
      </c>
      <c r="C155" s="1191"/>
      <c r="D155" s="1190"/>
      <c r="E155" s="1182"/>
      <c r="F155" s="71"/>
    </row>
    <row r="156" spans="1:6" ht="12.75" customHeight="1">
      <c r="A156" s="80" t="s">
        <v>997</v>
      </c>
      <c r="B156" s="470">
        <v>695</v>
      </c>
      <c r="C156" s="1191"/>
      <c r="D156" s="1190"/>
      <c r="E156" s="1182"/>
      <c r="F156" s="71"/>
    </row>
    <row r="157" spans="1:6" ht="12.75" customHeight="1">
      <c r="A157" s="80" t="s">
        <v>998</v>
      </c>
      <c r="B157" s="470">
        <v>700</v>
      </c>
      <c r="C157" s="1191"/>
      <c r="D157" s="1190"/>
      <c r="E157" s="1182"/>
      <c r="F157" s="71"/>
    </row>
    <row r="158" spans="1:6" ht="12.75" customHeight="1">
      <c r="A158" s="1198" t="s">
        <v>5153</v>
      </c>
      <c r="B158" s="2578" t="s">
        <v>4906</v>
      </c>
      <c r="C158" s="1186">
        <f>SUM(C39:C157)</f>
        <v>0</v>
      </c>
      <c r="D158" s="1186">
        <f t="shared" ref="D158:E158" si="0">SUM(D39:D157)</f>
        <v>0</v>
      </c>
      <c r="E158" s="1186">
        <f t="shared" si="0"/>
        <v>0</v>
      </c>
      <c r="F158" s="71"/>
    </row>
    <row r="159" spans="1:6" ht="12.75" customHeight="1">
      <c r="A159" s="6101" t="s">
        <v>4911</v>
      </c>
      <c r="B159" s="6101"/>
      <c r="C159" s="6101"/>
      <c r="D159" s="6101"/>
      <c r="E159" s="6101"/>
      <c r="F159" s="71"/>
    </row>
    <row r="160" spans="1:6" ht="12.75" customHeight="1">
      <c r="A160" s="2864"/>
      <c r="B160" s="1192"/>
      <c r="C160" s="1193"/>
      <c r="D160" s="1193"/>
      <c r="E160" s="1193"/>
      <c r="F160" s="71"/>
    </row>
    <row r="161" spans="1:6" ht="12.75" customHeight="1">
      <c r="A161" s="78"/>
      <c r="B161" s="1192"/>
      <c r="C161" s="1194"/>
      <c r="D161" s="1194"/>
      <c r="E161" s="1194"/>
      <c r="F161" s="81"/>
    </row>
    <row r="162" spans="1:6" ht="12.75" customHeight="1">
      <c r="A162" s="71"/>
      <c r="B162" s="1166"/>
      <c r="C162" s="1165"/>
      <c r="D162" s="1165"/>
      <c r="E162" s="1165"/>
      <c r="F162" s="71"/>
    </row>
    <row r="163" spans="1:6" ht="12.75" customHeight="1">
      <c r="A163" s="81"/>
      <c r="B163" s="1166"/>
      <c r="C163" s="1193"/>
      <c r="D163" s="1193"/>
      <c r="E163" s="1193"/>
      <c r="F163" s="71"/>
    </row>
    <row r="164" spans="1:6" ht="12.75" customHeight="1">
      <c r="A164" s="71"/>
      <c r="B164" s="1166"/>
      <c r="C164" s="1165"/>
      <c r="D164" s="1165"/>
      <c r="E164" s="1165"/>
      <c r="F164" s="71"/>
    </row>
  </sheetData>
  <sheetProtection algorithmName="SHA-512" hashValue="4dDjVblxeLW5IytI2kmiiutT34o1R76cnzyIgymyAZsNhPR6aTCFpiIwII8sML9C98OyO1IgqCC2wMkVIfFLnA==" saltValue="/2mjW+Qx6FiaR+AvXTOLWg==" spinCount="100000" sheet="1" objects="1" scenarios="1"/>
  <mergeCells count="4">
    <mergeCell ref="D1:E1"/>
    <mergeCell ref="D2:E2"/>
    <mergeCell ref="D28:E28"/>
    <mergeCell ref="A159:E159"/>
  </mergeCells>
  <phoneticPr fontId="13" type="noConversion"/>
  <dataValidations count="3">
    <dataValidation type="whole" operator="greaterThanOrEqual" showInputMessage="1" showErrorMessage="1" errorTitle="Invalid Data Entry" error="Please enter a positive number or press the delete key or enter zero." sqref="C121:E121 C97:E104 C149:E157 C146:E147 C137:E143 C135:E135 C128:E133 C63:E64 C54:E59 C49:E52 C42:E46 C18:E18 C123:E126 E15 C87:E91 C66:E74 C77:E78 C80:E85 C94:E95 C14:E14 C10:D10 C16:E16 C39:E40">
      <formula1>0</formula1>
    </dataValidation>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a zero." sqref="C107:E108 C110:E118 D15">
      <formula1>0</formula1>
    </dataValidation>
  </dataValidations>
  <hyperlinks>
    <hyperlink ref="G1" location="Contents!F1" display="Return to Contents page"/>
  </hyperlinks>
  <printOptions horizontalCentered="1"/>
  <pageMargins left="0.75" right="0.75" top="0.5" bottom="0.5" header="0.3" footer="0.3"/>
  <pageSetup scale="86" fitToWidth="0" fitToHeight="0" orientation="portrait" blackAndWhite="1" r:id="rId1"/>
  <headerFooter scaleWithDoc="0">
    <oddFooter>&amp;L&amp;"Open Sans Light,Regular"&amp;8&amp;D    &amp;T&amp;C&amp;"Open Sans Light,Regular"&amp;8Page &amp;P&amp;R&amp;"Open Sans Light,Regular"&amp;8&amp;A</oddFooter>
  </headerFooter>
  <rowBreaks count="1" manualBreakCount="1">
    <brk id="121" max="4"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sheetPr>
  <dimension ref="A1:Z93"/>
  <sheetViews>
    <sheetView showGridLines="0" zoomScaleNormal="100" zoomScaleSheetLayoutView="100" workbookViewId="0">
      <pane ySplit="8" topLeftCell="A9" activePane="bottomLeft" state="frozen"/>
      <selection activeCell="B22" sqref="B22"/>
      <selection pane="bottomLeft" activeCell="E25" sqref="E25"/>
    </sheetView>
  </sheetViews>
  <sheetFormatPr defaultColWidth="10.6640625" defaultRowHeight="12.75" customHeight="1"/>
  <cols>
    <col min="1" max="1" width="40.6640625" style="84" customWidth="1"/>
    <col min="2" max="2" width="4.88671875" style="1222" customWidth="1"/>
    <col min="3" max="5" width="14.33203125" style="1223" customWidth="1"/>
    <col min="6" max="6" width="2.33203125" style="84" customWidth="1"/>
    <col min="7" max="7" width="21" style="84" customWidth="1"/>
    <col min="8" max="26" width="10.6640625" style="84"/>
    <col min="27" max="16384" width="10.6640625" style="83"/>
  </cols>
  <sheetData>
    <row r="1" spans="1:17" ht="12.75" customHeight="1">
      <c r="A1" s="1200" t="s">
        <v>809</v>
      </c>
      <c r="B1" s="4256">
        <f>OPEN!B4</f>
        <v>237</v>
      </c>
      <c r="C1" s="1201"/>
      <c r="D1" s="6127" t="s">
        <v>836</v>
      </c>
      <c r="E1" s="6127"/>
      <c r="F1" s="82"/>
      <c r="G1" s="304" t="s">
        <v>754</v>
      </c>
    </row>
    <row r="2" spans="1:17" ht="12.75" customHeight="1">
      <c r="A2" s="1201"/>
      <c r="B2" s="1202"/>
      <c r="C2" s="1201"/>
      <c r="D2" s="6127" t="s">
        <v>921</v>
      </c>
      <c r="E2" s="6127"/>
      <c r="F2" s="82"/>
    </row>
    <row r="3" spans="1:17" ht="12.75" customHeight="1">
      <c r="A3" s="1201"/>
      <c r="B3" s="1202"/>
      <c r="C3" s="1201"/>
      <c r="D3" s="1201"/>
      <c r="E3" s="1200" t="str">
        <f>OpenData!N2</f>
        <v>2021-2022</v>
      </c>
      <c r="F3" s="82"/>
    </row>
    <row r="4" spans="1:17" ht="12.75" customHeight="1">
      <c r="A4" s="1201"/>
      <c r="B4" s="1202"/>
      <c r="C4" s="1201"/>
      <c r="D4" s="1201"/>
      <c r="E4" s="1201"/>
      <c r="F4" s="82"/>
    </row>
    <row r="5" spans="1:17" ht="12.75" customHeight="1">
      <c r="A5" s="1201"/>
      <c r="B5" s="1202"/>
      <c r="C5" s="1203" t="s">
        <v>922</v>
      </c>
      <c r="D5" s="1203" t="s">
        <v>922</v>
      </c>
      <c r="E5" s="1203" t="s">
        <v>922</v>
      </c>
      <c r="F5" s="82"/>
    </row>
    <row r="6" spans="1:17" ht="12.75" customHeight="1">
      <c r="A6" s="1204"/>
      <c r="B6" s="1205" t="s">
        <v>854</v>
      </c>
      <c r="C6" s="1206" t="str">
        <f>OpenData!N4</f>
        <v>2019-2020</v>
      </c>
      <c r="D6" s="1206" t="str">
        <f>OpenData!O4</f>
        <v>2020-2021</v>
      </c>
      <c r="E6" s="1206" t="str">
        <f>OpenData!P4</f>
        <v>2021-2022</v>
      </c>
      <c r="F6" s="82"/>
      <c r="N6" s="85"/>
    </row>
    <row r="7" spans="1:17" ht="12.75" customHeight="1">
      <c r="A7" s="1204" t="s">
        <v>270</v>
      </c>
      <c r="B7" s="1207">
        <v>24</v>
      </c>
      <c r="C7" s="1208" t="s">
        <v>893</v>
      </c>
      <c r="D7" s="1208" t="s">
        <v>893</v>
      </c>
      <c r="E7" s="1208" t="s">
        <v>923</v>
      </c>
      <c r="F7" s="82"/>
    </row>
    <row r="8" spans="1:17" ht="12.75" customHeight="1">
      <c r="A8" s="1209"/>
      <c r="B8" s="1210" t="s">
        <v>858</v>
      </c>
      <c r="C8" s="1211">
        <v>1</v>
      </c>
      <c r="D8" s="1211">
        <v>2</v>
      </c>
      <c r="E8" s="1211">
        <v>3</v>
      </c>
      <c r="F8" s="82"/>
    </row>
    <row r="9" spans="1:17" ht="12.75" customHeight="1">
      <c r="A9" s="1212" t="s">
        <v>1043</v>
      </c>
      <c r="B9" s="1213">
        <v>1</v>
      </c>
      <c r="C9" s="1214">
        <v>70202</v>
      </c>
      <c r="D9" s="1215">
        <f>C33</f>
        <v>47708</v>
      </c>
      <c r="E9" s="1216">
        <f>D33</f>
        <v>62070</v>
      </c>
      <c r="F9" s="82"/>
    </row>
    <row r="10" spans="1:17" ht="12.75" customHeight="1">
      <c r="A10" s="3974" t="s">
        <v>4940</v>
      </c>
      <c r="B10" s="2385">
        <v>3</v>
      </c>
      <c r="C10" s="3293"/>
      <c r="D10" s="3293"/>
      <c r="E10" s="3301"/>
      <c r="F10" s="82"/>
      <c r="O10" s="86"/>
      <c r="P10" s="86"/>
      <c r="Q10" s="86"/>
    </row>
    <row r="11" spans="1:17" ht="12.75" customHeight="1">
      <c r="A11" s="2387"/>
      <c r="B11" s="4351"/>
      <c r="C11" s="4351"/>
      <c r="D11" s="4351"/>
      <c r="E11" s="4355"/>
      <c r="F11" s="82"/>
      <c r="O11" s="86"/>
      <c r="P11" s="86"/>
      <c r="Q11" s="86"/>
    </row>
    <row r="12" spans="1:17" ht="12.75" customHeight="1">
      <c r="A12" s="4352" t="s">
        <v>4767</v>
      </c>
      <c r="B12" s="4353"/>
      <c r="C12" s="4353"/>
      <c r="D12" s="4353"/>
      <c r="E12" s="4354"/>
      <c r="F12" s="82"/>
    </row>
    <row r="13" spans="1:17" ht="12.75" customHeight="1">
      <c r="A13" s="3277" t="s">
        <v>5152</v>
      </c>
      <c r="B13" s="3286"/>
      <c r="C13" s="3286"/>
      <c r="D13" s="3286"/>
      <c r="E13" s="3286"/>
      <c r="F13" s="82"/>
    </row>
    <row r="14" spans="1:17" ht="12.75" customHeight="1">
      <c r="A14" s="3280" t="s">
        <v>71</v>
      </c>
      <c r="B14" s="2386">
        <v>5</v>
      </c>
      <c r="C14" s="3288"/>
      <c r="D14" s="3294"/>
      <c r="E14" s="3295"/>
      <c r="F14" s="82"/>
      <c r="O14" s="86"/>
      <c r="P14" s="86"/>
      <c r="Q14" s="86"/>
    </row>
    <row r="15" spans="1:17" ht="12.75" customHeight="1">
      <c r="A15" s="2387" t="s">
        <v>271</v>
      </c>
      <c r="B15" s="3285"/>
      <c r="C15" s="3285"/>
      <c r="D15" s="3285"/>
      <c r="E15" s="3285"/>
      <c r="F15" s="82"/>
      <c r="N15" s="85"/>
    </row>
    <row r="16" spans="1:17" ht="12.75" customHeight="1">
      <c r="A16" s="3281" t="s">
        <v>4808</v>
      </c>
      <c r="B16" s="2386">
        <v>15</v>
      </c>
      <c r="C16" s="3288">
        <v>94293</v>
      </c>
      <c r="D16" s="3288">
        <v>33148</v>
      </c>
      <c r="E16" s="3296">
        <f>SUM('F162'!I12:'F162'!I14,'F162'!I16,'F162'!I55 :'F162'!I57)</f>
        <v>0</v>
      </c>
      <c r="F16" s="82"/>
      <c r="G16" s="623" t="str">
        <f>IF(E16&gt;0,IF(AND(C16&gt;0,D16&gt;0),"","&lt;--Enter data for columns 1 &amp; 2")," ")</f>
        <v xml:space="preserve"> </v>
      </c>
    </row>
    <row r="17" spans="1:17" ht="12.75" customHeight="1">
      <c r="A17" s="3281" t="s">
        <v>4809</v>
      </c>
      <c r="B17" s="2386">
        <v>25</v>
      </c>
      <c r="C17" s="3288"/>
      <c r="D17" s="3288"/>
      <c r="E17" s="3296">
        <f>SUM('F162'!I21:'F162'!I23,'F162'!I25,'F162'!I46:'F162'!I48)</f>
        <v>0</v>
      </c>
      <c r="F17" s="82"/>
      <c r="G17" s="623" t="str">
        <f>IF(E17&gt;0,IF(AND(C17&gt;0,D17&gt;0),"","&lt;--Enter data for columns 1 &amp; 2")," ")</f>
        <v xml:space="preserve"> </v>
      </c>
    </row>
    <row r="18" spans="1:17" ht="12.75" customHeight="1">
      <c r="A18" s="3282" t="s">
        <v>4810</v>
      </c>
      <c r="B18" s="3297">
        <v>35</v>
      </c>
      <c r="C18" s="2005">
        <v>1755</v>
      </c>
      <c r="D18" s="2005">
        <v>2045</v>
      </c>
      <c r="E18" s="2006">
        <f>'F162'!I40</f>
        <v>0</v>
      </c>
      <c r="F18" s="82"/>
      <c r="G18" s="623" t="str">
        <f>IF(E18&gt;0,IF(AND(C18&gt;0,D18&gt;0),"","&lt;--Enter data for columns 1 &amp; 2")," ")</f>
        <v xml:space="preserve"> </v>
      </c>
    </row>
    <row r="19" spans="1:17" ht="12.75" customHeight="1">
      <c r="A19" s="3283" t="s">
        <v>4807</v>
      </c>
      <c r="B19" s="3297">
        <v>40</v>
      </c>
      <c r="C19" s="2005"/>
      <c r="D19" s="2005"/>
      <c r="E19" s="2006">
        <f>SUM('F162'!I30:'F162'!I32,'F162'!I34,'F162'!I64:'F162'!I66,'F162'!I73:'F162'!I75)</f>
        <v>0</v>
      </c>
      <c r="F19" s="82"/>
      <c r="G19" s="623" t="str">
        <f>IF(E19&gt;0,IF(AND(C19&gt;0,D19&gt;0),"","&lt;--Enter data for columns 1 &amp; 2")," ")</f>
        <v xml:space="preserve"> </v>
      </c>
      <c r="O19" s="87"/>
      <c r="P19" s="87"/>
      <c r="Q19" s="87"/>
    </row>
    <row r="20" spans="1:17" ht="25.5" customHeight="1">
      <c r="A20" s="4564" t="s">
        <v>4806</v>
      </c>
      <c r="B20" s="4562">
        <v>45</v>
      </c>
      <c r="C20" s="3904"/>
      <c r="D20" s="3904"/>
      <c r="E20" s="3903">
        <f>SUM('F162'!I17,'F162'!I26,'F162'!I35,'F162'!I51,'F162'!I60,'F162'!I69,'F162'!I78,'F162'!I90,'F162'!I95,'F162'!I100,'F162'!I105,'F162'!I109)</f>
        <v>4538</v>
      </c>
      <c r="F20" s="82"/>
    </row>
    <row r="21" spans="1:17" ht="12.75" customHeight="1">
      <c r="A21" s="3280" t="s">
        <v>20</v>
      </c>
      <c r="B21" s="2386">
        <v>55</v>
      </c>
      <c r="C21" s="3288">
        <v>48</v>
      </c>
      <c r="D21" s="3288">
        <v>1324</v>
      </c>
      <c r="E21" s="3288">
        <v>5000</v>
      </c>
      <c r="F21" s="82"/>
      <c r="O21" s="87"/>
      <c r="P21" s="87"/>
      <c r="Q21" s="87"/>
    </row>
    <row r="22" spans="1:17" ht="12.75" customHeight="1">
      <c r="A22" s="2387" t="s">
        <v>25</v>
      </c>
      <c r="B22" s="3285"/>
      <c r="C22" s="3285"/>
      <c r="D22" s="3285"/>
      <c r="E22" s="3285"/>
      <c r="F22" s="82"/>
    </row>
    <row r="23" spans="1:17" ht="12.75" customHeight="1">
      <c r="A23" s="3280" t="s">
        <v>275</v>
      </c>
      <c r="B23" s="2386">
        <v>65</v>
      </c>
      <c r="C23" s="3288">
        <v>2778</v>
      </c>
      <c r="D23" s="3288">
        <v>3463</v>
      </c>
      <c r="E23" s="3298">
        <f>'F162'!G112</f>
        <v>2640</v>
      </c>
      <c r="F23" s="82"/>
    </row>
    <row r="24" spans="1:17" ht="12.75" customHeight="1">
      <c r="A24" s="2387" t="s">
        <v>37</v>
      </c>
      <c r="B24" s="3285"/>
      <c r="C24" s="3285"/>
      <c r="D24" s="3285"/>
      <c r="E24" s="3285"/>
      <c r="F24" s="82"/>
    </row>
    <row r="25" spans="1:17" ht="12.75" customHeight="1">
      <c r="A25" s="3280" t="s">
        <v>276</v>
      </c>
      <c r="B25" s="2386">
        <v>75</v>
      </c>
      <c r="C25" s="3288">
        <v>115658</v>
      </c>
      <c r="D25" s="3288">
        <v>1228</v>
      </c>
      <c r="E25" s="3296">
        <f>'F162'!E112</f>
        <v>372641</v>
      </c>
      <c r="F25" s="82"/>
    </row>
    <row r="26" spans="1:17" ht="12.75" customHeight="1">
      <c r="A26" s="3284" t="s">
        <v>1138</v>
      </c>
      <c r="B26" s="4263">
        <v>80</v>
      </c>
      <c r="C26" s="3299">
        <v>62689</v>
      </c>
      <c r="D26" s="2005">
        <v>331669</v>
      </c>
      <c r="E26" s="3300">
        <v>30000</v>
      </c>
      <c r="F26" s="82"/>
    </row>
    <row r="27" spans="1:17" ht="12.75" customHeight="1">
      <c r="A27" s="3275" t="s">
        <v>277</v>
      </c>
      <c r="B27" s="3289"/>
      <c r="C27" s="3289"/>
      <c r="D27" s="3289"/>
      <c r="E27" s="3289"/>
      <c r="F27" s="82"/>
    </row>
    <row r="28" spans="1:17" ht="12.75" customHeight="1">
      <c r="A28" s="3278" t="s">
        <v>40</v>
      </c>
      <c r="B28" s="3287">
        <v>85</v>
      </c>
      <c r="C28" s="3296">
        <f>'C06'!$C$272</f>
        <v>0</v>
      </c>
      <c r="D28" s="3296">
        <f>'C06'!$D$272</f>
        <v>0</v>
      </c>
      <c r="E28" s="3296">
        <f>'C06'!$E$272</f>
        <v>0</v>
      </c>
      <c r="F28" s="82"/>
    </row>
    <row r="29" spans="1:17" ht="12.75" customHeight="1">
      <c r="A29" s="1224" t="s">
        <v>278</v>
      </c>
      <c r="B29" s="1218">
        <v>90</v>
      </c>
      <c r="C29" s="1216">
        <f>'C08'!$C$277</f>
        <v>58612</v>
      </c>
      <c r="D29" s="1219">
        <f>'C08'!$D$277</f>
        <v>10430</v>
      </c>
      <c r="E29" s="1216">
        <f>'C08'!$E$277</f>
        <v>10430</v>
      </c>
      <c r="F29" s="82"/>
    </row>
    <row r="30" spans="1:17" ht="12.75" customHeight="1">
      <c r="A30" s="1224" t="s">
        <v>41</v>
      </c>
      <c r="B30" s="1218">
        <v>95</v>
      </c>
      <c r="C30" s="1217">
        <f>'C053'!$C$234</f>
        <v>0</v>
      </c>
      <c r="D30" s="1219">
        <f>'C053'!$D$234</f>
        <v>0</v>
      </c>
      <c r="E30" s="3810" t="s">
        <v>4905</v>
      </c>
      <c r="F30" s="82"/>
    </row>
    <row r="31" spans="1:17" ht="12.75" customHeight="1">
      <c r="A31" s="1225" t="s">
        <v>42</v>
      </c>
      <c r="B31" s="1218">
        <v>170</v>
      </c>
      <c r="C31" s="1217">
        <f>SUM(C9:C30)</f>
        <v>406035</v>
      </c>
      <c r="D31" s="1215">
        <f>SUM(D9:D30)</f>
        <v>431015</v>
      </c>
      <c r="E31" s="3296">
        <f>SUM(E9:E30)</f>
        <v>487319</v>
      </c>
      <c r="F31" s="82"/>
    </row>
    <row r="32" spans="1:17" ht="12.75" customHeight="1">
      <c r="A32" s="1224" t="s">
        <v>43</v>
      </c>
      <c r="B32" s="1218">
        <v>175</v>
      </c>
      <c r="C32" s="1216">
        <f>C85</f>
        <v>358327</v>
      </c>
      <c r="D32" s="1219">
        <f>D85</f>
        <v>368945</v>
      </c>
      <c r="E32" s="1216">
        <f>IF(E85&lt;=E31,E85,"ERROR")</f>
        <v>422995</v>
      </c>
      <c r="F32" s="82"/>
      <c r="G32" s="325" t="str">
        <f>IF(E32="ERROR","Expenditures must be less than or equal to Resources Available","")</f>
        <v/>
      </c>
      <c r="H32" s="698"/>
    </row>
    <row r="33" spans="1:8" ht="12.75" customHeight="1">
      <c r="A33" s="1224" t="s">
        <v>247</v>
      </c>
      <c r="B33" s="1218">
        <v>190</v>
      </c>
      <c r="C33" s="1216">
        <f>SUM(C31-C32)</f>
        <v>47708</v>
      </c>
      <c r="D33" s="1219">
        <f>SUM(D31-D32)</f>
        <v>62070</v>
      </c>
      <c r="E33" s="1220">
        <f>IF(ISERROR(E31-E32),"NEGATIVE",E31-E32)</f>
        <v>64324</v>
      </c>
      <c r="F33" s="82"/>
      <c r="G33" s="698"/>
      <c r="H33" s="698"/>
    </row>
    <row r="34" spans="1:8" ht="12.75" customHeight="1">
      <c r="A34" s="6128" t="s">
        <v>4774</v>
      </c>
      <c r="B34" s="6128"/>
      <c r="C34" s="6128"/>
      <c r="D34" s="6128"/>
      <c r="E34" s="6128"/>
      <c r="F34" s="82"/>
    </row>
    <row r="35" spans="1:8" ht="12.75" customHeight="1">
      <c r="A35" s="4350"/>
      <c r="B35" s="4350"/>
      <c r="C35" s="4350"/>
      <c r="D35" s="4350"/>
      <c r="E35" s="4350"/>
      <c r="F35" s="82"/>
    </row>
    <row r="36" spans="1:8" ht="12.75" customHeight="1">
      <c r="A36" s="1200" t="str">
        <f>A1</f>
        <v>USD #</v>
      </c>
      <c r="B36" s="4256">
        <f>B1</f>
        <v>237</v>
      </c>
      <c r="C36" s="1201"/>
      <c r="D36" s="6127" t="str">
        <f>D1</f>
        <v>STATE OF KANSAS</v>
      </c>
      <c r="E36" s="6127"/>
      <c r="F36" s="82"/>
    </row>
    <row r="37" spans="1:8" ht="12.75" customHeight="1">
      <c r="A37" s="1201"/>
      <c r="B37" s="1203"/>
      <c r="C37" s="1201"/>
      <c r="D37" s="6127" t="str">
        <f>D2</f>
        <v>Budget Form USD-E</v>
      </c>
      <c r="E37" s="6127"/>
      <c r="F37" s="82"/>
    </row>
    <row r="38" spans="1:8" ht="12.75" customHeight="1">
      <c r="A38" s="1201"/>
      <c r="B38" s="1203"/>
      <c r="C38" s="1201"/>
      <c r="D38" s="1201"/>
      <c r="E38" s="1200" t="str">
        <f>E3</f>
        <v>2021-2022</v>
      </c>
      <c r="F38" s="82"/>
    </row>
    <row r="39" spans="1:8" ht="12.75" customHeight="1">
      <c r="A39" s="1201"/>
      <c r="B39" s="1203"/>
      <c r="C39" s="1201"/>
      <c r="D39" s="1201"/>
      <c r="E39" s="1201"/>
      <c r="F39" s="82"/>
    </row>
    <row r="40" spans="1:8" ht="12.75" customHeight="1">
      <c r="A40" s="1201"/>
      <c r="B40" s="1202"/>
      <c r="C40" s="1203" t="s">
        <v>922</v>
      </c>
      <c r="D40" s="1203" t="s">
        <v>922</v>
      </c>
      <c r="E40" s="1203" t="s">
        <v>922</v>
      </c>
      <c r="F40" s="82"/>
    </row>
    <row r="41" spans="1:8" ht="12.75" customHeight="1">
      <c r="A41" s="1204"/>
      <c r="B41" s="1205" t="s">
        <v>854</v>
      </c>
      <c r="C41" s="1206" t="str">
        <f>C6</f>
        <v>2019-2020</v>
      </c>
      <c r="D41" s="1206" t="str">
        <f>D6</f>
        <v>2020-2021</v>
      </c>
      <c r="E41" s="1206" t="str">
        <f>E6</f>
        <v>2021-2022</v>
      </c>
      <c r="F41" s="82"/>
    </row>
    <row r="42" spans="1:8" ht="12.75" customHeight="1">
      <c r="A42" s="1204" t="str">
        <f>A7</f>
        <v>FOOD SERVICE</v>
      </c>
      <c r="B42" s="1207">
        <v>24</v>
      </c>
      <c r="C42" s="1208" t="s">
        <v>893</v>
      </c>
      <c r="D42" s="1208" t="s">
        <v>893</v>
      </c>
      <c r="E42" s="1208" t="s">
        <v>923</v>
      </c>
      <c r="F42" s="82"/>
    </row>
    <row r="43" spans="1:8" ht="12.75" customHeight="1">
      <c r="A43" s="4356"/>
      <c r="B43" s="1207" t="s">
        <v>858</v>
      </c>
      <c r="C43" s="4357">
        <v>1</v>
      </c>
      <c r="D43" s="4357">
        <v>2</v>
      </c>
      <c r="E43" s="4357">
        <v>3</v>
      </c>
      <c r="F43" s="82"/>
    </row>
    <row r="44" spans="1:8" ht="12.75" customHeight="1">
      <c r="A44" s="3275"/>
      <c r="B44" s="4358"/>
      <c r="C44" s="4359"/>
      <c r="D44" s="4359"/>
      <c r="E44" s="4360"/>
      <c r="F44" s="82"/>
    </row>
    <row r="45" spans="1:8" ht="12.75" customHeight="1">
      <c r="A45" s="4361" t="s">
        <v>60</v>
      </c>
      <c r="B45" s="4362"/>
      <c r="C45" s="4362"/>
      <c r="D45" s="4362"/>
      <c r="E45" s="4363"/>
      <c r="F45" s="82"/>
    </row>
    <row r="46" spans="1:8" ht="12.75" customHeight="1">
      <c r="A46" s="3277" t="s">
        <v>284</v>
      </c>
      <c r="B46" s="3286"/>
      <c r="C46" s="3286"/>
      <c r="D46" s="3286"/>
      <c r="E46" s="3286"/>
      <c r="F46" s="82"/>
    </row>
    <row r="47" spans="1:8" ht="12.75" customHeight="1">
      <c r="A47" s="3277" t="s">
        <v>941</v>
      </c>
      <c r="B47" s="3286"/>
      <c r="C47" s="3286"/>
      <c r="D47" s="3286"/>
      <c r="E47" s="3286"/>
      <c r="F47" s="82"/>
    </row>
    <row r="48" spans="1:8" ht="12.75" customHeight="1">
      <c r="A48" s="3278" t="s">
        <v>285</v>
      </c>
      <c r="B48" s="3287">
        <v>210</v>
      </c>
      <c r="C48" s="3288"/>
      <c r="D48" s="3288"/>
      <c r="E48" s="3288"/>
      <c r="F48" s="82"/>
    </row>
    <row r="49" spans="1:6" ht="12.75" customHeight="1">
      <c r="A49" s="3275" t="s">
        <v>944</v>
      </c>
      <c r="B49" s="3289"/>
      <c r="C49" s="3289"/>
      <c r="D49" s="3289"/>
      <c r="E49" s="3289"/>
      <c r="F49" s="82"/>
    </row>
    <row r="50" spans="1:6" ht="12.75" customHeight="1">
      <c r="A50" s="3278" t="s">
        <v>945</v>
      </c>
      <c r="B50" s="3287">
        <v>215</v>
      </c>
      <c r="C50" s="3288"/>
      <c r="D50" s="3288"/>
      <c r="E50" s="3288"/>
      <c r="F50" s="82"/>
    </row>
    <row r="51" spans="1:6" ht="12.75" customHeight="1">
      <c r="A51" s="3278" t="s">
        <v>946</v>
      </c>
      <c r="B51" s="3287">
        <v>220</v>
      </c>
      <c r="C51" s="3288"/>
      <c r="D51" s="3288"/>
      <c r="E51" s="3288"/>
      <c r="F51" s="82"/>
    </row>
    <row r="52" spans="1:6" ht="12.75" customHeight="1">
      <c r="A52" s="3279" t="s">
        <v>947</v>
      </c>
      <c r="B52" s="3290">
        <v>225</v>
      </c>
      <c r="C52" s="2005"/>
      <c r="D52" s="2005"/>
      <c r="E52" s="2005"/>
      <c r="F52" s="82"/>
    </row>
    <row r="53" spans="1:6" ht="12.75" customHeight="1">
      <c r="A53" s="3275" t="s">
        <v>968</v>
      </c>
      <c r="B53" s="3289"/>
      <c r="C53" s="3289"/>
      <c r="D53" s="3289"/>
      <c r="E53" s="3289"/>
      <c r="F53" s="82"/>
    </row>
    <row r="54" spans="1:6" ht="12.75" customHeight="1">
      <c r="A54" s="3278" t="s">
        <v>286</v>
      </c>
      <c r="B54" s="3287">
        <v>230</v>
      </c>
      <c r="C54" s="3288"/>
      <c r="D54" s="3288"/>
      <c r="E54" s="3288"/>
      <c r="F54" s="82"/>
    </row>
    <row r="55" spans="1:6" ht="12.75" customHeight="1">
      <c r="A55" s="3279" t="s">
        <v>287</v>
      </c>
      <c r="B55" s="3290">
        <v>235</v>
      </c>
      <c r="C55" s="2005"/>
      <c r="D55" s="2005"/>
      <c r="E55" s="2005"/>
      <c r="F55" s="82"/>
    </row>
    <row r="56" spans="1:6" ht="12.75" customHeight="1">
      <c r="A56" s="3279" t="s">
        <v>950</v>
      </c>
      <c r="B56" s="3290">
        <v>240</v>
      </c>
      <c r="C56" s="2005"/>
      <c r="D56" s="2005"/>
      <c r="E56" s="2005"/>
      <c r="F56" s="82"/>
    </row>
    <row r="57" spans="1:6" ht="12.75" customHeight="1">
      <c r="A57" s="3275" t="s">
        <v>955</v>
      </c>
      <c r="B57" s="3289"/>
      <c r="C57" s="3289"/>
      <c r="D57" s="3289"/>
      <c r="E57" s="3289"/>
      <c r="F57" s="82"/>
    </row>
    <row r="58" spans="1:6" ht="12.75" customHeight="1">
      <c r="A58" s="3278" t="s">
        <v>288</v>
      </c>
      <c r="B58" s="3287">
        <v>245</v>
      </c>
      <c r="C58" s="3288"/>
      <c r="D58" s="3288"/>
      <c r="E58" s="3288">
        <v>5000</v>
      </c>
      <c r="F58" s="82"/>
    </row>
    <row r="59" spans="1:6" ht="12.75" customHeight="1">
      <c r="A59" s="3275" t="s">
        <v>289</v>
      </c>
      <c r="B59" s="3289"/>
      <c r="C59" s="3289"/>
      <c r="D59" s="3289"/>
      <c r="E59" s="3289"/>
      <c r="F59" s="82"/>
    </row>
    <row r="60" spans="1:6" ht="12.75" customHeight="1">
      <c r="A60" s="3278" t="s">
        <v>290</v>
      </c>
      <c r="B60" s="3287">
        <v>250</v>
      </c>
      <c r="C60" s="3288"/>
      <c r="D60" s="3288"/>
      <c r="E60" s="3288"/>
      <c r="F60" s="82"/>
    </row>
    <row r="61" spans="1:6" ht="12.75" customHeight="1">
      <c r="A61" s="3278" t="s">
        <v>291</v>
      </c>
      <c r="B61" s="3287">
        <v>255</v>
      </c>
      <c r="C61" s="3288"/>
      <c r="D61" s="3288"/>
      <c r="E61" s="3288"/>
      <c r="F61" s="82"/>
    </row>
    <row r="62" spans="1:6" ht="12.75" customHeight="1">
      <c r="A62" s="3279" t="s">
        <v>51</v>
      </c>
      <c r="B62" s="3290">
        <v>260</v>
      </c>
      <c r="C62" s="2005"/>
      <c r="D62" s="2005"/>
      <c r="E62" s="2005"/>
      <c r="F62" s="82"/>
    </row>
    <row r="63" spans="1:6" ht="12.75" customHeight="1">
      <c r="A63" s="3279" t="s">
        <v>292</v>
      </c>
      <c r="B63" s="3290">
        <v>265</v>
      </c>
      <c r="C63" s="2005"/>
      <c r="D63" s="2005"/>
      <c r="E63" s="2005"/>
      <c r="F63" s="82"/>
    </row>
    <row r="64" spans="1:6" ht="12.75" customHeight="1">
      <c r="A64" s="3279" t="s">
        <v>958</v>
      </c>
      <c r="B64" s="3290">
        <v>270</v>
      </c>
      <c r="C64" s="2005"/>
      <c r="D64" s="2005"/>
      <c r="E64" s="2005"/>
      <c r="F64" s="82"/>
    </row>
    <row r="65" spans="1:6" ht="12.75" customHeight="1">
      <c r="A65" s="3279" t="s">
        <v>959</v>
      </c>
      <c r="B65" s="3290">
        <v>275</v>
      </c>
      <c r="C65" s="2005"/>
      <c r="D65" s="2005"/>
      <c r="E65" s="2005">
        <v>25000</v>
      </c>
      <c r="F65" s="82"/>
    </row>
    <row r="66" spans="1:6" ht="12.75" customHeight="1">
      <c r="A66" s="3279" t="s">
        <v>960</v>
      </c>
      <c r="B66" s="3290">
        <v>280</v>
      </c>
      <c r="C66" s="2005"/>
      <c r="D66" s="2005"/>
      <c r="E66" s="2005">
        <v>5000</v>
      </c>
      <c r="F66" s="82"/>
    </row>
    <row r="67" spans="1:6" ht="12.75" customHeight="1">
      <c r="A67" s="3275" t="s">
        <v>293</v>
      </c>
      <c r="B67" s="3289"/>
      <c r="C67" s="3289"/>
      <c r="D67" s="3289"/>
      <c r="E67" s="3289"/>
      <c r="F67" s="82"/>
    </row>
    <row r="68" spans="1:6" ht="12.75" customHeight="1">
      <c r="A68" s="3276" t="s">
        <v>294</v>
      </c>
      <c r="B68" s="3292"/>
      <c r="C68" s="3292"/>
      <c r="D68" s="3292"/>
      <c r="E68" s="3292"/>
      <c r="F68" s="82"/>
    </row>
    <row r="69" spans="1:6" ht="12.75" customHeight="1">
      <c r="A69" s="3276" t="s">
        <v>941</v>
      </c>
      <c r="B69" s="3292"/>
      <c r="C69" s="3292"/>
      <c r="D69" s="3292"/>
      <c r="E69" s="3292"/>
      <c r="F69" s="82"/>
    </row>
    <row r="70" spans="1:6" ht="12.75" customHeight="1">
      <c r="A70" s="3278" t="s">
        <v>942</v>
      </c>
      <c r="B70" s="3287">
        <v>285</v>
      </c>
      <c r="C70" s="3288"/>
      <c r="D70" s="3288"/>
      <c r="E70" s="3288"/>
      <c r="F70" s="82"/>
    </row>
    <row r="71" spans="1:6" ht="12.75" customHeight="1">
      <c r="A71" s="3279" t="s">
        <v>1028</v>
      </c>
      <c r="B71" s="3290">
        <v>290</v>
      </c>
      <c r="C71" s="2005">
        <v>131940</v>
      </c>
      <c r="D71" s="2005">
        <v>127233</v>
      </c>
      <c r="E71" s="2005">
        <v>135000</v>
      </c>
      <c r="F71" s="82"/>
    </row>
    <row r="72" spans="1:6" ht="12.75" customHeight="1">
      <c r="A72" s="3275" t="s">
        <v>944</v>
      </c>
      <c r="B72" s="3289"/>
      <c r="C72" s="3289"/>
      <c r="D72" s="3289"/>
      <c r="E72" s="3289"/>
      <c r="F72" s="82"/>
    </row>
    <row r="73" spans="1:6" ht="12.75" customHeight="1">
      <c r="A73" s="3278" t="s">
        <v>295</v>
      </c>
      <c r="B73" s="3287">
        <v>295</v>
      </c>
      <c r="C73" s="3288">
        <v>28786</v>
      </c>
      <c r="D73" s="3288">
        <v>36458</v>
      </c>
      <c r="E73" s="3288">
        <v>40000</v>
      </c>
      <c r="F73" s="82"/>
    </row>
    <row r="74" spans="1:6" ht="12.75" customHeight="1">
      <c r="A74" s="3279" t="s">
        <v>946</v>
      </c>
      <c r="B74" s="3290">
        <v>300</v>
      </c>
      <c r="C74" s="2005">
        <v>9048</v>
      </c>
      <c r="D74" s="2005">
        <v>9199</v>
      </c>
      <c r="E74" s="2005">
        <v>11000</v>
      </c>
      <c r="F74" s="82"/>
    </row>
    <row r="75" spans="1:6" ht="12.75" customHeight="1">
      <c r="A75" s="2388" t="s">
        <v>947</v>
      </c>
      <c r="B75" s="3291">
        <v>305</v>
      </c>
      <c r="C75" s="3293">
        <v>12637</v>
      </c>
      <c r="D75" s="3293">
        <v>14995</v>
      </c>
      <c r="E75" s="3293">
        <v>14995</v>
      </c>
      <c r="F75" s="82"/>
    </row>
    <row r="76" spans="1:6" ht="12.75" customHeight="1">
      <c r="A76" s="3275" t="s">
        <v>950</v>
      </c>
      <c r="B76" s="3289"/>
      <c r="C76" s="3289"/>
      <c r="D76" s="3289"/>
      <c r="E76" s="3289"/>
      <c r="F76" s="82"/>
    </row>
    <row r="77" spans="1:6" ht="12.75" customHeight="1">
      <c r="A77" s="3278" t="s">
        <v>969</v>
      </c>
      <c r="B77" s="3287">
        <v>310</v>
      </c>
      <c r="C77" s="3288"/>
      <c r="D77" s="3288"/>
      <c r="E77" s="3288"/>
      <c r="F77" s="82"/>
    </row>
    <row r="78" spans="1:6" ht="12.75" customHeight="1">
      <c r="A78" s="3279" t="s">
        <v>296</v>
      </c>
      <c r="B78" s="3290">
        <v>315</v>
      </c>
      <c r="C78" s="2005"/>
      <c r="D78" s="2005"/>
      <c r="E78" s="2005"/>
      <c r="F78" s="82"/>
    </row>
    <row r="79" spans="1:6" ht="12.75" customHeight="1">
      <c r="A79" s="3279" t="s">
        <v>1039</v>
      </c>
      <c r="B79" s="3290">
        <v>320</v>
      </c>
      <c r="C79" s="2005"/>
      <c r="D79" s="2005"/>
      <c r="E79" s="2005"/>
      <c r="F79" s="82"/>
    </row>
    <row r="80" spans="1:6" ht="12.75" customHeight="1">
      <c r="A80" s="3275" t="s">
        <v>955</v>
      </c>
      <c r="B80" s="3289"/>
      <c r="C80" s="3289"/>
      <c r="D80" s="3289"/>
      <c r="E80" s="3289"/>
      <c r="F80" s="82"/>
    </row>
    <row r="81" spans="1:6" ht="12.75" customHeight="1">
      <c r="A81" s="3278" t="s">
        <v>297</v>
      </c>
      <c r="B81" s="3287">
        <v>325</v>
      </c>
      <c r="C81" s="3288">
        <v>165272</v>
      </c>
      <c r="D81" s="3288">
        <v>168255</v>
      </c>
      <c r="E81" s="3288">
        <v>170000</v>
      </c>
      <c r="F81" s="82"/>
    </row>
    <row r="82" spans="1:6" ht="12.75" customHeight="1">
      <c r="A82" s="3279" t="s">
        <v>958</v>
      </c>
      <c r="B82" s="3290">
        <v>330</v>
      </c>
      <c r="C82" s="2005">
        <v>3346</v>
      </c>
      <c r="D82" s="2005">
        <v>7930</v>
      </c>
      <c r="E82" s="2005">
        <v>9000</v>
      </c>
      <c r="F82" s="82"/>
    </row>
    <row r="83" spans="1:6" ht="12.75" customHeight="1">
      <c r="A83" s="3279" t="s">
        <v>959</v>
      </c>
      <c r="B83" s="3290">
        <v>335</v>
      </c>
      <c r="C83" s="2005">
        <v>3832</v>
      </c>
      <c r="D83" s="2005">
        <v>2566</v>
      </c>
      <c r="E83" s="2005">
        <v>5000</v>
      </c>
      <c r="F83" s="82"/>
    </row>
    <row r="84" spans="1:6" ht="12.75" customHeight="1">
      <c r="A84" s="3279" t="s">
        <v>960</v>
      </c>
      <c r="B84" s="3290">
        <v>340</v>
      </c>
      <c r="C84" s="2005">
        <v>3466</v>
      </c>
      <c r="D84" s="2005">
        <v>2309</v>
      </c>
      <c r="E84" s="2005">
        <v>3000</v>
      </c>
      <c r="F84" s="82"/>
    </row>
    <row r="85" spans="1:6" ht="12.75" customHeight="1">
      <c r="A85" s="1224" t="s">
        <v>5153</v>
      </c>
      <c r="B85" s="2578" t="s">
        <v>4906</v>
      </c>
      <c r="C85" s="1216">
        <f>SUM(C48:C84)</f>
        <v>358327</v>
      </c>
      <c r="D85" s="1216">
        <f t="shared" ref="D85:E85" si="0">SUM(D48:D84)</f>
        <v>368945</v>
      </c>
      <c r="E85" s="1216">
        <f t="shared" si="0"/>
        <v>422995</v>
      </c>
      <c r="F85" s="82"/>
    </row>
    <row r="86" spans="1:6" s="84" customFormat="1" ht="12.75" customHeight="1">
      <c r="A86" s="6101" t="s">
        <v>4911</v>
      </c>
      <c r="B86" s="6101"/>
      <c r="C86" s="6101"/>
      <c r="D86" s="6101"/>
      <c r="E86" s="6101"/>
      <c r="F86" s="82"/>
    </row>
    <row r="87" spans="1:6" s="84" customFormat="1" ht="12.75" customHeight="1">
      <c r="A87" s="2864"/>
      <c r="B87" s="1201"/>
      <c r="C87" s="1201"/>
      <c r="D87" s="1201"/>
      <c r="E87" s="1221"/>
      <c r="F87" s="82"/>
    </row>
    <row r="88" spans="1:6" s="84" customFormat="1" ht="12.75" customHeight="1">
      <c r="A88" s="82"/>
      <c r="B88" s="1201"/>
      <c r="C88" s="1201"/>
      <c r="D88" s="1201"/>
      <c r="E88" s="1201"/>
      <c r="F88" s="82"/>
    </row>
    <row r="89" spans="1:6" s="84" customFormat="1" ht="12.75" customHeight="1">
      <c r="A89" s="82"/>
      <c r="B89" s="1201"/>
      <c r="C89" s="1201"/>
      <c r="D89" s="1201"/>
      <c r="E89" s="1201"/>
      <c r="F89" s="82"/>
    </row>
    <row r="90" spans="1:6" ht="12.75" customHeight="1">
      <c r="A90" s="82"/>
      <c r="B90" s="1203"/>
      <c r="C90" s="1201"/>
      <c r="D90" s="1201"/>
      <c r="E90" s="1201"/>
      <c r="F90" s="82"/>
    </row>
    <row r="91" spans="1:6" ht="12.75" customHeight="1">
      <c r="A91" s="82"/>
      <c r="B91" s="1203"/>
      <c r="C91" s="1201"/>
      <c r="D91" s="1201"/>
      <c r="E91" s="1201"/>
      <c r="F91" s="82"/>
    </row>
    <row r="92" spans="1:6" ht="12.75" customHeight="1">
      <c r="A92" s="82"/>
      <c r="B92" s="1203"/>
      <c r="C92" s="1201"/>
      <c r="D92" s="1201"/>
      <c r="E92" s="1201"/>
      <c r="F92" s="82"/>
    </row>
    <row r="93" spans="1:6" ht="12.75" customHeight="1">
      <c r="A93" s="82"/>
      <c r="B93" s="1203"/>
      <c r="C93" s="1201"/>
      <c r="D93" s="1201"/>
      <c r="E93" s="1201"/>
      <c r="F93" s="82"/>
    </row>
  </sheetData>
  <sheetProtection algorithmName="SHA-512" hashValue="RzsYu8sMpmiG24MsdpLfT+GQwN8uepogR0gnToWDDULtkcJdt+OTpkWng92mDlWolYeoUi/87xmwxQMXbgrAJg==" saltValue="52J27PUHDrZ5SpGaTXZ0yA==" spinCount="100000" sheet="1" objects="1" scenarios="1"/>
  <mergeCells count="6">
    <mergeCell ref="A86:E86"/>
    <mergeCell ref="D1:E1"/>
    <mergeCell ref="D2:E2"/>
    <mergeCell ref="A34:E34"/>
    <mergeCell ref="D36:E36"/>
    <mergeCell ref="D37:E37"/>
  </mergeCells>
  <phoneticPr fontId="13" type="noConversion"/>
  <dataValidations count="5">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tive number or press the delete key or enter zero." sqref="C48:E48 C81:E84 C16:D19 C21:E21 C23:D23 C25:D26 C50:E52 C54:E56 C14 C70:E71 C73:E75 C77:E79 C10:D10 C58:E58 C60:E66">
      <formula1>0</formula1>
    </dataValidation>
    <dataValidation type="whole" operator="greaterThanOrEqual" allowBlank="1" showInputMessage="1" showErrorMessage="1" errorTitle="Invalid Data Entry" error="Please enter a postive number or press the delete key or enter zero." sqref="E26">
      <formula1>0</formula1>
    </dataValidation>
    <dataValidation type="whole" operator="greaterThanOrEqual" showErrorMessage="1" errorTitle="Invalid Data Entry " error="Please enter a positive number or press the delete key or enter zero." sqref="E14">
      <formula1>0</formula1>
    </dataValidation>
    <dataValidation type="whole" operator="greaterThanOrEqual" showInputMessage="1" showErrorMessage="1" errorTitle="Invalid Data Entry" error="Please enter a positive number or press the delete key or enter zero." sqref="D14">
      <formula1>0</formula1>
    </dataValidation>
  </dataValidations>
  <hyperlinks>
    <hyperlink ref="G1" location="Contents!F1" display="Return to Contents page"/>
  </hyperlinks>
  <printOptions horizontalCentered="1"/>
  <pageMargins left="0.75" right="0.75" top="0.5" bottom="0.5" header="0.3" footer="0.3"/>
  <pageSetup scale="86" fitToHeight="0" orientation="portrait" blackAndWhite="1" r:id="rId1"/>
  <headerFooter scaleWithDoc="0">
    <oddFooter>&amp;L&amp;"Open Sans Light,Regular"&amp;8&amp;D    &amp;T&amp;C&amp;"Open Sans Light,Regular"&amp;8Page &amp;P&amp;R&amp;"Open Sans Light,Regular"&amp;8&amp;A</oddFooter>
  </headerFooter>
  <rowBreaks count="1" manualBreakCount="1">
    <brk id="65" max="4" man="1"/>
  </row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4" tint="0.39997558519241921"/>
  </sheetPr>
  <dimension ref="A1:Z92"/>
  <sheetViews>
    <sheetView showGridLines="0" zoomScaleNormal="100" zoomScaleSheetLayoutView="100" workbookViewId="0">
      <pane ySplit="8" topLeftCell="A9" activePane="bottomLeft" state="frozen"/>
      <selection activeCell="B22" sqref="B22"/>
      <selection pane="bottomLeft" activeCell="B22" sqref="B22"/>
    </sheetView>
  </sheetViews>
  <sheetFormatPr defaultColWidth="10.6640625" defaultRowHeight="12.75" customHeight="1"/>
  <cols>
    <col min="1" max="1" width="40.6640625" style="90" customWidth="1"/>
    <col min="2" max="2" width="4.88671875" style="1261" customWidth="1"/>
    <col min="3" max="5" width="14.33203125" style="1248" customWidth="1"/>
    <col min="6" max="6" width="2.33203125" style="90" customWidth="1"/>
    <col min="7" max="7" width="21.109375" style="90" customWidth="1"/>
    <col min="8" max="8" width="34.6640625" style="90" customWidth="1"/>
    <col min="9" max="26" width="10.6640625" style="90"/>
    <col min="27" max="16384" width="10.6640625" style="89"/>
  </cols>
  <sheetData>
    <row r="1" spans="1:17" ht="12.75" customHeight="1">
      <c r="A1" s="1230" t="s">
        <v>809</v>
      </c>
      <c r="B1" s="4255">
        <f>OPEN!B4</f>
        <v>237</v>
      </c>
      <c r="C1" s="1229"/>
      <c r="D1" s="6129" t="s">
        <v>836</v>
      </c>
      <c r="E1" s="6129"/>
      <c r="F1" s="88"/>
      <c r="G1" s="304" t="s">
        <v>754</v>
      </c>
      <c r="H1" s="88"/>
    </row>
    <row r="2" spans="1:17" ht="12.75" customHeight="1">
      <c r="A2" s="1229"/>
      <c r="B2" s="1249"/>
      <c r="C2" s="1229"/>
      <c r="D2" s="6129" t="s">
        <v>921</v>
      </c>
      <c r="E2" s="6129"/>
      <c r="F2" s="88"/>
      <c r="G2" s="88"/>
      <c r="H2" s="88"/>
    </row>
    <row r="3" spans="1:17" ht="12.75" customHeight="1">
      <c r="A3" s="1229"/>
      <c r="B3" s="1249"/>
      <c r="C3" s="1229"/>
      <c r="D3" s="1229"/>
      <c r="E3" s="1230" t="str">
        <f>OpenData!N2</f>
        <v>2021-2022</v>
      </c>
      <c r="F3" s="88"/>
      <c r="G3" s="88"/>
      <c r="H3" s="88"/>
    </row>
    <row r="4" spans="1:17" ht="12.75" customHeight="1">
      <c r="A4" s="1229"/>
      <c r="B4" s="1249"/>
      <c r="C4" s="1229"/>
      <c r="D4" s="1229"/>
      <c r="E4" s="1229"/>
      <c r="F4" s="88"/>
      <c r="G4" s="88"/>
      <c r="H4" s="88"/>
    </row>
    <row r="5" spans="1:17" ht="12.75" customHeight="1">
      <c r="A5" s="1229"/>
      <c r="B5" s="1249"/>
      <c r="C5" s="1231" t="s">
        <v>922</v>
      </c>
      <c r="D5" s="1231" t="s">
        <v>922</v>
      </c>
      <c r="E5" s="1231" t="s">
        <v>922</v>
      </c>
      <c r="F5" s="88"/>
      <c r="G5" s="88"/>
      <c r="H5" s="88"/>
    </row>
    <row r="6" spans="1:17" ht="12.75" customHeight="1">
      <c r="A6" s="1262"/>
      <c r="B6" s="1250" t="s">
        <v>854</v>
      </c>
      <c r="C6" s="1232" t="str">
        <f>OpenData!N4</f>
        <v>2019-2020</v>
      </c>
      <c r="D6" s="1232" t="str">
        <f>OpenData!O4</f>
        <v>2020-2021</v>
      </c>
      <c r="E6" s="1232" t="str">
        <f>OpenData!P4</f>
        <v>2021-2022</v>
      </c>
      <c r="F6" s="88"/>
      <c r="G6" s="88"/>
      <c r="H6" s="88"/>
    </row>
    <row r="7" spans="1:17" ht="12.75" customHeight="1">
      <c r="A7" s="1262" t="s">
        <v>89</v>
      </c>
      <c r="B7" s="1251">
        <v>26</v>
      </c>
      <c r="C7" s="1233" t="s">
        <v>893</v>
      </c>
      <c r="D7" s="1233" t="s">
        <v>893</v>
      </c>
      <c r="E7" s="1233" t="s">
        <v>923</v>
      </c>
      <c r="F7" s="88"/>
      <c r="G7" s="88"/>
      <c r="H7" s="88"/>
      <c r="O7" s="91"/>
      <c r="P7" s="91"/>
      <c r="Q7" s="91"/>
    </row>
    <row r="8" spans="1:17" ht="12.75" customHeight="1">
      <c r="A8" s="1263"/>
      <c r="B8" s="1252" t="s">
        <v>858</v>
      </c>
      <c r="C8" s="1234">
        <v>1</v>
      </c>
      <c r="D8" s="1234">
        <v>2</v>
      </c>
      <c r="E8" s="1234">
        <v>3</v>
      </c>
      <c r="F8" s="88"/>
      <c r="G8" s="88"/>
      <c r="H8" s="88"/>
      <c r="O8" s="91"/>
      <c r="P8" s="91"/>
      <c r="Q8" s="91"/>
    </row>
    <row r="9" spans="1:17" ht="12.75" customHeight="1">
      <c r="A9" s="1264" t="s">
        <v>1043</v>
      </c>
      <c r="B9" s="1253">
        <v>1</v>
      </c>
      <c r="C9" s="1235">
        <v>15674</v>
      </c>
      <c r="D9" s="1236">
        <f>C83</f>
        <v>16670</v>
      </c>
      <c r="E9" s="1237">
        <f>D83</f>
        <v>9696</v>
      </c>
      <c r="F9" s="88"/>
      <c r="G9" s="88"/>
      <c r="H9" s="88"/>
      <c r="O9" s="91"/>
      <c r="P9" s="91"/>
      <c r="Q9" s="91"/>
    </row>
    <row r="10" spans="1:17" ht="12.75" customHeight="1">
      <c r="A10" s="3974" t="s">
        <v>4940</v>
      </c>
      <c r="B10" s="4336">
        <v>3</v>
      </c>
      <c r="C10" s="1238"/>
      <c r="D10" s="1239"/>
      <c r="E10" s="3237"/>
      <c r="F10" s="88"/>
      <c r="G10" s="88"/>
      <c r="H10" s="88"/>
      <c r="O10" s="91"/>
      <c r="P10" s="91"/>
      <c r="Q10" s="91"/>
    </row>
    <row r="11" spans="1:17" ht="12.75" customHeight="1">
      <c r="A11" s="2257"/>
      <c r="B11" s="4337"/>
      <c r="C11" s="4337"/>
      <c r="D11" s="4337"/>
      <c r="E11" s="4341"/>
      <c r="F11" s="88"/>
      <c r="G11" s="88"/>
      <c r="H11" s="88"/>
      <c r="O11" s="91"/>
      <c r="P11" s="91"/>
      <c r="Q11" s="91"/>
    </row>
    <row r="12" spans="1:17" ht="12.75" customHeight="1">
      <c r="A12" s="4338" t="s">
        <v>4767</v>
      </c>
      <c r="B12" s="4339"/>
      <c r="C12" s="4339"/>
      <c r="D12" s="4339"/>
      <c r="E12" s="4340"/>
      <c r="F12" s="88"/>
      <c r="G12" s="88"/>
      <c r="H12" s="88"/>
      <c r="O12" s="91"/>
      <c r="P12" s="91"/>
      <c r="Q12" s="91"/>
    </row>
    <row r="13" spans="1:17" ht="12.75" customHeight="1">
      <c r="A13" s="3240" t="s">
        <v>13</v>
      </c>
      <c r="B13" s="3250"/>
      <c r="C13" s="3250"/>
      <c r="D13" s="3250"/>
      <c r="E13" s="3250"/>
      <c r="F13" s="88"/>
      <c r="G13" s="88"/>
      <c r="H13" s="88"/>
      <c r="O13" s="91"/>
      <c r="P13" s="91"/>
      <c r="Q13" s="91"/>
    </row>
    <row r="14" spans="1:17" ht="12.75" customHeight="1">
      <c r="A14" s="3244" t="s">
        <v>71</v>
      </c>
      <c r="B14" s="3251">
        <v>5</v>
      </c>
      <c r="C14" s="3252"/>
      <c r="D14" s="3252"/>
      <c r="E14" s="3253"/>
      <c r="F14" s="88"/>
      <c r="G14" s="88"/>
      <c r="H14" s="88"/>
    </row>
    <row r="15" spans="1:17" ht="12.75" customHeight="1">
      <c r="A15" s="2254" t="s">
        <v>18</v>
      </c>
      <c r="B15" s="3254">
        <v>15</v>
      </c>
      <c r="C15" s="3255"/>
      <c r="D15" s="3255"/>
      <c r="E15" s="3253">
        <v>1000</v>
      </c>
      <c r="F15" s="88"/>
      <c r="G15" s="88"/>
      <c r="H15" s="88"/>
    </row>
    <row r="16" spans="1:17" ht="12.75" customHeight="1">
      <c r="A16" s="2257" t="s">
        <v>272</v>
      </c>
      <c r="B16" s="3249"/>
      <c r="C16" s="3249"/>
      <c r="D16" s="3249"/>
      <c r="E16" s="3249"/>
      <c r="F16" s="88"/>
      <c r="G16" s="88"/>
      <c r="H16" s="88"/>
    </row>
    <row r="17" spans="1:26" ht="12.75" customHeight="1">
      <c r="A17" s="3244" t="s">
        <v>1848</v>
      </c>
      <c r="B17" s="3251">
        <v>25</v>
      </c>
      <c r="C17" s="1240">
        <f>VLOOKUP(B1,DATA!A4:BJ289,58,FALSE)</f>
        <v>941</v>
      </c>
      <c r="D17" s="1240">
        <f>VLOOKUP(B1,DATA!A4:BJ289,59,FALSE)</f>
        <v>218</v>
      </c>
      <c r="E17" s="4616"/>
      <c r="F17" s="88"/>
      <c r="G17" s="88"/>
      <c r="H17" s="88"/>
    </row>
    <row r="18" spans="1:26" ht="12.75" customHeight="1">
      <c r="A18" s="2257" t="s">
        <v>37</v>
      </c>
      <c r="B18" s="3249"/>
      <c r="C18" s="3249"/>
      <c r="D18" s="3249"/>
      <c r="E18" s="4342"/>
      <c r="F18" s="88"/>
      <c r="G18" s="88"/>
      <c r="H18" s="88"/>
    </row>
    <row r="19" spans="1:26" ht="12.75" customHeight="1">
      <c r="A19" s="3244" t="s">
        <v>298</v>
      </c>
      <c r="B19" s="3251">
        <v>40</v>
      </c>
      <c r="C19" s="3253"/>
      <c r="D19" s="3253"/>
      <c r="E19" s="3253"/>
      <c r="F19" s="88"/>
      <c r="G19" s="88"/>
      <c r="H19" s="88"/>
    </row>
    <row r="20" spans="1:26" ht="12.75" customHeight="1">
      <c r="A20" s="2257" t="s">
        <v>39</v>
      </c>
      <c r="B20" s="3249"/>
      <c r="C20" s="3249"/>
      <c r="D20" s="3249"/>
      <c r="E20" s="3249"/>
      <c r="F20" s="88"/>
      <c r="G20" s="88"/>
      <c r="H20" s="88"/>
    </row>
    <row r="21" spans="1:26" ht="12.75" customHeight="1">
      <c r="A21" s="3244" t="s">
        <v>40</v>
      </c>
      <c r="B21" s="3251">
        <v>45</v>
      </c>
      <c r="C21" s="1240">
        <f>'C06'!C273</f>
        <v>0</v>
      </c>
      <c r="D21" s="1240">
        <f>'C06'!D273</f>
        <v>0</v>
      </c>
      <c r="E21" s="1240">
        <f>'C06'!E273</f>
        <v>0</v>
      </c>
      <c r="F21" s="88"/>
      <c r="G21" s="699"/>
      <c r="H21" s="88"/>
      <c r="O21" s="92"/>
      <c r="P21" s="92"/>
      <c r="Q21" s="92"/>
    </row>
    <row r="22" spans="1:26" ht="12.75" customHeight="1">
      <c r="A22" s="3245" t="s">
        <v>932</v>
      </c>
      <c r="B22" s="3256">
        <v>50</v>
      </c>
      <c r="C22" s="1244">
        <f>'C08'!$C$278</f>
        <v>15000</v>
      </c>
      <c r="D22" s="1244">
        <f>'C08'!$D$278</f>
        <v>6000</v>
      </c>
      <c r="E22" s="1244">
        <f>'C08'!$E$278</f>
        <v>6000</v>
      </c>
      <c r="F22" s="88"/>
      <c r="G22" s="88"/>
      <c r="H22" s="88"/>
    </row>
    <row r="23" spans="1:26" ht="12.75" customHeight="1">
      <c r="A23" s="1265" t="s">
        <v>41</v>
      </c>
      <c r="B23" s="1254">
        <v>55</v>
      </c>
      <c r="C23" s="1241">
        <f>'C053'!C235</f>
        <v>0</v>
      </c>
      <c r="D23" s="1243">
        <f>'C053'!D235</f>
        <v>0</v>
      </c>
      <c r="E23" s="3810" t="s">
        <v>4905</v>
      </c>
      <c r="F23" s="88"/>
      <c r="G23" s="88"/>
      <c r="H23" s="88"/>
    </row>
    <row r="24" spans="1:26" ht="12.75" customHeight="1">
      <c r="A24" s="1266" t="s">
        <v>299</v>
      </c>
      <c r="B24" s="1255">
        <v>170</v>
      </c>
      <c r="C24" s="1244">
        <f>SUM(C9:C23)</f>
        <v>31615</v>
      </c>
      <c r="D24" s="1268">
        <f>SUM(D9:D23)</f>
        <v>22888</v>
      </c>
      <c r="E24" s="1240">
        <f>SUM(E9:E22)</f>
        <v>16696</v>
      </c>
      <c r="F24" s="88"/>
      <c r="G24" s="88"/>
      <c r="H24" s="88"/>
    </row>
    <row r="25" spans="1:26" ht="12.75" customHeight="1">
      <c r="A25" s="1267"/>
      <c r="B25" s="1256"/>
      <c r="C25" s="1226"/>
      <c r="D25" s="1226"/>
      <c r="E25" s="1226"/>
      <c r="F25" s="88"/>
      <c r="G25" s="88"/>
      <c r="H25" s="88"/>
    </row>
    <row r="26" spans="1:26" s="3764" customFormat="1" ht="12.75" customHeight="1">
      <c r="A26" s="3760" t="str">
        <f>A1</f>
        <v>USD #</v>
      </c>
      <c r="B26" s="4343">
        <f>B1</f>
        <v>237</v>
      </c>
      <c r="C26" s="3761"/>
      <c r="D26" s="6130" t="str">
        <f>D1</f>
        <v>STATE OF KANSAS</v>
      </c>
      <c r="E26" s="6130"/>
      <c r="F26" s="3762"/>
      <c r="G26" s="3762"/>
      <c r="H26" s="3762"/>
      <c r="I26" s="3763"/>
      <c r="J26" s="3763"/>
      <c r="K26" s="3763"/>
      <c r="L26" s="3763"/>
      <c r="M26" s="3763"/>
      <c r="N26" s="3763"/>
      <c r="O26" s="3763"/>
      <c r="P26" s="3763"/>
      <c r="Q26" s="3763"/>
      <c r="R26" s="3763"/>
      <c r="S26" s="3763"/>
      <c r="T26" s="3763"/>
      <c r="U26" s="3763"/>
      <c r="V26" s="3763"/>
      <c r="W26" s="3763"/>
      <c r="X26" s="3763"/>
      <c r="Y26" s="3763"/>
      <c r="Z26" s="3763"/>
    </row>
    <row r="27" spans="1:26" ht="12.75" customHeight="1">
      <c r="A27" s="1267"/>
      <c r="B27" s="1256"/>
      <c r="C27" s="1226"/>
      <c r="D27" s="6131" t="str">
        <f>D2</f>
        <v>Budget Form USD-E</v>
      </c>
      <c r="E27" s="6131"/>
      <c r="F27" s="88"/>
      <c r="G27" s="88"/>
      <c r="H27" s="88"/>
    </row>
    <row r="28" spans="1:26" ht="12.75" customHeight="1">
      <c r="A28" s="1267"/>
      <c r="B28" s="4262"/>
      <c r="C28" s="1226"/>
      <c r="D28" s="1226"/>
      <c r="E28" s="1245" t="str">
        <f>E3</f>
        <v>2021-2022</v>
      </c>
      <c r="F28" s="88"/>
      <c r="G28" s="88"/>
      <c r="H28" s="88"/>
    </row>
    <row r="29" spans="1:26" ht="12.75" customHeight="1">
      <c r="A29" s="1267"/>
      <c r="B29" s="1256"/>
      <c r="C29" s="1226"/>
      <c r="D29" s="1226"/>
      <c r="E29" s="1226"/>
      <c r="F29" s="88"/>
      <c r="G29" s="88"/>
      <c r="H29" s="88"/>
    </row>
    <row r="30" spans="1:26" ht="12.75" customHeight="1">
      <c r="A30" s="1267"/>
      <c r="B30" s="1227"/>
      <c r="C30" s="1227" t="str">
        <f>C5</f>
        <v>12 mo.</v>
      </c>
      <c r="D30" s="1227" t="str">
        <f>D5</f>
        <v>12 mo.</v>
      </c>
      <c r="E30" s="1227" t="str">
        <f>E5</f>
        <v>12 mo.</v>
      </c>
      <c r="F30" s="88"/>
      <c r="G30" s="88"/>
      <c r="H30" s="88"/>
    </row>
    <row r="31" spans="1:26" ht="12.75" customHeight="1">
      <c r="A31" s="1267"/>
      <c r="B31" s="3242" t="str">
        <f>B6</f>
        <v>Code</v>
      </c>
      <c r="C31" s="3242" t="str">
        <f t="shared" ref="C31:E33" si="0">C6</f>
        <v>2019-2020</v>
      </c>
      <c r="D31" s="3242" t="str">
        <f t="shared" si="0"/>
        <v>2020-2021</v>
      </c>
      <c r="E31" s="3242" t="str">
        <f t="shared" si="0"/>
        <v>2021-2022</v>
      </c>
      <c r="F31" s="88"/>
      <c r="G31" s="88"/>
      <c r="H31" s="88"/>
    </row>
    <row r="32" spans="1:26" ht="12.75" customHeight="1">
      <c r="A32" s="1228" t="str">
        <f>A7</f>
        <v>PROFESSIONAL DEVELOPMENT</v>
      </c>
      <c r="B32" s="3243">
        <f>B7</f>
        <v>26</v>
      </c>
      <c r="C32" s="3243" t="str">
        <f t="shared" si="0"/>
        <v>Actual</v>
      </c>
      <c r="D32" s="3243" t="str">
        <f t="shared" si="0"/>
        <v>Actual</v>
      </c>
      <c r="E32" s="3243" t="str">
        <f t="shared" si="0"/>
        <v>Budget</v>
      </c>
      <c r="F32" s="88"/>
      <c r="G32" s="88"/>
      <c r="H32" s="88"/>
    </row>
    <row r="33" spans="1:8" ht="12.75" customHeight="1">
      <c r="A33" s="1267"/>
      <c r="B33" s="4344" t="str">
        <f>B8</f>
        <v>Line</v>
      </c>
      <c r="C33" s="4345">
        <f t="shared" si="0"/>
        <v>1</v>
      </c>
      <c r="D33" s="4345">
        <f t="shared" si="0"/>
        <v>2</v>
      </c>
      <c r="E33" s="4345">
        <f t="shared" si="0"/>
        <v>3</v>
      </c>
      <c r="F33" s="88"/>
      <c r="G33" s="88"/>
      <c r="H33" s="88"/>
    </row>
    <row r="34" spans="1:8" ht="12.75" customHeight="1">
      <c r="A34" s="4346"/>
      <c r="B34" s="4347"/>
      <c r="C34" s="4348"/>
      <c r="D34" s="4348"/>
      <c r="E34" s="4349"/>
      <c r="F34" s="88"/>
      <c r="G34" s="88"/>
      <c r="H34" s="88"/>
    </row>
    <row r="35" spans="1:8" ht="12.75" customHeight="1">
      <c r="A35" s="4338" t="s">
        <v>60</v>
      </c>
      <c r="B35" s="4339"/>
      <c r="C35" s="4339"/>
      <c r="D35" s="4339"/>
      <c r="E35" s="4340"/>
      <c r="F35" s="88"/>
      <c r="G35" s="88"/>
      <c r="H35" s="88"/>
    </row>
    <row r="36" spans="1:8" ht="12.75" customHeight="1">
      <c r="A36" s="3241" t="s">
        <v>961</v>
      </c>
      <c r="B36" s="3257"/>
      <c r="C36" s="3257"/>
      <c r="D36" s="3257"/>
      <c r="E36" s="3257"/>
      <c r="F36" s="88"/>
      <c r="G36" s="88"/>
      <c r="H36" s="88"/>
    </row>
    <row r="37" spans="1:8" ht="12.75" customHeight="1">
      <c r="A37" s="3239" t="s">
        <v>963</v>
      </c>
      <c r="B37" s="3258"/>
      <c r="C37" s="3258"/>
      <c r="D37" s="3258"/>
      <c r="E37" s="3258"/>
      <c r="F37" s="88"/>
      <c r="G37" s="88"/>
      <c r="H37" s="88"/>
    </row>
    <row r="38" spans="1:8" ht="12.75" customHeight="1">
      <c r="A38" s="3239" t="s">
        <v>941</v>
      </c>
      <c r="B38" s="3258"/>
      <c r="C38" s="3258"/>
      <c r="D38" s="3258"/>
      <c r="E38" s="3258"/>
      <c r="F38" s="88"/>
      <c r="G38" s="88"/>
      <c r="H38" s="88"/>
    </row>
    <row r="39" spans="1:8" ht="12.75" customHeight="1">
      <c r="A39" s="3246" t="s">
        <v>942</v>
      </c>
      <c r="B39" s="3259">
        <v>210</v>
      </c>
      <c r="C39" s="3253">
        <v>9884</v>
      </c>
      <c r="D39" s="3253">
        <v>6447</v>
      </c>
      <c r="E39" s="3253">
        <v>6447</v>
      </c>
      <c r="F39" s="88"/>
      <c r="G39" s="88"/>
      <c r="H39" s="88"/>
    </row>
    <row r="40" spans="1:8" ht="12.75" customHeight="1">
      <c r="A40" s="3247" t="s">
        <v>300</v>
      </c>
      <c r="B40" s="3260">
        <v>215</v>
      </c>
      <c r="C40" s="2021"/>
      <c r="D40" s="2021"/>
      <c r="E40" s="2021"/>
      <c r="F40" s="88"/>
      <c r="G40" s="88"/>
      <c r="H40" s="88"/>
    </row>
    <row r="41" spans="1:8" ht="12.75" customHeight="1">
      <c r="A41" s="3238" t="s">
        <v>944</v>
      </c>
      <c r="B41" s="3261"/>
      <c r="C41" s="3261"/>
      <c r="D41" s="3261"/>
      <c r="E41" s="3261"/>
      <c r="F41" s="88"/>
      <c r="G41" s="88"/>
      <c r="H41" s="88"/>
    </row>
    <row r="42" spans="1:8" ht="12.75" customHeight="1">
      <c r="A42" s="3246" t="s">
        <v>945</v>
      </c>
      <c r="B42" s="3259">
        <v>220</v>
      </c>
      <c r="C42" s="3253"/>
      <c r="D42" s="3253"/>
      <c r="E42" s="3253"/>
      <c r="F42" s="88"/>
      <c r="G42" s="88"/>
      <c r="H42" s="88"/>
    </row>
    <row r="43" spans="1:8" ht="12.75" customHeight="1">
      <c r="A43" s="3247" t="s">
        <v>946</v>
      </c>
      <c r="B43" s="3260">
        <v>225</v>
      </c>
      <c r="C43" s="2021"/>
      <c r="D43" s="2021"/>
      <c r="E43" s="2021"/>
      <c r="F43" s="88"/>
      <c r="G43" s="88"/>
      <c r="H43" s="88"/>
    </row>
    <row r="44" spans="1:8" ht="12.75" customHeight="1">
      <c r="A44" s="3247" t="s">
        <v>947</v>
      </c>
      <c r="B44" s="3260">
        <v>230</v>
      </c>
      <c r="C44" s="2021"/>
      <c r="D44" s="2021"/>
      <c r="E44" s="2021"/>
      <c r="F44" s="88"/>
      <c r="G44" s="88"/>
      <c r="H44" s="88"/>
    </row>
    <row r="45" spans="1:8" ht="12.75" customHeight="1">
      <c r="A45" s="2255" t="s">
        <v>4818</v>
      </c>
      <c r="B45" s="3262">
        <v>235</v>
      </c>
      <c r="C45" s="3255">
        <v>5061</v>
      </c>
      <c r="D45" s="3255">
        <v>1745</v>
      </c>
      <c r="E45" s="3255">
        <v>1095</v>
      </c>
      <c r="F45" s="88"/>
      <c r="G45" s="88"/>
      <c r="H45" s="88"/>
    </row>
    <row r="46" spans="1:8" ht="12.75" customHeight="1">
      <c r="A46" s="3248" t="s">
        <v>968</v>
      </c>
      <c r="B46" s="3263">
        <v>237</v>
      </c>
      <c r="C46" s="3255"/>
      <c r="D46" s="3255"/>
      <c r="E46" s="3255"/>
      <c r="F46" s="88"/>
      <c r="G46" s="88"/>
      <c r="H46" s="88"/>
    </row>
    <row r="47" spans="1:8" ht="12.75" customHeight="1">
      <c r="A47" s="3247" t="s">
        <v>950</v>
      </c>
      <c r="B47" s="3260">
        <v>240</v>
      </c>
      <c r="C47" s="2021"/>
      <c r="D47" s="2021"/>
      <c r="E47" s="2021"/>
      <c r="F47" s="88"/>
      <c r="G47" s="88"/>
      <c r="H47" s="88"/>
    </row>
    <row r="48" spans="1:8" ht="12.75" customHeight="1">
      <c r="A48" s="3238" t="s">
        <v>955</v>
      </c>
      <c r="B48" s="3261"/>
      <c r="C48" s="3261"/>
      <c r="D48" s="3261"/>
      <c r="E48" s="3261"/>
      <c r="F48" s="88"/>
      <c r="G48" s="88"/>
      <c r="H48" s="88"/>
    </row>
    <row r="49" spans="1:8" ht="12.75" customHeight="1">
      <c r="A49" s="2256" t="s">
        <v>5151</v>
      </c>
      <c r="B49" s="3264">
        <v>245</v>
      </c>
      <c r="C49" s="3265"/>
      <c r="D49" s="3265"/>
      <c r="E49" s="3265"/>
      <c r="F49" s="88"/>
      <c r="G49" s="88"/>
      <c r="H49" s="88"/>
    </row>
    <row r="50" spans="1:8" ht="12.75" customHeight="1">
      <c r="A50" s="2255" t="s">
        <v>690</v>
      </c>
      <c r="B50" s="3262">
        <v>250</v>
      </c>
      <c r="C50" s="3255"/>
      <c r="D50" s="3255"/>
      <c r="E50" s="3255"/>
      <c r="F50" s="88"/>
      <c r="G50" s="88"/>
      <c r="H50" s="88"/>
    </row>
    <row r="51" spans="1:8" ht="12.75" customHeight="1">
      <c r="A51" s="3247" t="s">
        <v>958</v>
      </c>
      <c r="B51" s="3260">
        <v>255</v>
      </c>
      <c r="C51" s="2021"/>
      <c r="D51" s="2021"/>
      <c r="E51" s="2021"/>
      <c r="F51" s="88"/>
      <c r="G51" s="88"/>
      <c r="H51" s="88"/>
    </row>
    <row r="52" spans="1:8" ht="12.75" customHeight="1">
      <c r="A52" s="3247" t="s">
        <v>959</v>
      </c>
      <c r="B52" s="3260">
        <v>260</v>
      </c>
      <c r="C52" s="2021"/>
      <c r="D52" s="2021"/>
      <c r="E52" s="2021"/>
      <c r="F52" s="88"/>
      <c r="G52" s="88"/>
      <c r="H52" s="88"/>
    </row>
    <row r="53" spans="1:8" ht="12.75" customHeight="1">
      <c r="A53" s="3247" t="s">
        <v>960</v>
      </c>
      <c r="B53" s="3260">
        <v>265</v>
      </c>
      <c r="C53" s="2021"/>
      <c r="D53" s="2021"/>
      <c r="E53" s="2021"/>
      <c r="F53" s="88"/>
      <c r="G53" s="88"/>
      <c r="H53" s="88"/>
    </row>
    <row r="54" spans="1:8" ht="12.75" customHeight="1">
      <c r="A54" s="3238" t="s">
        <v>1331</v>
      </c>
      <c r="B54" s="3261"/>
      <c r="C54" s="3261"/>
      <c r="D54" s="3261"/>
      <c r="E54" s="3261"/>
      <c r="F54" s="88"/>
      <c r="G54" s="88"/>
      <c r="H54" s="88"/>
    </row>
    <row r="55" spans="1:8" ht="12.75" customHeight="1">
      <c r="A55" s="3239" t="s">
        <v>941</v>
      </c>
      <c r="B55" s="3258"/>
      <c r="C55" s="3258"/>
      <c r="D55" s="3258"/>
      <c r="E55" s="3258"/>
      <c r="F55" s="88"/>
      <c r="G55" s="88"/>
      <c r="H55" s="88"/>
    </row>
    <row r="56" spans="1:8" ht="12.75" customHeight="1">
      <c r="A56" s="3246" t="s">
        <v>942</v>
      </c>
      <c r="B56" s="3259">
        <v>270</v>
      </c>
      <c r="C56" s="3253"/>
      <c r="D56" s="3253"/>
      <c r="E56" s="3253"/>
      <c r="F56" s="88"/>
      <c r="G56" s="88"/>
      <c r="H56" s="88"/>
    </row>
    <row r="57" spans="1:8" ht="12.75" customHeight="1">
      <c r="A57" s="3247" t="s">
        <v>302</v>
      </c>
      <c r="B57" s="3260">
        <v>275</v>
      </c>
      <c r="C57" s="2021"/>
      <c r="D57" s="2021"/>
      <c r="E57" s="2021"/>
      <c r="F57" s="88"/>
      <c r="G57" s="88"/>
      <c r="H57" s="88"/>
    </row>
    <row r="58" spans="1:8" ht="12.75" customHeight="1">
      <c r="A58" s="3238" t="s">
        <v>944</v>
      </c>
      <c r="B58" s="3261"/>
      <c r="C58" s="3261"/>
      <c r="D58" s="3261"/>
      <c r="E58" s="3261"/>
      <c r="F58" s="88"/>
      <c r="G58" s="88"/>
      <c r="H58" s="88"/>
    </row>
    <row r="59" spans="1:8" ht="12.75" customHeight="1">
      <c r="A59" s="3246" t="s">
        <v>295</v>
      </c>
      <c r="B59" s="3259">
        <v>280</v>
      </c>
      <c r="C59" s="3253"/>
      <c r="D59" s="3253"/>
      <c r="E59" s="3253"/>
      <c r="F59" s="88"/>
      <c r="G59" s="88"/>
      <c r="H59" s="88"/>
    </row>
    <row r="60" spans="1:8" ht="12.75" customHeight="1">
      <c r="A60" s="3247" t="s">
        <v>946</v>
      </c>
      <c r="B60" s="3260">
        <v>285</v>
      </c>
      <c r="C60" s="2021"/>
      <c r="D60" s="2021"/>
      <c r="E60" s="2021"/>
      <c r="F60" s="88"/>
      <c r="G60" s="88"/>
      <c r="H60" s="88"/>
    </row>
    <row r="61" spans="1:8" ht="12.75" customHeight="1">
      <c r="A61" s="3247" t="s">
        <v>947</v>
      </c>
      <c r="B61" s="3260">
        <v>290</v>
      </c>
      <c r="C61" s="2021"/>
      <c r="D61" s="2021"/>
      <c r="E61" s="2021"/>
      <c r="F61" s="88"/>
      <c r="G61" s="88"/>
      <c r="H61" s="88"/>
    </row>
    <row r="62" spans="1:8" ht="12.75" customHeight="1">
      <c r="A62" s="2255" t="s">
        <v>4818</v>
      </c>
      <c r="B62" s="3262">
        <v>295</v>
      </c>
      <c r="C62" s="3255"/>
      <c r="D62" s="3255"/>
      <c r="E62" s="3255"/>
      <c r="F62" s="88"/>
      <c r="G62" s="88"/>
      <c r="H62" s="88"/>
    </row>
    <row r="63" spans="1:8" ht="12.75" customHeight="1">
      <c r="A63" s="3247" t="s">
        <v>968</v>
      </c>
      <c r="B63" s="3260">
        <v>300</v>
      </c>
      <c r="C63" s="2021"/>
      <c r="D63" s="2021"/>
      <c r="E63" s="2021"/>
      <c r="F63" s="88"/>
      <c r="G63" s="88"/>
      <c r="H63" s="88"/>
    </row>
    <row r="64" spans="1:8" ht="12.75" customHeight="1">
      <c r="A64" s="3247" t="s">
        <v>950</v>
      </c>
      <c r="B64" s="3260">
        <v>305</v>
      </c>
      <c r="C64" s="2021"/>
      <c r="D64" s="2021"/>
      <c r="E64" s="2021"/>
      <c r="F64" s="88"/>
      <c r="G64" s="88"/>
      <c r="H64" s="88"/>
    </row>
    <row r="65" spans="1:8" ht="12.75" customHeight="1">
      <c r="A65" s="3247" t="s">
        <v>955</v>
      </c>
      <c r="B65" s="3260">
        <v>310</v>
      </c>
      <c r="C65" s="2021"/>
      <c r="D65" s="2021"/>
      <c r="E65" s="2021"/>
      <c r="F65" s="88"/>
      <c r="G65" s="88"/>
      <c r="H65" s="88"/>
    </row>
    <row r="66" spans="1:8" ht="12.75" customHeight="1">
      <c r="A66" s="3247" t="s">
        <v>959</v>
      </c>
      <c r="B66" s="3260">
        <v>315</v>
      </c>
      <c r="C66" s="2021"/>
      <c r="D66" s="2021"/>
      <c r="E66" s="2021"/>
      <c r="F66" s="88"/>
      <c r="G66" s="88"/>
      <c r="H66" s="88"/>
    </row>
    <row r="67" spans="1:8" ht="12.75" customHeight="1">
      <c r="A67" s="3247" t="s">
        <v>960</v>
      </c>
      <c r="B67" s="3260">
        <v>320</v>
      </c>
      <c r="C67" s="2021"/>
      <c r="D67" s="2021"/>
      <c r="E67" s="2021"/>
      <c r="F67" s="88"/>
      <c r="G67" s="88"/>
      <c r="H67" s="88"/>
    </row>
    <row r="68" spans="1:8" ht="12.75" customHeight="1">
      <c r="A68" s="3238" t="s">
        <v>1326</v>
      </c>
      <c r="B68" s="3261"/>
      <c r="C68" s="3261"/>
      <c r="D68" s="3261"/>
      <c r="E68" s="3261"/>
      <c r="F68" s="88"/>
      <c r="G68" s="88"/>
      <c r="H68" s="88"/>
    </row>
    <row r="69" spans="1:8" ht="12.75" customHeight="1">
      <c r="A69" s="3239" t="s">
        <v>972</v>
      </c>
      <c r="B69" s="3258"/>
      <c r="C69" s="3258"/>
      <c r="D69" s="3258"/>
      <c r="E69" s="3258"/>
      <c r="F69" s="88"/>
      <c r="G69" s="88"/>
      <c r="H69" s="88"/>
    </row>
    <row r="70" spans="1:8" ht="12.75" customHeight="1">
      <c r="A70" s="3246" t="s">
        <v>999</v>
      </c>
      <c r="B70" s="3266">
        <v>327</v>
      </c>
      <c r="C70" s="3267"/>
      <c r="D70" s="3253"/>
      <c r="E70" s="3253"/>
      <c r="F70" s="88"/>
      <c r="G70" s="88"/>
      <c r="H70" s="88"/>
    </row>
    <row r="71" spans="1:8" ht="12.75" customHeight="1">
      <c r="A71" s="2256" t="s">
        <v>943</v>
      </c>
      <c r="B71" s="3268">
        <v>330</v>
      </c>
      <c r="C71" s="3267"/>
      <c r="D71" s="3265"/>
      <c r="E71" s="3265"/>
      <c r="F71" s="88"/>
      <c r="G71" s="88"/>
      <c r="H71" s="88"/>
    </row>
    <row r="72" spans="1:8" ht="12.75" customHeight="1">
      <c r="A72" s="3238" t="s">
        <v>973</v>
      </c>
      <c r="B72" s="3261"/>
      <c r="C72" s="3261"/>
      <c r="D72" s="3261"/>
      <c r="E72" s="3261"/>
      <c r="F72" s="88"/>
      <c r="G72" s="88"/>
      <c r="H72" s="88"/>
    </row>
    <row r="73" spans="1:8" ht="12.75" customHeight="1">
      <c r="A73" s="3246" t="s">
        <v>1000</v>
      </c>
      <c r="B73" s="3266">
        <v>335</v>
      </c>
      <c r="C73" s="3267"/>
      <c r="D73" s="3253"/>
      <c r="E73" s="3253"/>
      <c r="F73" s="88"/>
      <c r="G73" s="88"/>
      <c r="H73" s="88"/>
    </row>
    <row r="74" spans="1:8" ht="12.75" customHeight="1">
      <c r="A74" s="2256" t="s">
        <v>977</v>
      </c>
      <c r="B74" s="3268">
        <v>340</v>
      </c>
      <c r="C74" s="3267"/>
      <c r="D74" s="3265"/>
      <c r="E74" s="3265"/>
      <c r="F74" s="88"/>
      <c r="G74" s="88"/>
      <c r="H74" s="88"/>
    </row>
    <row r="75" spans="1:8" ht="12.75" customHeight="1">
      <c r="A75" s="2255" t="s">
        <v>978</v>
      </c>
      <c r="B75" s="3263">
        <v>345</v>
      </c>
      <c r="C75" s="3267"/>
      <c r="D75" s="3255">
        <v>5000</v>
      </c>
      <c r="E75" s="3255"/>
      <c r="F75" s="88"/>
      <c r="G75" s="88"/>
      <c r="H75" s="88"/>
    </row>
    <row r="76" spans="1:8" ht="12.75" customHeight="1">
      <c r="A76" s="2255" t="s">
        <v>4818</v>
      </c>
      <c r="B76" s="3269">
        <v>350</v>
      </c>
      <c r="C76" s="3267"/>
      <c r="D76" s="2021"/>
      <c r="E76" s="2021"/>
      <c r="F76" s="88"/>
      <c r="G76" s="88"/>
      <c r="H76" s="88"/>
    </row>
    <row r="77" spans="1:8" ht="12.75" customHeight="1">
      <c r="A77" s="2255" t="s">
        <v>979</v>
      </c>
      <c r="B77" s="3263">
        <v>355</v>
      </c>
      <c r="C77" s="3267"/>
      <c r="D77" s="3255"/>
      <c r="E77" s="3255"/>
      <c r="F77" s="88"/>
      <c r="G77" s="88"/>
      <c r="H77" s="88"/>
    </row>
    <row r="78" spans="1:8" ht="12.75" customHeight="1">
      <c r="A78" s="2255" t="s">
        <v>986</v>
      </c>
      <c r="B78" s="3263">
        <v>360</v>
      </c>
      <c r="C78" s="3267"/>
      <c r="D78" s="3255"/>
      <c r="E78" s="3255"/>
      <c r="F78" s="88"/>
      <c r="G78" s="88"/>
      <c r="H78" s="88"/>
    </row>
    <row r="79" spans="1:8" ht="12.75" customHeight="1">
      <c r="A79" s="2255" t="s">
        <v>989</v>
      </c>
      <c r="B79" s="3263">
        <v>365</v>
      </c>
      <c r="C79" s="3267"/>
      <c r="D79" s="3255"/>
      <c r="E79" s="3255"/>
      <c r="F79" s="88"/>
      <c r="G79" s="88"/>
      <c r="H79" s="88"/>
    </row>
    <row r="80" spans="1:8" ht="12.75" customHeight="1">
      <c r="A80" s="2255" t="s">
        <v>997</v>
      </c>
      <c r="B80" s="3263">
        <v>370</v>
      </c>
      <c r="C80" s="3267"/>
      <c r="D80" s="3255"/>
      <c r="E80" s="3255"/>
      <c r="F80" s="88"/>
      <c r="G80" s="88"/>
      <c r="H80" s="88"/>
    </row>
    <row r="81" spans="1:9" ht="12.75" customHeight="1">
      <c r="A81" s="2255" t="s">
        <v>998</v>
      </c>
      <c r="B81" s="3269">
        <v>375</v>
      </c>
      <c r="C81" s="3267"/>
      <c r="D81" s="2021"/>
      <c r="E81" s="2021"/>
      <c r="F81" s="88"/>
      <c r="G81" s="88"/>
      <c r="H81" s="88"/>
    </row>
    <row r="82" spans="1:9" ht="12.75" customHeight="1">
      <c r="A82" s="640" t="s">
        <v>4916</v>
      </c>
      <c r="B82" s="1258">
        <v>175</v>
      </c>
      <c r="C82" s="1241">
        <f>SUM(C39:C81)</f>
        <v>14945</v>
      </c>
      <c r="D82" s="1241">
        <f>SUM(D39:D81)</f>
        <v>13192</v>
      </c>
      <c r="E82" s="3274">
        <f>IF((I82&lt;=E24), I82, "ERROR")</f>
        <v>7542</v>
      </c>
      <c r="F82" s="88"/>
      <c r="G82" s="88"/>
      <c r="H82" s="88"/>
      <c r="I82" s="92">
        <f>SUM(E39:E81)</f>
        <v>7542</v>
      </c>
    </row>
    <row r="83" spans="1:9" ht="12.75" customHeight="1">
      <c r="A83" s="93" t="s">
        <v>247</v>
      </c>
      <c r="B83" s="1257">
        <v>190</v>
      </c>
      <c r="C83" s="1242">
        <f>SUM(C24-C82)</f>
        <v>16670</v>
      </c>
      <c r="D83" s="1243">
        <f>SUM(D24-D82)</f>
        <v>9696</v>
      </c>
      <c r="E83" s="1246">
        <f>IF(ISERROR(E24-E82), "NEGATIVE",E24-E82)</f>
        <v>9154</v>
      </c>
      <c r="F83" s="88"/>
      <c r="G83" s="326"/>
      <c r="H83" s="88"/>
    </row>
    <row r="84" spans="1:9" ht="12.75" customHeight="1">
      <c r="A84" s="292"/>
      <c r="B84" s="1259"/>
      <c r="C84" s="1226"/>
      <c r="D84" s="1226"/>
      <c r="E84" s="1247"/>
      <c r="F84" s="88"/>
      <c r="G84" s="326"/>
      <c r="H84" s="94"/>
    </row>
    <row r="85" spans="1:9" ht="12.75" customHeight="1">
      <c r="A85" s="669"/>
      <c r="B85" s="936"/>
      <c r="C85" s="936"/>
      <c r="D85" s="936"/>
      <c r="E85" s="936"/>
      <c r="F85" s="88"/>
      <c r="G85" s="423"/>
      <c r="H85" s="88"/>
    </row>
    <row r="86" spans="1:9" ht="12.75" customHeight="1">
      <c r="A86" s="88"/>
      <c r="B86" s="1260"/>
      <c r="C86" s="1229"/>
      <c r="D86" s="1229"/>
      <c r="E86" s="1229"/>
      <c r="F86" s="88"/>
      <c r="G86" s="88"/>
      <c r="H86" s="88"/>
      <c r="I86" s="92"/>
    </row>
    <row r="87" spans="1:9" ht="12.75" customHeight="1">
      <c r="A87" s="88"/>
      <c r="B87" s="1231"/>
      <c r="C87" s="1229"/>
      <c r="D87" s="1229"/>
      <c r="E87" s="1229"/>
      <c r="F87" s="88"/>
      <c r="G87" s="88"/>
      <c r="H87" s="88"/>
    </row>
    <row r="88" spans="1:9" ht="12.75" customHeight="1">
      <c r="A88" s="88"/>
      <c r="B88" s="1231"/>
      <c r="C88" s="1229"/>
      <c r="D88" s="1229"/>
      <c r="E88" s="1229"/>
      <c r="F88" s="88"/>
      <c r="G88" s="88"/>
      <c r="H88" s="88"/>
    </row>
    <row r="89" spans="1:9" ht="12.75" customHeight="1">
      <c r="A89" s="88"/>
      <c r="B89" s="1231"/>
      <c r="C89" s="1229"/>
      <c r="D89" s="1229"/>
      <c r="E89" s="1229"/>
      <c r="F89" s="88"/>
      <c r="G89" s="88"/>
      <c r="H89" s="88"/>
    </row>
    <row r="90" spans="1:9" ht="12.75" customHeight="1">
      <c r="A90" s="88"/>
      <c r="B90" s="1231"/>
      <c r="C90" s="1229"/>
      <c r="D90" s="1229"/>
      <c r="E90" s="1229"/>
      <c r="F90" s="88"/>
      <c r="G90" s="88"/>
      <c r="H90" s="88"/>
    </row>
    <row r="91" spans="1:9" ht="12.75" customHeight="1">
      <c r="F91" s="88"/>
      <c r="G91" s="88"/>
      <c r="H91" s="88"/>
    </row>
    <row r="92" spans="1:9" ht="12.75" customHeight="1">
      <c r="F92" s="88"/>
      <c r="G92" s="88"/>
      <c r="H92" s="88"/>
    </row>
  </sheetData>
  <sheetProtection algorithmName="SHA-512" hashValue="B+R/U3mMknk8+BvmsNT7B5xpdNw2S1j/J9KahsN/ND0NfOc2Id+ldsH91GtSRpzw1IcrVASlzaTPCkNM8F5FtQ==" saltValue="/Fs4AVpXFKYe0vdTBhQfig==" spinCount="100000" sheet="1" objects="1" scenarios="1"/>
  <mergeCells count="4">
    <mergeCell ref="D1:E1"/>
    <mergeCell ref="D2:E2"/>
    <mergeCell ref="D26:E26"/>
    <mergeCell ref="D27:E27"/>
  </mergeCells>
  <phoneticPr fontId="13" type="noConversion"/>
  <dataValidations count="3">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C17 E14 C39:E40 C19:E19 C42:E47 C49:E53 C56:E57 C10:D10 C59:E67 C73:E81 C70:E71 C15:E15">
      <formula1>0</formula1>
    </dataValidation>
    <dataValidation type="whole" operator="greaterThanOrEqual" showInputMessage="1" showErrorMessage="1" errorTitle="Invalid Data Entry" error="Please enter a positive number or press the delete key or enter a zero." sqref="D14">
      <formula1>0</formula1>
    </dataValidation>
  </dataValidations>
  <hyperlinks>
    <hyperlink ref="G1" location="Contents!F1" display="Return to Contents page"/>
  </hyperlinks>
  <printOptions horizontalCentered="1"/>
  <pageMargins left="0.75" right="0.75" top="0.5" bottom="0.5" header="0.3" footer="0.3"/>
  <pageSetup scale="86" fitToHeight="0" orientation="portrait" blackAndWhite="1" r:id="rId1"/>
  <headerFooter scaleWithDoc="0">
    <oddFooter>&amp;L&amp;"Open Sans Light,Regular"&amp;8&amp;D    &amp;T&amp;C&amp;"Open Sans Light,Regular"&amp;8Page &amp;P&amp;R&amp;"Open Sans Light,Regular"&amp;8&amp;A</oddFooter>
  </headerFooter>
  <rowBreaks count="1" manualBreakCount="1">
    <brk id="66" max="4" man="1"/>
  </row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4" tint="0.39997558519241921"/>
  </sheetPr>
  <dimension ref="A1:Q112"/>
  <sheetViews>
    <sheetView showGridLines="0" zoomScaleNormal="100" zoomScaleSheetLayoutView="100" workbookViewId="0">
      <pane ySplit="8" topLeftCell="A9" activePane="bottomLeft" state="frozen"/>
      <selection activeCell="B22" sqref="B22"/>
      <selection pane="bottomLeft" activeCell="B22" sqref="B22"/>
    </sheetView>
  </sheetViews>
  <sheetFormatPr defaultColWidth="10.6640625" defaultRowHeight="12.75" customHeight="1"/>
  <cols>
    <col min="1" max="1" width="40.6640625" style="96" customWidth="1"/>
    <col min="2" max="2" width="4.88671875" style="1293" customWidth="1"/>
    <col min="3" max="5" width="14.33203125" style="1294" customWidth="1"/>
    <col min="6" max="6" width="2.33203125" style="96" customWidth="1"/>
    <col min="7" max="7" width="21" style="96" customWidth="1"/>
    <col min="8" max="16384" width="10.6640625" style="96"/>
  </cols>
  <sheetData>
    <row r="1" spans="1:17" ht="12.75" customHeight="1">
      <c r="A1" s="1272" t="s">
        <v>809</v>
      </c>
      <c r="B1" s="1269">
        <f>OPEN!B4</f>
        <v>237</v>
      </c>
      <c r="C1" s="1270"/>
      <c r="D1" s="6132" t="s">
        <v>836</v>
      </c>
      <c r="E1" s="6132"/>
      <c r="F1" s="95"/>
      <c r="G1" s="304" t="s">
        <v>754</v>
      </c>
    </row>
    <row r="2" spans="1:17" ht="12.75" customHeight="1">
      <c r="A2" s="1270"/>
      <c r="B2" s="1271"/>
      <c r="C2" s="1270"/>
      <c r="D2" s="6132" t="s">
        <v>921</v>
      </c>
      <c r="E2" s="6132"/>
      <c r="F2" s="95"/>
    </row>
    <row r="3" spans="1:17" ht="12.75" customHeight="1">
      <c r="A3" s="1270"/>
      <c r="B3" s="1271"/>
      <c r="C3" s="1270"/>
      <c r="D3" s="1270"/>
      <c r="E3" s="1272" t="str">
        <f>OpenData!N2</f>
        <v>2021-2022</v>
      </c>
      <c r="F3" s="95"/>
    </row>
    <row r="4" spans="1:17" ht="12.75" customHeight="1">
      <c r="A4" s="1270"/>
      <c r="B4" s="1271"/>
      <c r="C4" s="1270"/>
      <c r="D4" s="1270"/>
      <c r="E4" s="1270"/>
      <c r="F4" s="95"/>
    </row>
    <row r="5" spans="1:17" ht="12.75" customHeight="1">
      <c r="A5" s="1270"/>
      <c r="B5" s="1271"/>
      <c r="C5" s="1273" t="s">
        <v>922</v>
      </c>
      <c r="D5" s="1273" t="s">
        <v>922</v>
      </c>
      <c r="E5" s="1273" t="s">
        <v>922</v>
      </c>
      <c r="F5" s="95"/>
    </row>
    <row r="6" spans="1:17" ht="12.75" customHeight="1">
      <c r="A6" s="1295"/>
      <c r="B6" s="1274" t="s">
        <v>854</v>
      </c>
      <c r="C6" s="1275" t="str">
        <f>OpenData!N4</f>
        <v>2019-2020</v>
      </c>
      <c r="D6" s="1275" t="str">
        <f>OpenData!O4</f>
        <v>2020-2021</v>
      </c>
      <c r="E6" s="1275" t="str">
        <f>OpenData!P4</f>
        <v>2021-2022</v>
      </c>
      <c r="F6" s="95"/>
    </row>
    <row r="7" spans="1:17" ht="12.75" customHeight="1">
      <c r="A7" s="1295" t="s">
        <v>303</v>
      </c>
      <c r="B7" s="1276">
        <v>28</v>
      </c>
      <c r="C7" s="1277" t="s">
        <v>893</v>
      </c>
      <c r="D7" s="1277" t="s">
        <v>893</v>
      </c>
      <c r="E7" s="1277" t="s">
        <v>923</v>
      </c>
      <c r="F7" s="95"/>
      <c r="O7" s="97"/>
      <c r="P7" s="97"/>
      <c r="Q7" s="97"/>
    </row>
    <row r="8" spans="1:17" ht="12.75" customHeight="1">
      <c r="A8" s="1296"/>
      <c r="B8" s="1278" t="s">
        <v>858</v>
      </c>
      <c r="C8" s="1279">
        <v>1</v>
      </c>
      <c r="D8" s="1279">
        <v>2</v>
      </c>
      <c r="E8" s="1279">
        <v>3</v>
      </c>
      <c r="F8" s="95"/>
      <c r="O8" s="97"/>
      <c r="P8" s="97"/>
      <c r="Q8" s="97"/>
    </row>
    <row r="9" spans="1:17" ht="12.75" customHeight="1">
      <c r="A9" s="1297" t="s">
        <v>1043</v>
      </c>
      <c r="B9" s="1280">
        <v>1</v>
      </c>
      <c r="C9" s="1281">
        <v>0</v>
      </c>
      <c r="D9" s="1282">
        <f>C27</f>
        <v>9997</v>
      </c>
      <c r="E9" s="1283">
        <f>D27</f>
        <v>8794</v>
      </c>
      <c r="F9" s="95"/>
      <c r="O9" s="97"/>
      <c r="P9" s="97"/>
      <c r="Q9" s="97"/>
    </row>
    <row r="10" spans="1:17" ht="12.75" customHeight="1">
      <c r="A10" s="3974" t="s">
        <v>4940</v>
      </c>
      <c r="B10" s="3231">
        <v>3</v>
      </c>
      <c r="C10" s="2582"/>
      <c r="D10" s="2582"/>
      <c r="E10" s="3236"/>
      <c r="F10" s="95"/>
      <c r="O10" s="97"/>
      <c r="P10" s="97"/>
      <c r="Q10" s="97"/>
    </row>
    <row r="11" spans="1:17" ht="12.75" customHeight="1">
      <c r="A11" s="2260"/>
      <c r="B11" s="4324"/>
      <c r="C11" s="4324"/>
      <c r="D11" s="4324"/>
      <c r="E11" s="4328"/>
      <c r="F11" s="95"/>
      <c r="O11" s="97"/>
      <c r="P11" s="97"/>
      <c r="Q11" s="97"/>
    </row>
    <row r="12" spans="1:17" ht="12.75" customHeight="1">
      <c r="A12" s="4325" t="s">
        <v>4767</v>
      </c>
      <c r="B12" s="4326"/>
      <c r="C12" s="4326"/>
      <c r="D12" s="4326"/>
      <c r="E12" s="4327"/>
      <c r="F12" s="95"/>
      <c r="O12" s="97"/>
      <c r="P12" s="97"/>
      <c r="Q12" s="97"/>
    </row>
    <row r="13" spans="1:17" ht="12.75" customHeight="1">
      <c r="A13" s="3220" t="s">
        <v>13</v>
      </c>
      <c r="B13" s="3225"/>
      <c r="C13" s="3225"/>
      <c r="D13" s="3225"/>
      <c r="E13" s="3225"/>
      <c r="F13" s="95"/>
      <c r="O13" s="97"/>
      <c r="P13" s="97"/>
      <c r="Q13" s="97"/>
    </row>
    <row r="14" spans="1:17" ht="12.75" customHeight="1">
      <c r="A14" s="3222" t="s">
        <v>306</v>
      </c>
      <c r="B14" s="3232">
        <v>5</v>
      </c>
      <c r="C14" s="2581"/>
      <c r="D14" s="2581">
        <v>4750</v>
      </c>
      <c r="E14" s="2581">
        <v>5750</v>
      </c>
      <c r="F14" s="95"/>
    </row>
    <row r="15" spans="1:17" ht="12.75" customHeight="1">
      <c r="A15" s="3223" t="s">
        <v>71</v>
      </c>
      <c r="B15" s="3233">
        <v>15</v>
      </c>
      <c r="C15" s="3234"/>
      <c r="D15" s="3234"/>
      <c r="E15" s="2023"/>
      <c r="F15" s="95"/>
    </row>
    <row r="16" spans="1:17" ht="12.75" customHeight="1">
      <c r="A16" s="3222" t="s">
        <v>18</v>
      </c>
      <c r="B16" s="3232">
        <v>25</v>
      </c>
      <c r="C16" s="2581">
        <v>27500</v>
      </c>
      <c r="D16" s="2581"/>
      <c r="E16" s="2581"/>
      <c r="F16" s="95"/>
    </row>
    <row r="17" spans="1:17" ht="12.75" customHeight="1">
      <c r="A17" s="2260" t="s">
        <v>25</v>
      </c>
      <c r="B17" s="3224"/>
      <c r="C17" s="3224"/>
      <c r="D17" s="3224"/>
      <c r="E17" s="3224"/>
      <c r="F17" s="95"/>
      <c r="O17" s="98"/>
      <c r="P17" s="98"/>
      <c r="Q17" s="98"/>
    </row>
    <row r="18" spans="1:17" ht="12.75" customHeight="1">
      <c r="A18" s="3222" t="s">
        <v>307</v>
      </c>
      <c r="B18" s="3232">
        <v>35</v>
      </c>
      <c r="C18" s="1285">
        <f>VLOOKUP(B1,DATA!$A$4:'DATA'!$BJ$289,54,FALSE)</f>
        <v>34399</v>
      </c>
      <c r="D18" s="1285">
        <f>VLOOKUP(B1,DATA!$A$4:'DATA'!$BJ$289,55,FALSE)</f>
        <v>32248</v>
      </c>
      <c r="E18" s="2581">
        <v>35694</v>
      </c>
      <c r="F18" s="95"/>
      <c r="G18" s="654"/>
    </row>
    <row r="19" spans="1:17" ht="12.75" customHeight="1">
      <c r="A19" s="2260" t="s">
        <v>37</v>
      </c>
      <c r="B19" s="3224"/>
      <c r="C19" s="3224"/>
      <c r="D19" s="3224"/>
      <c r="E19" s="3224"/>
      <c r="F19" s="95"/>
    </row>
    <row r="20" spans="1:17" ht="12.75" customHeight="1">
      <c r="A20" s="3222" t="s">
        <v>298</v>
      </c>
      <c r="B20" s="3235">
        <v>45</v>
      </c>
      <c r="C20" s="2581"/>
      <c r="D20" s="2581"/>
      <c r="E20" s="2581"/>
      <c r="F20" s="95"/>
    </row>
    <row r="21" spans="1:17" ht="12.75" customHeight="1">
      <c r="A21" s="2260" t="s">
        <v>39</v>
      </c>
      <c r="B21" s="3224"/>
      <c r="C21" s="3224"/>
      <c r="D21" s="3224"/>
      <c r="E21" s="3224"/>
      <c r="F21" s="95"/>
      <c r="O21" s="98"/>
      <c r="P21" s="98"/>
      <c r="Q21" s="98"/>
    </row>
    <row r="22" spans="1:17" ht="12.75" customHeight="1">
      <c r="A22" s="3222" t="s">
        <v>40</v>
      </c>
      <c r="B22" s="3232">
        <v>55</v>
      </c>
      <c r="C22" s="1285">
        <f>'C06'!$C$274</f>
        <v>0</v>
      </c>
      <c r="D22" s="1285">
        <f>'C06'!$D$274</f>
        <v>6500</v>
      </c>
      <c r="E22" s="1285">
        <f>'C06'!$E$274</f>
        <v>5000</v>
      </c>
      <c r="F22" s="95"/>
      <c r="G22" s="655"/>
    </row>
    <row r="23" spans="1:17" ht="12.75" customHeight="1">
      <c r="A23" s="1297" t="s">
        <v>308</v>
      </c>
      <c r="B23" s="1280">
        <v>50</v>
      </c>
      <c r="C23" s="1283">
        <f>'C08'!$C$279</f>
        <v>0</v>
      </c>
      <c r="D23" s="1288">
        <f>'C08'!$D$279</f>
        <v>0</v>
      </c>
      <c r="E23" s="1283">
        <f>'C08'!$E$279</f>
        <v>0</v>
      </c>
      <c r="F23" s="95"/>
    </row>
    <row r="24" spans="1:17" ht="12.75" customHeight="1">
      <c r="A24" s="1297" t="s">
        <v>41</v>
      </c>
      <c r="B24" s="1280">
        <v>60</v>
      </c>
      <c r="C24" s="1287">
        <f>'C053'!$C$236</f>
        <v>0</v>
      </c>
      <c r="D24" s="1288">
        <f>'C053'!$D$236</f>
        <v>0</v>
      </c>
      <c r="E24" s="3810" t="s">
        <v>4905</v>
      </c>
      <c r="F24" s="95"/>
    </row>
    <row r="25" spans="1:17" ht="12.75" customHeight="1">
      <c r="A25" s="1298" t="s">
        <v>42</v>
      </c>
      <c r="B25" s="1284">
        <v>170</v>
      </c>
      <c r="C25" s="1287">
        <f>SUM(C9:C24)</f>
        <v>61899</v>
      </c>
      <c r="D25" s="1282">
        <f>SUM(D9:D24)</f>
        <v>53495</v>
      </c>
      <c r="E25" s="1285">
        <f>SUM(E9:E24)</f>
        <v>55238</v>
      </c>
      <c r="F25" s="95"/>
    </row>
    <row r="26" spans="1:17" ht="12.75" customHeight="1">
      <c r="A26" s="1297" t="s">
        <v>43</v>
      </c>
      <c r="B26" s="1280">
        <v>175</v>
      </c>
      <c r="C26" s="1287">
        <f>C102</f>
        <v>51902</v>
      </c>
      <c r="D26" s="1282">
        <f>D102</f>
        <v>44701</v>
      </c>
      <c r="E26" s="1287">
        <f>IF((E102&lt;=E25),E102,"ERROR")</f>
        <v>55238</v>
      </c>
      <c r="F26" s="95"/>
      <c r="G26" s="327" t="str">
        <f>IF(E26="ERROR","Expenditures must be less than or equal to the Resources Available","")</f>
        <v/>
      </c>
      <c r="H26" s="656"/>
    </row>
    <row r="27" spans="1:17" ht="12.75" customHeight="1">
      <c r="A27" s="1299" t="s">
        <v>247</v>
      </c>
      <c r="B27" s="4261">
        <v>190</v>
      </c>
      <c r="C27" s="1283">
        <f>SUM(C25-C26)</f>
        <v>9997</v>
      </c>
      <c r="D27" s="2009">
        <f>SUM(D25-D26)</f>
        <v>8794</v>
      </c>
      <c r="E27" s="2010">
        <f>IF(ISERROR(E25-E26),"NEGATIVE",E25-E26)</f>
        <v>0</v>
      </c>
      <c r="F27" s="95"/>
      <c r="G27" s="423"/>
      <c r="H27" s="656"/>
    </row>
    <row r="28" spans="1:17" ht="12.75" customHeight="1">
      <c r="A28" s="1289"/>
      <c r="B28" s="3766"/>
      <c r="C28" s="1286"/>
      <c r="D28" s="1286"/>
      <c r="E28" s="4329"/>
      <c r="F28" s="95"/>
      <c r="G28" s="423"/>
      <c r="H28" s="656"/>
    </row>
    <row r="29" spans="1:17" s="3771" customFormat="1" ht="12.75" customHeight="1">
      <c r="A29" s="3765" t="str">
        <f>A1</f>
        <v>USD #</v>
      </c>
      <c r="B29" s="3766">
        <f>B1</f>
        <v>237</v>
      </c>
      <c r="C29" s="3767"/>
      <c r="D29" s="6133" t="str">
        <f>D1</f>
        <v>STATE OF KANSAS</v>
      </c>
      <c r="E29" s="6133"/>
      <c r="F29" s="3768"/>
      <c r="G29" s="3769"/>
      <c r="H29" s="3770"/>
    </row>
    <row r="30" spans="1:17" ht="12.75" customHeight="1">
      <c r="A30" s="1289"/>
      <c r="B30" s="1290"/>
      <c r="C30" s="1286"/>
      <c r="D30" s="6134" t="str">
        <f>D2</f>
        <v>Budget Form USD-E</v>
      </c>
      <c r="E30" s="6134"/>
      <c r="F30" s="95"/>
      <c r="G30" s="423"/>
      <c r="H30" s="656"/>
    </row>
    <row r="31" spans="1:17" s="95" customFormat="1" ht="12.75" customHeight="1">
      <c r="A31" s="1270"/>
      <c r="B31" s="1273"/>
      <c r="C31" s="1270"/>
      <c r="D31" s="1270"/>
      <c r="E31" s="1272" t="str">
        <f>E3</f>
        <v>2021-2022</v>
      </c>
    </row>
    <row r="32" spans="1:17" s="95" customFormat="1" ht="12.75" customHeight="1">
      <c r="A32" s="936"/>
      <c r="B32" s="936"/>
      <c r="C32" s="936"/>
      <c r="D32" s="936"/>
      <c r="E32" s="936"/>
    </row>
    <row r="33" spans="1:6" s="95" customFormat="1" ht="12.75" customHeight="1">
      <c r="A33" s="1270"/>
      <c r="B33" s="1271"/>
      <c r="C33" s="1273" t="s">
        <v>922</v>
      </c>
      <c r="D33" s="1273" t="s">
        <v>922</v>
      </c>
      <c r="E33" s="1273" t="s">
        <v>922</v>
      </c>
    </row>
    <row r="34" spans="1:6" s="95" customFormat="1" ht="12.75" customHeight="1">
      <c r="A34" s="1295"/>
      <c r="B34" s="1274" t="s">
        <v>854</v>
      </c>
      <c r="C34" s="1275" t="str">
        <f>C6</f>
        <v>2019-2020</v>
      </c>
      <c r="D34" s="1275" t="str">
        <f>D6</f>
        <v>2020-2021</v>
      </c>
      <c r="E34" s="1275" t="str">
        <f>E6</f>
        <v>2021-2022</v>
      </c>
    </row>
    <row r="35" spans="1:6" s="95" customFormat="1" ht="12.75" customHeight="1">
      <c r="A35" s="1295" t="str">
        <f>A7</f>
        <v>PARENT EDUCATION PROGRAM</v>
      </c>
      <c r="B35" s="1276">
        <v>28</v>
      </c>
      <c r="C35" s="1277" t="s">
        <v>893</v>
      </c>
      <c r="D35" s="1277" t="s">
        <v>893</v>
      </c>
      <c r="E35" s="1277" t="s">
        <v>923</v>
      </c>
    </row>
    <row r="36" spans="1:6" ht="12.75" customHeight="1">
      <c r="A36" s="1296"/>
      <c r="B36" s="1278" t="s">
        <v>858</v>
      </c>
      <c r="C36" s="1279">
        <v>1</v>
      </c>
      <c r="D36" s="1279">
        <v>2</v>
      </c>
      <c r="E36" s="1279">
        <v>3</v>
      </c>
      <c r="F36" s="95"/>
    </row>
    <row r="37" spans="1:6" ht="12.75" customHeight="1">
      <c r="A37" s="2555"/>
      <c r="B37" s="4330"/>
      <c r="C37" s="4331"/>
      <c r="D37" s="4331"/>
      <c r="E37" s="4332"/>
      <c r="F37" s="95"/>
    </row>
    <row r="38" spans="1:6" ht="12.75" customHeight="1">
      <c r="A38" s="4333" t="s">
        <v>60</v>
      </c>
      <c r="B38" s="4334"/>
      <c r="C38" s="4334"/>
      <c r="D38" s="4334"/>
      <c r="E38" s="4335"/>
      <c r="F38" s="95"/>
    </row>
    <row r="39" spans="1:6" ht="12.75" customHeight="1">
      <c r="A39" s="3220" t="s">
        <v>961</v>
      </c>
      <c r="B39" s="3225"/>
      <c r="C39" s="3225"/>
      <c r="D39" s="3225"/>
      <c r="E39" s="3225"/>
      <c r="F39" s="95"/>
    </row>
    <row r="40" spans="1:6" ht="12.75" customHeight="1">
      <c r="A40" s="3220" t="s">
        <v>309</v>
      </c>
      <c r="B40" s="3225"/>
      <c r="C40" s="3225"/>
      <c r="D40" s="3225"/>
      <c r="E40" s="3225"/>
      <c r="F40" s="95"/>
    </row>
    <row r="41" spans="1:6" ht="12.75" customHeight="1">
      <c r="A41" s="2556" t="s">
        <v>941</v>
      </c>
      <c r="B41" s="2574"/>
      <c r="C41" s="2574"/>
      <c r="D41" s="2574"/>
      <c r="E41" s="2574"/>
      <c r="F41" s="95"/>
    </row>
    <row r="42" spans="1:6" ht="12.75" customHeight="1">
      <c r="A42" s="2562" t="s">
        <v>942</v>
      </c>
      <c r="B42" s="3226">
        <v>210</v>
      </c>
      <c r="C42" s="2581"/>
      <c r="D42" s="2581"/>
      <c r="E42" s="2581"/>
      <c r="F42" s="95"/>
    </row>
    <row r="43" spans="1:6" ht="12.75" customHeight="1">
      <c r="A43" s="2562" t="s">
        <v>285</v>
      </c>
      <c r="B43" s="3226">
        <v>215</v>
      </c>
      <c r="C43" s="2581">
        <v>32418</v>
      </c>
      <c r="D43" s="2581">
        <v>32211</v>
      </c>
      <c r="E43" s="2581">
        <v>34000</v>
      </c>
      <c r="F43" s="95"/>
    </row>
    <row r="44" spans="1:6" ht="12.75" customHeight="1">
      <c r="A44" s="2555" t="s">
        <v>944</v>
      </c>
      <c r="B44" s="2573"/>
      <c r="C44" s="2573"/>
      <c r="D44" s="2573"/>
      <c r="E44" s="2573"/>
      <c r="F44" s="95"/>
    </row>
    <row r="45" spans="1:6" ht="12.75" customHeight="1">
      <c r="A45" s="2562" t="s">
        <v>945</v>
      </c>
      <c r="B45" s="3226">
        <v>220</v>
      </c>
      <c r="C45" s="2581">
        <v>6163</v>
      </c>
      <c r="D45" s="2581">
        <v>7544</v>
      </c>
      <c r="E45" s="2581">
        <v>8316</v>
      </c>
      <c r="F45" s="95"/>
    </row>
    <row r="46" spans="1:6" ht="12.75" customHeight="1">
      <c r="A46" s="2563" t="s">
        <v>946</v>
      </c>
      <c r="B46" s="3227">
        <v>225</v>
      </c>
      <c r="C46" s="2023">
        <v>2308</v>
      </c>
      <c r="D46" s="2023">
        <v>2603</v>
      </c>
      <c r="E46" s="2023">
        <v>2700</v>
      </c>
      <c r="F46" s="95"/>
    </row>
    <row r="47" spans="1:6" ht="12.75" customHeight="1">
      <c r="A47" s="2562" t="s">
        <v>947</v>
      </c>
      <c r="B47" s="3226">
        <v>230</v>
      </c>
      <c r="C47" s="2581">
        <v>26</v>
      </c>
      <c r="D47" s="2581">
        <v>28</v>
      </c>
      <c r="E47" s="2581">
        <v>28</v>
      </c>
      <c r="F47" s="95"/>
    </row>
    <row r="48" spans="1:6" ht="12.75" customHeight="1">
      <c r="A48" s="2258" t="s">
        <v>4818</v>
      </c>
      <c r="B48" s="3228">
        <v>235</v>
      </c>
      <c r="C48" s="2582">
        <v>6130</v>
      </c>
      <c r="D48" s="2582">
        <v>2315</v>
      </c>
      <c r="E48" s="2582">
        <v>2315</v>
      </c>
      <c r="F48" s="95"/>
    </row>
    <row r="49" spans="1:6" ht="12.75" customHeight="1">
      <c r="A49" s="3221" t="s">
        <v>632</v>
      </c>
      <c r="B49" s="2577">
        <v>237</v>
      </c>
      <c r="C49" s="2582"/>
      <c r="D49" s="2582"/>
      <c r="E49" s="2582"/>
      <c r="F49" s="95"/>
    </row>
    <row r="50" spans="1:6" ht="12.75" customHeight="1">
      <c r="A50" s="2555" t="s">
        <v>950</v>
      </c>
      <c r="B50" s="2573"/>
      <c r="C50" s="2573"/>
      <c r="D50" s="2573"/>
      <c r="E50" s="2573"/>
      <c r="F50" s="95"/>
    </row>
    <row r="51" spans="1:6" ht="12.75" customHeight="1">
      <c r="A51" s="2562" t="s">
        <v>310</v>
      </c>
      <c r="B51" s="3226">
        <v>240</v>
      </c>
      <c r="C51" s="2581"/>
      <c r="D51" s="2581"/>
      <c r="E51" s="2581"/>
      <c r="F51" s="95"/>
    </row>
    <row r="52" spans="1:6" ht="12.75" customHeight="1">
      <c r="A52" s="2563" t="s">
        <v>311</v>
      </c>
      <c r="B52" s="3227">
        <v>245</v>
      </c>
      <c r="C52" s="2023"/>
      <c r="D52" s="2023"/>
      <c r="E52" s="2023"/>
      <c r="F52" s="95"/>
    </row>
    <row r="53" spans="1:6" ht="12.75" customHeight="1">
      <c r="A53" s="2562" t="s">
        <v>954</v>
      </c>
      <c r="B53" s="3226">
        <v>250</v>
      </c>
      <c r="C53" s="2581"/>
      <c r="D53" s="2581"/>
      <c r="E53" s="2581"/>
      <c r="F53" s="95"/>
    </row>
    <row r="54" spans="1:6" ht="12.75" customHeight="1">
      <c r="A54" s="2555" t="s">
        <v>955</v>
      </c>
      <c r="B54" s="2573"/>
      <c r="C54" s="2573"/>
      <c r="D54" s="2573"/>
      <c r="E54" s="2573"/>
      <c r="F54" s="95"/>
    </row>
    <row r="55" spans="1:6" ht="12.75" customHeight="1">
      <c r="A55" s="2259" t="s">
        <v>5150</v>
      </c>
      <c r="B55" s="3229">
        <v>255</v>
      </c>
      <c r="C55" s="3230"/>
      <c r="D55" s="3230"/>
      <c r="E55" s="3230"/>
      <c r="F55" s="95"/>
    </row>
    <row r="56" spans="1:6" ht="12.75" customHeight="1">
      <c r="A56" s="2258" t="s">
        <v>690</v>
      </c>
      <c r="B56" s="3228">
        <v>260</v>
      </c>
      <c r="C56" s="2582"/>
      <c r="D56" s="2582"/>
      <c r="E56" s="2582"/>
      <c r="F56" s="95"/>
    </row>
    <row r="57" spans="1:6" ht="12.75" customHeight="1">
      <c r="A57" s="2563" t="s">
        <v>958</v>
      </c>
      <c r="B57" s="3227">
        <v>265</v>
      </c>
      <c r="C57" s="2023"/>
      <c r="D57" s="2023"/>
      <c r="E57" s="2023">
        <v>879</v>
      </c>
      <c r="F57" s="95"/>
    </row>
    <row r="58" spans="1:6" ht="12.75" customHeight="1">
      <c r="A58" s="2563" t="s">
        <v>959</v>
      </c>
      <c r="B58" s="3227">
        <v>270</v>
      </c>
      <c r="C58" s="2023"/>
      <c r="D58" s="2023"/>
      <c r="E58" s="2023"/>
      <c r="F58" s="95"/>
    </row>
    <row r="59" spans="1:6" ht="12.75" customHeight="1">
      <c r="A59" s="2563" t="s">
        <v>960</v>
      </c>
      <c r="B59" s="3227">
        <v>275</v>
      </c>
      <c r="C59" s="2023"/>
      <c r="D59" s="2023"/>
      <c r="E59" s="2023">
        <v>7000</v>
      </c>
      <c r="F59" s="95"/>
    </row>
    <row r="60" spans="1:6" ht="12.75" customHeight="1">
      <c r="A60" s="2555" t="s">
        <v>963</v>
      </c>
      <c r="B60" s="2573"/>
      <c r="C60" s="2573"/>
      <c r="D60" s="2573"/>
      <c r="E60" s="2573"/>
      <c r="F60" s="95"/>
    </row>
    <row r="61" spans="1:6" ht="12.75" customHeight="1">
      <c r="A61" s="2556" t="s">
        <v>941</v>
      </c>
      <c r="B61" s="2574"/>
      <c r="C61" s="2574"/>
      <c r="D61" s="2574"/>
      <c r="E61" s="2574"/>
      <c r="F61" s="95"/>
    </row>
    <row r="62" spans="1:6" ht="12.75" customHeight="1">
      <c r="A62" s="2562" t="s">
        <v>942</v>
      </c>
      <c r="B62" s="3226">
        <v>280</v>
      </c>
      <c r="C62" s="2581"/>
      <c r="D62" s="2581"/>
      <c r="E62" s="2581"/>
      <c r="F62" s="95"/>
    </row>
    <row r="63" spans="1:6" ht="12.75" customHeight="1">
      <c r="A63" s="2563" t="s">
        <v>312</v>
      </c>
      <c r="B63" s="3227">
        <v>285</v>
      </c>
      <c r="C63" s="2023"/>
      <c r="D63" s="2023"/>
      <c r="E63" s="2023"/>
      <c r="F63" s="95"/>
    </row>
    <row r="64" spans="1:6" ht="12.75" customHeight="1">
      <c r="A64" s="2555" t="s">
        <v>944</v>
      </c>
      <c r="B64" s="2573"/>
      <c r="C64" s="2573"/>
      <c r="D64" s="2573"/>
      <c r="E64" s="2573"/>
      <c r="F64" s="95"/>
    </row>
    <row r="65" spans="1:6" ht="12.75" customHeight="1">
      <c r="A65" s="2562" t="s">
        <v>945</v>
      </c>
      <c r="B65" s="3226">
        <v>290</v>
      </c>
      <c r="C65" s="2581"/>
      <c r="D65" s="2581"/>
      <c r="E65" s="2581"/>
      <c r="F65" s="95"/>
    </row>
    <row r="66" spans="1:6" ht="12.75" customHeight="1">
      <c r="A66" s="2563" t="s">
        <v>946</v>
      </c>
      <c r="B66" s="3227">
        <v>295</v>
      </c>
      <c r="C66" s="2023"/>
      <c r="D66" s="2023"/>
      <c r="E66" s="2023"/>
      <c r="F66" s="95"/>
    </row>
    <row r="67" spans="1:6" ht="12.75" customHeight="1">
      <c r="A67" s="2563" t="s">
        <v>947</v>
      </c>
      <c r="B67" s="3227">
        <v>300</v>
      </c>
      <c r="C67" s="2023"/>
      <c r="D67" s="2023"/>
      <c r="E67" s="2023"/>
      <c r="F67" s="95"/>
    </row>
    <row r="68" spans="1:6" ht="12.75" customHeight="1">
      <c r="A68" s="2258" t="s">
        <v>4818</v>
      </c>
      <c r="B68" s="3228">
        <v>305</v>
      </c>
      <c r="C68" s="2582"/>
      <c r="D68" s="2582"/>
      <c r="E68" s="2582"/>
      <c r="F68" s="95"/>
    </row>
    <row r="69" spans="1:6" ht="12.75" customHeight="1">
      <c r="A69" s="4582" t="s">
        <v>968</v>
      </c>
      <c r="B69" s="2576">
        <v>307</v>
      </c>
      <c r="C69" s="2023"/>
      <c r="D69" s="2023"/>
      <c r="E69" s="2023"/>
      <c r="F69" s="95"/>
    </row>
    <row r="70" spans="1:6" ht="12.75" customHeight="1">
      <c r="A70" s="2563" t="s">
        <v>950</v>
      </c>
      <c r="B70" s="3227">
        <v>310</v>
      </c>
      <c r="C70" s="2023">
        <v>4857</v>
      </c>
      <c r="D70" s="2023"/>
      <c r="E70" s="2023"/>
      <c r="F70" s="95"/>
    </row>
    <row r="71" spans="1:6" ht="12.75" customHeight="1">
      <c r="A71" s="2563" t="s">
        <v>955</v>
      </c>
      <c r="B71" s="3227">
        <v>315</v>
      </c>
      <c r="C71" s="2023"/>
      <c r="D71" s="2023"/>
      <c r="E71" s="2023"/>
      <c r="F71" s="95"/>
    </row>
    <row r="72" spans="1:6" ht="12.75" customHeight="1">
      <c r="A72" s="2563" t="s">
        <v>959</v>
      </c>
      <c r="B72" s="3227">
        <v>320</v>
      </c>
      <c r="C72" s="2023"/>
      <c r="D72" s="2023"/>
      <c r="E72" s="2023"/>
      <c r="F72" s="95"/>
    </row>
    <row r="73" spans="1:6" ht="12.75" customHeight="1">
      <c r="A73" s="2563" t="s">
        <v>960</v>
      </c>
      <c r="B73" s="3227">
        <v>325</v>
      </c>
      <c r="C73" s="2023"/>
      <c r="D73" s="2023"/>
      <c r="E73" s="2023"/>
      <c r="F73" s="95"/>
    </row>
    <row r="74" spans="1:6" ht="12.75" customHeight="1">
      <c r="A74" s="2555" t="s">
        <v>1320</v>
      </c>
      <c r="B74" s="2573"/>
      <c r="C74" s="2573"/>
      <c r="D74" s="2573"/>
      <c r="E74" s="2573"/>
      <c r="F74" s="95"/>
    </row>
    <row r="75" spans="1:6" ht="12.75" customHeight="1">
      <c r="A75" s="2556" t="s">
        <v>941</v>
      </c>
      <c r="B75" s="2574"/>
      <c r="C75" s="2574"/>
      <c r="D75" s="2574"/>
      <c r="E75" s="2574"/>
      <c r="F75" s="95"/>
    </row>
    <row r="76" spans="1:6" ht="12.75" customHeight="1">
      <c r="A76" s="2562" t="s">
        <v>942</v>
      </c>
      <c r="B76" s="3226">
        <v>330</v>
      </c>
      <c r="C76" s="2581"/>
      <c r="D76" s="2581"/>
      <c r="E76" s="2581"/>
      <c r="F76" s="95"/>
    </row>
    <row r="77" spans="1:6" ht="12.75" customHeight="1">
      <c r="A77" s="2562" t="s">
        <v>313</v>
      </c>
      <c r="B77" s="3226">
        <v>335</v>
      </c>
      <c r="C77" s="2581"/>
      <c r="D77" s="2581"/>
      <c r="E77" s="2581"/>
      <c r="F77" s="95"/>
    </row>
    <row r="78" spans="1:6" ht="12.75" customHeight="1">
      <c r="A78" s="2555" t="s">
        <v>944</v>
      </c>
      <c r="B78" s="2573"/>
      <c r="C78" s="2573"/>
      <c r="D78" s="2573"/>
      <c r="E78" s="2573"/>
      <c r="F78" s="95"/>
    </row>
    <row r="79" spans="1:6" ht="12.75" customHeight="1">
      <c r="A79" s="2562" t="s">
        <v>295</v>
      </c>
      <c r="B79" s="3226">
        <v>340</v>
      </c>
      <c r="C79" s="2581"/>
      <c r="D79" s="2581"/>
      <c r="E79" s="2581"/>
      <c r="F79" s="95"/>
    </row>
    <row r="80" spans="1:6" ht="12.75" customHeight="1">
      <c r="A80" s="2563" t="s">
        <v>946</v>
      </c>
      <c r="B80" s="3227">
        <v>345</v>
      </c>
      <c r="C80" s="2023"/>
      <c r="D80" s="2023"/>
      <c r="E80" s="2023"/>
      <c r="F80" s="95"/>
    </row>
    <row r="81" spans="1:6" ht="12.75" customHeight="1">
      <c r="A81" s="2563" t="s">
        <v>947</v>
      </c>
      <c r="B81" s="3227">
        <v>350</v>
      </c>
      <c r="C81" s="2023"/>
      <c r="D81" s="2023"/>
      <c r="E81" s="2023"/>
      <c r="F81" s="95"/>
    </row>
    <row r="82" spans="1:6" ht="12.75" customHeight="1">
      <c r="A82" s="2258" t="s">
        <v>4818</v>
      </c>
      <c r="B82" s="3228">
        <v>355</v>
      </c>
      <c r="C82" s="2582"/>
      <c r="D82" s="2582"/>
      <c r="E82" s="2582"/>
      <c r="F82" s="95"/>
    </row>
    <row r="83" spans="1:6" ht="12.75" customHeight="1">
      <c r="A83" s="2563" t="s">
        <v>968</v>
      </c>
      <c r="B83" s="3227">
        <v>360</v>
      </c>
      <c r="C83" s="2023"/>
      <c r="D83" s="2023"/>
      <c r="E83" s="2023"/>
      <c r="F83" s="95"/>
    </row>
    <row r="84" spans="1:6" ht="12.75" customHeight="1">
      <c r="A84" s="2563" t="s">
        <v>950</v>
      </c>
      <c r="B84" s="3227">
        <v>365</v>
      </c>
      <c r="C84" s="2023"/>
      <c r="D84" s="2023"/>
      <c r="E84" s="2023"/>
      <c r="F84" s="95"/>
    </row>
    <row r="85" spans="1:6" ht="12.75" customHeight="1">
      <c r="A85" s="2563" t="s">
        <v>955</v>
      </c>
      <c r="B85" s="3227">
        <v>370</v>
      </c>
      <c r="C85" s="2023"/>
      <c r="D85" s="2023"/>
      <c r="E85" s="2023"/>
      <c r="F85" s="95"/>
    </row>
    <row r="86" spans="1:6" ht="12.75" customHeight="1">
      <c r="A86" s="2563" t="s">
        <v>959</v>
      </c>
      <c r="B86" s="3227">
        <v>375</v>
      </c>
      <c r="C86" s="2023"/>
      <c r="D86" s="2023"/>
      <c r="E86" s="2023"/>
      <c r="F86" s="95"/>
    </row>
    <row r="87" spans="1:6" ht="12.75" customHeight="1">
      <c r="A87" s="2258" t="s">
        <v>960</v>
      </c>
      <c r="B87" s="3227">
        <v>380</v>
      </c>
      <c r="C87" s="2582"/>
      <c r="D87" s="2023"/>
      <c r="E87" s="2023"/>
      <c r="F87" s="95"/>
    </row>
    <row r="88" spans="1:6" ht="12.75" customHeight="1">
      <c r="A88" s="2068" t="s">
        <v>1325</v>
      </c>
      <c r="B88" s="2092"/>
      <c r="C88" s="2092"/>
      <c r="D88" s="2092"/>
      <c r="E88" s="2092"/>
      <c r="F88" s="95"/>
    </row>
    <row r="89" spans="1:6" ht="12.75" customHeight="1">
      <c r="A89" s="2069" t="s">
        <v>1144</v>
      </c>
      <c r="B89" s="2093"/>
      <c r="C89" s="2093"/>
      <c r="D89" s="2093"/>
      <c r="E89" s="2093"/>
      <c r="F89" s="95"/>
    </row>
    <row r="90" spans="1:6" ht="12.75" customHeight="1">
      <c r="A90" s="2074" t="s">
        <v>1321</v>
      </c>
      <c r="B90" s="2094">
        <v>390</v>
      </c>
      <c r="C90" s="3215"/>
      <c r="D90" s="3214"/>
      <c r="E90" s="3215"/>
      <c r="F90" s="95"/>
    </row>
    <row r="91" spans="1:6" ht="12.75" customHeight="1">
      <c r="A91" s="2075" t="s">
        <v>1308</v>
      </c>
      <c r="B91" s="2095">
        <v>395</v>
      </c>
      <c r="C91" s="3215"/>
      <c r="D91" s="3216"/>
      <c r="E91" s="3216"/>
      <c r="F91" s="95"/>
    </row>
    <row r="92" spans="1:6" ht="12.75" customHeight="1">
      <c r="A92" s="2068" t="s">
        <v>794</v>
      </c>
      <c r="B92" s="2092"/>
      <c r="C92" s="2092"/>
      <c r="D92" s="2092"/>
      <c r="E92" s="2092"/>
      <c r="F92" s="95"/>
    </row>
    <row r="93" spans="1:6" ht="12.75" customHeight="1">
      <c r="A93" s="2074" t="s">
        <v>1323</v>
      </c>
      <c r="B93" s="2096">
        <v>400</v>
      </c>
      <c r="C93" s="3215"/>
      <c r="D93" s="3214"/>
      <c r="E93" s="3214"/>
      <c r="F93" s="95"/>
    </row>
    <row r="94" spans="1:6" ht="12.75" customHeight="1">
      <c r="A94" s="2075" t="s">
        <v>1322</v>
      </c>
      <c r="B94" s="2095">
        <v>405</v>
      </c>
      <c r="C94" s="3215"/>
      <c r="D94" s="3216"/>
      <c r="E94" s="3216"/>
      <c r="F94" s="95"/>
    </row>
    <row r="95" spans="1:6" ht="12.75" customHeight="1">
      <c r="A95" s="2075" t="s">
        <v>1324</v>
      </c>
      <c r="B95" s="2095">
        <v>410</v>
      </c>
      <c r="C95" s="3215"/>
      <c r="D95" s="3216"/>
      <c r="E95" s="3216"/>
      <c r="F95" s="95"/>
    </row>
    <row r="96" spans="1:6" ht="12.75" customHeight="1">
      <c r="A96" s="2258" t="s">
        <v>4818</v>
      </c>
      <c r="B96" s="2095">
        <v>415</v>
      </c>
      <c r="C96" s="3215"/>
      <c r="D96" s="3216"/>
      <c r="E96" s="3216"/>
      <c r="F96" s="95"/>
    </row>
    <row r="97" spans="1:7" ht="12.75" customHeight="1">
      <c r="A97" s="2075" t="s">
        <v>632</v>
      </c>
      <c r="B97" s="2095">
        <v>420</v>
      </c>
      <c r="C97" s="3215"/>
      <c r="D97" s="3216"/>
      <c r="E97" s="3216"/>
      <c r="F97" s="95"/>
    </row>
    <row r="98" spans="1:7" ht="12.75" customHeight="1">
      <c r="A98" s="2075" t="s">
        <v>610</v>
      </c>
      <c r="B98" s="2095">
        <v>425</v>
      </c>
      <c r="C98" s="3215"/>
      <c r="D98" s="3216"/>
      <c r="E98" s="3216"/>
      <c r="F98" s="95"/>
    </row>
    <row r="99" spans="1:7" ht="12.75" customHeight="1">
      <c r="A99" s="2075" t="s">
        <v>1313</v>
      </c>
      <c r="B99" s="2095">
        <v>430</v>
      </c>
      <c r="C99" s="3215"/>
      <c r="D99" s="3216"/>
      <c r="E99" s="3216"/>
      <c r="F99" s="95"/>
    </row>
    <row r="100" spans="1:7" ht="12.75" customHeight="1">
      <c r="A100" s="2075" t="s">
        <v>1314</v>
      </c>
      <c r="B100" s="2095">
        <v>435</v>
      </c>
      <c r="C100" s="3215"/>
      <c r="D100" s="3216"/>
      <c r="E100" s="3216"/>
      <c r="F100" s="95"/>
    </row>
    <row r="101" spans="1:7" ht="12.75" customHeight="1">
      <c r="A101" s="2075" t="s">
        <v>793</v>
      </c>
      <c r="B101" s="2095">
        <v>440</v>
      </c>
      <c r="C101" s="3215"/>
      <c r="D101" s="3216"/>
      <c r="E101" s="3216"/>
      <c r="F101" s="95"/>
    </row>
    <row r="102" spans="1:7" ht="12.75" customHeight="1">
      <c r="A102" s="1300" t="s">
        <v>5153</v>
      </c>
      <c r="B102" s="2578" t="s">
        <v>4906</v>
      </c>
      <c r="C102" s="1291">
        <f>SUM(C42:C101)</f>
        <v>51902</v>
      </c>
      <c r="D102" s="1291">
        <f>SUM(D42:D101)</f>
        <v>44701</v>
      </c>
      <c r="E102" s="1291">
        <f>SUM(E42:E101)</f>
        <v>55238</v>
      </c>
      <c r="F102" s="95"/>
    </row>
    <row r="103" spans="1:7" ht="12.75" customHeight="1">
      <c r="A103" s="6101" t="s">
        <v>4911</v>
      </c>
      <c r="B103" s="6101"/>
      <c r="C103" s="6101"/>
      <c r="D103" s="6101"/>
      <c r="E103" s="6101"/>
      <c r="F103" s="95"/>
      <c r="G103" s="423"/>
    </row>
    <row r="104" spans="1:7" ht="12.75" customHeight="1">
      <c r="A104" s="2864"/>
      <c r="B104" s="1273"/>
      <c r="C104" s="1292"/>
      <c r="D104" s="1292"/>
      <c r="E104" s="1292"/>
      <c r="F104" s="95"/>
      <c r="G104" s="423"/>
    </row>
    <row r="105" spans="1:7" ht="12.75" customHeight="1">
      <c r="A105" s="95"/>
      <c r="B105" s="1270"/>
      <c r="C105" s="1270"/>
      <c r="D105" s="1270"/>
      <c r="E105" s="1270"/>
      <c r="F105" s="95"/>
    </row>
    <row r="106" spans="1:7" ht="12.75" customHeight="1">
      <c r="A106" s="95"/>
      <c r="B106" s="1270"/>
      <c r="C106" s="1270"/>
      <c r="D106" s="1270"/>
      <c r="E106" s="1270"/>
      <c r="F106" s="95"/>
    </row>
    <row r="107" spans="1:7" ht="12.75" customHeight="1">
      <c r="A107" s="95"/>
      <c r="B107" s="1273"/>
      <c r="C107" s="1270"/>
      <c r="D107" s="1270"/>
      <c r="E107" s="1270"/>
      <c r="F107" s="95"/>
    </row>
    <row r="108" spans="1:7" ht="12.75" customHeight="1">
      <c r="A108" s="95"/>
      <c r="B108" s="1273"/>
      <c r="C108" s="1270"/>
      <c r="D108" s="1270"/>
      <c r="E108" s="1270"/>
      <c r="F108" s="95"/>
    </row>
    <row r="109" spans="1:7" ht="12.75" customHeight="1">
      <c r="A109" s="95"/>
      <c r="B109" s="1273"/>
      <c r="C109" s="1270"/>
      <c r="D109" s="1270"/>
      <c r="E109" s="1270"/>
      <c r="F109" s="95"/>
    </row>
    <row r="110" spans="1:7" ht="12.75" customHeight="1">
      <c r="A110" s="95"/>
      <c r="B110" s="1273"/>
      <c r="C110" s="1270"/>
      <c r="D110" s="1270"/>
      <c r="E110" s="1270"/>
      <c r="F110" s="95"/>
    </row>
    <row r="111" spans="1:7" ht="12.75" customHeight="1">
      <c r="F111" s="95"/>
    </row>
    <row r="112" spans="1:7" ht="12.75" customHeight="1">
      <c r="F112" s="95"/>
    </row>
  </sheetData>
  <sheetProtection algorithmName="SHA-512" hashValue="IpLmwiMTD6fjiqO7gYRYf3qNNbUGASDBatSfdrTibi1NmvTg9winN3cfu7mt8E0MD3uOFJ1w9szWURijjUJfbQ==" saltValue="/x4Gqi1glZsr8wLPU3vOMQ==" spinCount="100000" sheet="1" objects="1" scenarios="1"/>
  <mergeCells count="5">
    <mergeCell ref="D1:E1"/>
    <mergeCell ref="D2:E2"/>
    <mergeCell ref="D29:E29"/>
    <mergeCell ref="D30:E30"/>
    <mergeCell ref="A103:E103"/>
  </mergeCells>
  <phoneticPr fontId="13" type="noConversion"/>
  <dataValidations count="3">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E18 C20:E20 C45:E49 C51:E53 C55:E59 C62:E63 C65:E73 C76:E77 C42:E43 C79:E87 C10:D10 C14:E14 E15:E16 C16:D16">
      <formula1>0</formula1>
    </dataValidation>
    <dataValidation type="whole" operator="greaterThanOrEqual" showInputMessage="1" showErrorMessage="1" errorTitle="Invalid Data Entry" error="Please enter a positive number or press the delete key or enter a zero." sqref="C90:E91 C93:E101 D15">
      <formula1>0</formula1>
    </dataValidation>
  </dataValidations>
  <hyperlinks>
    <hyperlink ref="G1" location="Contents!F1" display="Return to Contents page"/>
  </hyperlinks>
  <printOptions horizontalCentered="1"/>
  <pageMargins left="0.75" right="0.75" top="0.5" bottom="0.5" header="0.3" footer="0.3"/>
  <pageSetup scale="86" fitToHeight="0" orientation="portrait" blackAndWhite="1" r:id="rId1"/>
  <headerFooter scaleWithDoc="0">
    <oddFooter>&amp;L&amp;"Open Sans Light,Regular"&amp;8&amp;D    &amp;T&amp;C&amp;"Open Sans Light,Regular"&amp;8Page &amp;P&amp;R&amp;"Open Sans Light,Regular"&amp;8&amp;A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sheetPr>
  <dimension ref="A1:Y174"/>
  <sheetViews>
    <sheetView showGridLines="0" zoomScaleNormal="100" zoomScaleSheetLayoutView="100" workbookViewId="0">
      <pane ySplit="8" topLeftCell="A99" activePane="bottomLeft" state="frozen"/>
      <selection activeCell="B22" sqref="B22"/>
      <selection pane="bottomLeft" activeCell="B22" sqref="B22"/>
    </sheetView>
  </sheetViews>
  <sheetFormatPr defaultColWidth="10.6640625" defaultRowHeight="12.75" customHeight="1"/>
  <cols>
    <col min="1" max="1" width="40.6640625" style="101" customWidth="1"/>
    <col min="2" max="2" width="4.88671875" style="1328" customWidth="1"/>
    <col min="3" max="5" width="14.33203125" style="1329" customWidth="1"/>
    <col min="6" max="6" width="2.33203125" style="101" customWidth="1"/>
    <col min="7" max="7" width="21" style="101" customWidth="1"/>
    <col min="8" max="25" width="10.6640625" style="101"/>
    <col min="26" max="16384" width="10.6640625" style="100"/>
  </cols>
  <sheetData>
    <row r="1" spans="1:17" ht="12.75" customHeight="1">
      <c r="A1" s="1304" t="s">
        <v>809</v>
      </c>
      <c r="B1" s="1301">
        <f>OPEN!B4</f>
        <v>237</v>
      </c>
      <c r="C1" s="1302"/>
      <c r="D1" s="6135" t="s">
        <v>836</v>
      </c>
      <c r="E1" s="6135"/>
      <c r="F1" s="99"/>
      <c r="G1" s="304" t="s">
        <v>754</v>
      </c>
    </row>
    <row r="2" spans="1:17" ht="12.75" customHeight="1">
      <c r="A2" s="1302"/>
      <c r="B2" s="1303"/>
      <c r="C2" s="1302"/>
      <c r="D2" s="6135" t="s">
        <v>921</v>
      </c>
      <c r="E2" s="6135"/>
      <c r="F2" s="99"/>
    </row>
    <row r="3" spans="1:17" ht="12.75" customHeight="1">
      <c r="A3" s="1302"/>
      <c r="B3" s="1303"/>
      <c r="C3" s="1302"/>
      <c r="D3" s="1302"/>
      <c r="E3" s="1304" t="str">
        <f>OpenData!N2</f>
        <v>2021-2022</v>
      </c>
      <c r="F3" s="99"/>
    </row>
    <row r="4" spans="1:17" ht="12.75" customHeight="1">
      <c r="A4" s="1302"/>
      <c r="B4" s="1303"/>
      <c r="C4" s="1302"/>
      <c r="D4" s="1302"/>
      <c r="E4" s="1302"/>
      <c r="F4" s="99"/>
    </row>
    <row r="5" spans="1:17" ht="12.75" customHeight="1">
      <c r="A5" s="1302"/>
      <c r="B5" s="1303"/>
      <c r="C5" s="1305" t="s">
        <v>922</v>
      </c>
      <c r="D5" s="1305" t="s">
        <v>922</v>
      </c>
      <c r="E5" s="1305" t="s">
        <v>922</v>
      </c>
      <c r="F5" s="99"/>
    </row>
    <row r="6" spans="1:17" ht="12.75" customHeight="1">
      <c r="A6" s="1330"/>
      <c r="B6" s="1306" t="s">
        <v>854</v>
      </c>
      <c r="C6" s="1307" t="str">
        <f>OpenData!N4</f>
        <v>2019-2020</v>
      </c>
      <c r="D6" s="1307" t="str">
        <f>OpenData!O4</f>
        <v>2020-2021</v>
      </c>
      <c r="E6" s="1307" t="str">
        <f>OpenData!P4</f>
        <v>2021-2022</v>
      </c>
      <c r="F6" s="99"/>
      <c r="N6" s="102"/>
    </row>
    <row r="7" spans="1:17" ht="12.75" customHeight="1">
      <c r="A7" s="1330" t="s">
        <v>314</v>
      </c>
      <c r="B7" s="1308">
        <v>29</v>
      </c>
      <c r="C7" s="1309" t="s">
        <v>893</v>
      </c>
      <c r="D7" s="1309" t="s">
        <v>893</v>
      </c>
      <c r="E7" s="1309" t="s">
        <v>923</v>
      </c>
      <c r="F7" s="99"/>
      <c r="O7" s="103"/>
      <c r="P7" s="103"/>
      <c r="Q7" s="103"/>
    </row>
    <row r="8" spans="1:17" ht="12.75" customHeight="1">
      <c r="A8" s="1331"/>
      <c r="B8" s="1310" t="s">
        <v>858</v>
      </c>
      <c r="C8" s="1311">
        <v>1</v>
      </c>
      <c r="D8" s="1311">
        <v>2</v>
      </c>
      <c r="E8" s="1311">
        <v>3</v>
      </c>
      <c r="F8" s="99"/>
      <c r="O8" s="103"/>
      <c r="P8" s="103"/>
      <c r="Q8" s="103"/>
    </row>
    <row r="9" spans="1:17" ht="12.75" customHeight="1">
      <c r="A9" s="1332" t="s">
        <v>1043</v>
      </c>
      <c r="B9" s="1312">
        <v>1</v>
      </c>
      <c r="C9" s="1313"/>
      <c r="D9" s="1314">
        <f>C29</f>
        <v>0</v>
      </c>
      <c r="E9" s="1315">
        <f>D29</f>
        <v>0</v>
      </c>
      <c r="F9" s="99"/>
      <c r="O9" s="103"/>
      <c r="P9" s="103"/>
      <c r="Q9" s="103"/>
    </row>
    <row r="10" spans="1:17" ht="12.75" customHeight="1">
      <c r="A10" s="3974" t="s">
        <v>4940</v>
      </c>
      <c r="B10" s="1316">
        <v>3</v>
      </c>
      <c r="C10" s="1317"/>
      <c r="D10" s="1318"/>
      <c r="E10" s="4306"/>
      <c r="F10" s="99"/>
      <c r="O10" s="103"/>
      <c r="P10" s="103"/>
      <c r="Q10" s="103"/>
    </row>
    <row r="11" spans="1:17" ht="12.75" customHeight="1">
      <c r="A11" s="2264"/>
      <c r="B11" s="4301"/>
      <c r="C11" s="4301"/>
      <c r="D11" s="4301"/>
      <c r="E11" s="4305"/>
      <c r="F11" s="99"/>
      <c r="O11" s="103"/>
      <c r="P11" s="103"/>
      <c r="Q11" s="103"/>
    </row>
    <row r="12" spans="1:17" ht="12.75" customHeight="1">
      <c r="A12" s="4302" t="s">
        <v>4767</v>
      </c>
      <c r="B12" s="4303"/>
      <c r="C12" s="4303"/>
      <c r="D12" s="4303"/>
      <c r="E12" s="4304"/>
      <c r="F12" s="99"/>
      <c r="O12" s="103"/>
      <c r="P12" s="103"/>
      <c r="Q12" s="103"/>
    </row>
    <row r="13" spans="1:17" ht="12.75" customHeight="1">
      <c r="A13" s="3188" t="s">
        <v>13</v>
      </c>
      <c r="B13" s="3197"/>
      <c r="C13" s="3197"/>
      <c r="D13" s="3197"/>
      <c r="E13" s="3197"/>
      <c r="F13" s="99"/>
      <c r="O13" s="103"/>
      <c r="P13" s="103"/>
      <c r="Q13" s="103"/>
    </row>
    <row r="14" spans="1:17" ht="12.75" customHeight="1">
      <c r="A14" s="3188" t="s">
        <v>53</v>
      </c>
      <c r="B14" s="3197"/>
      <c r="C14" s="3197"/>
      <c r="D14" s="3197"/>
      <c r="E14" s="3197"/>
      <c r="F14" s="99"/>
    </row>
    <row r="15" spans="1:17" ht="12.75" customHeight="1">
      <c r="A15" s="3194" t="s">
        <v>315</v>
      </c>
      <c r="B15" s="3208">
        <v>5</v>
      </c>
      <c r="C15" s="3199"/>
      <c r="D15" s="3199"/>
      <c r="E15" s="3199"/>
      <c r="F15" s="99"/>
      <c r="N15" s="102"/>
    </row>
    <row r="16" spans="1:17" ht="12.75" customHeight="1">
      <c r="A16" s="3194" t="s">
        <v>316</v>
      </c>
      <c r="B16" s="3209">
        <v>10</v>
      </c>
      <c r="C16" s="2054"/>
      <c r="D16" s="2054"/>
      <c r="E16" s="2054"/>
      <c r="F16" s="99"/>
      <c r="O16" s="105"/>
      <c r="P16" s="105"/>
      <c r="Q16" s="105"/>
    </row>
    <row r="17" spans="1:25" ht="12.75" customHeight="1">
      <c r="A17" s="3194" t="s">
        <v>317</v>
      </c>
      <c r="B17" s="3208">
        <v>15</v>
      </c>
      <c r="C17" s="3199"/>
      <c r="D17" s="3199"/>
      <c r="E17" s="3199"/>
      <c r="F17" s="99"/>
      <c r="O17" s="105"/>
      <c r="P17" s="105"/>
      <c r="Q17" s="105"/>
    </row>
    <row r="18" spans="1:25" ht="12.75" customHeight="1">
      <c r="A18" s="2261" t="s">
        <v>332</v>
      </c>
      <c r="B18" s="3210">
        <v>20</v>
      </c>
      <c r="C18" s="3218"/>
      <c r="D18" s="3218"/>
      <c r="E18" s="3211"/>
      <c r="F18" s="99"/>
      <c r="O18" s="105"/>
      <c r="P18" s="105"/>
      <c r="Q18" s="105"/>
    </row>
    <row r="19" spans="1:25" ht="12.75" customHeight="1">
      <c r="A19" s="2261" t="s">
        <v>1084</v>
      </c>
      <c r="B19" s="3210">
        <v>25</v>
      </c>
      <c r="C19" s="3211"/>
      <c r="D19" s="3211"/>
      <c r="E19" s="3211"/>
      <c r="F19" s="99"/>
      <c r="O19" s="105"/>
      <c r="P19" s="105"/>
      <c r="Q19" s="105"/>
    </row>
    <row r="20" spans="1:25" ht="12.75" customHeight="1">
      <c r="A20" s="2264" t="s">
        <v>273</v>
      </c>
      <c r="B20" s="3196"/>
      <c r="C20" s="3196"/>
      <c r="D20" s="3196"/>
      <c r="E20" s="3196"/>
      <c r="F20" s="99"/>
      <c r="O20" s="105"/>
      <c r="P20" s="105"/>
      <c r="Q20" s="105"/>
    </row>
    <row r="21" spans="1:25" ht="12.75" customHeight="1">
      <c r="A21" s="2844" t="s">
        <v>1138</v>
      </c>
      <c r="B21" s="3208">
        <v>30</v>
      </c>
      <c r="C21" s="3219"/>
      <c r="D21" s="3219"/>
      <c r="E21" s="3219"/>
      <c r="F21" s="99"/>
      <c r="O21" s="105"/>
      <c r="P21" s="105"/>
      <c r="Q21" s="105"/>
    </row>
    <row r="22" spans="1:25" ht="12.75" customHeight="1">
      <c r="A22" s="3194" t="s">
        <v>872</v>
      </c>
      <c r="B22" s="3208">
        <v>35</v>
      </c>
      <c r="C22" s="3199"/>
      <c r="D22" s="3199"/>
      <c r="E22" s="3199"/>
      <c r="F22" s="99"/>
    </row>
    <row r="23" spans="1:25" ht="12.75" customHeight="1">
      <c r="A23" s="2264" t="s">
        <v>58</v>
      </c>
      <c r="B23" s="3196"/>
      <c r="C23" s="3196"/>
      <c r="D23" s="3196"/>
      <c r="E23" s="3196"/>
      <c r="F23" s="99"/>
      <c r="O23" s="105"/>
      <c r="P23" s="105"/>
      <c r="Q23" s="105"/>
    </row>
    <row r="24" spans="1:25" ht="12.75" customHeight="1">
      <c r="A24" s="1332" t="s">
        <v>333</v>
      </c>
      <c r="B24" s="1312">
        <v>40</v>
      </c>
      <c r="C24" s="1320">
        <f>'C06'!$C$275</f>
        <v>0</v>
      </c>
      <c r="D24" s="1321">
        <f>'C06'!$D$275</f>
        <v>0</v>
      </c>
      <c r="E24" s="1320">
        <f>'C06'!$E$275</f>
        <v>0</v>
      </c>
      <c r="F24" s="99"/>
      <c r="G24" s="700"/>
    </row>
    <row r="25" spans="1:25" ht="12.75" customHeight="1">
      <c r="A25" s="1332" t="s">
        <v>932</v>
      </c>
      <c r="B25" s="1312">
        <v>45</v>
      </c>
      <c r="C25" s="1320">
        <f>'C08'!$C$280</f>
        <v>0</v>
      </c>
      <c r="D25" s="1321">
        <f>'C08'!$D$280</f>
        <v>0</v>
      </c>
      <c r="E25" s="1320">
        <f>'C08'!$E$280</f>
        <v>0</v>
      </c>
      <c r="F25" s="99"/>
    </row>
    <row r="26" spans="1:25" ht="12.75" customHeight="1">
      <c r="A26" s="1333" t="s">
        <v>41</v>
      </c>
      <c r="B26" s="1319">
        <v>50</v>
      </c>
      <c r="C26" s="1322">
        <f>'C053'!$D$237</f>
        <v>0</v>
      </c>
      <c r="D26" s="1323">
        <f>'C053'!$D$237</f>
        <v>0</v>
      </c>
      <c r="E26" s="3810" t="s">
        <v>4905</v>
      </c>
      <c r="F26" s="99"/>
    </row>
    <row r="27" spans="1:25" ht="12.75" customHeight="1">
      <c r="A27" s="1334" t="s">
        <v>42</v>
      </c>
      <c r="B27" s="4585">
        <v>170</v>
      </c>
      <c r="C27" s="1315">
        <f>SUM(C9:C26)</f>
        <v>0</v>
      </c>
      <c r="D27" s="1314">
        <f>SUM(D9:D26)</f>
        <v>0</v>
      </c>
      <c r="E27" s="4307">
        <f>SUM(E9:E26)</f>
        <v>0</v>
      </c>
      <c r="F27" s="99"/>
    </row>
    <row r="28" spans="1:25" ht="12.75" customHeight="1">
      <c r="A28" s="1332" t="s">
        <v>43</v>
      </c>
      <c r="B28" s="1312">
        <v>175</v>
      </c>
      <c r="C28" s="1320">
        <f>C169</f>
        <v>0</v>
      </c>
      <c r="D28" s="1321">
        <f>D169</f>
        <v>0</v>
      </c>
      <c r="E28" s="1320">
        <f>IF((E169&lt;=E27),E169,"ERROR")</f>
        <v>0</v>
      </c>
      <c r="F28" s="99"/>
      <c r="G28" s="328" t="str">
        <f>IF(E28="ERROR","Expenditures must be less than or equal to the Resources Available","")</f>
        <v/>
      </c>
      <c r="H28" s="701"/>
    </row>
    <row r="29" spans="1:25" ht="12.75" customHeight="1">
      <c r="A29" s="4308" t="s">
        <v>247</v>
      </c>
      <c r="B29" s="4309">
        <v>190</v>
      </c>
      <c r="C29" s="4306">
        <f>SUM(C27-C28)</f>
        <v>0</v>
      </c>
      <c r="D29" s="4310">
        <f>SUM(D27-D28)</f>
        <v>0</v>
      </c>
      <c r="E29" s="4311">
        <f>IF(ISERROR(E27-E28),"NEGATIVE",E27-E28)</f>
        <v>0</v>
      </c>
      <c r="F29" s="99"/>
      <c r="G29" s="422"/>
      <c r="H29" s="701"/>
    </row>
    <row r="30" spans="1:25" ht="12.75" customHeight="1">
      <c r="A30" s="4312"/>
      <c r="B30" s="4313"/>
      <c r="C30" s="4314"/>
      <c r="D30" s="4314"/>
      <c r="E30" s="4315"/>
      <c r="F30" s="99"/>
      <c r="G30" s="422"/>
      <c r="H30" s="701"/>
    </row>
    <row r="31" spans="1:25" s="3779" customFormat="1" ht="12.75" customHeight="1">
      <c r="A31" s="3772" t="str">
        <f>A1</f>
        <v>USD #</v>
      </c>
      <c r="B31" s="3773">
        <f>B1</f>
        <v>237</v>
      </c>
      <c r="C31" s="3774"/>
      <c r="D31" s="6136" t="str">
        <f>D1</f>
        <v>STATE OF KANSAS</v>
      </c>
      <c r="E31" s="6136"/>
      <c r="F31" s="3775"/>
      <c r="G31" s="3776"/>
      <c r="H31" s="3777"/>
      <c r="I31" s="3778"/>
      <c r="J31" s="3778"/>
      <c r="K31" s="3778"/>
      <c r="L31" s="3778"/>
      <c r="M31" s="3778"/>
      <c r="N31" s="3778"/>
      <c r="O31" s="3778"/>
      <c r="P31" s="3778"/>
      <c r="Q31" s="3778"/>
      <c r="R31" s="3778"/>
      <c r="S31" s="3778"/>
      <c r="T31" s="3778"/>
      <c r="U31" s="3778"/>
      <c r="V31" s="3778"/>
      <c r="W31" s="3778"/>
      <c r="X31" s="3778"/>
      <c r="Y31" s="3778"/>
    </row>
    <row r="32" spans="1:25" ht="12.75" customHeight="1">
      <c r="A32" s="1324"/>
      <c r="B32" s="1326"/>
      <c r="C32" s="1325"/>
      <c r="D32" s="6137" t="str">
        <f>D2</f>
        <v>Budget Form USD-E</v>
      </c>
      <c r="E32" s="6137"/>
      <c r="F32" s="99"/>
      <c r="G32" s="422"/>
      <c r="H32" s="701"/>
    </row>
    <row r="33" spans="1:25" ht="12.75" customHeight="1">
      <c r="A33" s="1324"/>
      <c r="B33" s="1326"/>
      <c r="C33" s="1325"/>
      <c r="D33" s="1325"/>
      <c r="E33" s="1327" t="str">
        <f>E3</f>
        <v>2021-2022</v>
      </c>
      <c r="F33" s="99"/>
      <c r="G33" s="701"/>
      <c r="H33" s="701"/>
    </row>
    <row r="34" spans="1:25" s="104" customFormat="1" ht="12.75" customHeight="1">
      <c r="A34" s="936"/>
      <c r="B34" s="936"/>
      <c r="C34" s="936"/>
      <c r="D34" s="936"/>
      <c r="E34" s="936"/>
      <c r="F34" s="99"/>
      <c r="G34" s="99"/>
      <c r="H34" s="99"/>
      <c r="I34" s="99"/>
      <c r="J34" s="99"/>
      <c r="K34" s="99"/>
      <c r="L34" s="99"/>
      <c r="M34" s="99"/>
      <c r="N34" s="99"/>
      <c r="O34" s="99"/>
      <c r="P34" s="99"/>
      <c r="Q34" s="99"/>
      <c r="R34" s="99"/>
      <c r="S34" s="99"/>
      <c r="T34" s="99"/>
      <c r="U34" s="99"/>
      <c r="V34" s="99"/>
      <c r="W34" s="99"/>
      <c r="X34" s="99"/>
      <c r="Y34" s="99"/>
    </row>
    <row r="35" spans="1:25" ht="12.75" customHeight="1">
      <c r="A35" s="1302"/>
      <c r="B35" s="1303"/>
      <c r="C35" s="1305" t="s">
        <v>922</v>
      </c>
      <c r="D35" s="1305" t="s">
        <v>922</v>
      </c>
      <c r="E35" s="1305" t="s">
        <v>922</v>
      </c>
      <c r="F35" s="106"/>
    </row>
    <row r="36" spans="1:25" ht="12.75" customHeight="1">
      <c r="A36" s="1330"/>
      <c r="B36" s="1306" t="s">
        <v>854</v>
      </c>
      <c r="C36" s="1307" t="str">
        <f>C6</f>
        <v>2019-2020</v>
      </c>
      <c r="D36" s="1307" t="str">
        <f>D6</f>
        <v>2020-2021</v>
      </c>
      <c r="E36" s="1307" t="str">
        <f>E6</f>
        <v>2021-2022</v>
      </c>
      <c r="F36" s="106"/>
    </row>
    <row r="37" spans="1:25" ht="12.75" customHeight="1">
      <c r="A37" s="1330" t="str">
        <f>A7</f>
        <v>SUMMER SCHOOL</v>
      </c>
      <c r="B37" s="1308">
        <v>29</v>
      </c>
      <c r="C37" s="1309" t="s">
        <v>893</v>
      </c>
      <c r="D37" s="1309" t="s">
        <v>893</v>
      </c>
      <c r="E37" s="1309" t="s">
        <v>923</v>
      </c>
      <c r="F37" s="106"/>
    </row>
    <row r="38" spans="1:25" ht="12.75" customHeight="1">
      <c r="A38" s="4316"/>
      <c r="B38" s="1308" t="s">
        <v>858</v>
      </c>
      <c r="C38" s="4317">
        <v>1</v>
      </c>
      <c r="D38" s="4317">
        <v>2</v>
      </c>
      <c r="E38" s="4317">
        <v>3</v>
      </c>
      <c r="F38" s="106"/>
    </row>
    <row r="39" spans="1:25" ht="12.75" customHeight="1">
      <c r="A39" s="3186"/>
      <c r="B39" s="4318"/>
      <c r="C39" s="4319"/>
      <c r="D39" s="4319"/>
      <c r="E39" s="4320"/>
      <c r="F39" s="106"/>
    </row>
    <row r="40" spans="1:25" ht="12.75" customHeight="1">
      <c r="A40" s="4321" t="s">
        <v>60</v>
      </c>
      <c r="B40" s="4322"/>
      <c r="C40" s="4322"/>
      <c r="D40" s="4322"/>
      <c r="E40" s="4323"/>
      <c r="F40" s="106"/>
    </row>
    <row r="41" spans="1:25" ht="12.75" customHeight="1">
      <c r="A41" s="3188" t="s">
        <v>61</v>
      </c>
      <c r="B41" s="3197"/>
      <c r="C41" s="3197"/>
      <c r="D41" s="3197"/>
      <c r="E41" s="3197"/>
      <c r="F41" s="106"/>
    </row>
    <row r="42" spans="1:25" ht="12.75" customHeight="1">
      <c r="A42" s="3188" t="s">
        <v>972</v>
      </c>
      <c r="B42" s="3197"/>
      <c r="C42" s="3197"/>
      <c r="D42" s="3197"/>
      <c r="E42" s="3197"/>
      <c r="F42" s="106"/>
    </row>
    <row r="43" spans="1:25" ht="12.75" customHeight="1">
      <c r="A43" s="3189" t="s">
        <v>999</v>
      </c>
      <c r="B43" s="3198">
        <v>210</v>
      </c>
      <c r="C43" s="3199"/>
      <c r="D43" s="3199"/>
      <c r="E43" s="3199"/>
      <c r="F43" s="106"/>
    </row>
    <row r="44" spans="1:25" ht="12.75" customHeight="1">
      <c r="A44" s="3190" t="s">
        <v>943</v>
      </c>
      <c r="B44" s="3200">
        <v>215</v>
      </c>
      <c r="C44" s="2054"/>
      <c r="D44" s="2054"/>
      <c r="E44" s="2054"/>
      <c r="F44" s="106"/>
    </row>
    <row r="45" spans="1:25" ht="12.75" customHeight="1">
      <c r="A45" s="3186" t="s">
        <v>973</v>
      </c>
      <c r="B45" s="3201"/>
      <c r="C45" s="3201"/>
      <c r="D45" s="3201"/>
      <c r="E45" s="3201"/>
      <c r="F45" s="106"/>
    </row>
    <row r="46" spans="1:25" ht="12.75" customHeight="1">
      <c r="A46" s="3189" t="s">
        <v>974</v>
      </c>
      <c r="B46" s="3198">
        <v>220</v>
      </c>
      <c r="C46" s="3199"/>
      <c r="D46" s="3199"/>
      <c r="E46" s="3199"/>
      <c r="F46" s="106"/>
    </row>
    <row r="47" spans="1:25" ht="12.75" customHeight="1">
      <c r="A47" s="3190" t="s">
        <v>977</v>
      </c>
      <c r="B47" s="3200">
        <v>225</v>
      </c>
      <c r="C47" s="2054"/>
      <c r="D47" s="2054"/>
      <c r="E47" s="2054"/>
      <c r="F47" s="106"/>
    </row>
    <row r="48" spans="1:25" ht="12.75" customHeight="1">
      <c r="A48" s="3190" t="s">
        <v>978</v>
      </c>
      <c r="B48" s="3200">
        <v>230</v>
      </c>
      <c r="C48" s="2054"/>
      <c r="D48" s="2054"/>
      <c r="E48" s="2054"/>
      <c r="F48" s="106"/>
    </row>
    <row r="49" spans="1:6" ht="12.75" customHeight="1">
      <c r="A49" s="3189" t="s">
        <v>4818</v>
      </c>
      <c r="B49" s="3198">
        <v>235</v>
      </c>
      <c r="C49" s="3199"/>
      <c r="D49" s="3199"/>
      <c r="E49" s="3199"/>
      <c r="F49" s="106"/>
    </row>
    <row r="50" spans="1:6" ht="12.75" customHeight="1">
      <c r="A50" s="3191" t="s">
        <v>632</v>
      </c>
      <c r="B50" s="3202">
        <v>237</v>
      </c>
      <c r="C50" s="3203"/>
      <c r="D50" s="3203"/>
      <c r="E50" s="3203"/>
      <c r="F50" s="106"/>
    </row>
    <row r="51" spans="1:6" ht="12.75" customHeight="1">
      <c r="A51" s="3186" t="s">
        <v>986</v>
      </c>
      <c r="B51" s="3201"/>
      <c r="C51" s="3201"/>
      <c r="D51" s="3201"/>
      <c r="E51" s="3201"/>
      <c r="F51" s="106"/>
    </row>
    <row r="52" spans="1:6" ht="12.75" customHeight="1">
      <c r="A52" s="3187" t="s">
        <v>62</v>
      </c>
      <c r="B52" s="3204"/>
      <c r="C52" s="3204"/>
      <c r="D52" s="3204"/>
      <c r="E52" s="3204"/>
      <c r="F52" s="106"/>
    </row>
    <row r="53" spans="1:6" ht="12.75" customHeight="1">
      <c r="A53" s="3189" t="s">
        <v>74</v>
      </c>
      <c r="B53" s="3198">
        <v>240</v>
      </c>
      <c r="C53" s="3199"/>
      <c r="D53" s="3199"/>
      <c r="E53" s="3199"/>
      <c r="F53" s="106"/>
    </row>
    <row r="54" spans="1:6" ht="12.75" customHeight="1">
      <c r="A54" s="3189" t="s">
        <v>334</v>
      </c>
      <c r="B54" s="3198">
        <v>245</v>
      </c>
      <c r="C54" s="3199"/>
      <c r="D54" s="3199"/>
      <c r="E54" s="3199"/>
      <c r="F54" s="106"/>
    </row>
    <row r="55" spans="1:6" ht="12.75" customHeight="1">
      <c r="A55" s="3190" t="s">
        <v>75</v>
      </c>
      <c r="B55" s="3200">
        <v>250</v>
      </c>
      <c r="C55" s="2054"/>
      <c r="D55" s="2054"/>
      <c r="E55" s="2054"/>
      <c r="F55" s="106"/>
    </row>
    <row r="56" spans="1:6" ht="12.75" customHeight="1">
      <c r="A56" s="3190" t="s">
        <v>988</v>
      </c>
      <c r="B56" s="3200">
        <v>255</v>
      </c>
      <c r="C56" s="2054"/>
      <c r="D56" s="2054"/>
      <c r="E56" s="2054"/>
      <c r="F56" s="106"/>
    </row>
    <row r="57" spans="1:6" ht="12.75" customHeight="1">
      <c r="A57" s="3186" t="s">
        <v>989</v>
      </c>
      <c r="B57" s="3201"/>
      <c r="C57" s="3201"/>
      <c r="D57" s="3201"/>
      <c r="E57" s="3201"/>
      <c r="F57" s="106"/>
    </row>
    <row r="58" spans="1:6" ht="12.75" customHeight="1">
      <c r="A58" s="3189" t="s">
        <v>769</v>
      </c>
      <c r="B58" s="3198">
        <v>260</v>
      </c>
      <c r="C58" s="3199"/>
      <c r="D58" s="3199"/>
      <c r="E58" s="3199"/>
      <c r="F58" s="106"/>
    </row>
    <row r="59" spans="1:6" ht="12.75" customHeight="1">
      <c r="A59" s="3190" t="s">
        <v>64</v>
      </c>
      <c r="B59" s="3200">
        <v>265</v>
      </c>
      <c r="C59" s="2054"/>
      <c r="D59" s="2054"/>
      <c r="E59" s="2054"/>
      <c r="F59" s="106"/>
    </row>
    <row r="60" spans="1:6" ht="12.75" customHeight="1">
      <c r="A60" s="3192" t="s">
        <v>936</v>
      </c>
      <c r="B60" s="3205">
        <v>267</v>
      </c>
      <c r="C60" s="2054"/>
      <c r="D60" s="2054"/>
      <c r="E60" s="2054"/>
      <c r="F60" s="106"/>
    </row>
    <row r="61" spans="1:6" ht="12.75" customHeight="1">
      <c r="A61" s="3190" t="s">
        <v>996</v>
      </c>
      <c r="B61" s="3200">
        <v>270</v>
      </c>
      <c r="C61" s="2054"/>
      <c r="D61" s="2054"/>
      <c r="E61" s="2054"/>
      <c r="F61" s="106"/>
    </row>
    <row r="62" spans="1:6" ht="12.75" customHeight="1">
      <c r="A62" s="3190" t="s">
        <v>997</v>
      </c>
      <c r="B62" s="3200">
        <v>275</v>
      </c>
      <c r="C62" s="2054"/>
      <c r="D62" s="2054"/>
      <c r="E62" s="2054"/>
      <c r="F62" s="106"/>
    </row>
    <row r="63" spans="1:6" ht="12.75" customHeight="1">
      <c r="A63" s="3190" t="s">
        <v>998</v>
      </c>
      <c r="B63" s="3200">
        <v>280</v>
      </c>
      <c r="C63" s="2054"/>
      <c r="D63" s="2054"/>
      <c r="E63" s="2054"/>
      <c r="F63" s="106"/>
    </row>
    <row r="64" spans="1:6" ht="12.75" customHeight="1">
      <c r="A64" s="3186" t="s">
        <v>65</v>
      </c>
      <c r="B64" s="3201"/>
      <c r="C64" s="3201"/>
      <c r="D64" s="3201"/>
      <c r="E64" s="3201"/>
      <c r="F64" s="106"/>
    </row>
    <row r="65" spans="1:6" ht="12.75" customHeight="1">
      <c r="A65" s="3187" t="s">
        <v>66</v>
      </c>
      <c r="B65" s="3204"/>
      <c r="C65" s="3204"/>
      <c r="D65" s="3204"/>
      <c r="E65" s="3204"/>
      <c r="F65" s="106"/>
    </row>
    <row r="66" spans="1:6" ht="12.75" customHeight="1">
      <c r="A66" s="3187" t="s">
        <v>972</v>
      </c>
      <c r="B66" s="3204"/>
      <c r="C66" s="3204"/>
      <c r="D66" s="3204"/>
      <c r="E66" s="3206"/>
      <c r="F66" s="106"/>
    </row>
    <row r="67" spans="1:6" ht="12.75" customHeight="1">
      <c r="A67" s="3189" t="s">
        <v>999</v>
      </c>
      <c r="B67" s="3198">
        <v>285</v>
      </c>
      <c r="C67" s="3199"/>
      <c r="D67" s="3199"/>
      <c r="E67" s="3199"/>
      <c r="F67" s="106"/>
    </row>
    <row r="68" spans="1:6" ht="12.75" customHeight="1">
      <c r="A68" s="3190" t="s">
        <v>943</v>
      </c>
      <c r="B68" s="3200">
        <v>290</v>
      </c>
      <c r="C68" s="2054"/>
      <c r="D68" s="2054"/>
      <c r="E68" s="2054"/>
      <c r="F68" s="106"/>
    </row>
    <row r="69" spans="1:6" ht="12.75" customHeight="1">
      <c r="A69" s="3186" t="s">
        <v>973</v>
      </c>
      <c r="B69" s="3201"/>
      <c r="C69" s="3201"/>
      <c r="D69" s="3201"/>
      <c r="E69" s="3201"/>
      <c r="F69" s="106"/>
    </row>
    <row r="70" spans="1:6" ht="12.75" customHeight="1">
      <c r="A70" s="3189" t="s">
        <v>974</v>
      </c>
      <c r="B70" s="3198">
        <v>295</v>
      </c>
      <c r="C70" s="3199"/>
      <c r="D70" s="3199"/>
      <c r="E70" s="3199"/>
      <c r="F70" s="106"/>
    </row>
    <row r="71" spans="1:6" ht="12.75" customHeight="1">
      <c r="A71" s="3190" t="s">
        <v>977</v>
      </c>
      <c r="B71" s="3200">
        <v>300</v>
      </c>
      <c r="C71" s="2054"/>
      <c r="D71" s="2054"/>
      <c r="E71" s="2054"/>
      <c r="F71" s="106"/>
    </row>
    <row r="72" spans="1:6" ht="12.75" customHeight="1">
      <c r="A72" s="3190" t="s">
        <v>978</v>
      </c>
      <c r="B72" s="3200">
        <v>305</v>
      </c>
      <c r="C72" s="2054"/>
      <c r="D72" s="2054"/>
      <c r="E72" s="2054"/>
      <c r="F72" s="106"/>
    </row>
    <row r="73" spans="1:6" ht="12.75" customHeight="1">
      <c r="A73" s="3189" t="s">
        <v>4818</v>
      </c>
      <c r="B73" s="3198">
        <v>310</v>
      </c>
      <c r="C73" s="3199"/>
      <c r="D73" s="3199"/>
      <c r="E73" s="3199"/>
      <c r="F73" s="106"/>
    </row>
    <row r="74" spans="1:6" ht="12.75" customHeight="1">
      <c r="A74" s="3193" t="s">
        <v>632</v>
      </c>
      <c r="B74" s="3207">
        <v>313</v>
      </c>
      <c r="C74" s="3199"/>
      <c r="D74" s="3199"/>
      <c r="E74" s="3199"/>
      <c r="F74" s="106"/>
    </row>
    <row r="75" spans="1:6" ht="12.75" customHeight="1">
      <c r="A75" s="3190" t="s">
        <v>986</v>
      </c>
      <c r="B75" s="3200">
        <v>315</v>
      </c>
      <c r="C75" s="2054"/>
      <c r="D75" s="2054"/>
      <c r="E75" s="2054"/>
      <c r="F75" s="106"/>
    </row>
    <row r="76" spans="1:6" ht="12.75" customHeight="1">
      <c r="A76" s="3190" t="s">
        <v>989</v>
      </c>
      <c r="B76" s="3200">
        <v>320</v>
      </c>
      <c r="C76" s="2054"/>
      <c r="D76" s="2054"/>
      <c r="E76" s="2054"/>
      <c r="F76" s="106"/>
    </row>
    <row r="77" spans="1:6" ht="12.75" customHeight="1">
      <c r="A77" s="3190" t="s">
        <v>997</v>
      </c>
      <c r="B77" s="3200">
        <v>325</v>
      </c>
      <c r="C77" s="2054"/>
      <c r="D77" s="2054"/>
      <c r="E77" s="2054"/>
      <c r="F77" s="106"/>
    </row>
    <row r="78" spans="1:6" ht="12.75" customHeight="1">
      <c r="A78" s="3190" t="s">
        <v>998</v>
      </c>
      <c r="B78" s="3200">
        <v>330</v>
      </c>
      <c r="C78" s="2054"/>
      <c r="D78" s="2054"/>
      <c r="E78" s="2054"/>
      <c r="F78" s="106"/>
    </row>
    <row r="79" spans="1:6" ht="12.75" customHeight="1">
      <c r="A79" s="3186" t="s">
        <v>256</v>
      </c>
      <c r="B79" s="3201"/>
      <c r="C79" s="3201"/>
      <c r="D79" s="3201"/>
      <c r="E79" s="3201"/>
      <c r="F79" s="106"/>
    </row>
    <row r="80" spans="1:6" ht="12.75" customHeight="1">
      <c r="A80" s="3187" t="s">
        <v>972</v>
      </c>
      <c r="B80" s="3204"/>
      <c r="C80" s="3204"/>
      <c r="D80" s="3204"/>
      <c r="E80" s="3204"/>
      <c r="F80" s="106"/>
    </row>
    <row r="81" spans="1:6" ht="12.75" customHeight="1">
      <c r="A81" s="3189" t="s">
        <v>999</v>
      </c>
      <c r="B81" s="3198">
        <v>335</v>
      </c>
      <c r="C81" s="3199"/>
      <c r="D81" s="3199"/>
      <c r="E81" s="3199"/>
      <c r="F81" s="106"/>
    </row>
    <row r="82" spans="1:6" ht="12.75" customHeight="1">
      <c r="A82" s="3190" t="s">
        <v>943</v>
      </c>
      <c r="B82" s="3200">
        <v>340</v>
      </c>
      <c r="C82" s="2054"/>
      <c r="D82" s="2054"/>
      <c r="E82" s="2054"/>
      <c r="F82" s="106"/>
    </row>
    <row r="83" spans="1:6" ht="12.75" customHeight="1">
      <c r="A83" s="3186" t="s">
        <v>973</v>
      </c>
      <c r="B83" s="3201"/>
      <c r="C83" s="3201"/>
      <c r="D83" s="3201"/>
      <c r="E83" s="3201"/>
      <c r="F83" s="106"/>
    </row>
    <row r="84" spans="1:6" ht="12.75" customHeight="1">
      <c r="A84" s="3189" t="s">
        <v>974</v>
      </c>
      <c r="B84" s="3198">
        <v>345</v>
      </c>
      <c r="C84" s="3199"/>
      <c r="D84" s="3199"/>
      <c r="E84" s="3199"/>
      <c r="F84" s="106"/>
    </row>
    <row r="85" spans="1:6" ht="12.75" customHeight="1">
      <c r="A85" s="3190" t="s">
        <v>977</v>
      </c>
      <c r="B85" s="3200">
        <v>350</v>
      </c>
      <c r="C85" s="2054"/>
      <c r="D85" s="2054"/>
      <c r="E85" s="2054"/>
      <c r="F85" s="106"/>
    </row>
    <row r="86" spans="1:6" ht="12.75" customHeight="1">
      <c r="A86" s="3190" t="s">
        <v>978</v>
      </c>
      <c r="B86" s="3200">
        <v>355</v>
      </c>
      <c r="C86" s="2054"/>
      <c r="D86" s="2054"/>
      <c r="E86" s="2054"/>
      <c r="F86" s="106"/>
    </row>
    <row r="87" spans="1:6" ht="12.75" customHeight="1">
      <c r="A87" s="3189" t="s">
        <v>4818</v>
      </c>
      <c r="B87" s="3198">
        <v>360</v>
      </c>
      <c r="C87" s="3199"/>
      <c r="D87" s="3199"/>
      <c r="E87" s="3199"/>
      <c r="F87" s="106"/>
    </row>
    <row r="88" spans="1:6" ht="12.75" customHeight="1">
      <c r="A88" s="3193" t="s">
        <v>632</v>
      </c>
      <c r="B88" s="3207">
        <v>363</v>
      </c>
      <c r="C88" s="3199"/>
      <c r="D88" s="3199"/>
      <c r="E88" s="3199"/>
      <c r="F88" s="106"/>
    </row>
    <row r="89" spans="1:6" ht="12.75" customHeight="1">
      <c r="A89" s="3190" t="s">
        <v>986</v>
      </c>
      <c r="B89" s="3200">
        <v>365</v>
      </c>
      <c r="C89" s="2054"/>
      <c r="D89" s="2054"/>
      <c r="E89" s="2054"/>
      <c r="F89" s="106"/>
    </row>
    <row r="90" spans="1:6" ht="12.75" customHeight="1">
      <c r="A90" s="2264" t="s">
        <v>955</v>
      </c>
      <c r="B90" s="3196"/>
      <c r="C90" s="3196"/>
      <c r="D90" s="3196"/>
      <c r="E90" s="3196"/>
      <c r="F90" s="106"/>
    </row>
    <row r="91" spans="1:6" ht="12.75" customHeight="1">
      <c r="A91" s="3194" t="s">
        <v>5146</v>
      </c>
      <c r="B91" s="3208">
        <v>370</v>
      </c>
      <c r="C91" s="3199"/>
      <c r="D91" s="3199"/>
      <c r="E91" s="3199"/>
      <c r="F91" s="106"/>
    </row>
    <row r="92" spans="1:6" ht="12.75" customHeight="1">
      <c r="A92" s="3195" t="s">
        <v>693</v>
      </c>
      <c r="B92" s="3209">
        <v>375</v>
      </c>
      <c r="C92" s="2054"/>
      <c r="D92" s="2054"/>
      <c r="E92" s="2054"/>
      <c r="F92" s="106"/>
    </row>
    <row r="93" spans="1:6" ht="12.75" customHeight="1">
      <c r="A93" s="3194" t="s">
        <v>958</v>
      </c>
      <c r="B93" s="3208">
        <v>380</v>
      </c>
      <c r="C93" s="3199"/>
      <c r="D93" s="3199"/>
      <c r="E93" s="3199"/>
      <c r="F93" s="106"/>
    </row>
    <row r="94" spans="1:6" ht="12.75" customHeight="1">
      <c r="A94" s="3195" t="s">
        <v>959</v>
      </c>
      <c r="B94" s="3209">
        <v>385</v>
      </c>
      <c r="C94" s="2054"/>
      <c r="D94" s="2054"/>
      <c r="E94" s="2054"/>
      <c r="F94" s="106"/>
    </row>
    <row r="95" spans="1:6" ht="12.75" customHeight="1">
      <c r="A95" s="3195" t="s">
        <v>960</v>
      </c>
      <c r="B95" s="3209">
        <v>390</v>
      </c>
      <c r="C95" s="2054"/>
      <c r="D95" s="2054"/>
      <c r="E95" s="2054"/>
      <c r="F95" s="106"/>
    </row>
    <row r="96" spans="1:6" ht="12.75" customHeight="1">
      <c r="A96" s="2264" t="s">
        <v>970</v>
      </c>
      <c r="B96" s="3196"/>
      <c r="C96" s="3196"/>
      <c r="D96" s="3196"/>
      <c r="E96" s="3196"/>
      <c r="F96" s="106"/>
    </row>
    <row r="97" spans="1:6" ht="12.75" customHeight="1">
      <c r="A97" s="3188" t="s">
        <v>941</v>
      </c>
      <c r="B97" s="3197"/>
      <c r="C97" s="3197"/>
      <c r="D97" s="3197"/>
      <c r="E97" s="3197"/>
      <c r="F97" s="106"/>
    </row>
    <row r="98" spans="1:6" ht="12.75" customHeight="1">
      <c r="A98" s="3194" t="s">
        <v>942</v>
      </c>
      <c r="B98" s="3208">
        <v>460</v>
      </c>
      <c r="C98" s="3199"/>
      <c r="D98" s="3199"/>
      <c r="E98" s="3199"/>
      <c r="F98" s="106"/>
    </row>
    <row r="99" spans="1:6" ht="12.75" customHeight="1">
      <c r="A99" s="3195" t="s">
        <v>603</v>
      </c>
      <c r="B99" s="3209">
        <v>465</v>
      </c>
      <c r="C99" s="2054"/>
      <c r="D99" s="3199"/>
      <c r="E99" s="3199"/>
      <c r="F99" s="106"/>
    </row>
    <row r="100" spans="1:6" ht="12.75" customHeight="1">
      <c r="A100" s="2264" t="s">
        <v>944</v>
      </c>
      <c r="B100" s="3196"/>
      <c r="C100" s="3196"/>
      <c r="D100" s="3196"/>
      <c r="E100" s="3196"/>
      <c r="F100" s="106"/>
    </row>
    <row r="101" spans="1:6" ht="12.75" customHeight="1">
      <c r="A101" s="3194" t="s">
        <v>945</v>
      </c>
      <c r="B101" s="3208">
        <v>470</v>
      </c>
      <c r="C101" s="3199"/>
      <c r="D101" s="3199"/>
      <c r="E101" s="3199"/>
      <c r="F101" s="106"/>
    </row>
    <row r="102" spans="1:6" ht="12.75" customHeight="1">
      <c r="A102" s="3195" t="s">
        <v>946</v>
      </c>
      <c r="B102" s="3209">
        <v>475</v>
      </c>
      <c r="C102" s="2054"/>
      <c r="D102" s="2054"/>
      <c r="E102" s="2054"/>
      <c r="F102" s="106"/>
    </row>
    <row r="103" spans="1:6" ht="12.75" customHeight="1">
      <c r="A103" s="3195" t="s">
        <v>947</v>
      </c>
      <c r="B103" s="3209">
        <v>480</v>
      </c>
      <c r="C103" s="2054"/>
      <c r="D103" s="2054"/>
      <c r="E103" s="2054"/>
      <c r="F103" s="106"/>
    </row>
    <row r="104" spans="1:6" ht="12.75" customHeight="1">
      <c r="A104" s="3189" t="s">
        <v>4818</v>
      </c>
      <c r="B104" s="3210">
        <v>485</v>
      </c>
      <c r="C104" s="3211"/>
      <c r="D104" s="3211"/>
      <c r="E104" s="3211"/>
      <c r="F104" s="106"/>
    </row>
    <row r="105" spans="1:6" ht="12.75" customHeight="1">
      <c r="A105" s="2263" t="s">
        <v>259</v>
      </c>
      <c r="B105" s="3210">
        <v>490</v>
      </c>
      <c r="C105" s="3211"/>
      <c r="D105" s="3211"/>
      <c r="E105" s="3211"/>
      <c r="F105" s="106"/>
    </row>
    <row r="106" spans="1:6" ht="12.75" customHeight="1">
      <c r="A106" s="2264" t="s">
        <v>950</v>
      </c>
      <c r="B106" s="3196"/>
      <c r="C106" s="3196"/>
      <c r="D106" s="3196"/>
      <c r="E106" s="3196"/>
      <c r="F106" s="107"/>
    </row>
    <row r="107" spans="1:6" ht="12.75" customHeight="1">
      <c r="A107" s="3194" t="s">
        <v>5130</v>
      </c>
      <c r="B107" s="3208">
        <v>495</v>
      </c>
      <c r="C107" s="3199"/>
      <c r="D107" s="3199"/>
      <c r="E107" s="3199"/>
      <c r="F107" s="107"/>
    </row>
    <row r="108" spans="1:6" ht="12.75" customHeight="1">
      <c r="A108" s="3194" t="s">
        <v>604</v>
      </c>
      <c r="B108" s="3208">
        <v>500</v>
      </c>
      <c r="C108" s="2054"/>
      <c r="D108" s="2054"/>
      <c r="E108" s="2054"/>
      <c r="F108" s="107"/>
    </row>
    <row r="109" spans="1:6" ht="12.75" customHeight="1">
      <c r="A109" s="3195" t="s">
        <v>955</v>
      </c>
      <c r="B109" s="3209">
        <v>505</v>
      </c>
      <c r="C109" s="2054"/>
      <c r="D109" s="2054"/>
      <c r="E109" s="2054"/>
      <c r="F109" s="106"/>
    </row>
    <row r="110" spans="1:6" ht="12.75" customHeight="1">
      <c r="A110" s="3195" t="s">
        <v>959</v>
      </c>
      <c r="B110" s="3209">
        <v>510</v>
      </c>
      <c r="C110" s="2054"/>
      <c r="D110" s="2054"/>
      <c r="E110" s="2054"/>
      <c r="F110" s="106"/>
    </row>
    <row r="111" spans="1:6" ht="12.75" customHeight="1">
      <c r="A111" s="3195" t="s">
        <v>960</v>
      </c>
      <c r="B111" s="3209">
        <v>515</v>
      </c>
      <c r="C111" s="2054"/>
      <c r="D111" s="2054"/>
      <c r="E111" s="2054"/>
      <c r="F111" s="106"/>
    </row>
    <row r="112" spans="1:6" ht="12.75" customHeight="1">
      <c r="A112" s="2264" t="s">
        <v>284</v>
      </c>
      <c r="B112" s="3196"/>
      <c r="C112" s="3196"/>
      <c r="D112" s="3196"/>
      <c r="E112" s="3196"/>
      <c r="F112" s="106"/>
    </row>
    <row r="113" spans="1:6" ht="12.75" customHeight="1">
      <c r="A113" s="3188" t="s">
        <v>941</v>
      </c>
      <c r="B113" s="3197"/>
      <c r="C113" s="3197"/>
      <c r="D113" s="3197"/>
      <c r="E113" s="3197"/>
      <c r="F113" s="106"/>
    </row>
    <row r="114" spans="1:6" ht="12.75" customHeight="1">
      <c r="A114" s="3194" t="s">
        <v>605</v>
      </c>
      <c r="B114" s="3208">
        <v>520</v>
      </c>
      <c r="C114" s="3199"/>
      <c r="D114" s="3199"/>
      <c r="E114" s="3199"/>
      <c r="F114" s="106"/>
    </row>
    <row r="115" spans="1:6" ht="12.75" customHeight="1">
      <c r="A115" s="2264" t="s">
        <v>944</v>
      </c>
      <c r="B115" s="3196"/>
      <c r="C115" s="3196"/>
      <c r="D115" s="3196"/>
      <c r="E115" s="3196"/>
      <c r="F115" s="106"/>
    </row>
    <row r="116" spans="1:6" ht="12.75" customHeight="1">
      <c r="A116" s="3194" t="s">
        <v>945</v>
      </c>
      <c r="B116" s="3208">
        <v>525</v>
      </c>
      <c r="C116" s="3199"/>
      <c r="D116" s="3199"/>
      <c r="E116" s="3199"/>
      <c r="F116" s="106"/>
    </row>
    <row r="117" spans="1:6" ht="12.75" customHeight="1">
      <c r="A117" s="3195" t="s">
        <v>946</v>
      </c>
      <c r="B117" s="3209">
        <v>530</v>
      </c>
      <c r="C117" s="2054"/>
      <c r="D117" s="2054"/>
      <c r="E117" s="2054"/>
      <c r="F117" s="106"/>
    </row>
    <row r="118" spans="1:6" ht="12.75" customHeight="1">
      <c r="A118" s="3195" t="s">
        <v>947</v>
      </c>
      <c r="B118" s="3209">
        <v>535</v>
      </c>
      <c r="C118" s="2054"/>
      <c r="D118" s="2054"/>
      <c r="E118" s="2054"/>
      <c r="F118" s="106"/>
    </row>
    <row r="119" spans="1:6" ht="12.75" customHeight="1">
      <c r="A119" s="3190" t="s">
        <v>4818</v>
      </c>
      <c r="B119" s="3209">
        <v>540</v>
      </c>
      <c r="C119" s="2054"/>
      <c r="D119" s="2054"/>
      <c r="E119" s="2054"/>
      <c r="F119" s="106"/>
    </row>
    <row r="120" spans="1:6" ht="12.75" customHeight="1">
      <c r="A120" s="3186" t="s">
        <v>968</v>
      </c>
      <c r="B120" s="3201"/>
      <c r="C120" s="3201"/>
      <c r="D120" s="3201"/>
      <c r="E120" s="3201"/>
      <c r="F120" s="106"/>
    </row>
    <row r="121" spans="1:6" ht="12.75" customHeight="1">
      <c r="A121" s="3189" t="s">
        <v>286</v>
      </c>
      <c r="B121" s="3198">
        <v>545</v>
      </c>
      <c r="C121" s="3199"/>
      <c r="D121" s="3199"/>
      <c r="E121" s="3199"/>
      <c r="F121" s="106"/>
    </row>
    <row r="122" spans="1:6" ht="12.75" customHeight="1">
      <c r="A122" s="3190" t="s">
        <v>606</v>
      </c>
      <c r="B122" s="3200">
        <v>550</v>
      </c>
      <c r="C122" s="2054"/>
      <c r="D122" s="2054"/>
      <c r="E122" s="2054"/>
      <c r="F122" s="106"/>
    </row>
    <row r="123" spans="1:6" ht="12.75" customHeight="1">
      <c r="A123" s="3190" t="s">
        <v>607</v>
      </c>
      <c r="B123" s="3200">
        <v>555</v>
      </c>
      <c r="C123" s="2054"/>
      <c r="D123" s="2054"/>
      <c r="E123" s="2054"/>
      <c r="F123" s="106"/>
    </row>
    <row r="124" spans="1:6" ht="12.75" customHeight="1">
      <c r="A124" s="3190" t="s">
        <v>608</v>
      </c>
      <c r="B124" s="3200">
        <v>560</v>
      </c>
      <c r="C124" s="2054"/>
      <c r="D124" s="2054"/>
      <c r="E124" s="2054"/>
      <c r="F124" s="106"/>
    </row>
    <row r="125" spans="1:6" ht="12.75" customHeight="1">
      <c r="A125" s="3190" t="s">
        <v>609</v>
      </c>
      <c r="B125" s="3200">
        <v>565</v>
      </c>
      <c r="C125" s="2054"/>
      <c r="D125" s="2054"/>
      <c r="E125" s="2054"/>
      <c r="F125" s="106"/>
    </row>
    <row r="126" spans="1:6" ht="12.75" customHeight="1">
      <c r="A126" s="3190" t="s">
        <v>287</v>
      </c>
      <c r="B126" s="3200">
        <v>570</v>
      </c>
      <c r="C126" s="2054"/>
      <c r="D126" s="2054"/>
      <c r="E126" s="2054"/>
      <c r="F126" s="106"/>
    </row>
    <row r="127" spans="1:6" ht="12.75" customHeight="1">
      <c r="A127" s="3186" t="s">
        <v>950</v>
      </c>
      <c r="B127" s="3201"/>
      <c r="C127" s="3201"/>
      <c r="D127" s="3201"/>
      <c r="E127" s="3201"/>
      <c r="F127" s="106"/>
    </row>
    <row r="128" spans="1:6" ht="12.75" customHeight="1">
      <c r="A128" s="3189" t="s">
        <v>1037</v>
      </c>
      <c r="B128" s="3198">
        <v>575</v>
      </c>
      <c r="C128" s="3199"/>
      <c r="D128" s="3199"/>
      <c r="E128" s="3199"/>
      <c r="F128" s="106"/>
    </row>
    <row r="129" spans="1:6" ht="12.75" customHeight="1">
      <c r="A129" s="2262" t="s">
        <v>604</v>
      </c>
      <c r="B129" s="3212">
        <v>580</v>
      </c>
      <c r="C129" s="3211"/>
      <c r="D129" s="3211"/>
      <c r="E129" s="3211"/>
      <c r="F129" s="106"/>
    </row>
    <row r="130" spans="1:6" ht="12.75" customHeight="1">
      <c r="A130" s="3186" t="s">
        <v>955</v>
      </c>
      <c r="B130" s="3201"/>
      <c r="C130" s="3201"/>
      <c r="D130" s="3201"/>
      <c r="E130" s="3201"/>
      <c r="F130" s="106"/>
    </row>
    <row r="131" spans="1:6" ht="12.75" customHeight="1">
      <c r="A131" s="3189" t="s">
        <v>288</v>
      </c>
      <c r="B131" s="3198">
        <v>585</v>
      </c>
      <c r="C131" s="3199"/>
      <c r="D131" s="3199"/>
      <c r="E131" s="3199"/>
      <c r="F131" s="106"/>
    </row>
    <row r="132" spans="1:6" ht="12.75" customHeight="1">
      <c r="A132" s="3186" t="s">
        <v>289</v>
      </c>
      <c r="B132" s="3201"/>
      <c r="C132" s="3201"/>
      <c r="D132" s="3201"/>
      <c r="E132" s="3201"/>
      <c r="F132" s="106"/>
    </row>
    <row r="133" spans="1:6" ht="12.75" customHeight="1">
      <c r="A133" s="3189" t="s">
        <v>290</v>
      </c>
      <c r="B133" s="3198">
        <v>590</v>
      </c>
      <c r="C133" s="3199"/>
      <c r="D133" s="3199"/>
      <c r="E133" s="3199"/>
      <c r="F133" s="106"/>
    </row>
    <row r="134" spans="1:6" ht="12.75" customHeight="1">
      <c r="A134" s="3190" t="s">
        <v>291</v>
      </c>
      <c r="B134" s="3200">
        <v>595</v>
      </c>
      <c r="C134" s="2054"/>
      <c r="D134" s="2054"/>
      <c r="E134" s="2054"/>
      <c r="F134" s="106"/>
    </row>
    <row r="135" spans="1:6" ht="12.75" customHeight="1">
      <c r="A135" s="3190" t="s">
        <v>5149</v>
      </c>
      <c r="B135" s="3200">
        <v>600</v>
      </c>
      <c r="C135" s="2054"/>
      <c r="D135" s="2054"/>
      <c r="E135" s="2054"/>
      <c r="F135" s="106"/>
    </row>
    <row r="136" spans="1:6" ht="12.75" customHeight="1">
      <c r="A136" s="3190" t="s">
        <v>292</v>
      </c>
      <c r="B136" s="3200">
        <v>605</v>
      </c>
      <c r="C136" s="2054"/>
      <c r="D136" s="2054"/>
      <c r="E136" s="2054"/>
      <c r="F136" s="106"/>
    </row>
    <row r="137" spans="1:6" ht="12.75" customHeight="1">
      <c r="A137" s="3190" t="s">
        <v>958</v>
      </c>
      <c r="B137" s="3200">
        <v>610</v>
      </c>
      <c r="C137" s="2054"/>
      <c r="D137" s="2054"/>
      <c r="E137" s="2054"/>
      <c r="F137" s="106"/>
    </row>
    <row r="138" spans="1:6" ht="12.75" customHeight="1">
      <c r="A138" s="3190" t="s">
        <v>959</v>
      </c>
      <c r="B138" s="3200">
        <v>615</v>
      </c>
      <c r="C138" s="2054"/>
      <c r="D138" s="2054"/>
      <c r="E138" s="2054"/>
      <c r="F138" s="106"/>
    </row>
    <row r="139" spans="1:6" ht="12.75" customHeight="1">
      <c r="A139" s="3190" t="s">
        <v>960</v>
      </c>
      <c r="B139" s="3200">
        <v>620</v>
      </c>
      <c r="C139" s="2054"/>
      <c r="D139" s="2054"/>
      <c r="E139" s="2054"/>
      <c r="F139" s="106"/>
    </row>
    <row r="140" spans="1:6" ht="12.75" customHeight="1">
      <c r="A140" s="3186" t="s">
        <v>1320</v>
      </c>
      <c r="B140" s="3201"/>
      <c r="C140" s="3201"/>
      <c r="D140" s="3201"/>
      <c r="E140" s="3201"/>
      <c r="F140" s="106"/>
    </row>
    <row r="141" spans="1:6" ht="12.75" customHeight="1">
      <c r="A141" s="3187" t="s">
        <v>941</v>
      </c>
      <c r="B141" s="3204"/>
      <c r="C141" s="3204"/>
      <c r="D141" s="3204"/>
      <c r="E141" s="3204"/>
      <c r="F141" s="106"/>
    </row>
    <row r="142" spans="1:6" ht="12.75" customHeight="1">
      <c r="A142" s="3189" t="s">
        <v>257</v>
      </c>
      <c r="B142" s="3198">
        <v>625</v>
      </c>
      <c r="C142" s="3203"/>
      <c r="D142" s="3203"/>
      <c r="E142" s="3203"/>
      <c r="F142" s="106"/>
    </row>
    <row r="143" spans="1:6" ht="12.75" customHeight="1">
      <c r="A143" s="3189" t="s">
        <v>312</v>
      </c>
      <c r="B143" s="3198">
        <v>630</v>
      </c>
      <c r="C143" s="2054"/>
      <c r="D143" s="2054"/>
      <c r="E143" s="2054"/>
      <c r="F143" s="106"/>
    </row>
    <row r="144" spans="1:6" ht="12.75" customHeight="1">
      <c r="A144" s="3186" t="s">
        <v>944</v>
      </c>
      <c r="B144" s="3201"/>
      <c r="C144" s="3201"/>
      <c r="D144" s="3201"/>
      <c r="E144" s="3201"/>
      <c r="F144" s="106"/>
    </row>
    <row r="145" spans="1:6" ht="12.75" customHeight="1">
      <c r="A145" s="3189" t="s">
        <v>295</v>
      </c>
      <c r="B145" s="3198">
        <v>635</v>
      </c>
      <c r="C145" s="3199"/>
      <c r="D145" s="3199"/>
      <c r="E145" s="3199"/>
      <c r="F145" s="106"/>
    </row>
    <row r="146" spans="1:6" ht="12.75" customHeight="1">
      <c r="A146" s="3190" t="s">
        <v>946</v>
      </c>
      <c r="B146" s="3200">
        <v>640</v>
      </c>
      <c r="C146" s="2054"/>
      <c r="D146" s="2054"/>
      <c r="E146" s="2054"/>
      <c r="F146" s="106"/>
    </row>
    <row r="147" spans="1:6" ht="12.75" customHeight="1">
      <c r="A147" s="3190" t="s">
        <v>947</v>
      </c>
      <c r="B147" s="3200">
        <v>645</v>
      </c>
      <c r="C147" s="2054"/>
      <c r="D147" s="2054"/>
      <c r="E147" s="2054"/>
      <c r="F147" s="106"/>
    </row>
    <row r="148" spans="1:6" ht="12.75" customHeight="1">
      <c r="A148" s="3189" t="s">
        <v>4818</v>
      </c>
      <c r="B148" s="3200">
        <v>650</v>
      </c>
      <c r="C148" s="2054"/>
      <c r="D148" s="2054"/>
      <c r="E148" s="2054"/>
      <c r="F148" s="106"/>
    </row>
    <row r="149" spans="1:6" ht="12.75" customHeight="1">
      <c r="A149" s="3190" t="s">
        <v>968</v>
      </c>
      <c r="B149" s="3200">
        <v>655</v>
      </c>
      <c r="C149" s="2054"/>
      <c r="D149" s="2054"/>
      <c r="E149" s="2054"/>
      <c r="F149" s="106"/>
    </row>
    <row r="150" spans="1:6" ht="12.75" customHeight="1">
      <c r="A150" s="3190" t="s">
        <v>610</v>
      </c>
      <c r="B150" s="3200">
        <v>660</v>
      </c>
      <c r="C150" s="2054"/>
      <c r="D150" s="2054"/>
      <c r="E150" s="2054"/>
      <c r="F150" s="106"/>
    </row>
    <row r="151" spans="1:6" ht="12.75" customHeight="1">
      <c r="A151" s="3190" t="s">
        <v>955</v>
      </c>
      <c r="B151" s="3200">
        <v>665</v>
      </c>
      <c r="C151" s="2054"/>
      <c r="D151" s="2054"/>
      <c r="E151" s="2054"/>
      <c r="F151" s="106"/>
    </row>
    <row r="152" spans="1:6" ht="12.75" customHeight="1">
      <c r="A152" s="3190" t="s">
        <v>959</v>
      </c>
      <c r="B152" s="3200">
        <v>670</v>
      </c>
      <c r="C152" s="2054"/>
      <c r="D152" s="2054"/>
      <c r="E152" s="2054"/>
      <c r="F152" s="106"/>
    </row>
    <row r="153" spans="1:6" ht="12.75" customHeight="1">
      <c r="A153" s="3190" t="s">
        <v>960</v>
      </c>
      <c r="B153" s="3200">
        <v>675</v>
      </c>
      <c r="C153" s="2054"/>
      <c r="D153" s="2054"/>
      <c r="E153" s="2054"/>
      <c r="F153" s="106"/>
    </row>
    <row r="154" spans="1:6" ht="12.75" customHeight="1">
      <c r="A154" s="2068" t="s">
        <v>1325</v>
      </c>
      <c r="B154" s="2092"/>
      <c r="C154" s="2092"/>
      <c r="D154" s="2092"/>
      <c r="E154" s="2092"/>
      <c r="F154" s="106"/>
    </row>
    <row r="155" spans="1:6" ht="12.75" customHeight="1">
      <c r="A155" s="2069" t="s">
        <v>1144</v>
      </c>
      <c r="B155" s="2093"/>
      <c r="C155" s="2093"/>
      <c r="D155" s="2093"/>
      <c r="E155" s="2093"/>
      <c r="F155" s="106"/>
    </row>
    <row r="156" spans="1:6" ht="12.75" customHeight="1">
      <c r="A156" s="2074" t="s">
        <v>1321</v>
      </c>
      <c r="B156" s="2094">
        <v>690</v>
      </c>
      <c r="C156" s="3213"/>
      <c r="D156" s="3214"/>
      <c r="E156" s="3215"/>
      <c r="F156" s="106"/>
    </row>
    <row r="157" spans="1:6" ht="12.75" customHeight="1">
      <c r="A157" s="2075" t="s">
        <v>1308</v>
      </c>
      <c r="B157" s="2095">
        <v>695</v>
      </c>
      <c r="C157" s="3213"/>
      <c r="D157" s="3216"/>
      <c r="E157" s="3216"/>
      <c r="F157" s="106"/>
    </row>
    <row r="158" spans="1:6" ht="12.75" customHeight="1">
      <c r="A158" s="2068" t="s">
        <v>794</v>
      </c>
      <c r="B158" s="2092"/>
      <c r="C158" s="2092"/>
      <c r="D158" s="2092"/>
      <c r="E158" s="2092"/>
      <c r="F158" s="106"/>
    </row>
    <row r="159" spans="1:6" ht="12.75" customHeight="1">
      <c r="A159" s="2074" t="s">
        <v>1323</v>
      </c>
      <c r="B159" s="2096">
        <v>700</v>
      </c>
      <c r="C159" s="3213"/>
      <c r="D159" s="3214"/>
      <c r="E159" s="3214"/>
      <c r="F159" s="106"/>
    </row>
    <row r="160" spans="1:6" ht="12.75" customHeight="1">
      <c r="A160" s="2075" t="s">
        <v>1322</v>
      </c>
      <c r="B160" s="2095">
        <v>705</v>
      </c>
      <c r="C160" s="3213"/>
      <c r="D160" s="3216"/>
      <c r="E160" s="3216"/>
      <c r="F160" s="106"/>
    </row>
    <row r="161" spans="1:7" ht="12.75" customHeight="1">
      <c r="A161" s="2075" t="s">
        <v>1324</v>
      </c>
      <c r="B161" s="2095">
        <v>710</v>
      </c>
      <c r="C161" s="3213"/>
      <c r="D161" s="3216"/>
      <c r="E161" s="3216"/>
      <c r="F161" s="106"/>
    </row>
    <row r="162" spans="1:7" ht="12.75" customHeight="1">
      <c r="A162" s="3189" t="s">
        <v>4818</v>
      </c>
      <c r="B162" s="2095">
        <v>715</v>
      </c>
      <c r="C162" s="3213"/>
      <c r="D162" s="3216"/>
      <c r="E162" s="3216"/>
      <c r="F162" s="106"/>
    </row>
    <row r="163" spans="1:7" ht="12.75" customHeight="1">
      <c r="A163" s="2075" t="s">
        <v>632</v>
      </c>
      <c r="B163" s="2095">
        <v>720</v>
      </c>
      <c r="C163" s="3213"/>
      <c r="D163" s="3216"/>
      <c r="E163" s="3216"/>
      <c r="F163" s="106"/>
    </row>
    <row r="164" spans="1:7" ht="12.75" customHeight="1">
      <c r="A164" s="2075" t="s">
        <v>610</v>
      </c>
      <c r="B164" s="2095">
        <v>725</v>
      </c>
      <c r="C164" s="3213"/>
      <c r="D164" s="3216"/>
      <c r="E164" s="3216"/>
      <c r="F164" s="106"/>
    </row>
    <row r="165" spans="1:7" ht="12.75" customHeight="1">
      <c r="A165" s="2075" t="s">
        <v>1313</v>
      </c>
      <c r="B165" s="2095">
        <v>730</v>
      </c>
      <c r="C165" s="3213"/>
      <c r="D165" s="3216"/>
      <c r="E165" s="3216"/>
      <c r="F165" s="106"/>
    </row>
    <row r="166" spans="1:7" ht="12.75" customHeight="1">
      <c r="A166" s="2075" t="s">
        <v>1314</v>
      </c>
      <c r="B166" s="2095">
        <v>735</v>
      </c>
      <c r="C166" s="3213"/>
      <c r="D166" s="3216"/>
      <c r="E166" s="3216"/>
      <c r="F166" s="106"/>
    </row>
    <row r="167" spans="1:7" ht="12.75" customHeight="1">
      <c r="A167" s="2075" t="s">
        <v>793</v>
      </c>
      <c r="B167" s="2095">
        <v>740</v>
      </c>
      <c r="C167" s="3213"/>
      <c r="D167" s="3216"/>
      <c r="E167" s="3216"/>
      <c r="F167" s="106"/>
    </row>
    <row r="168" spans="1:7" ht="12.75" customHeight="1">
      <c r="A168" s="2262" t="s">
        <v>611</v>
      </c>
      <c r="B168" s="3212">
        <v>680</v>
      </c>
      <c r="C168" s="3217"/>
      <c r="D168" s="2054"/>
      <c r="E168" s="2054"/>
      <c r="F168" s="106"/>
    </row>
    <row r="169" spans="1:7" ht="12.75" customHeight="1">
      <c r="A169" s="1335" t="s">
        <v>5153</v>
      </c>
      <c r="B169" s="2578" t="s">
        <v>4906</v>
      </c>
      <c r="C169" s="1320">
        <f>SUM(C43:C168)</f>
        <v>0</v>
      </c>
      <c r="D169" s="1320">
        <f t="shared" ref="D169:E169" si="0">SUM(D43:D168)</f>
        <v>0</v>
      </c>
      <c r="E169" s="1320">
        <f t="shared" si="0"/>
        <v>0</v>
      </c>
      <c r="F169" s="106"/>
    </row>
    <row r="170" spans="1:7" ht="12.75" customHeight="1">
      <c r="A170" s="6101" t="s">
        <v>4911</v>
      </c>
      <c r="B170" s="6101"/>
      <c r="C170" s="6101"/>
      <c r="D170" s="6101"/>
      <c r="E170" s="6101"/>
      <c r="F170" s="106"/>
      <c r="G170" s="423"/>
    </row>
    <row r="171" spans="1:7" ht="12.75" customHeight="1">
      <c r="A171" s="4629"/>
      <c r="B171" s="4629"/>
      <c r="C171" s="4629"/>
      <c r="D171" s="4629"/>
      <c r="E171" s="4629"/>
      <c r="F171" s="106"/>
      <c r="G171" s="423"/>
    </row>
    <row r="172" spans="1:7" ht="12.75" customHeight="1">
      <c r="A172" s="4629"/>
      <c r="B172" s="4629"/>
      <c r="C172" s="4629"/>
      <c r="D172" s="4629"/>
      <c r="E172" s="4629"/>
      <c r="F172" s="106"/>
      <c r="G172" s="423"/>
    </row>
    <row r="173" spans="1:7" ht="12.75" customHeight="1">
      <c r="A173" s="4629"/>
      <c r="B173" s="4629"/>
      <c r="C173" s="4629"/>
      <c r="D173" s="4629"/>
      <c r="E173" s="4629"/>
      <c r="F173" s="106"/>
      <c r="G173" s="423"/>
    </row>
    <row r="174" spans="1:7" ht="12.75" customHeight="1">
      <c r="A174" s="4629"/>
      <c r="B174" s="4629"/>
      <c r="C174" s="4629"/>
      <c r="D174" s="4629"/>
      <c r="E174" s="4629"/>
      <c r="F174" s="106"/>
      <c r="G174" s="423"/>
    </row>
  </sheetData>
  <sheetProtection algorithmName="SHA-512" hashValue="81vHs/rlYbvC1wO1Me/KJhXRIl2rZbYV0oHAyjA6Q83mIU1L7a/hdu4DbQ6oCQ3eJnixmMqJM6I2iCt9qFdJLQ==" saltValue="TZI6XMzSEveQz6RsCr7R4w==" spinCount="100000" sheet="1" objects="1" scenarios="1"/>
  <mergeCells count="5">
    <mergeCell ref="D1:E1"/>
    <mergeCell ref="D2:E2"/>
    <mergeCell ref="D31:E31"/>
    <mergeCell ref="D32:E32"/>
    <mergeCell ref="A170:E170"/>
  </mergeCells>
  <phoneticPr fontId="13" type="noConversion"/>
  <dataValidations count="4">
    <dataValidation type="whole" operator="greaterThanOrEqual" showInputMessage="1" showErrorMessage="1" errorTitle="Invalid Data Entry " error="Please enter a positive number or press the delete key or enter zero." sqref="C121:E126 C15:E17 C133:E139 C142:E143 C101:E105 C19:D19 C168:E168 C22:E22 C84:E89 C81:E82 C46:E50 C43:E44 C53:E56 C131:E131 C70:E78 C91:E95 C98:E99 C116:E119 C114:E114 C107:E111 C145:E153 E18:E19 C10:D10 C128:E129 C67:E68 C58:E63">
      <formula1>0</formula1>
    </dataValidation>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allowBlank="1" showInputMessage="1" showErrorMessage="1" errorTitle="Invalid Data Entry" error="Please enter a positive number or press the delete key or enter zero." sqref="C21:E21">
      <formula1>0</formula1>
    </dataValidation>
    <dataValidation type="whole" operator="greaterThanOrEqual" showInputMessage="1" showErrorMessage="1" errorTitle="Invalid Data Entry" error="Please enter a positive number or press the delete key or enter a zero." sqref="C156:E157 C159:E167 D18">
      <formula1>0</formula1>
    </dataValidation>
  </dataValidations>
  <hyperlinks>
    <hyperlink ref="G1" location="Contents!F1" display="Return to Contents page"/>
  </hyperlinks>
  <printOptions horizontalCentered="1"/>
  <pageMargins left="0.75" right="0.75" top="0.5" bottom="0.5" header="0.3" footer="0.3"/>
  <pageSetup scale="86" fitToHeight="0" orientation="portrait" blackAndWhite="1" r:id="rId1"/>
  <headerFooter scaleWithDoc="0">
    <oddFooter>&amp;L&amp;"Open Sans Light,Regular"&amp;8&amp;D    &amp;T&amp;C&amp;"Open Sans Light,Regular"&amp;8Page &amp;P&amp;R&amp;"Open Sans Light,Regular"&amp;8&amp;A</oddFooter>
  </headerFooter>
  <rowBreaks count="1" manualBreakCount="1">
    <brk id="63" max="4"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4" tint="0.39997558519241921"/>
  </sheetPr>
  <dimension ref="A1:Z244"/>
  <sheetViews>
    <sheetView showGridLines="0" zoomScaleNormal="100" zoomScaleSheetLayoutView="100" workbookViewId="0">
      <pane ySplit="8" topLeftCell="A9" activePane="bottomLeft" state="frozen"/>
      <selection activeCell="B22" sqref="B22"/>
      <selection pane="bottomLeft" activeCell="D60" sqref="D60"/>
    </sheetView>
  </sheetViews>
  <sheetFormatPr defaultColWidth="10.6640625" defaultRowHeight="12.75" customHeight="1"/>
  <cols>
    <col min="1" max="1" width="40.6640625" style="110" customWidth="1"/>
    <col min="2" max="2" width="4.88671875" style="1359" customWidth="1"/>
    <col min="3" max="5" width="14.33203125" style="1360" customWidth="1"/>
    <col min="6" max="6" width="2.33203125" style="110" customWidth="1"/>
    <col min="7" max="7" width="54.33203125" style="110" customWidth="1"/>
    <col min="8" max="26" width="10.6640625" style="110"/>
    <col min="27" max="16384" width="10.6640625" style="109"/>
  </cols>
  <sheetData>
    <row r="1" spans="1:17" ht="12.75" customHeight="1">
      <c r="A1" s="1338" t="s">
        <v>809</v>
      </c>
      <c r="B1" s="4254">
        <f>OPEN!B4</f>
        <v>237</v>
      </c>
      <c r="C1" s="1336"/>
      <c r="D1" s="6138" t="s">
        <v>836</v>
      </c>
      <c r="E1" s="6138"/>
      <c r="F1" s="108"/>
      <c r="G1" s="304" t="s">
        <v>754</v>
      </c>
    </row>
    <row r="2" spans="1:17" ht="12.75" customHeight="1">
      <c r="A2" s="1336"/>
      <c r="B2" s="1337"/>
      <c r="C2" s="1336"/>
      <c r="D2" s="6138" t="s">
        <v>921</v>
      </c>
      <c r="E2" s="6138"/>
      <c r="F2" s="108"/>
    </row>
    <row r="3" spans="1:17" ht="12.75" customHeight="1">
      <c r="A3" s="1336"/>
      <c r="B3" s="1337"/>
      <c r="C3" s="1336"/>
      <c r="D3" s="1336"/>
      <c r="E3" s="1338" t="str">
        <f>OpenData!N2</f>
        <v>2021-2022</v>
      </c>
      <c r="F3" s="108"/>
    </row>
    <row r="4" spans="1:17" ht="12.75" customHeight="1">
      <c r="A4" s="1336"/>
      <c r="B4" s="1337"/>
      <c r="C4" s="1336"/>
      <c r="D4" s="1336"/>
      <c r="E4" s="1336"/>
      <c r="F4" s="108"/>
    </row>
    <row r="5" spans="1:17" ht="12.75" customHeight="1">
      <c r="A5" s="1336"/>
      <c r="B5" s="1337"/>
      <c r="C5" s="1339" t="s">
        <v>922</v>
      </c>
      <c r="D5" s="1339" t="s">
        <v>922</v>
      </c>
      <c r="E5" s="1339" t="s">
        <v>922</v>
      </c>
      <c r="F5" s="108"/>
    </row>
    <row r="6" spans="1:17" ht="12.75" customHeight="1">
      <c r="A6" s="1361"/>
      <c r="B6" s="1340" t="s">
        <v>854</v>
      </c>
      <c r="C6" s="1341" t="str">
        <f>OpenData!N4</f>
        <v>2019-2020</v>
      </c>
      <c r="D6" s="1341" t="str">
        <f>OpenData!O4</f>
        <v>2020-2021</v>
      </c>
      <c r="E6" s="1341" t="str">
        <f>OpenData!P4</f>
        <v>2021-2022</v>
      </c>
      <c r="F6" s="108"/>
    </row>
    <row r="7" spans="1:17" ht="12.75" customHeight="1">
      <c r="A7" s="1362" t="s">
        <v>612</v>
      </c>
      <c r="B7" s="1342">
        <v>30</v>
      </c>
      <c r="C7" s="1343" t="s">
        <v>893</v>
      </c>
      <c r="D7" s="1343" t="s">
        <v>893</v>
      </c>
      <c r="E7" s="1343" t="s">
        <v>923</v>
      </c>
      <c r="F7" s="108"/>
      <c r="O7" s="111"/>
      <c r="P7" s="111"/>
      <c r="Q7" s="111"/>
    </row>
    <row r="8" spans="1:17" ht="12.75" customHeight="1">
      <c r="A8" s="1336"/>
      <c r="B8" s="1342" t="s">
        <v>858</v>
      </c>
      <c r="C8" s="1344">
        <v>1</v>
      </c>
      <c r="D8" s="1344">
        <v>2</v>
      </c>
      <c r="E8" s="1344">
        <v>3</v>
      </c>
      <c r="F8" s="108"/>
      <c r="O8" s="111"/>
      <c r="P8" s="111"/>
      <c r="Q8" s="111"/>
    </row>
    <row r="9" spans="1:17" ht="12.75" customHeight="1">
      <c r="A9" s="1363" t="s">
        <v>1043</v>
      </c>
      <c r="B9" s="1345">
        <v>1</v>
      </c>
      <c r="C9" s="1346">
        <v>93737</v>
      </c>
      <c r="D9" s="1347">
        <f>C32</f>
        <v>67621</v>
      </c>
      <c r="E9" s="1348">
        <f>D32</f>
        <v>65039</v>
      </c>
      <c r="F9" s="108"/>
      <c r="O9" s="111"/>
      <c r="P9" s="111"/>
      <c r="Q9" s="111"/>
    </row>
    <row r="10" spans="1:17" ht="12.75" customHeight="1">
      <c r="A10" s="3974" t="s">
        <v>4940</v>
      </c>
      <c r="B10" s="3177">
        <v>3</v>
      </c>
      <c r="C10" s="3167"/>
      <c r="D10" s="3167"/>
      <c r="E10" s="3185"/>
      <c r="F10" s="108"/>
      <c r="O10" s="111"/>
      <c r="P10" s="111"/>
      <c r="Q10" s="111"/>
    </row>
    <row r="11" spans="1:17" ht="12.75" customHeight="1">
      <c r="A11" s="2269"/>
      <c r="B11" s="4286"/>
      <c r="C11" s="4286"/>
      <c r="D11" s="4286"/>
      <c r="E11" s="4290"/>
      <c r="F11" s="108"/>
      <c r="O11" s="111"/>
      <c r="P11" s="111"/>
      <c r="Q11" s="111"/>
    </row>
    <row r="12" spans="1:17" ht="12.75" customHeight="1">
      <c r="A12" s="4287" t="s">
        <v>4767</v>
      </c>
      <c r="B12" s="4288"/>
      <c r="C12" s="4288"/>
      <c r="D12" s="4288"/>
      <c r="E12" s="4289"/>
      <c r="F12" s="108"/>
      <c r="O12" s="111"/>
      <c r="P12" s="111"/>
      <c r="Q12" s="111"/>
    </row>
    <row r="13" spans="1:17" ht="12.75" customHeight="1">
      <c r="A13" s="3151" t="s">
        <v>13</v>
      </c>
      <c r="B13" s="3163"/>
      <c r="C13" s="3163"/>
      <c r="D13" s="3163"/>
      <c r="E13" s="3163"/>
      <c r="F13" s="108"/>
      <c r="O13" s="111"/>
      <c r="P13" s="111"/>
      <c r="Q13" s="111"/>
    </row>
    <row r="14" spans="1:17" ht="12.75" customHeight="1">
      <c r="A14" s="2267" t="s">
        <v>71</v>
      </c>
      <c r="B14" s="3173">
        <v>5</v>
      </c>
      <c r="C14" s="3183"/>
      <c r="D14" s="3183"/>
      <c r="E14" s="3165"/>
      <c r="F14" s="108"/>
    </row>
    <row r="15" spans="1:17" ht="12.75" customHeight="1">
      <c r="A15" s="2268" t="s">
        <v>18</v>
      </c>
      <c r="B15" s="3177">
        <v>15</v>
      </c>
      <c r="C15" s="3167"/>
      <c r="D15" s="3167"/>
      <c r="E15" s="3167">
        <v>105000</v>
      </c>
      <c r="F15" s="108"/>
      <c r="O15" s="112"/>
    </row>
    <row r="16" spans="1:17" ht="12.75" customHeight="1">
      <c r="A16" s="3876" t="s">
        <v>939</v>
      </c>
      <c r="B16" s="3174">
        <v>20</v>
      </c>
      <c r="C16" s="1994">
        <v>97907</v>
      </c>
      <c r="D16" s="1994">
        <v>83278</v>
      </c>
      <c r="E16" s="3185"/>
      <c r="F16" s="108"/>
      <c r="O16" s="112"/>
    </row>
    <row r="17" spans="1:17" ht="12.75" customHeight="1">
      <c r="A17" s="3151" t="s">
        <v>25</v>
      </c>
      <c r="B17" s="3163"/>
      <c r="C17" s="3163"/>
      <c r="D17" s="3163"/>
      <c r="E17" s="3163"/>
      <c r="F17" s="108"/>
      <c r="O17" s="112"/>
      <c r="P17" s="112"/>
      <c r="Q17" s="112"/>
    </row>
    <row r="18" spans="1:17" ht="12.75" customHeight="1">
      <c r="A18" s="3160" t="s">
        <v>613</v>
      </c>
      <c r="B18" s="3175">
        <v>35</v>
      </c>
      <c r="C18" s="3176"/>
      <c r="D18" s="3176"/>
      <c r="E18" s="3176"/>
      <c r="F18" s="108"/>
      <c r="G18" s="702"/>
      <c r="O18" s="112"/>
      <c r="P18" s="112"/>
      <c r="Q18" s="112"/>
    </row>
    <row r="19" spans="1:17" ht="12.75" customHeight="1">
      <c r="A19" s="2269" t="s">
        <v>37</v>
      </c>
      <c r="B19" s="3162"/>
      <c r="C19" s="3162"/>
      <c r="D19" s="3162"/>
      <c r="E19" s="3162"/>
      <c r="F19" s="108"/>
      <c r="O19" s="112"/>
      <c r="P19" s="112"/>
      <c r="Q19" s="112"/>
    </row>
    <row r="20" spans="1:17" ht="12.75" customHeight="1">
      <c r="A20" s="3160" t="s">
        <v>614</v>
      </c>
      <c r="B20" s="3175">
        <v>45</v>
      </c>
      <c r="C20" s="3176"/>
      <c r="D20" s="3176"/>
      <c r="E20" s="3176"/>
      <c r="F20" s="108"/>
      <c r="O20" s="112"/>
      <c r="P20" s="112"/>
      <c r="Q20" s="112"/>
    </row>
    <row r="21" spans="1:17" ht="12.75" customHeight="1">
      <c r="A21" s="3160" t="s">
        <v>1711</v>
      </c>
      <c r="B21" s="3175">
        <v>55</v>
      </c>
      <c r="C21" s="3176"/>
      <c r="D21" s="3176"/>
      <c r="E21" s="3176"/>
      <c r="F21" s="108"/>
      <c r="O21" s="112"/>
      <c r="P21" s="112"/>
      <c r="Q21" s="112"/>
    </row>
    <row r="22" spans="1:17" ht="12.75" customHeight="1">
      <c r="A22" s="2267" t="s">
        <v>615</v>
      </c>
      <c r="B22" s="3173">
        <v>60</v>
      </c>
      <c r="C22" s="3165">
        <v>13787</v>
      </c>
      <c r="D22" s="3165">
        <v>12741</v>
      </c>
      <c r="E22" s="3165"/>
      <c r="F22" s="108"/>
      <c r="O22" s="112"/>
      <c r="P22" s="112"/>
      <c r="Q22" s="112"/>
    </row>
    <row r="23" spans="1:17" ht="12.75" customHeight="1">
      <c r="A23" s="2268" t="s">
        <v>616</v>
      </c>
      <c r="B23" s="3177">
        <v>65</v>
      </c>
      <c r="C23" s="3167"/>
      <c r="D23" s="3167"/>
      <c r="E23" s="3167"/>
      <c r="F23" s="108"/>
    </row>
    <row r="24" spans="1:17" ht="12.75" customHeight="1">
      <c r="A24" s="3159" t="s">
        <v>5110</v>
      </c>
      <c r="B24" s="3174">
        <v>67</v>
      </c>
      <c r="C24" s="3901"/>
      <c r="D24" s="1994">
        <v>9182</v>
      </c>
      <c r="E24" s="1994"/>
      <c r="F24" s="108"/>
      <c r="O24" s="112"/>
      <c r="P24" s="112"/>
      <c r="Q24" s="112"/>
    </row>
    <row r="25" spans="1:17" ht="12.75" customHeight="1">
      <c r="A25" s="3159" t="s">
        <v>5111</v>
      </c>
      <c r="B25" s="3829">
        <v>68</v>
      </c>
      <c r="C25" s="4626"/>
      <c r="D25" s="3901"/>
      <c r="E25" s="3167">
        <v>14081</v>
      </c>
      <c r="F25" s="108"/>
      <c r="O25" s="112"/>
      <c r="P25" s="112"/>
      <c r="Q25" s="112"/>
    </row>
    <row r="26" spans="1:17" ht="12.75" customHeight="1">
      <c r="A26" s="2269" t="s">
        <v>39</v>
      </c>
      <c r="B26" s="3162"/>
      <c r="C26" s="3163"/>
      <c r="D26" s="3163"/>
      <c r="E26" s="3162"/>
      <c r="F26" s="108"/>
    </row>
    <row r="27" spans="1:17" ht="12.75" customHeight="1">
      <c r="A27" s="2267" t="s">
        <v>40</v>
      </c>
      <c r="B27" s="4586">
        <v>75</v>
      </c>
      <c r="C27" s="3184">
        <f>'C06'!$C$276</f>
        <v>750779</v>
      </c>
      <c r="D27" s="3184">
        <f>'C06'!$D$276</f>
        <v>825410</v>
      </c>
      <c r="E27" s="3184">
        <f>'C06'!$E$276</f>
        <v>656957</v>
      </c>
      <c r="F27" s="108"/>
    </row>
    <row r="28" spans="1:17" ht="12.75" customHeight="1">
      <c r="A28" s="1364" t="s">
        <v>308</v>
      </c>
      <c r="B28" s="1349">
        <v>80</v>
      </c>
      <c r="C28" s="1348">
        <f>'C08'!$C$281</f>
        <v>70000</v>
      </c>
      <c r="D28" s="1352">
        <f>'C08'!$D$281</f>
        <v>29609</v>
      </c>
      <c r="E28" s="1348">
        <f>'C08'!$E$281</f>
        <v>250409</v>
      </c>
      <c r="F28" s="108"/>
    </row>
    <row r="29" spans="1:17" ht="12.75" customHeight="1">
      <c r="A29" s="1364" t="s">
        <v>41</v>
      </c>
      <c r="B29" s="1349">
        <v>85</v>
      </c>
      <c r="C29" s="1353">
        <f>'C053'!$C$238</f>
        <v>0</v>
      </c>
      <c r="D29" s="1352">
        <f>'C053'!$D$238</f>
        <v>0</v>
      </c>
      <c r="E29" s="3810" t="s">
        <v>4905</v>
      </c>
      <c r="F29" s="108"/>
      <c r="G29" s="624" t="s">
        <v>1381</v>
      </c>
    </row>
    <row r="30" spans="1:17" ht="12.75" customHeight="1">
      <c r="A30" s="1366" t="s">
        <v>42</v>
      </c>
      <c r="B30" s="1354">
        <v>170</v>
      </c>
      <c r="C30" s="1351">
        <f>SUM(C9:C29)</f>
        <v>1026210</v>
      </c>
      <c r="D30" s="1352">
        <f>SUM(D9:D29)</f>
        <v>1027841</v>
      </c>
      <c r="E30" s="1351">
        <f>SUM(E9:E29)</f>
        <v>1091486</v>
      </c>
      <c r="F30" s="108"/>
      <c r="G30" s="479">
        <f>'F118'!$G$57</f>
        <v>606957</v>
      </c>
    </row>
    <row r="31" spans="1:17" ht="12.75" customHeight="1">
      <c r="A31" s="1367" t="s">
        <v>43</v>
      </c>
      <c r="B31" s="1355">
        <v>175</v>
      </c>
      <c r="C31" s="1350">
        <f>C239</f>
        <v>958589</v>
      </c>
      <c r="D31" s="1352">
        <f>D239</f>
        <v>962802</v>
      </c>
      <c r="E31" s="1350">
        <f>IF(E239&lt;=E30,E239,"ERROR")</f>
        <v>1021591</v>
      </c>
      <c r="F31" s="108"/>
      <c r="G31" s="329" t="str">
        <f>IF(E31="ERROR","Expenditures must be less than or equal to the Resources Available","")</f>
        <v/>
      </c>
    </row>
    <row r="32" spans="1:17" ht="12.75" customHeight="1">
      <c r="A32" s="1368" t="s">
        <v>617</v>
      </c>
      <c r="B32" s="1356">
        <v>190</v>
      </c>
      <c r="C32" s="1348">
        <f>SUM(C30-C31)</f>
        <v>67621</v>
      </c>
      <c r="D32" s="1347">
        <f>SUM(D30-D31)</f>
        <v>65039</v>
      </c>
      <c r="E32" s="1357">
        <f>IF(ISERROR(E30-E31),"NEGATIVE",E30-E31)</f>
        <v>69895</v>
      </c>
      <c r="F32" s="108"/>
      <c r="G32" s="678"/>
      <c r="H32" s="703"/>
    </row>
    <row r="33" spans="1:8" ht="12.75" customHeight="1">
      <c r="A33" s="6139" t="s">
        <v>5144</v>
      </c>
      <c r="B33" s="6140"/>
      <c r="C33" s="6140"/>
      <c r="D33" s="6140"/>
      <c r="E33" s="6140"/>
      <c r="F33" s="108"/>
      <c r="G33" s="703"/>
      <c r="H33" s="703"/>
    </row>
    <row r="34" spans="1:8" ht="12.75" customHeight="1">
      <c r="A34" s="4285"/>
      <c r="B34" s="4254"/>
      <c r="C34" s="4254"/>
      <c r="D34" s="4254"/>
      <c r="E34" s="4254"/>
      <c r="F34" s="108"/>
      <c r="G34" s="703"/>
      <c r="H34" s="703"/>
    </row>
    <row r="35" spans="1:8" ht="12.75" customHeight="1">
      <c r="A35" s="1338" t="str">
        <f>A1</f>
        <v>USD #</v>
      </c>
      <c r="B35" s="4254">
        <f>B1</f>
        <v>237</v>
      </c>
      <c r="C35" s="1358"/>
      <c r="D35" s="6138" t="str">
        <f>D1</f>
        <v>STATE OF KANSAS</v>
      </c>
      <c r="E35" s="6138"/>
      <c r="F35" s="113"/>
    </row>
    <row r="36" spans="1:8" ht="12.75" customHeight="1">
      <c r="A36" s="1336"/>
      <c r="B36" s="1339"/>
      <c r="C36" s="1336"/>
      <c r="D36" s="6138" t="str">
        <f>D2</f>
        <v>Budget Form USD-E</v>
      </c>
      <c r="E36" s="6138"/>
      <c r="F36" s="113"/>
    </row>
    <row r="37" spans="1:8" ht="12.75" customHeight="1">
      <c r="A37" s="1336"/>
      <c r="B37" s="1339"/>
      <c r="C37" s="1336"/>
      <c r="D37" s="1336"/>
      <c r="E37" s="1338" t="str">
        <f>E3</f>
        <v>2021-2022</v>
      </c>
      <c r="F37" s="108"/>
    </row>
    <row r="38" spans="1:8" ht="12.75" customHeight="1">
      <c r="A38" s="1336"/>
      <c r="B38" s="1339"/>
      <c r="C38" s="1336"/>
      <c r="D38" s="1336"/>
      <c r="E38" s="1336"/>
      <c r="F38" s="108"/>
    </row>
    <row r="39" spans="1:8" ht="12.75" customHeight="1">
      <c r="A39" s="1336"/>
      <c r="B39" s="1337"/>
      <c r="C39" s="1339" t="s">
        <v>922</v>
      </c>
      <c r="D39" s="1339" t="s">
        <v>922</v>
      </c>
      <c r="E39" s="1339" t="s">
        <v>922</v>
      </c>
      <c r="F39" s="108"/>
    </row>
    <row r="40" spans="1:8" ht="12.75" customHeight="1">
      <c r="A40" s="1362"/>
      <c r="B40" s="1340" t="s">
        <v>854</v>
      </c>
      <c r="C40" s="1341" t="str">
        <f>C6</f>
        <v>2019-2020</v>
      </c>
      <c r="D40" s="1341" t="str">
        <f>D6</f>
        <v>2020-2021</v>
      </c>
      <c r="E40" s="1341" t="str">
        <f>E6</f>
        <v>2021-2022</v>
      </c>
      <c r="F40" s="108"/>
    </row>
    <row r="41" spans="1:8" ht="12.75" customHeight="1">
      <c r="A41" s="1362" t="str">
        <f>A7</f>
        <v>SPECIAL EDUCATION</v>
      </c>
      <c r="B41" s="1342">
        <v>30</v>
      </c>
      <c r="C41" s="1343" t="s">
        <v>893</v>
      </c>
      <c r="D41" s="1343" t="s">
        <v>893</v>
      </c>
      <c r="E41" s="1343" t="s">
        <v>923</v>
      </c>
      <c r="F41" s="108"/>
    </row>
    <row r="42" spans="1:8" ht="12.75" customHeight="1">
      <c r="A42" s="1336"/>
      <c r="B42" s="1342" t="s">
        <v>858</v>
      </c>
      <c r="C42" s="1344">
        <v>1</v>
      </c>
      <c r="D42" s="1344">
        <v>2</v>
      </c>
      <c r="E42" s="1344">
        <v>3</v>
      </c>
      <c r="F42" s="108"/>
    </row>
    <row r="43" spans="1:8" ht="12.75" customHeight="1">
      <c r="A43" s="3152"/>
      <c r="B43" s="4292"/>
      <c r="C43" s="4293"/>
      <c r="D43" s="4293"/>
      <c r="E43" s="4294"/>
      <c r="F43" s="108"/>
    </row>
    <row r="44" spans="1:8" ht="12.75" customHeight="1">
      <c r="A44" s="4295" t="s">
        <v>60</v>
      </c>
      <c r="B44" s="4296"/>
      <c r="C44" s="4296"/>
      <c r="D44" s="4296"/>
      <c r="E44" s="4297"/>
      <c r="F44" s="108"/>
    </row>
    <row r="45" spans="1:8" ht="12.75" customHeight="1">
      <c r="A45" s="3151" t="s">
        <v>61</v>
      </c>
      <c r="B45" s="4291"/>
      <c r="C45" s="4291"/>
      <c r="D45" s="4291"/>
      <c r="E45" s="4291"/>
      <c r="F45" s="108"/>
    </row>
    <row r="46" spans="1:8" ht="12.75" customHeight="1">
      <c r="A46" s="3151" t="s">
        <v>972</v>
      </c>
      <c r="B46" s="3163"/>
      <c r="C46" s="3163"/>
      <c r="D46" s="3163"/>
      <c r="E46" s="3163"/>
      <c r="F46" s="108"/>
    </row>
    <row r="47" spans="1:8" ht="12.75" customHeight="1">
      <c r="A47" s="2266" t="s">
        <v>999</v>
      </c>
      <c r="B47" s="3164">
        <v>210</v>
      </c>
      <c r="C47" s="3165">
        <v>55734</v>
      </c>
      <c r="D47" s="3165">
        <v>56416</v>
      </c>
      <c r="E47" s="3165">
        <v>60000</v>
      </c>
      <c r="F47" s="108"/>
    </row>
    <row r="48" spans="1:8" ht="12.75" customHeight="1">
      <c r="A48" s="2265" t="s">
        <v>943</v>
      </c>
      <c r="B48" s="3166">
        <v>215</v>
      </c>
      <c r="C48" s="3167">
        <v>34051</v>
      </c>
      <c r="D48" s="3167">
        <v>21336</v>
      </c>
      <c r="E48" s="3167">
        <v>34000</v>
      </c>
      <c r="F48" s="108"/>
    </row>
    <row r="49" spans="1:7" ht="12.75" customHeight="1">
      <c r="A49" s="3152" t="s">
        <v>973</v>
      </c>
      <c r="B49" s="3168"/>
      <c r="C49" s="3168"/>
      <c r="D49" s="3168"/>
      <c r="E49" s="3168"/>
      <c r="F49" s="108"/>
    </row>
    <row r="50" spans="1:7" ht="12.75" customHeight="1">
      <c r="A50" s="2266" t="s">
        <v>974</v>
      </c>
      <c r="B50" s="3164">
        <v>220</v>
      </c>
      <c r="C50" s="3165"/>
      <c r="D50" s="3165"/>
      <c r="E50" s="3165"/>
      <c r="F50" s="108"/>
    </row>
    <row r="51" spans="1:7" ht="12.75" customHeight="1">
      <c r="A51" s="2265" t="s">
        <v>977</v>
      </c>
      <c r="B51" s="3166">
        <v>225</v>
      </c>
      <c r="C51" s="3167">
        <v>8903</v>
      </c>
      <c r="D51" s="3167">
        <v>8388</v>
      </c>
      <c r="E51" s="3167">
        <v>9000</v>
      </c>
      <c r="F51" s="108"/>
    </row>
    <row r="52" spans="1:7" ht="12.75" customHeight="1">
      <c r="A52" s="2265" t="s">
        <v>978</v>
      </c>
      <c r="B52" s="3166">
        <v>230</v>
      </c>
      <c r="C52" s="3167"/>
      <c r="D52" s="3167"/>
      <c r="E52" s="3167"/>
      <c r="F52" s="108"/>
    </row>
    <row r="53" spans="1:7" ht="12.75" customHeight="1">
      <c r="A53" s="3154" t="s">
        <v>4818</v>
      </c>
      <c r="B53" s="3169">
        <v>235</v>
      </c>
      <c r="C53" s="1994">
        <v>500</v>
      </c>
      <c r="D53" s="1994">
        <v>1000</v>
      </c>
      <c r="E53" s="1994">
        <v>1000</v>
      </c>
      <c r="F53" s="108"/>
    </row>
    <row r="54" spans="1:7" ht="12.75" customHeight="1">
      <c r="A54" s="3155" t="s">
        <v>632</v>
      </c>
      <c r="B54" s="3170">
        <v>237</v>
      </c>
      <c r="C54" s="3165"/>
      <c r="D54" s="3165"/>
      <c r="E54" s="3165"/>
      <c r="F54" s="108"/>
    </row>
    <row r="55" spans="1:7" ht="12.75" customHeight="1">
      <c r="A55" s="3152" t="s">
        <v>986</v>
      </c>
      <c r="B55" s="3168"/>
      <c r="C55" s="3168"/>
      <c r="D55" s="3168"/>
      <c r="E55" s="3168"/>
      <c r="F55" s="108"/>
    </row>
    <row r="56" spans="1:7" ht="12.75" customHeight="1">
      <c r="A56" s="3153" t="s">
        <v>62</v>
      </c>
      <c r="B56" s="3171"/>
      <c r="C56" s="3171"/>
      <c r="D56" s="3171"/>
      <c r="E56" s="3171"/>
      <c r="F56" s="108"/>
    </row>
    <row r="57" spans="1:7" ht="12.75" customHeight="1">
      <c r="A57" s="3156" t="s">
        <v>4803</v>
      </c>
      <c r="B57" s="3164">
        <v>240</v>
      </c>
      <c r="C57" s="3165"/>
      <c r="D57" s="3165"/>
      <c r="E57" s="3165"/>
      <c r="F57" s="108"/>
    </row>
    <row r="58" spans="1:7" ht="12.75" customHeight="1">
      <c r="A58" s="4299" t="s">
        <v>4829</v>
      </c>
      <c r="B58" s="3169">
        <v>245</v>
      </c>
      <c r="C58" s="1994"/>
      <c r="D58" s="1994"/>
      <c r="E58" s="1994"/>
      <c r="F58" s="108"/>
    </row>
    <row r="59" spans="1:7" ht="25.5" customHeight="1">
      <c r="A59" s="4300" t="s">
        <v>5145</v>
      </c>
      <c r="B59" s="3178">
        <v>250</v>
      </c>
      <c r="C59" s="3905">
        <v>301735</v>
      </c>
      <c r="D59" s="3905">
        <v>304415</v>
      </c>
      <c r="E59" s="3905">
        <v>318400</v>
      </c>
      <c r="F59" s="108"/>
      <c r="G59" s="4298" t="s">
        <v>507</v>
      </c>
    </row>
    <row r="60" spans="1:7" ht="25.5" customHeight="1">
      <c r="A60" s="4300" t="s">
        <v>4804</v>
      </c>
      <c r="B60" s="3178">
        <v>251</v>
      </c>
      <c r="C60" s="3905">
        <v>510149</v>
      </c>
      <c r="D60" s="3905">
        <v>520410</v>
      </c>
      <c r="E60" s="3905">
        <v>542352</v>
      </c>
      <c r="F60" s="108"/>
    </row>
    <row r="61" spans="1:7" ht="12.75" customHeight="1">
      <c r="A61" s="3157" t="s">
        <v>4707</v>
      </c>
      <c r="B61" s="3166">
        <v>255</v>
      </c>
      <c r="C61" s="3167"/>
      <c r="D61" s="3167">
        <v>9182</v>
      </c>
      <c r="E61" s="3167">
        <v>14000</v>
      </c>
      <c r="F61" s="108"/>
    </row>
    <row r="62" spans="1:7" ht="12.75" customHeight="1">
      <c r="A62" s="3152" t="s">
        <v>989</v>
      </c>
      <c r="B62" s="3168"/>
      <c r="C62" s="3168"/>
      <c r="D62" s="3168"/>
      <c r="E62" s="3168"/>
      <c r="F62" s="108"/>
    </row>
    <row r="63" spans="1:7" ht="12.75" customHeight="1">
      <c r="A63" s="2266" t="s">
        <v>769</v>
      </c>
      <c r="B63" s="3164">
        <v>260</v>
      </c>
      <c r="C63" s="3165">
        <v>678</v>
      </c>
      <c r="D63" s="3165">
        <v>1445</v>
      </c>
      <c r="E63" s="3165">
        <v>621</v>
      </c>
      <c r="F63" s="108"/>
    </row>
    <row r="64" spans="1:7" ht="12.75" customHeight="1">
      <c r="A64" s="3154" t="s">
        <v>64</v>
      </c>
      <c r="B64" s="3169">
        <v>265</v>
      </c>
      <c r="C64" s="1994"/>
      <c r="D64" s="1994"/>
      <c r="E64" s="1994"/>
      <c r="F64" s="108"/>
    </row>
    <row r="65" spans="1:6" ht="12.75" customHeight="1">
      <c r="A65" s="3158" t="s">
        <v>936</v>
      </c>
      <c r="B65" s="3172">
        <v>267</v>
      </c>
      <c r="C65" s="1994"/>
      <c r="D65" s="1994"/>
      <c r="E65" s="1994"/>
      <c r="F65" s="108"/>
    </row>
    <row r="66" spans="1:6" ht="12.75" customHeight="1">
      <c r="A66" s="2265" t="s">
        <v>996</v>
      </c>
      <c r="B66" s="3166">
        <v>270</v>
      </c>
      <c r="C66" s="3167">
        <v>100</v>
      </c>
      <c r="D66" s="3167">
        <v>62</v>
      </c>
      <c r="E66" s="3167">
        <v>62</v>
      </c>
      <c r="F66" s="108"/>
    </row>
    <row r="67" spans="1:6" ht="12.75" customHeight="1">
      <c r="A67" s="3154" t="s">
        <v>997</v>
      </c>
      <c r="B67" s="3169">
        <v>275</v>
      </c>
      <c r="C67" s="1994"/>
      <c r="D67" s="1994"/>
      <c r="E67" s="1994"/>
      <c r="F67" s="108"/>
    </row>
    <row r="68" spans="1:6" ht="12.75" customHeight="1">
      <c r="A68" s="3154" t="s">
        <v>998</v>
      </c>
      <c r="B68" s="3169">
        <v>280</v>
      </c>
      <c r="C68" s="1994">
        <v>1054</v>
      </c>
      <c r="D68" s="1994">
        <v>270</v>
      </c>
      <c r="E68" s="1994">
        <v>270</v>
      </c>
      <c r="F68" s="108"/>
    </row>
    <row r="69" spans="1:6" ht="12.75" customHeight="1">
      <c r="A69" s="3152" t="s">
        <v>65</v>
      </c>
      <c r="B69" s="3168"/>
      <c r="C69" s="3168"/>
      <c r="D69" s="3168"/>
      <c r="E69" s="3168"/>
      <c r="F69" s="108"/>
    </row>
    <row r="70" spans="1:6" ht="12.75" customHeight="1">
      <c r="A70" s="3153" t="s">
        <v>66</v>
      </c>
      <c r="B70" s="3171"/>
      <c r="C70" s="3171"/>
      <c r="D70" s="3171"/>
      <c r="E70" s="3171"/>
      <c r="F70" s="108"/>
    </row>
    <row r="71" spans="1:6" ht="12.75" customHeight="1">
      <c r="A71" s="3153" t="s">
        <v>972</v>
      </c>
      <c r="B71" s="3171"/>
      <c r="C71" s="3171"/>
      <c r="D71" s="3171"/>
      <c r="E71" s="3171"/>
      <c r="F71" s="108"/>
    </row>
    <row r="72" spans="1:6" ht="12.75" customHeight="1">
      <c r="A72" s="2266" t="s">
        <v>999</v>
      </c>
      <c r="B72" s="3164">
        <v>285</v>
      </c>
      <c r="C72" s="3165"/>
      <c r="D72" s="3165"/>
      <c r="E72" s="3165"/>
      <c r="F72" s="108"/>
    </row>
    <row r="73" spans="1:6" ht="12.75" customHeight="1">
      <c r="A73" s="2265" t="s">
        <v>943</v>
      </c>
      <c r="B73" s="3166">
        <v>290</v>
      </c>
      <c r="C73" s="3167">
        <v>1714</v>
      </c>
      <c r="D73" s="3167">
        <v>1616</v>
      </c>
      <c r="E73" s="3167">
        <v>1616</v>
      </c>
      <c r="F73" s="108"/>
    </row>
    <row r="74" spans="1:6" ht="12.75" customHeight="1">
      <c r="A74" s="3152" t="s">
        <v>973</v>
      </c>
      <c r="B74" s="3168"/>
      <c r="C74" s="3168"/>
      <c r="D74" s="3168"/>
      <c r="E74" s="3168"/>
      <c r="F74" s="108"/>
    </row>
    <row r="75" spans="1:6" ht="12.75" customHeight="1">
      <c r="A75" s="2266" t="s">
        <v>974</v>
      </c>
      <c r="B75" s="3164">
        <v>295</v>
      </c>
      <c r="C75" s="3165"/>
      <c r="D75" s="3165"/>
      <c r="E75" s="3165"/>
      <c r="F75" s="108"/>
    </row>
    <row r="76" spans="1:6" ht="12.75" customHeight="1">
      <c r="A76" s="2265" t="s">
        <v>977</v>
      </c>
      <c r="B76" s="3166">
        <v>300</v>
      </c>
      <c r="C76" s="3167"/>
      <c r="D76" s="3167"/>
      <c r="E76" s="3167"/>
      <c r="F76" s="108"/>
    </row>
    <row r="77" spans="1:6" ht="12.75" customHeight="1">
      <c r="A77" s="2265" t="s">
        <v>978</v>
      </c>
      <c r="B77" s="3166">
        <v>305</v>
      </c>
      <c r="C77" s="3167"/>
      <c r="D77" s="3167"/>
      <c r="E77" s="3167"/>
      <c r="F77" s="108"/>
    </row>
    <row r="78" spans="1:6" ht="12.75" customHeight="1">
      <c r="A78" s="3154" t="s">
        <v>4818</v>
      </c>
      <c r="B78" s="3169">
        <v>310</v>
      </c>
      <c r="C78" s="1994"/>
      <c r="D78" s="1994"/>
      <c r="E78" s="1994"/>
      <c r="F78" s="108"/>
    </row>
    <row r="79" spans="1:6" ht="12.75" customHeight="1">
      <c r="A79" s="3155" t="s">
        <v>632</v>
      </c>
      <c r="B79" s="3170">
        <v>313</v>
      </c>
      <c r="C79" s="3165"/>
      <c r="D79" s="3165"/>
      <c r="E79" s="3165"/>
      <c r="F79" s="108"/>
    </row>
    <row r="80" spans="1:6" ht="12.75" customHeight="1">
      <c r="A80" s="2265" t="s">
        <v>986</v>
      </c>
      <c r="B80" s="3166">
        <v>315</v>
      </c>
      <c r="C80" s="3167"/>
      <c r="D80" s="3167"/>
      <c r="E80" s="3167"/>
      <c r="F80" s="108"/>
    </row>
    <row r="81" spans="1:6" ht="12.75" customHeight="1">
      <c r="A81" s="3154" t="s">
        <v>989</v>
      </c>
      <c r="B81" s="3169">
        <v>320</v>
      </c>
      <c r="C81" s="1994"/>
      <c r="D81" s="1994"/>
      <c r="E81" s="1994"/>
      <c r="F81" s="108"/>
    </row>
    <row r="82" spans="1:6" ht="12.75" customHeight="1">
      <c r="A82" s="2266" t="s">
        <v>997</v>
      </c>
      <c r="B82" s="3164">
        <v>325</v>
      </c>
      <c r="C82" s="3165"/>
      <c r="D82" s="3165"/>
      <c r="E82" s="3165"/>
      <c r="F82" s="108"/>
    </row>
    <row r="83" spans="1:6" ht="12.75" customHeight="1">
      <c r="A83" s="3154" t="s">
        <v>998</v>
      </c>
      <c r="B83" s="3169">
        <v>330</v>
      </c>
      <c r="C83" s="1994"/>
      <c r="D83" s="1994"/>
      <c r="E83" s="1994"/>
      <c r="F83" s="108"/>
    </row>
    <row r="84" spans="1:6" ht="12.75" customHeight="1">
      <c r="A84" s="3152" t="s">
        <v>256</v>
      </c>
      <c r="B84" s="3168"/>
      <c r="C84" s="3168"/>
      <c r="D84" s="3168"/>
      <c r="E84" s="3168"/>
      <c r="F84" s="108"/>
    </row>
    <row r="85" spans="1:6" ht="12.75" customHeight="1">
      <c r="A85" s="3153" t="s">
        <v>972</v>
      </c>
      <c r="B85" s="3171"/>
      <c r="C85" s="3171"/>
      <c r="D85" s="3171"/>
      <c r="E85" s="3171"/>
      <c r="F85" s="108"/>
    </row>
    <row r="86" spans="1:6" ht="12.75" customHeight="1">
      <c r="A86" s="2266" t="s">
        <v>999</v>
      </c>
      <c r="B86" s="3164">
        <v>335</v>
      </c>
      <c r="C86" s="3165"/>
      <c r="D86" s="3165"/>
      <c r="E86" s="3165"/>
      <c r="F86" s="108"/>
    </row>
    <row r="87" spans="1:6" ht="12.75" customHeight="1">
      <c r="A87" s="2265" t="s">
        <v>943</v>
      </c>
      <c r="B87" s="3166">
        <v>340</v>
      </c>
      <c r="C87" s="3167"/>
      <c r="D87" s="3167"/>
      <c r="E87" s="3167"/>
      <c r="F87" s="108"/>
    </row>
    <row r="88" spans="1:6" ht="12.75" customHeight="1">
      <c r="A88" s="3152" t="s">
        <v>973</v>
      </c>
      <c r="B88" s="3168"/>
      <c r="C88" s="3168"/>
      <c r="D88" s="3168"/>
      <c r="E88" s="3168"/>
      <c r="F88" s="108"/>
    </row>
    <row r="89" spans="1:6" ht="12.75" customHeight="1">
      <c r="A89" s="2266" t="s">
        <v>974</v>
      </c>
      <c r="B89" s="3164">
        <v>345</v>
      </c>
      <c r="C89" s="3165"/>
      <c r="D89" s="3165"/>
      <c r="E89" s="3165"/>
      <c r="F89" s="108"/>
    </row>
    <row r="90" spans="1:6" ht="12.75" customHeight="1">
      <c r="A90" s="2265" t="s">
        <v>977</v>
      </c>
      <c r="B90" s="3166">
        <v>350</v>
      </c>
      <c r="C90" s="3167"/>
      <c r="D90" s="3167"/>
      <c r="E90" s="3167"/>
      <c r="F90" s="108"/>
    </row>
    <row r="91" spans="1:6" ht="12.75" customHeight="1">
      <c r="A91" s="3154" t="s">
        <v>978</v>
      </c>
      <c r="B91" s="3169">
        <v>355</v>
      </c>
      <c r="C91" s="1994"/>
      <c r="D91" s="1994"/>
      <c r="E91" s="1994"/>
      <c r="F91" s="108"/>
    </row>
    <row r="92" spans="1:6" ht="12.75" customHeight="1">
      <c r="A92" s="3154" t="s">
        <v>4818</v>
      </c>
      <c r="B92" s="3164">
        <v>360</v>
      </c>
      <c r="C92" s="3165"/>
      <c r="D92" s="3165"/>
      <c r="E92" s="3165"/>
      <c r="F92" s="108"/>
    </row>
    <row r="93" spans="1:6" ht="12.75" customHeight="1">
      <c r="A93" s="3158" t="s">
        <v>632</v>
      </c>
      <c r="B93" s="3172">
        <v>363</v>
      </c>
      <c r="C93" s="1994"/>
      <c r="D93" s="1994"/>
      <c r="E93" s="1994"/>
      <c r="F93" s="108"/>
    </row>
    <row r="94" spans="1:6" ht="12.75" customHeight="1">
      <c r="A94" s="3154" t="s">
        <v>986</v>
      </c>
      <c r="B94" s="3169">
        <v>365</v>
      </c>
      <c r="C94" s="1994"/>
      <c r="D94" s="1994"/>
      <c r="E94" s="1994"/>
      <c r="F94" s="108"/>
    </row>
    <row r="95" spans="1:6" ht="12.75" customHeight="1">
      <c r="A95" s="2269" t="s">
        <v>955</v>
      </c>
      <c r="B95" s="3162"/>
      <c r="C95" s="3162"/>
      <c r="D95" s="3162"/>
      <c r="E95" s="3162"/>
      <c r="F95" s="108"/>
    </row>
    <row r="96" spans="1:6" ht="12.75" customHeight="1">
      <c r="A96" s="2267" t="s">
        <v>5146</v>
      </c>
      <c r="B96" s="3173">
        <v>370</v>
      </c>
      <c r="C96" s="3165"/>
      <c r="D96" s="3165"/>
      <c r="E96" s="3165"/>
      <c r="F96" s="108"/>
    </row>
    <row r="97" spans="1:6" ht="12.75" customHeight="1">
      <c r="A97" s="3159" t="s">
        <v>693</v>
      </c>
      <c r="B97" s="3174">
        <v>375</v>
      </c>
      <c r="C97" s="1994"/>
      <c r="D97" s="1994"/>
      <c r="E97" s="1994"/>
      <c r="F97" s="108"/>
    </row>
    <row r="98" spans="1:6" ht="12.75" customHeight="1">
      <c r="A98" s="3160" t="s">
        <v>958</v>
      </c>
      <c r="B98" s="3175">
        <v>380</v>
      </c>
      <c r="C98" s="3176"/>
      <c r="D98" s="3176"/>
      <c r="E98" s="3176"/>
      <c r="F98" s="108"/>
    </row>
    <row r="99" spans="1:6" ht="12.75" customHeight="1">
      <c r="A99" s="2268" t="s">
        <v>959</v>
      </c>
      <c r="B99" s="3177">
        <v>385</v>
      </c>
      <c r="C99" s="3167"/>
      <c r="D99" s="3167"/>
      <c r="E99" s="3167"/>
      <c r="F99" s="108"/>
    </row>
    <row r="100" spans="1:6" ht="12.75" customHeight="1">
      <c r="A100" s="3159" t="s">
        <v>960</v>
      </c>
      <c r="B100" s="3174">
        <v>390</v>
      </c>
      <c r="C100" s="1994"/>
      <c r="D100" s="1994"/>
      <c r="E100" s="1994"/>
      <c r="F100" s="108"/>
    </row>
    <row r="101" spans="1:6" ht="12.75" customHeight="1">
      <c r="A101" s="2269" t="s">
        <v>967</v>
      </c>
      <c r="B101" s="3162"/>
      <c r="C101" s="3162"/>
      <c r="D101" s="3162"/>
      <c r="E101" s="3162"/>
      <c r="F101" s="108"/>
    </row>
    <row r="102" spans="1:6" ht="12.75" customHeight="1">
      <c r="A102" s="3151" t="s">
        <v>618</v>
      </c>
      <c r="B102" s="3163"/>
      <c r="C102" s="3163"/>
      <c r="D102" s="3163"/>
      <c r="E102" s="3163"/>
      <c r="F102" s="108"/>
    </row>
    <row r="103" spans="1:6" ht="12.75" customHeight="1">
      <c r="A103" s="3151" t="s">
        <v>941</v>
      </c>
      <c r="B103" s="3163"/>
      <c r="C103" s="3163"/>
      <c r="D103" s="3163"/>
      <c r="E103" s="3163"/>
      <c r="F103" s="108"/>
    </row>
    <row r="104" spans="1:6" ht="12.75" customHeight="1">
      <c r="A104" s="3160" t="s">
        <v>942</v>
      </c>
      <c r="B104" s="3175">
        <v>395</v>
      </c>
      <c r="C104" s="3176"/>
      <c r="D104" s="3176"/>
      <c r="E104" s="3176"/>
      <c r="F104" s="108"/>
    </row>
    <row r="105" spans="1:6" ht="12.75" customHeight="1">
      <c r="A105" s="2267" t="s">
        <v>602</v>
      </c>
      <c r="B105" s="3173">
        <v>400</v>
      </c>
      <c r="C105" s="3165"/>
      <c r="D105" s="3165"/>
      <c r="E105" s="3165"/>
      <c r="F105" s="108"/>
    </row>
    <row r="106" spans="1:6" ht="12.75" customHeight="1">
      <c r="A106" s="2269" t="s">
        <v>944</v>
      </c>
      <c r="B106" s="3162"/>
      <c r="C106" s="3162"/>
      <c r="D106" s="3162"/>
      <c r="E106" s="3162"/>
      <c r="F106" s="108"/>
    </row>
    <row r="107" spans="1:6" ht="12.75" customHeight="1">
      <c r="A107" s="2267" t="s">
        <v>945</v>
      </c>
      <c r="B107" s="3173">
        <v>405</v>
      </c>
      <c r="C107" s="3165"/>
      <c r="D107" s="3165"/>
      <c r="E107" s="3165"/>
      <c r="F107" s="108"/>
    </row>
    <row r="108" spans="1:6" ht="12.75" customHeight="1">
      <c r="A108" s="2268" t="s">
        <v>946</v>
      </c>
      <c r="B108" s="3177">
        <v>410</v>
      </c>
      <c r="C108" s="3167"/>
      <c r="D108" s="3167"/>
      <c r="E108" s="3167"/>
      <c r="F108" s="108"/>
    </row>
    <row r="109" spans="1:6" ht="12.75" customHeight="1">
      <c r="A109" s="3159" t="s">
        <v>947</v>
      </c>
      <c r="B109" s="3174">
        <v>415</v>
      </c>
      <c r="C109" s="1994"/>
      <c r="D109" s="1994"/>
      <c r="E109" s="1994"/>
      <c r="F109" s="108"/>
    </row>
    <row r="110" spans="1:6" ht="12.75" customHeight="1">
      <c r="A110" s="3154" t="s">
        <v>4818</v>
      </c>
      <c r="B110" s="3173">
        <v>420</v>
      </c>
      <c r="C110" s="3165"/>
      <c r="D110" s="3165"/>
      <c r="E110" s="3165"/>
      <c r="F110" s="108"/>
    </row>
    <row r="111" spans="1:6" ht="12.75" customHeight="1">
      <c r="A111" s="3159" t="s">
        <v>968</v>
      </c>
      <c r="B111" s="3174">
        <v>425</v>
      </c>
      <c r="C111" s="1994"/>
      <c r="D111" s="1994"/>
      <c r="E111" s="1994"/>
      <c r="F111" s="108"/>
    </row>
    <row r="112" spans="1:6" ht="12.75" customHeight="1">
      <c r="A112" s="2267" t="s">
        <v>950</v>
      </c>
      <c r="B112" s="3173">
        <v>430</v>
      </c>
      <c r="C112" s="3165"/>
      <c r="D112" s="3165"/>
      <c r="E112" s="3165"/>
      <c r="F112" s="108"/>
    </row>
    <row r="113" spans="1:6" ht="12.75" customHeight="1">
      <c r="A113" s="2268" t="s">
        <v>955</v>
      </c>
      <c r="B113" s="3177">
        <v>435</v>
      </c>
      <c r="C113" s="3167"/>
      <c r="D113" s="3167"/>
      <c r="E113" s="3167"/>
      <c r="F113" s="108"/>
    </row>
    <row r="114" spans="1:6" ht="12.75" customHeight="1">
      <c r="A114" s="2268" t="s">
        <v>959</v>
      </c>
      <c r="B114" s="3177">
        <v>440</v>
      </c>
      <c r="C114" s="3167"/>
      <c r="D114" s="3167"/>
      <c r="E114" s="3167"/>
      <c r="F114" s="108"/>
    </row>
    <row r="115" spans="1:6" ht="12.75" customHeight="1">
      <c r="A115" s="2268" t="s">
        <v>960</v>
      </c>
      <c r="B115" s="3177">
        <v>445</v>
      </c>
      <c r="C115" s="3167"/>
      <c r="D115" s="3167"/>
      <c r="E115" s="3167"/>
      <c r="F115" s="108"/>
    </row>
    <row r="116" spans="1:6" ht="12.75" customHeight="1">
      <c r="A116" s="2269" t="s">
        <v>970</v>
      </c>
      <c r="B116" s="3162"/>
      <c r="C116" s="3162"/>
      <c r="D116" s="3162"/>
      <c r="E116" s="3162"/>
      <c r="F116" s="108"/>
    </row>
    <row r="117" spans="1:6" ht="12.75" customHeight="1">
      <c r="A117" s="3151" t="s">
        <v>941</v>
      </c>
      <c r="B117" s="3163"/>
      <c r="C117" s="3163"/>
      <c r="D117" s="3163"/>
      <c r="E117" s="3163"/>
      <c r="F117" s="108"/>
    </row>
    <row r="118" spans="1:6" ht="12.75" customHeight="1">
      <c r="A118" s="2267" t="s">
        <v>942</v>
      </c>
      <c r="B118" s="3173">
        <v>450</v>
      </c>
      <c r="C118" s="3165"/>
      <c r="D118" s="3165"/>
      <c r="E118" s="3165"/>
      <c r="F118" s="108"/>
    </row>
    <row r="119" spans="1:6" ht="12.75" customHeight="1">
      <c r="A119" s="3159" t="s">
        <v>603</v>
      </c>
      <c r="B119" s="3174">
        <v>455</v>
      </c>
      <c r="C119" s="1994"/>
      <c r="D119" s="1994"/>
      <c r="E119" s="1994"/>
      <c r="F119" s="108"/>
    </row>
    <row r="120" spans="1:6" ht="12.75" customHeight="1">
      <c r="A120" s="4568" t="s">
        <v>944</v>
      </c>
      <c r="B120" s="4569"/>
      <c r="C120" s="4569"/>
      <c r="D120" s="4569"/>
      <c r="E120" s="4569"/>
      <c r="F120" s="108"/>
    </row>
    <row r="121" spans="1:6" ht="12.75" customHeight="1">
      <c r="A121" s="3159" t="s">
        <v>945</v>
      </c>
      <c r="B121" s="3174">
        <v>460</v>
      </c>
      <c r="C121" s="1994"/>
      <c r="D121" s="1994"/>
      <c r="E121" s="1994"/>
      <c r="F121" s="108"/>
    </row>
    <row r="122" spans="1:6" ht="12.75" customHeight="1">
      <c r="A122" s="2268" t="s">
        <v>946</v>
      </c>
      <c r="B122" s="3177">
        <v>465</v>
      </c>
      <c r="C122" s="3167"/>
      <c r="D122" s="3167"/>
      <c r="E122" s="3167"/>
      <c r="F122" s="108"/>
    </row>
    <row r="123" spans="1:6" ht="12.75" customHeight="1">
      <c r="A123" s="3159" t="s">
        <v>947</v>
      </c>
      <c r="B123" s="3177">
        <v>470</v>
      </c>
      <c r="C123" s="3167"/>
      <c r="D123" s="3167"/>
      <c r="E123" s="3167"/>
      <c r="F123" s="108"/>
    </row>
    <row r="124" spans="1:6" ht="12.75" customHeight="1">
      <c r="A124" s="3154" t="s">
        <v>4818</v>
      </c>
      <c r="B124" s="3177">
        <v>475</v>
      </c>
      <c r="C124" s="3167"/>
      <c r="D124" s="3167"/>
      <c r="E124" s="3167"/>
      <c r="F124" s="108"/>
    </row>
    <row r="125" spans="1:6" ht="12.75" customHeight="1">
      <c r="A125" s="3159" t="s">
        <v>950</v>
      </c>
      <c r="B125" s="3174">
        <v>480</v>
      </c>
      <c r="C125" s="1994"/>
      <c r="D125" s="1994"/>
      <c r="E125" s="1994"/>
      <c r="F125" s="108"/>
    </row>
    <row r="126" spans="1:6" ht="12.75" customHeight="1">
      <c r="A126" s="3159" t="s">
        <v>955</v>
      </c>
      <c r="B126" s="3174">
        <v>485</v>
      </c>
      <c r="C126" s="1994"/>
      <c r="D126" s="1994"/>
      <c r="E126" s="1994"/>
      <c r="F126" s="113"/>
    </row>
    <row r="127" spans="1:6" ht="12.75" customHeight="1">
      <c r="A127" s="3159" t="s">
        <v>959</v>
      </c>
      <c r="B127" s="3174">
        <v>490</v>
      </c>
      <c r="C127" s="1994"/>
      <c r="D127" s="1994"/>
      <c r="E127" s="1994"/>
      <c r="F127" s="108"/>
    </row>
    <row r="128" spans="1:6" ht="12.75" customHeight="1">
      <c r="A128" s="3159" t="s">
        <v>960</v>
      </c>
      <c r="B128" s="3174">
        <v>495</v>
      </c>
      <c r="C128" s="1994"/>
      <c r="D128" s="1994"/>
      <c r="E128" s="1994"/>
      <c r="F128" s="108"/>
    </row>
    <row r="129" spans="1:6" ht="12.75" customHeight="1">
      <c r="A129" s="2555" t="s">
        <v>1320</v>
      </c>
      <c r="B129" s="2573"/>
      <c r="C129" s="2573"/>
      <c r="D129" s="2573"/>
      <c r="E129" s="2573"/>
      <c r="F129" s="108"/>
    </row>
    <row r="130" spans="1:6" ht="12.75" customHeight="1">
      <c r="A130" s="2556" t="s">
        <v>941</v>
      </c>
      <c r="B130" s="2574"/>
      <c r="C130" s="2574"/>
      <c r="D130" s="2574"/>
      <c r="E130" s="2574"/>
      <c r="F130" s="108"/>
    </row>
    <row r="131" spans="1:6" ht="12.75" customHeight="1">
      <c r="A131" s="2562" t="s">
        <v>942</v>
      </c>
      <c r="B131" s="2575">
        <v>800</v>
      </c>
      <c r="C131" s="2581"/>
      <c r="D131" s="2581"/>
      <c r="E131" s="2581"/>
      <c r="F131" s="108"/>
    </row>
    <row r="132" spans="1:6" ht="12.75" customHeight="1">
      <c r="A132" s="2562" t="s">
        <v>313</v>
      </c>
      <c r="B132" s="2575">
        <v>805</v>
      </c>
      <c r="C132" s="2581"/>
      <c r="D132" s="2581"/>
      <c r="E132" s="2581"/>
      <c r="F132" s="108"/>
    </row>
    <row r="133" spans="1:6" ht="12.75" customHeight="1">
      <c r="A133" s="2555" t="s">
        <v>944</v>
      </c>
      <c r="B133" s="2573"/>
      <c r="C133" s="2573"/>
      <c r="D133" s="2573"/>
      <c r="E133" s="2573"/>
      <c r="F133" s="108"/>
    </row>
    <row r="134" spans="1:6" ht="12.75" customHeight="1">
      <c r="A134" s="2562" t="s">
        <v>295</v>
      </c>
      <c r="B134" s="2575">
        <v>810</v>
      </c>
      <c r="C134" s="2581"/>
      <c r="D134" s="2581"/>
      <c r="E134" s="2581"/>
      <c r="F134" s="108"/>
    </row>
    <row r="135" spans="1:6" ht="12.75" customHeight="1">
      <c r="A135" s="2563" t="s">
        <v>946</v>
      </c>
      <c r="B135" s="2576">
        <v>815</v>
      </c>
      <c r="C135" s="2023"/>
      <c r="D135" s="2023"/>
      <c r="E135" s="2023"/>
      <c r="F135" s="108"/>
    </row>
    <row r="136" spans="1:6" ht="12.75" customHeight="1">
      <c r="A136" s="2563" t="s">
        <v>947</v>
      </c>
      <c r="B136" s="2576">
        <v>820</v>
      </c>
      <c r="C136" s="2023"/>
      <c r="D136" s="2023"/>
      <c r="E136" s="2023"/>
      <c r="F136" s="108"/>
    </row>
    <row r="137" spans="1:6" ht="12.75" customHeight="1">
      <c r="A137" s="3154" t="s">
        <v>4818</v>
      </c>
      <c r="B137" s="2577">
        <v>825</v>
      </c>
      <c r="C137" s="2582"/>
      <c r="D137" s="2582"/>
      <c r="E137" s="2582"/>
      <c r="F137" s="108"/>
    </row>
    <row r="138" spans="1:6" ht="12.75" customHeight="1">
      <c r="A138" s="2563" t="s">
        <v>968</v>
      </c>
      <c r="B138" s="2576">
        <v>830</v>
      </c>
      <c r="C138" s="2023"/>
      <c r="D138" s="2023"/>
      <c r="E138" s="2023"/>
      <c r="F138" s="108"/>
    </row>
    <row r="139" spans="1:6" ht="12.75" customHeight="1">
      <c r="A139" s="2563" t="s">
        <v>950</v>
      </c>
      <c r="B139" s="2576">
        <v>835</v>
      </c>
      <c r="C139" s="2023"/>
      <c r="D139" s="2023"/>
      <c r="E139" s="2023"/>
      <c r="F139" s="108"/>
    </row>
    <row r="140" spans="1:6" ht="12.75" customHeight="1">
      <c r="A140" s="2563" t="s">
        <v>955</v>
      </c>
      <c r="B140" s="2576">
        <v>840</v>
      </c>
      <c r="C140" s="2023"/>
      <c r="D140" s="2023"/>
      <c r="E140" s="2023"/>
      <c r="F140" s="108"/>
    </row>
    <row r="141" spans="1:6" ht="12.75" customHeight="1">
      <c r="A141" s="2563" t="s">
        <v>959</v>
      </c>
      <c r="B141" s="2576">
        <v>845</v>
      </c>
      <c r="C141" s="2023"/>
      <c r="D141" s="2023"/>
      <c r="E141" s="2023"/>
      <c r="F141" s="108"/>
    </row>
    <row r="142" spans="1:6" ht="12.75" customHeight="1">
      <c r="A142" s="2258" t="s">
        <v>960</v>
      </c>
      <c r="B142" s="2576">
        <v>850</v>
      </c>
      <c r="C142" s="2582"/>
      <c r="D142" s="2023"/>
      <c r="E142" s="2023"/>
      <c r="F142" s="108"/>
    </row>
    <row r="143" spans="1:6" ht="12.75" customHeight="1">
      <c r="A143" s="2269" t="s">
        <v>284</v>
      </c>
      <c r="B143" s="3162"/>
      <c r="C143" s="3162"/>
      <c r="D143" s="3162"/>
      <c r="E143" s="3162"/>
      <c r="F143" s="108"/>
    </row>
    <row r="144" spans="1:6" ht="12.75" customHeight="1">
      <c r="A144" s="3151" t="s">
        <v>941</v>
      </c>
      <c r="B144" s="3163"/>
      <c r="C144" s="3163"/>
      <c r="D144" s="3163"/>
      <c r="E144" s="3163"/>
      <c r="F144" s="108"/>
    </row>
    <row r="145" spans="1:6" ht="12.75" customHeight="1">
      <c r="A145" s="2267" t="s">
        <v>605</v>
      </c>
      <c r="B145" s="3173">
        <v>500</v>
      </c>
      <c r="C145" s="3165"/>
      <c r="D145" s="3165"/>
      <c r="E145" s="3165"/>
      <c r="F145" s="108"/>
    </row>
    <row r="146" spans="1:6" ht="12.75" customHeight="1">
      <c r="A146" s="2269" t="s">
        <v>944</v>
      </c>
      <c r="B146" s="3162"/>
      <c r="C146" s="3162"/>
      <c r="D146" s="3162"/>
      <c r="E146" s="3162"/>
      <c r="F146" s="108"/>
    </row>
    <row r="147" spans="1:6" ht="12.75" customHeight="1">
      <c r="A147" s="2267" t="s">
        <v>945</v>
      </c>
      <c r="B147" s="3173">
        <v>505</v>
      </c>
      <c r="C147" s="3165"/>
      <c r="D147" s="3165"/>
      <c r="E147" s="3165"/>
      <c r="F147" s="108"/>
    </row>
    <row r="148" spans="1:6" ht="12.75" customHeight="1">
      <c r="A148" s="2268" t="s">
        <v>946</v>
      </c>
      <c r="B148" s="3177">
        <v>510</v>
      </c>
      <c r="C148" s="3167"/>
      <c r="D148" s="3167"/>
      <c r="E148" s="3167"/>
      <c r="F148" s="108"/>
    </row>
    <row r="149" spans="1:6" ht="12.75" customHeight="1">
      <c r="A149" s="3159" t="s">
        <v>947</v>
      </c>
      <c r="B149" s="3177">
        <v>515</v>
      </c>
      <c r="C149" s="3167"/>
      <c r="D149" s="3167"/>
      <c r="E149" s="3167"/>
      <c r="F149" s="108"/>
    </row>
    <row r="150" spans="1:6" ht="12.75" customHeight="1">
      <c r="A150" s="3154" t="s">
        <v>4818</v>
      </c>
      <c r="B150" s="3174">
        <v>520</v>
      </c>
      <c r="C150" s="1994"/>
      <c r="D150" s="1994"/>
      <c r="E150" s="1994"/>
      <c r="F150" s="108"/>
    </row>
    <row r="151" spans="1:6" s="110" customFormat="1" ht="12.75" customHeight="1">
      <c r="A151" s="3152" t="s">
        <v>968</v>
      </c>
      <c r="B151" s="3168"/>
      <c r="C151" s="3168"/>
      <c r="D151" s="3168"/>
      <c r="E151" s="3168"/>
      <c r="F151" s="108"/>
    </row>
    <row r="152" spans="1:6" ht="12.75" customHeight="1">
      <c r="A152" s="2266" t="s">
        <v>286</v>
      </c>
      <c r="B152" s="3164">
        <v>525</v>
      </c>
      <c r="C152" s="3165"/>
      <c r="D152" s="3165"/>
      <c r="E152" s="3165"/>
      <c r="F152" s="108"/>
    </row>
    <row r="153" spans="1:6" ht="12.75" customHeight="1">
      <c r="A153" s="2265" t="s">
        <v>606</v>
      </c>
      <c r="B153" s="3166">
        <v>530</v>
      </c>
      <c r="C153" s="3167"/>
      <c r="D153" s="3167"/>
      <c r="E153" s="3167"/>
      <c r="F153" s="108"/>
    </row>
    <row r="154" spans="1:6" ht="12.75" customHeight="1">
      <c r="A154" s="3154" t="s">
        <v>607</v>
      </c>
      <c r="B154" s="3169">
        <v>535</v>
      </c>
      <c r="C154" s="1994"/>
      <c r="D154" s="1994"/>
      <c r="E154" s="1994"/>
      <c r="F154" s="108"/>
    </row>
    <row r="155" spans="1:6" ht="12.75" customHeight="1">
      <c r="A155" s="3154" t="s">
        <v>608</v>
      </c>
      <c r="B155" s="3169">
        <v>540</v>
      </c>
      <c r="C155" s="1994"/>
      <c r="D155" s="1994"/>
      <c r="E155" s="1994"/>
      <c r="F155" s="108"/>
    </row>
    <row r="156" spans="1:6" ht="12.75" customHeight="1">
      <c r="A156" s="3154" t="s">
        <v>287</v>
      </c>
      <c r="B156" s="3169">
        <v>545</v>
      </c>
      <c r="C156" s="3167"/>
      <c r="D156" s="3167"/>
      <c r="E156" s="3167"/>
      <c r="F156" s="108"/>
    </row>
    <row r="157" spans="1:6" ht="12.75" customHeight="1">
      <c r="A157" s="2265" t="s">
        <v>950</v>
      </c>
      <c r="B157" s="3166">
        <v>550</v>
      </c>
      <c r="C157" s="3167"/>
      <c r="D157" s="3167"/>
      <c r="E157" s="3167"/>
      <c r="F157" s="108"/>
    </row>
    <row r="158" spans="1:6" ht="12.75" customHeight="1">
      <c r="A158" s="3152" t="s">
        <v>955</v>
      </c>
      <c r="B158" s="3168"/>
      <c r="C158" s="3168"/>
      <c r="D158" s="3168"/>
      <c r="E158" s="3168"/>
      <c r="F158" s="108"/>
    </row>
    <row r="159" spans="1:6" ht="12.75" customHeight="1">
      <c r="A159" s="3161" t="s">
        <v>288</v>
      </c>
      <c r="B159" s="3178">
        <v>555</v>
      </c>
      <c r="C159" s="3176"/>
      <c r="D159" s="3176"/>
      <c r="E159" s="3176"/>
      <c r="F159" s="108"/>
    </row>
    <row r="160" spans="1:6" ht="12.75" customHeight="1">
      <c r="A160" s="3152" t="s">
        <v>289</v>
      </c>
      <c r="B160" s="3168"/>
      <c r="C160" s="3168"/>
      <c r="D160" s="3168"/>
      <c r="E160" s="3168"/>
      <c r="F160" s="108"/>
    </row>
    <row r="161" spans="1:6" ht="12.75" customHeight="1">
      <c r="A161" s="2266" t="s">
        <v>290</v>
      </c>
      <c r="B161" s="3164">
        <v>560</v>
      </c>
      <c r="C161" s="3165"/>
      <c r="D161" s="3165"/>
      <c r="E161" s="3165"/>
      <c r="F161" s="108"/>
    </row>
    <row r="162" spans="1:6" ht="12.75" customHeight="1">
      <c r="A162" s="2265" t="s">
        <v>291</v>
      </c>
      <c r="B162" s="3166">
        <v>565</v>
      </c>
      <c r="C162" s="3167"/>
      <c r="D162" s="3167"/>
      <c r="E162" s="3167"/>
      <c r="F162" s="108"/>
    </row>
    <row r="163" spans="1:6" ht="12.75" customHeight="1">
      <c r="A163" s="2265" t="s">
        <v>51</v>
      </c>
      <c r="B163" s="3166">
        <v>570</v>
      </c>
      <c r="C163" s="3167"/>
      <c r="D163" s="3167"/>
      <c r="E163" s="3167"/>
      <c r="F163" s="108"/>
    </row>
    <row r="164" spans="1:6" ht="12.75" customHeight="1">
      <c r="A164" s="2265" t="s">
        <v>292</v>
      </c>
      <c r="B164" s="3166">
        <v>575</v>
      </c>
      <c r="C164" s="3167"/>
      <c r="D164" s="3167"/>
      <c r="E164" s="3167"/>
      <c r="F164" s="108"/>
    </row>
    <row r="165" spans="1:6" ht="12.75" customHeight="1">
      <c r="A165" s="2265" t="s">
        <v>958</v>
      </c>
      <c r="B165" s="3166">
        <v>580</v>
      </c>
      <c r="C165" s="3167"/>
      <c r="D165" s="3167"/>
      <c r="E165" s="3167"/>
      <c r="F165" s="108"/>
    </row>
    <row r="166" spans="1:6" ht="12.75" customHeight="1">
      <c r="A166" s="2265" t="s">
        <v>959</v>
      </c>
      <c r="B166" s="3166">
        <v>585</v>
      </c>
      <c r="C166" s="3167"/>
      <c r="D166" s="3167"/>
      <c r="E166" s="3167"/>
      <c r="F166" s="108"/>
    </row>
    <row r="167" spans="1:6" ht="12.75" customHeight="1">
      <c r="A167" s="2265" t="s">
        <v>960</v>
      </c>
      <c r="B167" s="3166">
        <v>590</v>
      </c>
      <c r="C167" s="3167"/>
      <c r="D167" s="3167"/>
      <c r="E167" s="3167"/>
      <c r="F167" s="108"/>
    </row>
    <row r="168" spans="1:6" ht="12.75" customHeight="1">
      <c r="A168" s="3152" t="s">
        <v>619</v>
      </c>
      <c r="B168" s="3168"/>
      <c r="C168" s="3168"/>
      <c r="D168" s="3168"/>
      <c r="E168" s="3168"/>
      <c r="F168" s="108"/>
    </row>
    <row r="169" spans="1:6" ht="12.75" customHeight="1">
      <c r="A169" s="3153" t="s">
        <v>686</v>
      </c>
      <c r="B169" s="3171"/>
      <c r="C169" s="3171"/>
      <c r="D169" s="3171"/>
      <c r="E169" s="3171"/>
      <c r="F169" s="108"/>
    </row>
    <row r="170" spans="1:6" ht="12.75" customHeight="1">
      <c r="A170" s="3153" t="s">
        <v>941</v>
      </c>
      <c r="B170" s="3171"/>
      <c r="C170" s="3171"/>
      <c r="D170" s="3171"/>
      <c r="E170" s="3171"/>
      <c r="F170" s="108"/>
    </row>
    <row r="171" spans="1:6" ht="12.75" customHeight="1">
      <c r="A171" s="2266" t="s">
        <v>312</v>
      </c>
      <c r="B171" s="3164">
        <v>595</v>
      </c>
      <c r="C171" s="3165">
        <v>33463</v>
      </c>
      <c r="D171" s="3165">
        <v>30162</v>
      </c>
      <c r="E171" s="3165">
        <v>30162</v>
      </c>
      <c r="F171" s="108"/>
    </row>
    <row r="172" spans="1:6" ht="12.75" customHeight="1">
      <c r="A172" s="3152" t="s">
        <v>944</v>
      </c>
      <c r="B172" s="3168"/>
      <c r="C172" s="3168"/>
      <c r="D172" s="3168"/>
      <c r="E172" s="3168"/>
      <c r="F172" s="108"/>
    </row>
    <row r="173" spans="1:6" ht="12.75" customHeight="1">
      <c r="A173" s="2266" t="s">
        <v>295</v>
      </c>
      <c r="B173" s="3164">
        <v>600</v>
      </c>
      <c r="C173" s="3165"/>
      <c r="D173" s="3165"/>
      <c r="E173" s="3165"/>
      <c r="F173" s="108"/>
    </row>
    <row r="174" spans="1:6" ht="12.75" customHeight="1">
      <c r="A174" s="2265" t="s">
        <v>946</v>
      </c>
      <c r="B174" s="3166">
        <v>605</v>
      </c>
      <c r="C174" s="3167"/>
      <c r="D174" s="3167"/>
      <c r="E174" s="3167"/>
      <c r="F174" s="108"/>
    </row>
    <row r="175" spans="1:6" ht="12.75" customHeight="1">
      <c r="A175" s="3154" t="s">
        <v>947</v>
      </c>
      <c r="B175" s="3169">
        <v>610</v>
      </c>
      <c r="C175" s="1994"/>
      <c r="D175" s="1994"/>
      <c r="E175" s="1994"/>
      <c r="F175" s="108"/>
    </row>
    <row r="176" spans="1:6" ht="12.75" customHeight="1">
      <c r="A176" s="3154" t="s">
        <v>968</v>
      </c>
      <c r="B176" s="3169">
        <v>615</v>
      </c>
      <c r="C176" s="1994"/>
      <c r="D176" s="1994"/>
      <c r="E176" s="1994"/>
      <c r="F176" s="108"/>
    </row>
    <row r="177" spans="1:6" ht="12.75" customHeight="1">
      <c r="A177" s="3154" t="s">
        <v>955</v>
      </c>
      <c r="B177" s="3169">
        <v>620</v>
      </c>
      <c r="C177" s="1994"/>
      <c r="D177" s="1994"/>
      <c r="E177" s="1994"/>
      <c r="F177" s="108"/>
    </row>
    <row r="178" spans="1:6" ht="12.75" customHeight="1">
      <c r="A178" s="3154" t="s">
        <v>959</v>
      </c>
      <c r="B178" s="3169">
        <v>625</v>
      </c>
      <c r="C178" s="1994"/>
      <c r="D178" s="1994"/>
      <c r="E178" s="1994"/>
      <c r="F178" s="108"/>
    </row>
    <row r="179" spans="1:6" ht="12.75" customHeight="1">
      <c r="A179" s="3154" t="s">
        <v>960</v>
      </c>
      <c r="B179" s="3169">
        <v>630</v>
      </c>
      <c r="C179" s="1994"/>
      <c r="D179" s="1994"/>
      <c r="E179" s="1994"/>
      <c r="F179" s="108"/>
    </row>
    <row r="180" spans="1:6" ht="12.75" customHeight="1">
      <c r="A180" s="3152" t="s">
        <v>687</v>
      </c>
      <c r="B180" s="3168"/>
      <c r="C180" s="3168"/>
      <c r="D180" s="3168"/>
      <c r="E180" s="3168"/>
      <c r="F180" s="108"/>
    </row>
    <row r="181" spans="1:6" ht="12.75" customHeight="1">
      <c r="A181" s="3153" t="s">
        <v>941</v>
      </c>
      <c r="B181" s="3171"/>
      <c r="C181" s="3171"/>
      <c r="D181" s="3171"/>
      <c r="E181" s="3171"/>
      <c r="F181" s="108"/>
    </row>
    <row r="182" spans="1:6" ht="12.75" customHeight="1">
      <c r="A182" s="3161" t="s">
        <v>312</v>
      </c>
      <c r="B182" s="3178">
        <v>635</v>
      </c>
      <c r="C182" s="3176"/>
      <c r="D182" s="3176"/>
      <c r="E182" s="3176"/>
      <c r="F182" s="108"/>
    </row>
    <row r="183" spans="1:6" ht="12.75" customHeight="1">
      <c r="A183" s="3152" t="s">
        <v>944</v>
      </c>
      <c r="B183" s="3168"/>
      <c r="C183" s="3168"/>
      <c r="D183" s="3168"/>
      <c r="E183" s="3168"/>
      <c r="F183" s="108"/>
    </row>
    <row r="184" spans="1:6" ht="12.75" customHeight="1">
      <c r="A184" s="2266" t="s">
        <v>295</v>
      </c>
      <c r="B184" s="3164">
        <v>640</v>
      </c>
      <c r="C184" s="3165"/>
      <c r="D184" s="3165"/>
      <c r="E184" s="3165"/>
      <c r="F184" s="108"/>
    </row>
    <row r="185" spans="1:6" ht="12.75" customHeight="1">
      <c r="A185" s="3154" t="s">
        <v>946</v>
      </c>
      <c r="B185" s="3169">
        <v>645</v>
      </c>
      <c r="C185" s="1994"/>
      <c r="D185" s="1994"/>
      <c r="E185" s="1994"/>
      <c r="F185" s="108"/>
    </row>
    <row r="186" spans="1:6" ht="12.75" customHeight="1">
      <c r="A186" s="3154" t="s">
        <v>947</v>
      </c>
      <c r="B186" s="3169">
        <v>650</v>
      </c>
      <c r="C186" s="1994"/>
      <c r="D186" s="1994"/>
      <c r="E186" s="1994"/>
      <c r="F186" s="113"/>
    </row>
    <row r="187" spans="1:6" ht="12.75" customHeight="1">
      <c r="A187" s="3152" t="s">
        <v>968</v>
      </c>
      <c r="B187" s="3168"/>
      <c r="C187" s="3168"/>
      <c r="D187" s="3168"/>
      <c r="E187" s="3168"/>
      <c r="F187" s="108"/>
    </row>
    <row r="188" spans="1:6" ht="12.75" customHeight="1">
      <c r="A188" s="2266" t="s">
        <v>620</v>
      </c>
      <c r="B188" s="3164">
        <v>655</v>
      </c>
      <c r="C188" s="3165"/>
      <c r="D188" s="3165"/>
      <c r="E188" s="3165"/>
      <c r="F188" s="108"/>
    </row>
    <row r="189" spans="1:6" ht="12.75" customHeight="1">
      <c r="A189" s="3154" t="s">
        <v>287</v>
      </c>
      <c r="B189" s="3169">
        <v>660</v>
      </c>
      <c r="C189" s="1994"/>
      <c r="D189" s="1994"/>
      <c r="E189" s="1994"/>
      <c r="F189" s="108"/>
    </row>
    <row r="190" spans="1:6" ht="12.75" customHeight="1">
      <c r="A190" s="3152" t="s">
        <v>950</v>
      </c>
      <c r="B190" s="3168"/>
      <c r="C190" s="3168"/>
      <c r="D190" s="3168"/>
      <c r="E190" s="3168"/>
      <c r="F190" s="108"/>
    </row>
    <row r="191" spans="1:6" ht="12.75" customHeight="1">
      <c r="A191" s="2266" t="s">
        <v>1031</v>
      </c>
      <c r="B191" s="3164">
        <v>665</v>
      </c>
      <c r="C191" s="3165"/>
      <c r="D191" s="3165"/>
      <c r="E191" s="3165"/>
      <c r="F191" s="108"/>
    </row>
    <row r="192" spans="1:6" ht="12.75" customHeight="1">
      <c r="A192" s="2265" t="s">
        <v>1032</v>
      </c>
      <c r="B192" s="3166">
        <v>670</v>
      </c>
      <c r="C192" s="3167"/>
      <c r="D192" s="3167"/>
      <c r="E192" s="3167"/>
      <c r="F192" s="108"/>
    </row>
    <row r="193" spans="1:6" ht="12.75" customHeight="1">
      <c r="A193" s="2265" t="s">
        <v>969</v>
      </c>
      <c r="B193" s="3166">
        <v>675</v>
      </c>
      <c r="C193" s="3167">
        <v>2000</v>
      </c>
      <c r="D193" s="3167">
        <v>1600</v>
      </c>
      <c r="E193" s="3167">
        <v>1600</v>
      </c>
      <c r="F193" s="108"/>
    </row>
    <row r="194" spans="1:6" ht="12.75" customHeight="1">
      <c r="A194" s="2265" t="s">
        <v>1039</v>
      </c>
      <c r="B194" s="3166">
        <v>680</v>
      </c>
      <c r="C194" s="3167"/>
      <c r="D194" s="3167"/>
      <c r="E194" s="3167"/>
      <c r="F194" s="108"/>
    </row>
    <row r="195" spans="1:6" ht="12.75" customHeight="1">
      <c r="A195" s="3152" t="s">
        <v>955</v>
      </c>
      <c r="B195" s="3168"/>
      <c r="C195" s="3168"/>
      <c r="D195" s="3168"/>
      <c r="E195" s="3168"/>
      <c r="F195" s="108"/>
    </row>
    <row r="196" spans="1:6" ht="12.75" customHeight="1">
      <c r="A196" s="2266" t="s">
        <v>621</v>
      </c>
      <c r="B196" s="3164">
        <v>685</v>
      </c>
      <c r="C196" s="3165">
        <v>8508</v>
      </c>
      <c r="D196" s="3165">
        <v>6500</v>
      </c>
      <c r="E196" s="3165">
        <v>8508</v>
      </c>
      <c r="F196" s="108"/>
    </row>
    <row r="197" spans="1:6" ht="12.75" customHeight="1">
      <c r="A197" s="2265" t="s">
        <v>958</v>
      </c>
      <c r="B197" s="3166">
        <v>690</v>
      </c>
      <c r="C197" s="3167"/>
      <c r="D197" s="3167"/>
      <c r="E197" s="3167"/>
      <c r="F197" s="108"/>
    </row>
    <row r="198" spans="1:6" ht="12.75" customHeight="1">
      <c r="A198" s="2265" t="s">
        <v>5148</v>
      </c>
      <c r="B198" s="3166">
        <v>695</v>
      </c>
      <c r="C198" s="3167"/>
      <c r="D198" s="3167"/>
      <c r="E198" s="3167"/>
      <c r="F198" s="108"/>
    </row>
    <row r="199" spans="1:6" ht="12.75" customHeight="1">
      <c r="A199" s="3154" t="s">
        <v>960</v>
      </c>
      <c r="B199" s="3169">
        <v>700</v>
      </c>
      <c r="C199" s="1994"/>
      <c r="D199" s="1994"/>
      <c r="E199" s="1994"/>
      <c r="F199" s="108"/>
    </row>
    <row r="200" spans="1:6" ht="12.75" customHeight="1">
      <c r="A200" s="3152" t="s">
        <v>5147</v>
      </c>
      <c r="B200" s="3168"/>
      <c r="C200" s="3168"/>
      <c r="D200" s="3168"/>
      <c r="E200" s="3168"/>
      <c r="F200" s="108"/>
    </row>
    <row r="201" spans="1:6" ht="12.75" customHeight="1">
      <c r="A201" s="3153" t="s">
        <v>941</v>
      </c>
      <c r="B201" s="3171"/>
      <c r="C201" s="3171"/>
      <c r="D201" s="3171"/>
      <c r="E201" s="3171"/>
      <c r="F201" s="108"/>
    </row>
    <row r="202" spans="1:6" ht="12.75" customHeight="1">
      <c r="A202" s="2266" t="s">
        <v>605</v>
      </c>
      <c r="B202" s="3164">
        <v>705</v>
      </c>
      <c r="C202" s="3165"/>
      <c r="D202" s="3165"/>
      <c r="E202" s="3165"/>
      <c r="F202" s="108"/>
    </row>
    <row r="203" spans="1:6" ht="12.75" customHeight="1">
      <c r="A203" s="3152" t="s">
        <v>944</v>
      </c>
      <c r="B203" s="3168"/>
      <c r="C203" s="3168"/>
      <c r="D203" s="3168"/>
      <c r="E203" s="3168"/>
      <c r="F203" s="108"/>
    </row>
    <row r="204" spans="1:6" ht="12.75" customHeight="1">
      <c r="A204" s="2266" t="s">
        <v>295</v>
      </c>
      <c r="B204" s="3164">
        <v>710</v>
      </c>
      <c r="C204" s="3165"/>
      <c r="D204" s="3165"/>
      <c r="E204" s="3165"/>
      <c r="F204" s="108"/>
    </row>
    <row r="205" spans="1:6" ht="12.75" customHeight="1">
      <c r="A205" s="2265" t="s">
        <v>946</v>
      </c>
      <c r="B205" s="3166">
        <v>715</v>
      </c>
      <c r="C205" s="3167"/>
      <c r="D205" s="3167"/>
      <c r="E205" s="3167"/>
      <c r="F205" s="108"/>
    </row>
    <row r="206" spans="1:6" ht="12.75" customHeight="1">
      <c r="A206" s="3154" t="s">
        <v>947</v>
      </c>
      <c r="B206" s="3169">
        <v>720</v>
      </c>
      <c r="C206" s="1994"/>
      <c r="D206" s="1994"/>
      <c r="E206" s="1994"/>
      <c r="F206" s="108"/>
    </row>
    <row r="207" spans="1:6" ht="12.75" customHeight="1">
      <c r="A207" s="3154" t="s">
        <v>4818</v>
      </c>
      <c r="B207" s="3164">
        <v>725</v>
      </c>
      <c r="C207" s="3165"/>
      <c r="D207" s="3165"/>
      <c r="E207" s="3165"/>
      <c r="F207" s="108"/>
    </row>
    <row r="208" spans="1:6" ht="12.75" customHeight="1">
      <c r="A208" s="2265" t="s">
        <v>968</v>
      </c>
      <c r="B208" s="3166">
        <v>730</v>
      </c>
      <c r="C208" s="3167"/>
      <c r="D208" s="3167"/>
      <c r="E208" s="3167"/>
      <c r="F208" s="108"/>
    </row>
    <row r="209" spans="1:6" ht="12.75" customHeight="1">
      <c r="A209" s="2265" t="s">
        <v>950</v>
      </c>
      <c r="B209" s="3166">
        <v>735</v>
      </c>
      <c r="C209" s="3167"/>
      <c r="D209" s="3167"/>
      <c r="E209" s="3167"/>
      <c r="F209" s="108"/>
    </row>
    <row r="210" spans="1:6" ht="12.75" customHeight="1">
      <c r="A210" s="3154" t="s">
        <v>959</v>
      </c>
      <c r="B210" s="3169">
        <v>740</v>
      </c>
      <c r="C210" s="1994"/>
      <c r="D210" s="1994"/>
      <c r="E210" s="1994"/>
      <c r="F210" s="108"/>
    </row>
    <row r="211" spans="1:6" ht="12.75" customHeight="1">
      <c r="A211" s="3159" t="s">
        <v>960</v>
      </c>
      <c r="B211" s="3174">
        <v>745</v>
      </c>
      <c r="C211" s="1994"/>
      <c r="D211" s="1994"/>
      <c r="E211" s="1994"/>
      <c r="F211" s="108"/>
    </row>
    <row r="212" spans="1:6" ht="12.75" customHeight="1">
      <c r="A212" s="2269" t="s">
        <v>623</v>
      </c>
      <c r="B212" s="3162"/>
      <c r="C212" s="3162"/>
      <c r="D212" s="3162"/>
      <c r="E212" s="3162"/>
      <c r="F212" s="108"/>
    </row>
    <row r="213" spans="1:6" ht="12.75" customHeight="1">
      <c r="A213" s="3151" t="s">
        <v>941</v>
      </c>
      <c r="B213" s="3163"/>
      <c r="C213" s="3163"/>
      <c r="D213" s="3163"/>
      <c r="E213" s="3163"/>
      <c r="F213" s="108"/>
    </row>
    <row r="214" spans="1:6" ht="12.75" customHeight="1">
      <c r="A214" s="2267" t="s">
        <v>45</v>
      </c>
      <c r="B214" s="3173">
        <v>750</v>
      </c>
      <c r="C214" s="3165"/>
      <c r="D214" s="3165"/>
      <c r="E214" s="3165"/>
      <c r="F214" s="108"/>
    </row>
    <row r="215" spans="1:6" ht="12.75" customHeight="1">
      <c r="A215" s="2269" t="s">
        <v>944</v>
      </c>
      <c r="B215" s="3162"/>
      <c r="C215" s="3162"/>
      <c r="D215" s="3162"/>
      <c r="E215" s="3162"/>
      <c r="F215" s="108"/>
    </row>
    <row r="216" spans="1:6" ht="12.75" customHeight="1">
      <c r="A216" s="2267" t="s">
        <v>295</v>
      </c>
      <c r="B216" s="3173">
        <v>755</v>
      </c>
      <c r="C216" s="3165"/>
      <c r="D216" s="3165"/>
      <c r="E216" s="3165"/>
      <c r="F216" s="108"/>
    </row>
    <row r="217" spans="1:6" ht="12.75" customHeight="1">
      <c r="A217" s="2268" t="s">
        <v>946</v>
      </c>
      <c r="B217" s="3177">
        <v>760</v>
      </c>
      <c r="C217" s="3167"/>
      <c r="D217" s="3167"/>
      <c r="E217" s="3167"/>
      <c r="F217" s="108"/>
    </row>
    <row r="218" spans="1:6" ht="12.75" customHeight="1">
      <c r="A218" s="3159" t="s">
        <v>947</v>
      </c>
      <c r="B218" s="3174">
        <v>765</v>
      </c>
      <c r="C218" s="1994"/>
      <c r="D218" s="1994"/>
      <c r="E218" s="1994"/>
      <c r="F218" s="108"/>
    </row>
    <row r="219" spans="1:6" ht="12.75" customHeight="1">
      <c r="A219" s="3154" t="s">
        <v>4818</v>
      </c>
      <c r="B219" s="3173">
        <v>770</v>
      </c>
      <c r="C219" s="3165"/>
      <c r="D219" s="3165"/>
      <c r="E219" s="3165"/>
      <c r="F219" s="108"/>
    </row>
    <row r="220" spans="1:6" ht="12.75" customHeight="1">
      <c r="A220" s="2268" t="s">
        <v>968</v>
      </c>
      <c r="B220" s="3177">
        <v>775</v>
      </c>
      <c r="C220" s="3167"/>
      <c r="D220" s="3167"/>
      <c r="E220" s="3167"/>
      <c r="F220" s="108"/>
    </row>
    <row r="221" spans="1:6" ht="12.75" customHeight="1">
      <c r="A221" s="2268" t="s">
        <v>950</v>
      </c>
      <c r="B221" s="3177">
        <v>780</v>
      </c>
      <c r="C221" s="3167"/>
      <c r="D221" s="3167"/>
      <c r="E221" s="3167"/>
      <c r="F221" s="108"/>
    </row>
    <row r="222" spans="1:6" ht="12.75" customHeight="1">
      <c r="A222" s="2268" t="s">
        <v>955</v>
      </c>
      <c r="B222" s="3177">
        <v>785</v>
      </c>
      <c r="C222" s="3167"/>
      <c r="D222" s="3167"/>
      <c r="E222" s="3167"/>
      <c r="F222" s="108"/>
    </row>
    <row r="223" spans="1:6" ht="12.75" customHeight="1">
      <c r="A223" s="2268" t="s">
        <v>959</v>
      </c>
      <c r="B223" s="3177">
        <v>790</v>
      </c>
      <c r="C223" s="3167"/>
      <c r="D223" s="3167"/>
      <c r="E223" s="3167"/>
      <c r="F223" s="108"/>
    </row>
    <row r="224" spans="1:6" ht="12.75" customHeight="1">
      <c r="A224" s="3159" t="s">
        <v>960</v>
      </c>
      <c r="B224" s="3174">
        <v>795</v>
      </c>
      <c r="C224" s="1994"/>
      <c r="D224" s="1994"/>
      <c r="E224" s="1994"/>
      <c r="F224" s="108"/>
    </row>
    <row r="225" spans="1:7" ht="12.75" customHeight="1">
      <c r="A225" s="2269" t="s">
        <v>1327</v>
      </c>
      <c r="B225" s="3162"/>
      <c r="C225" s="3162"/>
      <c r="D225" s="3162"/>
      <c r="E225" s="3162"/>
      <c r="F225" s="108"/>
    </row>
    <row r="226" spans="1:7" ht="12.75" customHeight="1">
      <c r="A226" s="3151" t="s">
        <v>941</v>
      </c>
      <c r="B226" s="3163"/>
      <c r="C226" s="3163"/>
      <c r="D226" s="3163"/>
      <c r="E226" s="3163"/>
      <c r="F226" s="108"/>
    </row>
    <row r="227" spans="1:7" ht="12.75" customHeight="1">
      <c r="A227" s="2267" t="s">
        <v>942</v>
      </c>
      <c r="B227" s="3179">
        <v>860</v>
      </c>
      <c r="C227" s="3180"/>
      <c r="D227" s="3165"/>
      <c r="E227" s="3165"/>
      <c r="F227" s="108"/>
    </row>
    <row r="228" spans="1:7" ht="12.75" customHeight="1">
      <c r="A228" s="2268" t="s">
        <v>603</v>
      </c>
      <c r="B228" s="3181">
        <v>865</v>
      </c>
      <c r="C228" s="3180"/>
      <c r="D228" s="3167"/>
      <c r="E228" s="3167"/>
      <c r="F228" s="108"/>
    </row>
    <row r="229" spans="1:7" ht="12.75" customHeight="1">
      <c r="A229" s="2269" t="s">
        <v>944</v>
      </c>
      <c r="B229" s="3162"/>
      <c r="C229" s="3162"/>
      <c r="D229" s="3162"/>
      <c r="E229" s="3162"/>
      <c r="F229" s="108"/>
    </row>
    <row r="230" spans="1:7" ht="12.75" customHeight="1">
      <c r="A230" s="2267" t="s">
        <v>295</v>
      </c>
      <c r="B230" s="3179">
        <v>870</v>
      </c>
      <c r="C230" s="3180"/>
      <c r="D230" s="3165"/>
      <c r="E230" s="3165"/>
      <c r="F230" s="108"/>
    </row>
    <row r="231" spans="1:7" ht="12.75" customHeight="1">
      <c r="A231" s="3159" t="s">
        <v>946</v>
      </c>
      <c r="B231" s="3182">
        <v>873</v>
      </c>
      <c r="C231" s="4584"/>
      <c r="D231" s="1994"/>
      <c r="E231" s="1994"/>
      <c r="F231" s="108"/>
    </row>
    <row r="232" spans="1:7" ht="12.75" customHeight="1">
      <c r="A232" s="3159" t="s">
        <v>947</v>
      </c>
      <c r="B232" s="3182">
        <v>880</v>
      </c>
      <c r="C232" s="4584"/>
      <c r="D232" s="1994"/>
      <c r="E232" s="1994"/>
      <c r="F232" s="108"/>
    </row>
    <row r="233" spans="1:7" ht="12.75" customHeight="1">
      <c r="A233" s="3154" t="s">
        <v>4818</v>
      </c>
      <c r="B233" s="3179">
        <v>885</v>
      </c>
      <c r="C233" s="3180"/>
      <c r="D233" s="3165"/>
      <c r="E233" s="3165"/>
      <c r="F233" s="108"/>
    </row>
    <row r="234" spans="1:7" ht="12.75" customHeight="1">
      <c r="A234" s="2268" t="s">
        <v>968</v>
      </c>
      <c r="B234" s="3181">
        <v>890</v>
      </c>
      <c r="C234" s="3180"/>
      <c r="D234" s="3167"/>
      <c r="E234" s="3167"/>
      <c r="F234" s="108"/>
    </row>
    <row r="235" spans="1:7" ht="12.75" customHeight="1">
      <c r="A235" s="2268" t="s">
        <v>950</v>
      </c>
      <c r="B235" s="3181">
        <v>895</v>
      </c>
      <c r="C235" s="3180"/>
      <c r="D235" s="3167"/>
      <c r="E235" s="3167"/>
      <c r="F235" s="108"/>
    </row>
    <row r="236" spans="1:7" ht="12.75" customHeight="1">
      <c r="A236" s="2268" t="s">
        <v>955</v>
      </c>
      <c r="B236" s="3181">
        <v>900</v>
      </c>
      <c r="C236" s="3180"/>
      <c r="D236" s="3167"/>
      <c r="E236" s="3167"/>
      <c r="F236" s="108"/>
    </row>
    <row r="237" spans="1:7" ht="12.75" customHeight="1">
      <c r="A237" s="2268" t="s">
        <v>959</v>
      </c>
      <c r="B237" s="3181">
        <v>905</v>
      </c>
      <c r="C237" s="3180"/>
      <c r="D237" s="3167"/>
      <c r="E237" s="3167"/>
      <c r="F237" s="108"/>
    </row>
    <row r="238" spans="1:7" ht="12.75" customHeight="1">
      <c r="A238" s="3159" t="s">
        <v>960</v>
      </c>
      <c r="B238" s="3182">
        <v>910</v>
      </c>
      <c r="C238" s="3180"/>
      <c r="D238" s="1994"/>
      <c r="E238" s="1994"/>
      <c r="F238" s="108"/>
    </row>
    <row r="239" spans="1:7" ht="12.75" customHeight="1">
      <c r="A239" s="1365" t="s">
        <v>5153</v>
      </c>
      <c r="B239" s="2578" t="s">
        <v>4906</v>
      </c>
      <c r="C239" s="1353">
        <f>SUM(C47:C238)</f>
        <v>958589</v>
      </c>
      <c r="D239" s="1353">
        <f t="shared" ref="D239:E239" si="0">SUM(D47:D238)</f>
        <v>962802</v>
      </c>
      <c r="E239" s="1353">
        <f t="shared" si="0"/>
        <v>1021591</v>
      </c>
      <c r="F239" s="108"/>
      <c r="G239" s="421"/>
    </row>
    <row r="240" spans="1:7" ht="12.75" customHeight="1">
      <c r="A240" s="6101" t="s">
        <v>4911</v>
      </c>
      <c r="B240" s="6101"/>
      <c r="C240" s="6101"/>
      <c r="D240" s="6101"/>
      <c r="E240" s="6101"/>
      <c r="F240" s="108"/>
    </row>
    <row r="241" spans="1:7" ht="12.75" customHeight="1">
      <c r="A241" s="2864"/>
      <c r="F241" s="108"/>
    </row>
    <row r="242" spans="1:7" ht="12.75" customHeight="1">
      <c r="G242" s="705"/>
    </row>
    <row r="243" spans="1:7" ht="12.75" customHeight="1">
      <c r="G243" s="705"/>
    </row>
    <row r="244" spans="1:7" ht="12.75" customHeight="1">
      <c r="G244" s="705"/>
    </row>
  </sheetData>
  <sheetProtection algorithmName="SHA-512" hashValue="pKdRU5ulYwEmNlIg7j++WdwzRnSfr0wgVBfzEIzHYTuLzvNbP3k6sdcFJtphP1NsWgf1SJVyoH9K4a8onj0DbQ==" saltValue="HJe62xqHF4Z2jEXjDsg/ww==" spinCount="100000" sheet="1" objects="1" scenarios="1"/>
  <mergeCells count="6">
    <mergeCell ref="A240:E240"/>
    <mergeCell ref="D1:E1"/>
    <mergeCell ref="D2:E2"/>
    <mergeCell ref="A33:E33"/>
    <mergeCell ref="D35:E35"/>
    <mergeCell ref="D36:E36"/>
  </mergeCells>
  <phoneticPr fontId="13" type="noConversion"/>
  <dataValidations count="3">
    <dataValidation type="whole" operator="greaterThanOrEqual" showInputMessage="1" showErrorMessage="1" errorTitle="Invalid Data Entry" error="Please enter a positive number or press the delete key or enter zero." sqref="C207:E211 C188:E189 C89:E94 C18:E18 C15:E16 C50:E54 C72:E73 C107:E115 C57:E58 C63:E68 C96:E100 C10:D10 C147:E150 C214:E214 C145:E145 C118:E119 C152:E157 C159:E159 C161:E167 C171:E171 C173:E179 C184:E186 C86:E87 C191:E194 C196:E199 C182:E182 C202:E202 C204 D204:E206 C206 C205:D205 C227:E228 C216:E224 C134:E142 C131:E132 C121:E128 E14 C230:E238 C104:E105 C47:E48 C61:E61 C75:E83 C20:C23 E20:E25 D20:D24">
      <formula1>0</formula1>
    </dataValidation>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a zero." sqref="D14">
      <formula1>0</formula1>
    </dataValidation>
  </dataValidations>
  <hyperlinks>
    <hyperlink ref="G1" location="Contents!F1" display="Return to Contents page"/>
  </hyperlinks>
  <printOptions horizontalCentered="1"/>
  <pageMargins left="0.75" right="0.75" top="0.5" bottom="0.5" header="0.3" footer="0.3"/>
  <pageSetup scale="86" fitToHeight="0" orientation="portrait" blackAndWhite="1" r:id="rId1"/>
  <headerFooter scaleWithDoc="0">
    <oddFooter>&amp;L&amp;"Open Sans Light,Regular"&amp;8&amp;D    &amp;T&amp;C&amp;"Open Sans Light,Regular"&amp;8Page &amp;P&amp;R&amp;"Open Sans Light,Regular"&amp;8&amp;A</oddFooter>
  </headerFooter>
  <rowBreaks count="4" manualBreakCount="4">
    <brk id="34" max="4" man="1"/>
    <brk id="98" max="4" man="1"/>
    <brk id="154" max="4" man="1"/>
    <brk id="210" max="4"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4" tint="0.39997558519241921"/>
  </sheetPr>
  <dimension ref="A1:Z41"/>
  <sheetViews>
    <sheetView showGridLines="0" workbookViewId="0">
      <pane ySplit="8" topLeftCell="A9" activePane="bottomLeft" state="frozen"/>
      <selection activeCell="B22" sqref="B22"/>
      <selection pane="bottomLeft" activeCell="B22" sqref="B22"/>
    </sheetView>
  </sheetViews>
  <sheetFormatPr defaultColWidth="8.88671875" defaultRowHeight="12.75" customHeight="1"/>
  <cols>
    <col min="1" max="1" width="40.6640625" style="282" customWidth="1"/>
    <col min="2" max="2" width="4.88671875" style="282" customWidth="1"/>
    <col min="3" max="5" width="14.33203125" style="282" customWidth="1"/>
    <col min="6" max="6" width="1.6640625" style="282" customWidth="1"/>
    <col min="7" max="7" width="2.109375" style="282" customWidth="1"/>
    <col min="8" max="8" width="21.6640625" style="282" customWidth="1"/>
    <col min="9" max="9" width="50.44140625" style="282" customWidth="1"/>
    <col min="10" max="10" width="12.33203125" style="282" customWidth="1"/>
    <col min="11" max="13" width="9.109375" style="282"/>
    <col min="14" max="14" width="9.109375" style="282" customWidth="1"/>
    <col min="15" max="26" width="9.109375" style="282"/>
  </cols>
  <sheetData>
    <row r="1" spans="1:26" ht="12.75" customHeight="1">
      <c r="A1" s="177" t="s">
        <v>809</v>
      </c>
      <c r="B1" s="4253">
        <f>OPEN!B4</f>
        <v>237</v>
      </c>
      <c r="C1" s="939"/>
      <c r="D1" s="6124" t="s">
        <v>836</v>
      </c>
      <c r="E1" s="6124"/>
      <c r="F1" s="177"/>
      <c r="G1" s="175"/>
      <c r="H1" s="304" t="s">
        <v>754</v>
      </c>
    </row>
    <row r="2" spans="1:26" ht="12.75" customHeight="1">
      <c r="A2" s="175"/>
      <c r="B2" s="176"/>
      <c r="C2" s="175"/>
      <c r="D2" s="6124" t="s">
        <v>921</v>
      </c>
      <c r="E2" s="6124"/>
      <c r="F2" s="177"/>
      <c r="G2" s="175"/>
    </row>
    <row r="3" spans="1:26" ht="12.75" customHeight="1">
      <c r="A3" s="175"/>
      <c r="B3" s="176"/>
      <c r="C3" s="175"/>
      <c r="D3" s="175"/>
      <c r="E3" s="177" t="str">
        <f>OpenData!P4</f>
        <v>2021-2022</v>
      </c>
      <c r="F3" s="177"/>
      <c r="G3" s="175"/>
    </row>
    <row r="4" spans="1:26" ht="12.75" customHeight="1">
      <c r="A4" s="175"/>
      <c r="B4" s="176"/>
      <c r="C4" s="175"/>
      <c r="D4" s="175"/>
      <c r="E4" s="175"/>
      <c r="F4" s="175"/>
      <c r="G4" s="175"/>
    </row>
    <row r="5" spans="1:26" ht="12.75" customHeight="1">
      <c r="A5" s="706"/>
      <c r="B5" s="176"/>
      <c r="C5" s="179" t="s">
        <v>922</v>
      </c>
      <c r="D5" s="179" t="s">
        <v>922</v>
      </c>
      <c r="E5" s="179" t="s">
        <v>922</v>
      </c>
      <c r="F5" s="436"/>
      <c r="G5" s="175"/>
    </row>
    <row r="6" spans="1:26" ht="12.75" customHeight="1">
      <c r="A6" s="180"/>
      <c r="B6" s="181" t="s">
        <v>854</v>
      </c>
      <c r="C6" s="182" t="str">
        <f>OpenData!N4</f>
        <v>2019-2020</v>
      </c>
      <c r="D6" s="182" t="str">
        <f>OpenData!O4</f>
        <v>2020-2021</v>
      </c>
      <c r="E6" s="182" t="str">
        <f>OpenData!P4</f>
        <v>2021-2022</v>
      </c>
      <c r="F6" s="436"/>
      <c r="G6" s="175"/>
    </row>
    <row r="7" spans="1:26" ht="12.75" customHeight="1">
      <c r="A7" s="180" t="s">
        <v>3</v>
      </c>
      <c r="B7" s="318">
        <v>33</v>
      </c>
      <c r="C7" s="184" t="s">
        <v>893</v>
      </c>
      <c r="D7" s="184" t="s">
        <v>893</v>
      </c>
      <c r="E7" s="184" t="s">
        <v>923</v>
      </c>
      <c r="F7" s="436"/>
      <c r="G7" s="175"/>
    </row>
    <row r="8" spans="1:26" ht="12.75" customHeight="1">
      <c r="A8" s="185"/>
      <c r="B8" s="186" t="s">
        <v>858</v>
      </c>
      <c r="C8" s="310">
        <v>1</v>
      </c>
      <c r="D8" s="187">
        <v>2</v>
      </c>
      <c r="E8" s="310">
        <v>3</v>
      </c>
      <c r="F8" s="437"/>
      <c r="G8" s="175"/>
    </row>
    <row r="9" spans="1:26" ht="12.75" customHeight="1">
      <c r="A9" s="188" t="s">
        <v>1043</v>
      </c>
      <c r="B9" s="311">
        <v>1</v>
      </c>
      <c r="C9" s="385"/>
      <c r="D9" s="191">
        <f>C32</f>
        <v>0</v>
      </c>
      <c r="E9" s="289">
        <f>D32</f>
        <v>0</v>
      </c>
      <c r="F9" s="434"/>
      <c r="G9" s="175"/>
    </row>
    <row r="10" spans="1:26" ht="12.75" customHeight="1">
      <c r="A10" s="3974" t="s">
        <v>4940</v>
      </c>
      <c r="B10" s="1991">
        <v>3</v>
      </c>
      <c r="C10" s="1992"/>
      <c r="D10" s="193"/>
      <c r="E10" s="2979"/>
      <c r="F10" s="434"/>
      <c r="G10" s="175"/>
    </row>
    <row r="11" spans="1:26" s="667" customFormat="1" ht="12.75" customHeight="1">
      <c r="A11" s="2270"/>
      <c r="B11" s="4282"/>
      <c r="C11" s="4282"/>
      <c r="D11" s="4282"/>
      <c r="E11" s="2273"/>
      <c r="F11" s="434"/>
      <c r="G11" s="175"/>
      <c r="H11" s="898"/>
      <c r="I11" s="898"/>
      <c r="J11" s="898"/>
      <c r="K11" s="898"/>
      <c r="L11" s="898"/>
      <c r="M11" s="898"/>
      <c r="N11" s="898"/>
      <c r="O11" s="898"/>
      <c r="P11" s="898"/>
      <c r="Q11" s="898"/>
      <c r="R11" s="898"/>
      <c r="S11" s="898"/>
      <c r="T11" s="898"/>
      <c r="U11" s="898"/>
      <c r="V11" s="898"/>
      <c r="W11" s="898"/>
      <c r="X11" s="898"/>
      <c r="Y11" s="898"/>
      <c r="Z11" s="898"/>
    </row>
    <row r="12" spans="1:26" ht="12.75" customHeight="1">
      <c r="A12" s="4217" t="s">
        <v>4767</v>
      </c>
      <c r="B12" s="4218"/>
      <c r="C12" s="4218"/>
      <c r="D12" s="4218"/>
      <c r="E12" s="4219"/>
      <c r="F12" s="434"/>
      <c r="G12" s="175"/>
    </row>
    <row r="13" spans="1:26" ht="12.75" customHeight="1">
      <c r="A13" s="2272" t="s">
        <v>13</v>
      </c>
      <c r="B13" s="2967"/>
      <c r="C13" s="2967"/>
      <c r="D13" s="2967"/>
      <c r="E13" s="2967"/>
      <c r="F13" s="434"/>
      <c r="G13" s="175"/>
    </row>
    <row r="14" spans="1:26" ht="12.75" customHeight="1">
      <c r="A14" s="2272" t="s">
        <v>14</v>
      </c>
      <c r="B14" s="2967"/>
      <c r="C14" s="2967"/>
      <c r="D14" s="2967"/>
      <c r="E14" s="2967"/>
      <c r="F14" s="434"/>
      <c r="G14" s="175"/>
    </row>
    <row r="15" spans="1:26" ht="12.75" customHeight="1">
      <c r="A15" s="2961" t="str">
        <f>OpenData!N8</f>
        <v xml:space="preserve">    2018 $</v>
      </c>
      <c r="B15" s="2968">
        <v>5</v>
      </c>
      <c r="C15" s="2973"/>
      <c r="D15" s="2977"/>
      <c r="E15" s="2977"/>
      <c r="F15" s="434"/>
      <c r="G15" s="175"/>
    </row>
    <row r="16" spans="1:26" ht="12.75" customHeight="1">
      <c r="A16" s="2961" t="str">
        <f>OpenData!N9</f>
        <v xml:space="preserve">    2019 $</v>
      </c>
      <c r="B16" s="2969">
        <v>10</v>
      </c>
      <c r="C16" s="2970"/>
      <c r="D16" s="870"/>
      <c r="E16" s="2977"/>
      <c r="F16" s="434"/>
      <c r="G16" s="175"/>
    </row>
    <row r="17" spans="1:15" ht="12.75" customHeight="1">
      <c r="A17" s="2961" t="str">
        <f>OpenData!N10</f>
        <v xml:space="preserve">    2020 $</v>
      </c>
      <c r="B17" s="2968">
        <v>15</v>
      </c>
      <c r="C17" s="2977"/>
      <c r="D17" s="2977">
        <f>'C04'!E27</f>
        <v>0</v>
      </c>
      <c r="E17" s="2011">
        <f>'F110'!$M$172</f>
        <v>0</v>
      </c>
      <c r="F17" s="434"/>
      <c r="G17" s="175"/>
      <c r="I17" s="378" t="s">
        <v>812</v>
      </c>
    </row>
    <row r="18" spans="1:15" ht="12.75" customHeight="1">
      <c r="A18" s="2962" t="str">
        <f>OpenData!N11</f>
        <v xml:space="preserve">    2021 $</v>
      </c>
      <c r="B18" s="2969">
        <v>20</v>
      </c>
      <c r="C18" s="2977"/>
      <c r="D18" s="2979"/>
      <c r="E18" s="2011">
        <v>0</v>
      </c>
      <c r="F18" s="434"/>
      <c r="G18" s="175"/>
      <c r="I18" s="378" t="s">
        <v>1148</v>
      </c>
    </row>
    <row r="19" spans="1:15" ht="12.75" customHeight="1">
      <c r="A19" s="2962" t="s">
        <v>1376</v>
      </c>
      <c r="B19" s="2969">
        <v>25</v>
      </c>
      <c r="C19" s="870"/>
      <c r="D19" s="870"/>
      <c r="E19" s="2011">
        <f>0.667*'F110'!$M$176</f>
        <v>0</v>
      </c>
      <c r="F19" s="434"/>
      <c r="G19" s="175"/>
      <c r="I19" s="378"/>
    </row>
    <row r="20" spans="1:15" ht="12.75" customHeight="1">
      <c r="A20" s="2270" t="s">
        <v>21</v>
      </c>
      <c r="B20" s="2972"/>
      <c r="C20" s="2972"/>
      <c r="D20" s="2972"/>
      <c r="E20" s="2972"/>
      <c r="F20" s="434"/>
      <c r="G20" s="175"/>
      <c r="I20" s="707" t="s">
        <v>3020</v>
      </c>
      <c r="J20" s="708"/>
      <c r="K20" s="708"/>
      <c r="L20" s="708"/>
      <c r="M20" s="605"/>
      <c r="N20" s="605"/>
      <c r="O20" s="605"/>
    </row>
    <row r="21" spans="1:15" ht="12.75" customHeight="1">
      <c r="A21" s="2961" t="s">
        <v>4815</v>
      </c>
      <c r="B21" s="2968">
        <v>45</v>
      </c>
      <c r="C21" s="870"/>
      <c r="D21" s="870"/>
      <c r="E21" s="2011">
        <f>IF(ISERROR('F194'!$H$35+'F194'!$P$35+'F194'!$H$92+'F194'!$P$92),0,('F194'!$H$35+'F194'!$P$35+'F194'!$H$92+'F194'!$P$92))</f>
        <v>0</v>
      </c>
      <c r="F21" s="434"/>
      <c r="G21" s="175"/>
      <c r="I21" s="709" t="s">
        <v>3021</v>
      </c>
      <c r="J21" s="866">
        <f>VLOOKUP(B1,DATA!$A$4:$BE$289,36,FALSE)</f>
        <v>0</v>
      </c>
      <c r="K21" s="708"/>
      <c r="L21" s="708"/>
      <c r="M21" s="605"/>
      <c r="N21" s="605"/>
      <c r="O21" s="605"/>
    </row>
    <row r="22" spans="1:15" ht="12.75" customHeight="1">
      <c r="A22" s="2961" t="s">
        <v>23</v>
      </c>
      <c r="B22" s="2968">
        <v>55</v>
      </c>
      <c r="C22" s="2973"/>
      <c r="D22" s="2973"/>
      <c r="E22" s="2011">
        <f>IF(ISERROR('F194'!$L$35+'F194'!$L$92),0,('F194'!$L$35+'F194'!$L$92))</f>
        <v>0</v>
      </c>
      <c r="F22" s="434"/>
      <c r="G22" s="175"/>
      <c r="I22" s="709" t="s">
        <v>3022</v>
      </c>
      <c r="J22" s="867"/>
      <c r="K22" s="710"/>
      <c r="L22" s="708"/>
      <c r="M22" s="605"/>
      <c r="N22" s="605"/>
      <c r="O22" s="605"/>
    </row>
    <row r="23" spans="1:15" ht="12.75" customHeight="1">
      <c r="A23" s="2963" t="s">
        <v>1374</v>
      </c>
      <c r="B23" s="2974">
        <v>57</v>
      </c>
      <c r="C23" s="2975"/>
      <c r="D23" s="2975"/>
      <c r="E23" s="2011">
        <f>IF(ISERROR('F194'!$R$35+'F194'!$R$92),0,('F194'!$R$35+'F194'!$R$92))</f>
        <v>0</v>
      </c>
      <c r="F23" s="434"/>
      <c r="G23" s="175"/>
      <c r="H23" s="453"/>
      <c r="I23" s="709" t="s">
        <v>3023</v>
      </c>
      <c r="J23" s="708"/>
      <c r="K23" s="708"/>
      <c r="L23" s="708"/>
      <c r="M23" s="605"/>
      <c r="N23" s="605"/>
      <c r="O23" s="605"/>
    </row>
    <row r="24" spans="1:15" ht="12.75" customHeight="1">
      <c r="A24" s="2961" t="s">
        <v>1387</v>
      </c>
      <c r="B24" s="2968">
        <v>60</v>
      </c>
      <c r="C24" s="870"/>
      <c r="D24" s="870"/>
      <c r="E24" s="2011">
        <f>IF(ISERROR('F194'!$N$35+'F194'!$N$92),0,('F194'!$N$35+'F194'!$N$92))</f>
        <v>0</v>
      </c>
      <c r="F24" s="434"/>
      <c r="G24" s="175"/>
      <c r="I24" s="709" t="s">
        <v>5006</v>
      </c>
      <c r="J24" s="711">
        <f>'F150'!J46</f>
        <v>3938451</v>
      </c>
      <c r="K24" s="708"/>
      <c r="L24" s="708"/>
      <c r="M24" s="605"/>
      <c r="N24" s="605"/>
      <c r="O24" s="605"/>
    </row>
    <row r="25" spans="1:15" ht="12.75" customHeight="1">
      <c r="A25" s="3143" t="s">
        <v>42</v>
      </c>
      <c r="B25" s="3146">
        <v>70</v>
      </c>
      <c r="C25" s="2977">
        <f>SUM(C9:C24)</f>
        <v>0</v>
      </c>
      <c r="D25" s="2977">
        <f>SUM(D9:D24)</f>
        <v>0</v>
      </c>
      <c r="E25" s="2977">
        <f>SUM(E9:E24)</f>
        <v>0</v>
      </c>
      <c r="F25" s="434"/>
      <c r="G25" s="175"/>
      <c r="I25" s="709" t="s">
        <v>3024</v>
      </c>
      <c r="J25" s="712">
        <f>ROUND((M25*J24),0)</f>
        <v>0</v>
      </c>
      <c r="K25" s="708"/>
      <c r="L25" s="708"/>
      <c r="M25" s="868">
        <f>IF(J22&gt;J21,J21,J22)</f>
        <v>0</v>
      </c>
      <c r="N25" s="605"/>
      <c r="O25" s="605"/>
    </row>
    <row r="26" spans="1:15" ht="12.75" customHeight="1">
      <c r="A26" s="2292"/>
      <c r="B26" s="4220"/>
      <c r="C26" s="4220"/>
      <c r="D26" s="4220"/>
      <c r="E26" s="2293"/>
      <c r="F26" s="434"/>
      <c r="G26" s="175"/>
      <c r="I26" s="709"/>
      <c r="J26" s="708"/>
      <c r="K26" s="708"/>
      <c r="L26" s="708"/>
      <c r="M26" s="605"/>
      <c r="N26" s="605"/>
      <c r="O26" s="605"/>
    </row>
    <row r="27" spans="1:15" ht="12.75" customHeight="1">
      <c r="A27" s="4221" t="s">
        <v>60</v>
      </c>
      <c r="B27" s="4283"/>
      <c r="C27" s="4222"/>
      <c r="D27" s="4222"/>
      <c r="E27" s="4223"/>
      <c r="F27" s="434"/>
      <c r="G27" s="175"/>
      <c r="H27" s="713"/>
      <c r="I27" s="709" t="s">
        <v>3025</v>
      </c>
      <c r="J27" s="714">
        <f>'F150'!L49</f>
        <v>0</v>
      </c>
      <c r="K27" s="708"/>
      <c r="L27" s="708"/>
      <c r="M27" s="605"/>
      <c r="N27" s="605"/>
      <c r="O27" s="605"/>
    </row>
    <row r="28" spans="1:15" ht="12.75" customHeight="1">
      <c r="A28" s="2274" t="s">
        <v>792</v>
      </c>
      <c r="B28" s="2978"/>
      <c r="C28" s="2978"/>
      <c r="D28" s="2978"/>
      <c r="E28" s="2978"/>
      <c r="F28" s="434"/>
      <c r="G28" s="175"/>
      <c r="H28" s="713"/>
      <c r="I28" s="709" t="s">
        <v>5007</v>
      </c>
      <c r="J28" s="715"/>
      <c r="K28" s="708"/>
      <c r="L28" s="708"/>
      <c r="M28" s="605"/>
      <c r="N28" s="605"/>
      <c r="O28" s="605"/>
    </row>
    <row r="29" spans="1:15" ht="12.75" customHeight="1">
      <c r="A29" s="2274" t="s">
        <v>258</v>
      </c>
      <c r="B29" s="2978"/>
      <c r="C29" s="2978"/>
      <c r="D29" s="2978"/>
      <c r="E29" s="2978"/>
      <c r="F29" s="434"/>
      <c r="G29" s="175"/>
      <c r="I29" s="378" t="s">
        <v>1398</v>
      </c>
      <c r="J29" s="605"/>
      <c r="K29" s="605"/>
      <c r="L29" s="605"/>
      <c r="M29" s="605"/>
      <c r="N29" s="605"/>
      <c r="O29" s="605"/>
    </row>
    <row r="30" spans="1:15" ht="12.75" customHeight="1">
      <c r="A30" s="3144" t="s">
        <v>679</v>
      </c>
      <c r="B30" s="3147">
        <v>75</v>
      </c>
      <c r="C30" s="870"/>
      <c r="D30" s="870"/>
      <c r="E30" s="870"/>
      <c r="F30" s="434"/>
      <c r="G30" s="175"/>
      <c r="I30" s="694"/>
      <c r="J30" s="605"/>
      <c r="K30" s="605"/>
      <c r="L30" s="605"/>
      <c r="M30" s="605"/>
      <c r="N30" s="605"/>
      <c r="O30" s="605"/>
    </row>
    <row r="31" spans="1:15" ht="12.75" customHeight="1">
      <c r="A31" s="3145" t="s">
        <v>666</v>
      </c>
      <c r="B31" s="3148">
        <v>175</v>
      </c>
      <c r="C31" s="1993">
        <f>SUM(C27:C30)</f>
        <v>0</v>
      </c>
      <c r="D31" s="1993">
        <f>SUM(D27:D30)</f>
        <v>0</v>
      </c>
      <c r="E31" s="1993">
        <f>SUM(E27:E30)</f>
        <v>0</v>
      </c>
      <c r="F31" s="434"/>
      <c r="G31" s="175"/>
    </row>
    <row r="32" spans="1:15" ht="12.75" customHeight="1">
      <c r="A32" s="3144" t="s">
        <v>935</v>
      </c>
      <c r="B32" s="3147">
        <v>190</v>
      </c>
      <c r="C32" s="3149">
        <f>C25-C31</f>
        <v>0</v>
      </c>
      <c r="D32" s="3149">
        <f>D25-D31</f>
        <v>0</v>
      </c>
      <c r="E32" s="3810" t="s">
        <v>4905</v>
      </c>
      <c r="F32" s="434"/>
      <c r="G32" s="175"/>
      <c r="H32" s="626" t="s">
        <v>323</v>
      </c>
      <c r="I32" s="3150">
        <f>IF(ISERROR(E35/OPEN!A15*1000), "Check errors below",E35/OPEN!A15*1000)</f>
        <v>0</v>
      </c>
    </row>
    <row r="33" spans="1:8" ht="12.75" customHeight="1">
      <c r="A33" s="206"/>
      <c r="B33" s="200">
        <v>195</v>
      </c>
      <c r="C33" s="459" t="s">
        <v>5142</v>
      </c>
      <c r="D33" s="442"/>
      <c r="E33" s="2011">
        <f>E31-E25</f>
        <v>0</v>
      </c>
      <c r="F33" s="434"/>
      <c r="G33" s="175"/>
      <c r="H33" s="625" t="str">
        <f>OpenData!N40</f>
        <v/>
      </c>
    </row>
    <row r="34" spans="1:8" ht="12.75" customHeight="1">
      <c r="A34" s="175"/>
      <c r="B34" s="200">
        <v>200</v>
      </c>
      <c r="C34" s="204" t="s">
        <v>668</v>
      </c>
      <c r="D34" s="205"/>
      <c r="E34" s="1993">
        <f>E33*'C01'!E97/100</f>
        <v>0</v>
      </c>
      <c r="F34" s="438"/>
      <c r="G34" s="175"/>
    </row>
    <row r="35" spans="1:8" ht="12.75" customHeight="1">
      <c r="A35" s="175"/>
      <c r="B35" s="200">
        <v>205</v>
      </c>
      <c r="C35" s="204" t="str">
        <f>OpenData!N6</f>
        <v>Amount of 2021 Tax to be Levied</v>
      </c>
      <c r="D35" s="205"/>
      <c r="E35" s="1993">
        <f>E34+E33</f>
        <v>0</v>
      </c>
      <c r="F35" s="434"/>
      <c r="G35" s="175"/>
    </row>
    <row r="36" spans="1:8" ht="12.75" customHeight="1">
      <c r="A36" s="6141" t="s">
        <v>5141</v>
      </c>
      <c r="B36" s="6141"/>
      <c r="C36" s="6141"/>
      <c r="D36" s="6141"/>
      <c r="E36" s="6141"/>
      <c r="F36" s="434"/>
      <c r="G36" s="175"/>
    </row>
    <row r="37" spans="1:8" ht="12.75" customHeight="1">
      <c r="A37" s="459"/>
      <c r="F37" s="434"/>
      <c r="G37" s="175"/>
    </row>
    <row r="38" spans="1:8" ht="12.75" customHeight="1">
      <c r="F38" s="438"/>
      <c r="G38" s="175"/>
    </row>
    <row r="39" spans="1:8" ht="12.75" customHeight="1">
      <c r="F39" s="175"/>
      <c r="G39" s="175"/>
    </row>
    <row r="40" spans="1:8" ht="12.75" customHeight="1">
      <c r="F40" s="175"/>
      <c r="G40" s="175"/>
    </row>
    <row r="41" spans="1:8" ht="12.75" customHeight="1">
      <c r="F41" s="175"/>
    </row>
  </sheetData>
  <sheetProtection algorithmName="SHA-512" hashValue="/bhvRhKmKo2I4Z2HZ8CSaHJJED9WAjYGrb5iqDfEtddjS1OOaTD/SoUPeJyb3qhkNEeYwD2xgGNOywhNrZYziw==" saltValue="LNtjrUvsi5gmrH5LPcIbRA==" spinCount="100000" sheet="1" objects="1" scenarios="1"/>
  <mergeCells count="3">
    <mergeCell ref="D2:E2"/>
    <mergeCell ref="A36:E36"/>
    <mergeCell ref="D1:E1"/>
  </mergeCells>
  <phoneticPr fontId="12" type="noConversion"/>
  <dataValidations count="3">
    <dataValidation type="whole" operator="greaterThanOrEqual" showInputMessage="1" showErrorMessage="1" errorTitle="Invalid Data Entry" error="Please enter a positive number or press the delete key or enter a zero." sqref="C15 C16:D16 C19:D19 C21:D24">
      <formula1>0</formula1>
    </dataValidation>
    <dataValidation type="whole" showInputMessage="1" showErrorMessage="1" errorTitle="Invalid Data Entry" error="Please enter a whole number or press delete or enter a zero." sqref="C30:E30">
      <formula1>-2000000</formula1>
      <formula2>20000000</formula2>
    </dataValidation>
    <dataValidation type="whole" showInputMessage="1" showErrorMessage="1" errorTitle="Invalid Data Entry" error="Please enter a whole number or press delete or enter a zero." sqref="C9 C10:D10">
      <formula1>-2000000</formula1>
      <formula2>999999999</formula2>
    </dataValidation>
  </dataValidations>
  <hyperlinks>
    <hyperlink ref="H1" location="Contents!F1" display="Return to Contents page"/>
  </hyperlinks>
  <printOptions horizontalCentered="1"/>
  <pageMargins left="0.75" right="0.75" top="0.5" bottom="0.5" header="0.3" footer="0.3"/>
  <pageSetup scale="86" fitToHeight="0" orientation="portrait" blackAndWhite="1" r:id="rId1"/>
  <headerFooter scaleWithDoc="0">
    <oddFooter>&amp;L&amp;"Open Sans Light,Regular"&amp;8&amp;D    &amp;T&amp;C&amp;"Open Sans Light,Regular"&amp;8Page &amp;P&amp;R&amp;"Open Sans Light,Regular"&amp;8&amp;A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6" tint="-0.249977111117893"/>
  </sheetPr>
  <dimension ref="A1:L59"/>
  <sheetViews>
    <sheetView showGridLines="0" topLeftCell="A36" zoomScaleNormal="100" zoomScaleSheetLayoutView="100" workbookViewId="0">
      <selection activeCell="G57" sqref="G57"/>
    </sheetView>
  </sheetViews>
  <sheetFormatPr defaultColWidth="10.6640625" defaultRowHeight="14.85" customHeight="1"/>
  <cols>
    <col min="1" max="3" width="10.6640625" style="4979" customWidth="1"/>
    <col min="4" max="4" width="16.44140625" style="4979" customWidth="1"/>
    <col min="5" max="5" width="8.88671875" style="4979" customWidth="1"/>
    <col min="6" max="6" width="18.88671875" style="4979" customWidth="1"/>
    <col min="7" max="7" width="14.109375" style="4979" customWidth="1"/>
    <col min="8" max="8" width="3.44140625" style="4979" customWidth="1"/>
    <col min="9" max="9" width="20.6640625" style="4979" customWidth="1"/>
    <col min="10" max="16384" width="10.6640625" style="4979"/>
  </cols>
  <sheetData>
    <row r="1" spans="1:9" ht="14.1" customHeight="1">
      <c r="A1" s="4888" t="s">
        <v>1511</v>
      </c>
      <c r="B1" s="4976"/>
      <c r="C1" s="4976"/>
      <c r="D1" s="4976"/>
      <c r="E1" s="4976"/>
      <c r="F1" s="4977"/>
      <c r="G1" s="4978" t="str">
        <f>"USD #"&amp;OPEN!B4</f>
        <v>USD #237</v>
      </c>
      <c r="I1" s="4891" t="s">
        <v>754</v>
      </c>
    </row>
    <row r="2" spans="1:9" ht="14.1" customHeight="1">
      <c r="A2" s="4980" t="s">
        <v>4949</v>
      </c>
      <c r="B2" s="4976"/>
      <c r="C2" s="4976"/>
      <c r="D2" s="4976"/>
      <c r="E2" s="4976"/>
      <c r="F2" s="4976"/>
      <c r="G2" s="4981">
        <f>OpenData!$N$3</f>
        <v>44348</v>
      </c>
    </row>
    <row r="3" spans="1:9" ht="14.85" hidden="1" customHeight="1">
      <c r="B3" s="4982"/>
      <c r="C3" s="4982"/>
      <c r="D3" s="4982"/>
      <c r="E3" s="4982"/>
      <c r="F3" s="4982"/>
      <c r="G3" s="4982"/>
    </row>
    <row r="4" spans="1:9" ht="14.85" hidden="1" customHeight="1">
      <c r="A4" s="4983"/>
      <c r="B4" s="4976"/>
      <c r="C4" s="4976"/>
      <c r="D4" s="4976"/>
      <c r="E4" s="4976"/>
    </row>
    <row r="5" spans="1:9" ht="14.1" customHeight="1">
      <c r="A5" s="5947" t="s">
        <v>1482</v>
      </c>
      <c r="B5" s="5947"/>
      <c r="C5" s="5947"/>
      <c r="D5" s="5947"/>
      <c r="E5" s="5947"/>
      <c r="F5" s="5947"/>
      <c r="G5" s="5947"/>
    </row>
    <row r="6" spans="1:9" ht="14.1" customHeight="1">
      <c r="A6" s="5947" t="str">
        <f>OpenData!$P$4&amp;" ESTIMATED SPECIAL EDUCATION STATE AID"</f>
        <v>2021-2022 ESTIMATED SPECIAL EDUCATION STATE AID</v>
      </c>
      <c r="B6" s="5947"/>
      <c r="C6" s="5947"/>
      <c r="D6" s="5947"/>
      <c r="E6" s="5947"/>
      <c r="F6" s="5947"/>
      <c r="G6" s="5947"/>
    </row>
    <row r="7" spans="1:9" ht="14.1" customHeight="1">
      <c r="A7" s="5947" t="s">
        <v>4893</v>
      </c>
      <c r="B7" s="5947"/>
      <c r="C7" s="5947"/>
      <c r="D7" s="5947"/>
      <c r="E7" s="5947"/>
      <c r="F7" s="5947"/>
      <c r="G7" s="5947"/>
    </row>
    <row r="8" spans="1:9" ht="14.85" hidden="1" customHeight="1">
      <c r="A8" s="4976"/>
      <c r="B8" s="4976"/>
      <c r="C8" s="4976"/>
      <c r="D8" s="4976"/>
      <c r="E8" s="4976"/>
      <c r="F8" s="4976"/>
      <c r="G8" s="4976"/>
    </row>
    <row r="9" spans="1:9" ht="14.1" customHeight="1">
      <c r="A9" s="5948" t="s">
        <v>1483</v>
      </c>
      <c r="B9" s="5948"/>
      <c r="C9" s="5948"/>
      <c r="D9" s="5948"/>
      <c r="E9" s="5948"/>
      <c r="F9" s="5948"/>
      <c r="G9" s="5948"/>
    </row>
    <row r="10" spans="1:9" ht="14.1" customHeight="1">
      <c r="A10" s="4976"/>
      <c r="B10" s="4976"/>
      <c r="C10" s="4976"/>
      <c r="D10" s="4976"/>
      <c r="E10" s="4976"/>
      <c r="F10" s="4976"/>
      <c r="G10" s="4976"/>
    </row>
    <row r="11" spans="1:9" ht="14.85" customHeight="1">
      <c r="A11" s="4976" t="s">
        <v>1484</v>
      </c>
      <c r="B11" s="4976"/>
      <c r="C11" s="4976"/>
      <c r="D11" s="4976"/>
      <c r="E11" s="4976"/>
      <c r="F11" s="4976"/>
      <c r="G11" s="4984">
        <v>1</v>
      </c>
    </row>
    <row r="12" spans="1:9" ht="14.1" customHeight="1">
      <c r="A12" s="4976"/>
      <c r="B12" s="4976"/>
      <c r="C12" s="4976"/>
      <c r="D12" s="4976"/>
      <c r="E12" s="4976"/>
      <c r="F12" s="4976"/>
      <c r="G12" s="4976"/>
    </row>
    <row r="13" spans="1:9" ht="14.85" customHeight="1">
      <c r="A13" s="4976" t="s">
        <v>1485</v>
      </c>
      <c r="B13" s="4976"/>
      <c r="C13" s="4976"/>
      <c r="D13" s="4976"/>
      <c r="E13" s="4984"/>
      <c r="F13" s="4985" t="s">
        <v>1486</v>
      </c>
      <c r="G13" s="4986">
        <f>SUM(E13*0.4)</f>
        <v>0</v>
      </c>
    </row>
    <row r="14" spans="1:9" ht="14.1" customHeight="1">
      <c r="A14" s="4976"/>
      <c r="B14" s="4976"/>
      <c r="C14" s="4976"/>
      <c r="D14" s="4976"/>
      <c r="E14" s="4976"/>
      <c r="F14" s="4976"/>
      <c r="G14" s="4987"/>
    </row>
    <row r="15" spans="1:9" ht="14.85" customHeight="1">
      <c r="A15" s="4976" t="s">
        <v>1487</v>
      </c>
      <c r="B15" s="4976"/>
      <c r="C15" s="4976"/>
      <c r="D15" s="4976"/>
      <c r="E15" s="4976"/>
      <c r="F15" s="4976"/>
      <c r="G15" s="4986">
        <f>SUM(G11:G13)</f>
        <v>1</v>
      </c>
    </row>
    <row r="16" spans="1:9" ht="14.1" customHeight="1">
      <c r="A16" s="4976"/>
      <c r="B16" s="4976"/>
      <c r="C16" s="4976"/>
      <c r="D16" s="4976"/>
      <c r="E16" s="4976"/>
      <c r="F16" s="4976"/>
      <c r="G16" s="4976"/>
    </row>
    <row r="17" spans="1:12" ht="14.85" customHeight="1">
      <c r="A17" s="4985" t="str">
        <f>"4.  Estimated State Aid due from 7-1-"&amp;OpenData!$Q$5&amp;" to 6-30-"&amp;OpenData!$S$5&amp;" (Line 3 x $" &amp; OpenData!$P$16  &amp;  ")"</f>
        <v>4.  Estimated State Aid due from 7-1-2021 to 6-30-2022 (Line 3 x $30,085)</v>
      </c>
      <c r="B17" s="4976"/>
      <c r="C17" s="4976"/>
      <c r="D17" s="4976"/>
      <c r="E17" s="4976"/>
      <c r="F17" s="4976"/>
      <c r="G17" s="4988">
        <f>SUM(G15*OpenData!$P$16)</f>
        <v>30085</v>
      </c>
      <c r="L17" s="4989"/>
    </row>
    <row r="18" spans="1:12" ht="14.85" customHeight="1">
      <c r="A18" s="4990" t="s">
        <v>1488</v>
      </c>
      <c r="B18" s="4985"/>
      <c r="C18" s="4985"/>
      <c r="D18" s="4985"/>
      <c r="E18" s="4985"/>
      <c r="F18" s="4985"/>
      <c r="G18" s="4991"/>
    </row>
    <row r="19" spans="1:12" ht="14.85" hidden="1" customHeight="1">
      <c r="A19" s="4985"/>
      <c r="B19" s="4985"/>
      <c r="C19" s="4985"/>
      <c r="D19" s="4985"/>
      <c r="E19" s="4985"/>
      <c r="F19" s="4985"/>
      <c r="G19" s="4985"/>
    </row>
    <row r="20" spans="1:12" ht="14.85" hidden="1" customHeight="1">
      <c r="A20" s="4992"/>
      <c r="B20" s="4992"/>
      <c r="C20" s="4992"/>
      <c r="D20" s="4992"/>
      <c r="E20" s="4992"/>
      <c r="F20" s="4992"/>
      <c r="G20" s="4992"/>
    </row>
    <row r="21" spans="1:12" ht="14.1" customHeight="1">
      <c r="A21" s="4993" t="s">
        <v>4892</v>
      </c>
      <c r="B21" s="4993"/>
      <c r="C21" s="4993"/>
      <c r="D21" s="4993"/>
      <c r="E21" s="4993"/>
      <c r="F21" s="4993"/>
      <c r="G21" s="4993"/>
    </row>
    <row r="22" spans="1:12" ht="14.1" customHeight="1">
      <c r="A22" s="4985"/>
      <c r="B22" s="4985"/>
      <c r="C22" s="4985"/>
      <c r="D22" s="4985"/>
      <c r="E22" s="4985"/>
      <c r="F22" s="4985"/>
      <c r="G22" s="4994"/>
    </row>
    <row r="23" spans="1:12" ht="14.85" customHeight="1">
      <c r="A23" s="4976" t="s">
        <v>1489</v>
      </c>
      <c r="B23" s="4976"/>
      <c r="C23" s="4976"/>
      <c r="D23" s="4976"/>
      <c r="E23" s="4976"/>
      <c r="F23" s="4976"/>
      <c r="G23" s="4995">
        <v>24000</v>
      </c>
    </row>
    <row r="24" spans="1:12" ht="14.85" customHeight="1">
      <c r="A24" s="4976" t="s">
        <v>1490</v>
      </c>
      <c r="B24" s="4976"/>
      <c r="C24" s="4976"/>
      <c r="D24" s="4976"/>
      <c r="E24" s="4976"/>
      <c r="F24" s="4976"/>
      <c r="G24" s="4996"/>
    </row>
    <row r="25" spans="1:12" ht="14.1" customHeight="1">
      <c r="A25" s="4976"/>
      <c r="B25" s="4976"/>
      <c r="C25" s="4976"/>
      <c r="D25" s="4976"/>
      <c r="E25" s="4976"/>
      <c r="F25" s="4976"/>
      <c r="G25" s="4996"/>
    </row>
    <row r="26" spans="1:12" ht="14.85" customHeight="1">
      <c r="A26" s="4976" t="s">
        <v>1491</v>
      </c>
      <c r="B26" s="4976"/>
      <c r="C26" s="4976"/>
      <c r="D26" s="4976"/>
      <c r="E26" s="4976"/>
      <c r="F26" s="4976"/>
      <c r="G26" s="4995">
        <v>500</v>
      </c>
    </row>
    <row r="27" spans="1:12" ht="14.1" customHeight="1">
      <c r="A27" s="4976"/>
      <c r="B27" s="4976"/>
      <c r="C27" s="4976"/>
      <c r="D27" s="4976"/>
      <c r="E27" s="4976"/>
      <c r="F27" s="4976"/>
      <c r="G27" s="4996"/>
    </row>
    <row r="28" spans="1:12" ht="14.85" customHeight="1">
      <c r="A28" s="4976" t="s">
        <v>1492</v>
      </c>
      <c r="B28" s="4976"/>
      <c r="C28" s="4976"/>
      <c r="D28" s="4976"/>
      <c r="E28" s="4976"/>
      <c r="F28" s="4976"/>
      <c r="G28" s="4995">
        <v>2200</v>
      </c>
    </row>
    <row r="29" spans="1:12" ht="14.1" customHeight="1">
      <c r="A29" s="4976"/>
      <c r="B29" s="4976"/>
      <c r="C29" s="4976"/>
      <c r="D29" s="4976"/>
      <c r="E29" s="4976"/>
      <c r="F29" s="4976"/>
      <c r="G29" s="4996"/>
    </row>
    <row r="30" spans="1:12" ht="14.85" customHeight="1">
      <c r="A30" s="4976" t="s">
        <v>1493</v>
      </c>
      <c r="B30" s="4976"/>
      <c r="C30" s="4976"/>
      <c r="D30" s="4976"/>
      <c r="E30" s="4976"/>
      <c r="F30" s="4976"/>
      <c r="G30" s="4995">
        <v>0</v>
      </c>
    </row>
    <row r="31" spans="1:12" ht="14.1" customHeight="1">
      <c r="A31" s="4976"/>
      <c r="B31" s="4976"/>
      <c r="C31" s="4976"/>
      <c r="D31" s="4976"/>
      <c r="E31" s="4976"/>
      <c r="F31" s="4976"/>
      <c r="G31" s="4996"/>
    </row>
    <row r="32" spans="1:12" ht="14.85" customHeight="1">
      <c r="A32" s="4976" t="s">
        <v>1494</v>
      </c>
      <c r="B32" s="4976"/>
      <c r="C32" s="4976"/>
      <c r="D32" s="4976"/>
      <c r="E32" s="4976"/>
      <c r="F32" s="4976"/>
      <c r="G32" s="4995">
        <v>8500</v>
      </c>
    </row>
    <row r="33" spans="1:7" ht="14.1" customHeight="1">
      <c r="A33" s="4976"/>
      <c r="B33" s="4976"/>
      <c r="C33" s="4976"/>
      <c r="D33" s="4976"/>
      <c r="E33" s="4976"/>
      <c r="F33" s="4976"/>
      <c r="G33" s="4996"/>
    </row>
    <row r="34" spans="1:7" ht="14.85" customHeight="1">
      <c r="A34" s="4976" t="s">
        <v>1495</v>
      </c>
      <c r="B34" s="4976"/>
      <c r="C34" s="4976"/>
      <c r="D34" s="4976"/>
      <c r="E34" s="4976"/>
      <c r="F34" s="4976"/>
      <c r="G34" s="4995">
        <v>5000</v>
      </c>
    </row>
    <row r="35" spans="1:7" ht="14.1" customHeight="1">
      <c r="A35" s="4976"/>
      <c r="B35" s="4976"/>
      <c r="C35" s="4976"/>
      <c r="D35" s="4976"/>
      <c r="E35" s="4976"/>
      <c r="F35" s="4976"/>
      <c r="G35" s="4997"/>
    </row>
    <row r="36" spans="1:7" ht="14.85" customHeight="1">
      <c r="A36" s="4976" t="s">
        <v>1496</v>
      </c>
      <c r="B36" s="4976"/>
      <c r="C36" s="4976"/>
      <c r="D36" s="4976"/>
      <c r="E36" s="4976"/>
      <c r="F36" s="4976"/>
      <c r="G36" s="4996"/>
    </row>
    <row r="37" spans="1:7" ht="14.85" customHeight="1">
      <c r="A37" s="4976" t="s">
        <v>1497</v>
      </c>
      <c r="B37" s="4976"/>
      <c r="C37" s="4976"/>
      <c r="D37" s="4976"/>
      <c r="E37" s="4976"/>
      <c r="F37" s="4976"/>
      <c r="G37" s="4995">
        <v>2700</v>
      </c>
    </row>
    <row r="38" spans="1:7" ht="14.1" customHeight="1">
      <c r="A38" s="4976"/>
      <c r="B38" s="4976"/>
      <c r="C38" s="4976"/>
      <c r="D38" s="4976"/>
      <c r="E38" s="4976"/>
      <c r="F38" s="4976"/>
      <c r="G38" s="4996"/>
    </row>
    <row r="39" spans="1:7" ht="14.85" customHeight="1">
      <c r="A39" s="4976" t="s">
        <v>1498</v>
      </c>
      <c r="B39" s="4976"/>
      <c r="C39" s="4976"/>
      <c r="D39" s="4976"/>
      <c r="E39" s="4976"/>
      <c r="F39" s="4976"/>
      <c r="G39" s="4995">
        <v>250</v>
      </c>
    </row>
    <row r="40" spans="1:7" ht="14.1" customHeight="1">
      <c r="A40" s="4976"/>
      <c r="B40" s="4976"/>
      <c r="C40" s="4976"/>
      <c r="D40" s="4976"/>
      <c r="E40" s="4976"/>
      <c r="F40" s="4976"/>
      <c r="G40" s="4996"/>
    </row>
    <row r="41" spans="1:7" ht="14.85" customHeight="1">
      <c r="A41" s="4976" t="s">
        <v>1499</v>
      </c>
      <c r="B41" s="4976"/>
      <c r="C41" s="4976"/>
      <c r="D41" s="4976"/>
      <c r="E41" s="4976"/>
      <c r="F41" s="4976"/>
      <c r="G41" s="4998">
        <f>SUM(G23:G39)</f>
        <v>43150</v>
      </c>
    </row>
    <row r="42" spans="1:7" ht="14.1" customHeight="1">
      <c r="A42" s="4976"/>
      <c r="B42" s="4976"/>
      <c r="C42" s="4976"/>
      <c r="D42" s="4976"/>
      <c r="E42" s="4976"/>
      <c r="F42" s="4976"/>
      <c r="G42" s="4996"/>
    </row>
    <row r="43" spans="1:7" ht="14.85" customHeight="1">
      <c r="A43" s="4976" t="s">
        <v>1500</v>
      </c>
      <c r="B43" s="4976"/>
      <c r="C43" s="4976"/>
      <c r="D43" s="4976"/>
      <c r="E43" s="4976"/>
      <c r="F43" s="4976"/>
      <c r="G43" s="4995"/>
    </row>
    <row r="44" spans="1:7" ht="14.1" customHeight="1">
      <c r="A44" s="4976"/>
      <c r="B44" s="4976"/>
      <c r="C44" s="4976"/>
      <c r="D44" s="4976"/>
      <c r="E44" s="4976"/>
      <c r="F44" s="4976"/>
      <c r="G44" s="4996"/>
    </row>
    <row r="45" spans="1:7" ht="14.85" customHeight="1">
      <c r="A45" s="4976" t="s">
        <v>1501</v>
      </c>
      <c r="B45" s="4976"/>
      <c r="C45" s="4976"/>
      <c r="D45" s="4976"/>
      <c r="E45" s="4976"/>
      <c r="F45" s="4976"/>
      <c r="G45" s="4998">
        <f>SUM(G41-G43)</f>
        <v>43150</v>
      </c>
    </row>
    <row r="46" spans="1:7" ht="14.1" customHeight="1">
      <c r="A46" s="4976"/>
      <c r="B46" s="4976"/>
      <c r="C46" s="4976"/>
      <c r="D46" s="4976"/>
      <c r="E46" s="4976"/>
      <c r="F46" s="4976"/>
      <c r="G46" s="4996"/>
    </row>
    <row r="47" spans="1:7" ht="14.85" customHeight="1">
      <c r="A47" s="4976" t="str">
        <f>"16. Total Estimated Transportation Aid (7-1-"&amp;OpenData!$Q$5&amp;" to 6-30-"&amp;OpenData!$S$5&amp;") (Line 15 x 80%)"</f>
        <v>16. Total Estimated Transportation Aid (7-1-2021 to 6-30-2022) (Line 15 x 80%)</v>
      </c>
      <c r="B47" s="4976"/>
      <c r="C47" s="4976"/>
      <c r="D47" s="4976"/>
      <c r="E47" s="4976"/>
      <c r="F47" s="4976"/>
      <c r="G47" s="4998">
        <f>SUM(G45*0.8)</f>
        <v>34520</v>
      </c>
    </row>
    <row r="48" spans="1:7" ht="14.1" customHeight="1">
      <c r="A48" s="4999"/>
      <c r="B48" s="4999"/>
      <c r="C48" s="4999"/>
      <c r="D48" s="4999"/>
      <c r="E48" s="4999"/>
      <c r="F48" s="4999"/>
      <c r="G48" s="5000"/>
    </row>
    <row r="49" spans="1:8" ht="14.25" hidden="1" customHeight="1">
      <c r="A49" s="4976"/>
      <c r="B49" s="4976"/>
      <c r="C49" s="4976"/>
      <c r="D49" s="4976"/>
      <c r="E49" s="4976"/>
      <c r="F49" s="4976"/>
      <c r="G49" s="4976"/>
    </row>
    <row r="50" spans="1:8" ht="14.85" customHeight="1">
      <c r="A50" s="4976" t="str">
        <f>"17.  Estimated Catastrophic State Aid (7-1-"&amp;OpenData!$Q$5&amp;" to 6-30-"&amp;OpenData!$S$5&amp;")"</f>
        <v>17.  Estimated Catastrophic State Aid (7-1-2021 to 6-30-2022)</v>
      </c>
      <c r="B50" s="4976"/>
      <c r="C50" s="4976"/>
      <c r="D50" s="4976"/>
      <c r="E50" s="4976"/>
      <c r="F50" s="4976"/>
      <c r="G50" s="4995"/>
      <c r="H50" s="5001"/>
    </row>
    <row r="51" spans="1:8" ht="14.1" customHeight="1">
      <c r="A51" s="4976"/>
      <c r="B51" s="4976"/>
      <c r="C51" s="4976"/>
      <c r="D51" s="4976"/>
      <c r="E51" s="4976"/>
      <c r="F51" s="4976"/>
      <c r="G51" s="4976"/>
    </row>
    <row r="52" spans="1:8" ht="14.85" customHeight="1">
      <c r="A52" s="4976" t="s">
        <v>1502</v>
      </c>
      <c r="B52" s="4976"/>
      <c r="C52" s="4976"/>
      <c r="D52" s="4976"/>
      <c r="E52" s="4976"/>
      <c r="F52" s="4976"/>
      <c r="G52" s="4995"/>
    </row>
    <row r="53" spans="1:8" ht="14.1" customHeight="1">
      <c r="A53" s="4976"/>
      <c r="B53" s="4976"/>
      <c r="C53" s="4976"/>
      <c r="D53" s="4976"/>
      <c r="E53" s="4976"/>
      <c r="F53" s="4976"/>
      <c r="G53" s="4976"/>
    </row>
    <row r="54" spans="1:8" ht="14.85" customHeight="1">
      <c r="A54" s="4976" t="s">
        <v>1503</v>
      </c>
      <c r="B54" s="4976"/>
      <c r="C54" s="4976"/>
      <c r="D54" s="4976"/>
      <c r="E54" s="4976"/>
      <c r="F54" s="4976"/>
      <c r="G54" s="4976"/>
    </row>
    <row r="55" spans="1:8" ht="14.85" customHeight="1">
      <c r="A55" s="4979" t="s">
        <v>1504</v>
      </c>
      <c r="B55" s="4976" t="str">
        <f>"(7-1-"&amp;OpenData!$Q$5&amp;" to 6-30-"&amp;OpenData!$S$5&amp;") "</f>
        <v xml:space="preserve">(7-1-2021 to 6-30-2022) </v>
      </c>
      <c r="G55" s="5002">
        <v>542352</v>
      </c>
    </row>
    <row r="56" spans="1:8" ht="14.1" customHeight="1"/>
    <row r="57" spans="1:8" ht="14.85" customHeight="1">
      <c r="A57" s="4976" t="str">
        <f>"20.  Total Estimated Special Education Aid (7-1-"&amp;OpenData!$Q$5&amp;" to 6-30-"&amp;OpenData!$S$5&amp;") (Line 4+16+17+18+19)"</f>
        <v>20.  Total Estimated Special Education Aid (7-1-2021 to 6-30-2022) (Line 4+16+17+18+19)</v>
      </c>
      <c r="G57" s="5003">
        <f>G17+G47+G50+G52+G55</f>
        <v>606957</v>
      </c>
      <c r="H57" s="5004"/>
    </row>
    <row r="59" spans="1:8" ht="14.85" customHeight="1">
      <c r="A59" s="4976"/>
    </row>
  </sheetData>
  <sheetProtection algorithmName="SHA-512" hashValue="SDt3+oBjuCuG96/WYcr7hEplwGpoicHBeXtXqVFq2IKWlmRjsRE70QdrlhHp4D8NmNgwpWH1vVS2dPVlyX8tjQ==" saltValue="mLNyK+ebOj73trZE6bkN8w==" spinCount="100000" sheet="1" objects="1" scenarios="1"/>
  <mergeCells count="4">
    <mergeCell ref="A5:G5"/>
    <mergeCell ref="A6:G6"/>
    <mergeCell ref="A7:G7"/>
    <mergeCell ref="A9:G9"/>
  </mergeCells>
  <dataValidations count="2">
    <dataValidation type="whole" operator="greaterThanOrEqual" showInputMessage="1" showErrorMessage="1" errorTitle="Invalid Data Entry" error="Please enter a positive whole dollar amount or press the delete key or enter zero." sqref="G52 G50 G55 G23 G26 G28 G30 G32 G34 G37 G39 G43">
      <formula1>0</formula1>
    </dataValidation>
    <dataValidation type="decimal" operator="greaterThanOrEqual" showInputMessage="1" showErrorMessage="1" errorTitle="Invalid Data Entry" error="Please report FTE to nearest tenth (Ex: 2.5) or press the delete key or enter zero." sqref="G11 E13">
      <formula1>0</formula1>
    </dataValidation>
  </dataValidations>
  <hyperlinks>
    <hyperlink ref="I1" location="Contents!A1" display="Return to Contents page"/>
  </hyperlinks>
  <printOptions horizontalCentered="1"/>
  <pageMargins left="0.75" right="0.75" top="0.5" bottom="0.5" header="0.3" footer="0.3"/>
  <pageSetup scale="92" fitToHeight="0" orientation="portrait" blackAndWhite="1" r:id="rId1"/>
  <headerFooter scaleWithDoc="0">
    <oddFooter>&amp;L&amp;"Open Sans Light,Regular"&amp;8&amp;D   &amp;T&amp;C&amp;"Open Sans Light,Regular"&amp;8Page &amp;P&amp;R&amp;"Open Sans Light,Regular"&amp;8Form 118</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4" tint="0.39997558519241921"/>
  </sheetPr>
  <dimension ref="A1:Z178"/>
  <sheetViews>
    <sheetView showGridLines="0" zoomScaleNormal="100" zoomScaleSheetLayoutView="100" workbookViewId="0">
      <pane ySplit="8" topLeftCell="A9" activePane="bottomLeft" state="frozen"/>
      <selection activeCell="B22" sqref="B22"/>
      <selection pane="bottomLeft" activeCell="B22" sqref="B22"/>
    </sheetView>
  </sheetViews>
  <sheetFormatPr defaultColWidth="10.6640625" defaultRowHeight="12.75" customHeight="1"/>
  <cols>
    <col min="1" max="1" width="40.6640625" style="119" customWidth="1"/>
    <col min="2" max="2" width="4.88671875" style="1015" customWidth="1"/>
    <col min="3" max="5" width="14.33203125" style="1016" customWidth="1"/>
    <col min="6" max="6" width="2.33203125" style="119" customWidth="1"/>
    <col min="7" max="7" width="21" style="119" customWidth="1"/>
    <col min="8" max="8" width="10.6640625" style="119"/>
    <col min="9" max="9" width="11.88671875" style="119" bestFit="1" customWidth="1"/>
    <col min="10" max="26" width="10.6640625" style="119"/>
    <col min="27" max="16384" width="10.6640625" style="116"/>
  </cols>
  <sheetData>
    <row r="1" spans="1:26" ht="12.75" customHeight="1">
      <c r="A1" s="947" t="s">
        <v>809</v>
      </c>
      <c r="B1" s="1376">
        <f>OPEN!$B$4</f>
        <v>237</v>
      </c>
      <c r="C1" s="978"/>
      <c r="D1" s="6109" t="s">
        <v>836</v>
      </c>
      <c r="E1" s="6109"/>
      <c r="F1" s="114"/>
      <c r="G1" s="304" t="s">
        <v>754</v>
      </c>
    </row>
    <row r="2" spans="1:26" ht="12.75" customHeight="1">
      <c r="A2" s="978"/>
      <c r="B2" s="979"/>
      <c r="C2" s="978"/>
      <c r="D2" s="6109" t="s">
        <v>921</v>
      </c>
      <c r="E2" s="6109"/>
      <c r="F2" s="114"/>
      <c r="G2" s="114"/>
    </row>
    <row r="3" spans="1:26" ht="12.75" customHeight="1">
      <c r="A3" s="978"/>
      <c r="B3" s="979"/>
      <c r="C3" s="978"/>
      <c r="D3" s="978"/>
      <c r="E3" s="947" t="str">
        <f>OpenData!N2</f>
        <v>2021-2022</v>
      </c>
      <c r="F3" s="114"/>
      <c r="G3" s="114"/>
    </row>
    <row r="4" spans="1:26" ht="12.75" customHeight="1">
      <c r="A4" s="978"/>
      <c r="B4" s="979"/>
      <c r="C4" s="978"/>
      <c r="D4" s="978"/>
      <c r="E4" s="978"/>
      <c r="F4" s="114"/>
      <c r="G4" s="114"/>
    </row>
    <row r="5" spans="1:26" ht="12.75" customHeight="1">
      <c r="A5" s="978"/>
      <c r="B5" s="979"/>
      <c r="C5" s="980" t="s">
        <v>922</v>
      </c>
      <c r="D5" s="980" t="s">
        <v>922</v>
      </c>
      <c r="E5" s="980" t="s">
        <v>922</v>
      </c>
      <c r="F5" s="114"/>
      <c r="G5" s="114"/>
    </row>
    <row r="6" spans="1:26" ht="12.75" customHeight="1">
      <c r="A6" s="1023"/>
      <c r="B6" s="993" t="s">
        <v>854</v>
      </c>
      <c r="C6" s="982" t="str">
        <f>OpenData!N4</f>
        <v>2019-2020</v>
      </c>
      <c r="D6" s="982" t="str">
        <f>OpenData!O4</f>
        <v>2020-2021</v>
      </c>
      <c r="E6" s="982" t="str">
        <f>OpenData!P4</f>
        <v>2021-2022</v>
      </c>
      <c r="F6" s="114"/>
      <c r="G6" s="114"/>
      <c r="N6" s="120"/>
    </row>
    <row r="7" spans="1:26" ht="12.75" customHeight="1">
      <c r="A7" s="1023" t="s">
        <v>4775</v>
      </c>
      <c r="B7" s="1006">
        <v>34</v>
      </c>
      <c r="C7" s="984" t="s">
        <v>893</v>
      </c>
      <c r="D7" s="984" t="s">
        <v>893</v>
      </c>
      <c r="E7" s="984" t="s">
        <v>923</v>
      </c>
      <c r="F7" s="114"/>
      <c r="G7" s="114"/>
      <c r="O7" s="121"/>
      <c r="P7" s="121"/>
      <c r="Q7" s="121"/>
    </row>
    <row r="8" spans="1:26" ht="12.75" customHeight="1">
      <c r="A8" s="1043"/>
      <c r="B8" s="985" t="s">
        <v>858</v>
      </c>
      <c r="C8" s="1369">
        <v>1</v>
      </c>
      <c r="D8" s="1369">
        <v>2</v>
      </c>
      <c r="E8" s="1369">
        <v>3</v>
      </c>
      <c r="F8" s="114"/>
      <c r="G8" s="114"/>
      <c r="O8" s="121"/>
      <c r="P8" s="121"/>
      <c r="Q8" s="121"/>
    </row>
    <row r="9" spans="1:26" ht="12.75" customHeight="1">
      <c r="A9" s="1380" t="s">
        <v>1043</v>
      </c>
      <c r="B9" s="1010">
        <v>1</v>
      </c>
      <c r="C9" s="992">
        <v>25079</v>
      </c>
      <c r="D9" s="1370">
        <f>C37</f>
        <v>7761</v>
      </c>
      <c r="E9" s="1371">
        <f>D37</f>
        <v>18218</v>
      </c>
      <c r="F9" s="114"/>
      <c r="G9" s="114"/>
      <c r="O9" s="121"/>
      <c r="P9" s="121"/>
      <c r="Q9" s="121"/>
    </row>
    <row r="10" spans="1:26" s="123" customFormat="1" ht="12.75" customHeight="1">
      <c r="A10" s="3974" t="s">
        <v>4940</v>
      </c>
      <c r="B10" s="990">
        <v>3</v>
      </c>
      <c r="C10" s="991"/>
      <c r="D10" s="1009"/>
      <c r="E10" s="3141"/>
      <c r="F10" s="117"/>
      <c r="G10" s="117"/>
      <c r="H10" s="124"/>
      <c r="I10" s="124"/>
      <c r="J10" s="124"/>
      <c r="K10" s="124"/>
      <c r="L10" s="124"/>
      <c r="M10" s="124"/>
      <c r="N10" s="124"/>
      <c r="O10" s="125"/>
      <c r="P10" s="125"/>
      <c r="Q10" s="125"/>
      <c r="R10" s="124"/>
      <c r="S10" s="124"/>
      <c r="T10" s="124"/>
      <c r="U10" s="124"/>
      <c r="V10" s="124"/>
      <c r="W10" s="124"/>
      <c r="X10" s="124"/>
      <c r="Y10" s="124"/>
      <c r="Z10" s="124"/>
    </row>
    <row r="11" spans="1:26" s="123" customFormat="1" ht="12.75" customHeight="1">
      <c r="A11" s="2359"/>
      <c r="B11" s="4267"/>
      <c r="C11" s="4267"/>
      <c r="D11" s="4267"/>
      <c r="E11" s="4279"/>
      <c r="F11" s="117"/>
      <c r="G11" s="117"/>
      <c r="H11" s="124"/>
      <c r="I11" s="124"/>
      <c r="J11" s="124"/>
      <c r="K11" s="124"/>
      <c r="L11" s="124"/>
      <c r="M11" s="124"/>
      <c r="N11" s="124"/>
      <c r="O11" s="125"/>
      <c r="P11" s="125"/>
      <c r="Q11" s="125"/>
      <c r="R11" s="124"/>
      <c r="S11" s="124"/>
      <c r="T11" s="124"/>
      <c r="U11" s="124"/>
      <c r="V11" s="124"/>
      <c r="W11" s="124"/>
      <c r="X11" s="124"/>
      <c r="Y11" s="124"/>
      <c r="Z11" s="124"/>
    </row>
    <row r="12" spans="1:26" s="123" customFormat="1" ht="12.75" customHeight="1">
      <c r="A12" s="4268" t="s">
        <v>4767</v>
      </c>
      <c r="B12" s="4269"/>
      <c r="C12" s="4269"/>
      <c r="D12" s="4269"/>
      <c r="E12" s="4270"/>
      <c r="F12" s="117"/>
      <c r="G12" s="117"/>
      <c r="H12" s="124"/>
      <c r="I12" s="124"/>
      <c r="J12" s="124"/>
      <c r="K12" s="124"/>
      <c r="L12" s="124"/>
      <c r="M12" s="124"/>
      <c r="N12" s="124"/>
      <c r="O12" s="125"/>
      <c r="P12" s="125"/>
      <c r="Q12" s="125"/>
      <c r="R12" s="124"/>
      <c r="S12" s="124"/>
      <c r="T12" s="124"/>
      <c r="U12" s="124"/>
      <c r="V12" s="124"/>
      <c r="W12" s="124"/>
      <c r="X12" s="124"/>
      <c r="Y12" s="124"/>
      <c r="Z12" s="124"/>
    </row>
    <row r="13" spans="1:26" s="123" customFormat="1" ht="12.75" customHeight="1">
      <c r="A13" s="3086" t="s">
        <v>13</v>
      </c>
      <c r="B13" s="3130"/>
      <c r="C13" s="3130"/>
      <c r="D13" s="3130"/>
      <c r="E13" s="3130"/>
      <c r="F13" s="117"/>
      <c r="G13" s="117"/>
      <c r="H13" s="124"/>
      <c r="I13" s="124"/>
      <c r="J13" s="124"/>
      <c r="K13" s="124"/>
      <c r="L13" s="124"/>
      <c r="M13" s="124"/>
      <c r="N13" s="124"/>
      <c r="O13" s="125"/>
      <c r="P13" s="125"/>
      <c r="Q13" s="125"/>
      <c r="R13" s="124"/>
      <c r="S13" s="124"/>
      <c r="T13" s="124"/>
      <c r="U13" s="124"/>
      <c r="V13" s="124"/>
      <c r="W13" s="124"/>
      <c r="X13" s="124"/>
      <c r="Y13" s="124"/>
      <c r="Z13" s="124"/>
    </row>
    <row r="14" spans="1:26" s="123" customFormat="1" ht="12.75" customHeight="1">
      <c r="A14" s="3086" t="s">
        <v>645</v>
      </c>
      <c r="B14" s="3130"/>
      <c r="C14" s="3130"/>
      <c r="D14" s="3130"/>
      <c r="E14" s="3130"/>
      <c r="F14" s="117"/>
      <c r="G14" s="117"/>
      <c r="H14" s="124"/>
      <c r="I14" s="124"/>
      <c r="J14" s="124"/>
      <c r="K14" s="124"/>
      <c r="L14" s="124"/>
      <c r="M14" s="124"/>
      <c r="N14" s="124"/>
      <c r="O14" s="125"/>
      <c r="P14" s="125"/>
      <c r="Q14" s="125"/>
      <c r="R14" s="124"/>
      <c r="S14" s="124"/>
      <c r="T14" s="124"/>
      <c r="U14" s="124"/>
      <c r="V14" s="124"/>
      <c r="W14" s="124"/>
      <c r="X14" s="124"/>
      <c r="Y14" s="124"/>
      <c r="Z14" s="124"/>
    </row>
    <row r="15" spans="1:26" s="123" customFormat="1" ht="12.75" customHeight="1">
      <c r="A15" s="3101" t="s">
        <v>646</v>
      </c>
      <c r="B15" s="3119">
        <v>5</v>
      </c>
      <c r="C15" s="3131"/>
      <c r="D15" s="3131"/>
      <c r="E15" s="3131"/>
      <c r="F15" s="117"/>
      <c r="G15" s="117"/>
      <c r="H15" s="124"/>
      <c r="I15" s="124"/>
      <c r="J15" s="124"/>
      <c r="K15" s="124"/>
      <c r="L15" s="124"/>
      <c r="M15" s="124"/>
      <c r="N15" s="124"/>
      <c r="O15" s="124"/>
      <c r="P15" s="124"/>
      <c r="Q15" s="124"/>
      <c r="R15" s="124"/>
      <c r="S15" s="124"/>
      <c r="T15" s="124"/>
      <c r="U15" s="124"/>
      <c r="V15" s="124"/>
      <c r="W15" s="124"/>
      <c r="X15" s="124"/>
      <c r="Y15" s="124"/>
      <c r="Z15" s="124"/>
    </row>
    <row r="16" spans="1:26" s="123" customFormat="1" ht="12.75" customHeight="1">
      <c r="A16" s="3102" t="s">
        <v>647</v>
      </c>
      <c r="B16" s="2028">
        <v>15</v>
      </c>
      <c r="C16" s="3132"/>
      <c r="D16" s="3132"/>
      <c r="E16" s="3132"/>
      <c r="F16" s="117"/>
      <c r="G16" s="117"/>
      <c r="H16" s="124"/>
      <c r="I16" s="124"/>
      <c r="J16" s="124"/>
      <c r="K16" s="124"/>
      <c r="L16" s="124"/>
      <c r="M16" s="124"/>
      <c r="N16" s="126"/>
      <c r="O16" s="124"/>
      <c r="P16" s="124"/>
      <c r="Q16" s="124"/>
      <c r="R16" s="124"/>
      <c r="S16" s="124"/>
      <c r="T16" s="124"/>
      <c r="U16" s="124"/>
      <c r="V16" s="124"/>
      <c r="W16" s="124"/>
      <c r="X16" s="124"/>
      <c r="Y16" s="124"/>
      <c r="Z16" s="124"/>
    </row>
    <row r="17" spans="1:26" s="123" customFormat="1" ht="25.5" customHeight="1">
      <c r="A17" s="4278" t="s">
        <v>5139</v>
      </c>
      <c r="B17" s="2028">
        <v>25</v>
      </c>
      <c r="C17" s="3132"/>
      <c r="D17" s="3132"/>
      <c r="E17" s="3132"/>
      <c r="F17" s="117"/>
      <c r="G17" s="117"/>
      <c r="H17" s="124"/>
      <c r="I17" s="124"/>
      <c r="J17" s="124"/>
      <c r="K17" s="124"/>
      <c r="L17" s="124"/>
      <c r="M17" s="124"/>
      <c r="N17" s="124"/>
      <c r="O17" s="127"/>
      <c r="P17" s="127"/>
      <c r="Q17" s="127"/>
      <c r="R17" s="124"/>
      <c r="S17" s="124"/>
      <c r="T17" s="124"/>
      <c r="U17" s="124"/>
      <c r="V17" s="124"/>
      <c r="W17" s="124"/>
      <c r="X17" s="124"/>
      <c r="Y17" s="124"/>
      <c r="Z17" s="124"/>
    </row>
    <row r="18" spans="1:26" s="123" customFormat="1" ht="12.75" customHeight="1">
      <c r="A18" s="3102" t="s">
        <v>71</v>
      </c>
      <c r="B18" s="2028">
        <v>35</v>
      </c>
      <c r="C18" s="3133"/>
      <c r="D18" s="3133"/>
      <c r="E18" s="3132"/>
      <c r="F18" s="117"/>
      <c r="G18" s="117"/>
      <c r="H18" s="124"/>
      <c r="I18" s="124"/>
      <c r="J18" s="124"/>
      <c r="K18" s="124"/>
      <c r="L18" s="124"/>
      <c r="M18" s="124"/>
      <c r="N18" s="124"/>
      <c r="O18" s="127"/>
      <c r="P18" s="127"/>
      <c r="Q18" s="127"/>
      <c r="R18" s="124"/>
      <c r="S18" s="124"/>
      <c r="T18" s="124"/>
      <c r="U18" s="124"/>
      <c r="V18" s="124"/>
      <c r="W18" s="124"/>
      <c r="X18" s="124"/>
      <c r="Y18" s="124"/>
      <c r="Z18" s="124"/>
    </row>
    <row r="19" spans="1:26" s="123" customFormat="1" ht="12.75" customHeight="1">
      <c r="A19" s="3102" t="s">
        <v>4816</v>
      </c>
      <c r="B19" s="2028">
        <v>45</v>
      </c>
      <c r="C19" s="3132">
        <v>7043</v>
      </c>
      <c r="D19" s="3132">
        <v>16663</v>
      </c>
      <c r="E19" s="3142"/>
      <c r="F19" s="117"/>
      <c r="G19" s="117"/>
      <c r="H19" s="124"/>
      <c r="I19" s="124"/>
      <c r="J19" s="124"/>
      <c r="K19" s="124"/>
      <c r="L19" s="124"/>
      <c r="M19" s="124"/>
      <c r="N19" s="124"/>
      <c r="O19" s="127"/>
      <c r="P19" s="127"/>
      <c r="Q19" s="127"/>
      <c r="R19" s="124"/>
      <c r="S19" s="124"/>
      <c r="T19" s="124"/>
      <c r="U19" s="124"/>
      <c r="V19" s="124"/>
      <c r="W19" s="124"/>
      <c r="X19" s="124"/>
      <c r="Y19" s="124"/>
      <c r="Z19" s="124"/>
    </row>
    <row r="20" spans="1:26" s="123" customFormat="1" ht="12.75" customHeight="1">
      <c r="A20" s="3086" t="s">
        <v>18</v>
      </c>
      <c r="B20" s="3130"/>
      <c r="C20" s="3130"/>
      <c r="D20" s="3130"/>
      <c r="E20" s="3130"/>
      <c r="F20" s="117"/>
      <c r="G20" s="117"/>
      <c r="H20" s="124"/>
      <c r="I20" s="124"/>
      <c r="J20" s="124"/>
      <c r="K20" s="124"/>
      <c r="L20" s="124"/>
      <c r="M20" s="124"/>
      <c r="N20" s="124"/>
      <c r="O20" s="127"/>
      <c r="P20" s="127"/>
      <c r="Q20" s="127"/>
      <c r="R20" s="124"/>
      <c r="S20" s="124"/>
      <c r="T20" s="124"/>
      <c r="U20" s="124"/>
      <c r="V20" s="124"/>
      <c r="W20" s="124"/>
      <c r="X20" s="124"/>
      <c r="Y20" s="124"/>
      <c r="Z20" s="124"/>
    </row>
    <row r="21" spans="1:26" s="123" customFormat="1" ht="12.75" customHeight="1">
      <c r="A21" s="3101" t="s">
        <v>649</v>
      </c>
      <c r="B21" s="3119">
        <v>55</v>
      </c>
      <c r="C21" s="3131"/>
      <c r="D21" s="3131"/>
      <c r="E21" s="3134"/>
      <c r="F21" s="117"/>
      <c r="G21" s="117"/>
      <c r="H21" s="124"/>
      <c r="I21" s="124"/>
      <c r="J21" s="124"/>
      <c r="K21" s="124"/>
      <c r="L21" s="124"/>
      <c r="M21" s="124"/>
      <c r="N21" s="124"/>
      <c r="O21" s="124"/>
      <c r="P21" s="124"/>
      <c r="Q21" s="124"/>
      <c r="R21" s="124"/>
      <c r="S21" s="124"/>
      <c r="T21" s="124"/>
      <c r="U21" s="124"/>
      <c r="V21" s="124"/>
      <c r="W21" s="124"/>
      <c r="X21" s="124"/>
      <c r="Y21" s="124"/>
      <c r="Z21" s="124"/>
    </row>
    <row r="22" spans="1:26" s="123" customFormat="1" ht="12.75" customHeight="1">
      <c r="A22" s="3102" t="s">
        <v>19</v>
      </c>
      <c r="B22" s="2028">
        <v>65</v>
      </c>
      <c r="C22" s="3132"/>
      <c r="D22" s="3132"/>
      <c r="E22" s="3132"/>
      <c r="F22" s="117"/>
      <c r="G22" s="117"/>
      <c r="H22" s="124"/>
      <c r="I22" s="124"/>
      <c r="J22" s="124"/>
      <c r="K22" s="124"/>
      <c r="L22" s="124"/>
      <c r="M22" s="124"/>
      <c r="N22" s="124"/>
      <c r="O22" s="127"/>
      <c r="P22" s="127"/>
      <c r="Q22" s="127"/>
      <c r="R22" s="124"/>
      <c r="S22" s="124"/>
      <c r="T22" s="124"/>
      <c r="U22" s="124"/>
      <c r="V22" s="124"/>
      <c r="W22" s="124"/>
      <c r="X22" s="124"/>
      <c r="Y22" s="124"/>
      <c r="Z22" s="124"/>
    </row>
    <row r="23" spans="1:26" s="123" customFormat="1" ht="12.75" customHeight="1">
      <c r="A23" s="2251" t="s">
        <v>20</v>
      </c>
      <c r="B23" s="981">
        <v>75</v>
      </c>
      <c r="C23" s="3132">
        <v>824</v>
      </c>
      <c r="D23" s="3132">
        <v>4929</v>
      </c>
      <c r="E23" s="3132">
        <v>4929</v>
      </c>
      <c r="F23" s="117"/>
      <c r="G23" s="117"/>
      <c r="H23" s="124"/>
      <c r="I23" s="124"/>
      <c r="J23" s="124"/>
      <c r="K23" s="124"/>
      <c r="L23" s="124"/>
      <c r="M23" s="124"/>
      <c r="N23" s="124"/>
      <c r="O23" s="124"/>
      <c r="P23" s="124"/>
      <c r="Q23" s="124"/>
      <c r="R23" s="124"/>
      <c r="S23" s="124"/>
      <c r="T23" s="124"/>
      <c r="U23" s="124"/>
      <c r="V23" s="124"/>
      <c r="W23" s="124"/>
      <c r="X23" s="124"/>
      <c r="Y23" s="124"/>
      <c r="Z23" s="124"/>
    </row>
    <row r="24" spans="1:26" s="123" customFormat="1" ht="12.75" customHeight="1">
      <c r="A24" s="2252" t="s">
        <v>272</v>
      </c>
      <c r="B24" s="3129"/>
      <c r="C24" s="3129"/>
      <c r="D24" s="3129"/>
      <c r="E24" s="3129"/>
      <c r="F24" s="117"/>
      <c r="G24" s="117"/>
      <c r="H24" s="124"/>
      <c r="I24" s="124"/>
      <c r="J24" s="124"/>
      <c r="K24" s="124"/>
      <c r="L24" s="124"/>
      <c r="M24" s="124"/>
      <c r="N24" s="124"/>
      <c r="O24" s="124"/>
      <c r="P24" s="124"/>
      <c r="Q24" s="124"/>
      <c r="R24" s="124"/>
      <c r="S24" s="124"/>
      <c r="T24" s="124"/>
      <c r="U24" s="124"/>
      <c r="V24" s="124"/>
      <c r="W24" s="124"/>
      <c r="X24" s="124"/>
      <c r="Y24" s="124"/>
      <c r="Z24" s="124"/>
    </row>
    <row r="25" spans="1:26" s="123" customFormat="1" ht="12.75" customHeight="1">
      <c r="A25" s="3101" t="s">
        <v>1284</v>
      </c>
      <c r="B25" s="3119">
        <v>80</v>
      </c>
      <c r="C25" s="3135">
        <f>VLOOKUP(B1,DATA!A4:AT289,20,FALSE)</f>
        <v>0</v>
      </c>
      <c r="D25" s="4626"/>
      <c r="E25" s="4616"/>
      <c r="F25" s="117"/>
      <c r="G25" s="677"/>
      <c r="H25" s="124"/>
      <c r="I25" s="124"/>
      <c r="J25" s="124"/>
      <c r="K25" s="124"/>
      <c r="L25" s="124"/>
      <c r="M25" s="124"/>
      <c r="N25" s="124"/>
      <c r="O25" s="124"/>
      <c r="P25" s="124"/>
      <c r="Q25" s="124"/>
      <c r="R25" s="124"/>
      <c r="S25" s="124"/>
      <c r="T25" s="124"/>
      <c r="U25" s="124"/>
      <c r="V25" s="124"/>
      <c r="W25" s="124"/>
      <c r="X25" s="124"/>
      <c r="Y25" s="124"/>
      <c r="Z25" s="124"/>
    </row>
    <row r="26" spans="1:26" s="123" customFormat="1" ht="12.75" customHeight="1">
      <c r="A26" s="3084" t="s">
        <v>37</v>
      </c>
      <c r="B26" s="3136"/>
      <c r="C26" s="3136"/>
      <c r="D26" s="3137"/>
      <c r="E26" s="4280"/>
      <c r="F26" s="117"/>
      <c r="G26" s="117"/>
      <c r="H26" s="124"/>
      <c r="I26" s="124"/>
      <c r="J26" s="124"/>
      <c r="K26" s="124"/>
      <c r="L26" s="124"/>
      <c r="M26" s="124"/>
      <c r="N26" s="124"/>
      <c r="O26" s="124"/>
      <c r="P26" s="124"/>
      <c r="Q26" s="124"/>
      <c r="R26" s="124"/>
      <c r="S26" s="124"/>
      <c r="T26" s="124"/>
      <c r="U26" s="124"/>
      <c r="V26" s="124"/>
      <c r="W26" s="124"/>
      <c r="X26" s="124"/>
      <c r="Y26" s="124"/>
      <c r="Z26" s="124"/>
    </row>
    <row r="27" spans="1:26" s="123" customFormat="1" ht="12.75" customHeight="1">
      <c r="A27" s="3085" t="s">
        <v>650</v>
      </c>
      <c r="B27" s="4260"/>
      <c r="C27" s="3137"/>
      <c r="D27" s="3137"/>
      <c r="E27" s="3137"/>
      <c r="F27" s="117"/>
      <c r="G27" s="117"/>
      <c r="H27" s="124"/>
      <c r="I27" s="124"/>
      <c r="J27" s="124"/>
      <c r="K27" s="124"/>
      <c r="L27" s="124"/>
      <c r="M27" s="124"/>
      <c r="N27" s="124"/>
      <c r="O27" s="124"/>
      <c r="P27" s="124"/>
      <c r="Q27" s="124"/>
      <c r="R27" s="124"/>
      <c r="S27" s="124"/>
      <c r="T27" s="124"/>
      <c r="U27" s="124"/>
      <c r="V27" s="124"/>
      <c r="W27" s="124"/>
      <c r="X27" s="124"/>
      <c r="Y27" s="124"/>
      <c r="Z27" s="124"/>
    </row>
    <row r="28" spans="1:26" s="123" customFormat="1" ht="12.75" customHeight="1">
      <c r="A28" s="3103" t="s">
        <v>651</v>
      </c>
      <c r="B28" s="3108">
        <v>115</v>
      </c>
      <c r="C28" s="3131"/>
      <c r="D28" s="3131"/>
      <c r="E28" s="3131"/>
      <c r="F28" s="117"/>
      <c r="G28" s="117"/>
      <c r="H28" s="124"/>
      <c r="I28" s="124"/>
      <c r="J28" s="124"/>
      <c r="K28" s="124"/>
      <c r="L28" s="124"/>
      <c r="M28" s="124"/>
      <c r="N28" s="124"/>
      <c r="O28" s="124"/>
      <c r="P28" s="124"/>
      <c r="Q28" s="124"/>
      <c r="R28" s="124"/>
      <c r="S28" s="124"/>
      <c r="T28" s="124"/>
      <c r="U28" s="124"/>
      <c r="V28" s="124"/>
      <c r="W28" s="124"/>
      <c r="X28" s="124"/>
      <c r="Y28" s="124"/>
      <c r="Z28" s="124"/>
    </row>
    <row r="29" spans="1:26" s="123" customFormat="1" ht="12.75" customHeight="1">
      <c r="A29" s="3104" t="s">
        <v>652</v>
      </c>
      <c r="B29" s="3109">
        <v>125</v>
      </c>
      <c r="C29" s="3132"/>
      <c r="D29" s="3132"/>
      <c r="E29" s="3132"/>
      <c r="F29" s="117"/>
      <c r="G29" s="117"/>
      <c r="H29" s="124"/>
      <c r="I29" s="124"/>
      <c r="J29" s="124"/>
      <c r="K29" s="124"/>
      <c r="L29" s="124"/>
      <c r="M29" s="124"/>
      <c r="N29" s="124"/>
      <c r="O29" s="124"/>
      <c r="P29" s="124"/>
      <c r="Q29" s="124"/>
      <c r="R29" s="124"/>
      <c r="S29" s="124"/>
      <c r="T29" s="124"/>
      <c r="U29" s="124"/>
      <c r="V29" s="124"/>
      <c r="W29" s="124"/>
      <c r="X29" s="124"/>
      <c r="Y29" s="124"/>
      <c r="Z29" s="124"/>
    </row>
    <row r="30" spans="1:26" s="123" customFormat="1" ht="12.75" customHeight="1">
      <c r="A30" s="3105" t="s">
        <v>1139</v>
      </c>
      <c r="B30" s="3138">
        <v>130</v>
      </c>
      <c r="C30" s="3139"/>
      <c r="D30" s="3139"/>
      <c r="E30" s="3139"/>
      <c r="F30" s="117"/>
      <c r="G30" s="117"/>
      <c r="H30" s="124"/>
      <c r="I30" s="124"/>
      <c r="J30" s="124"/>
      <c r="K30" s="124"/>
      <c r="L30" s="124"/>
      <c r="M30" s="124"/>
      <c r="N30" s="124"/>
      <c r="O30" s="124"/>
      <c r="P30" s="124"/>
      <c r="Q30" s="124"/>
      <c r="R30" s="124"/>
      <c r="S30" s="124"/>
      <c r="T30" s="124"/>
      <c r="U30" s="124"/>
      <c r="V30" s="124"/>
      <c r="W30" s="124"/>
      <c r="X30" s="124"/>
      <c r="Y30" s="124"/>
      <c r="Z30" s="124"/>
    </row>
    <row r="31" spans="1:26" s="123" customFormat="1" ht="12.75" customHeight="1">
      <c r="A31" s="3084" t="s">
        <v>39</v>
      </c>
      <c r="B31" s="3136"/>
      <c r="C31" s="3136"/>
      <c r="D31" s="3136"/>
      <c r="E31" s="3136"/>
      <c r="F31" s="117"/>
      <c r="G31" s="117"/>
      <c r="H31" s="124"/>
      <c r="I31" s="124"/>
      <c r="J31" s="124"/>
      <c r="K31" s="124"/>
      <c r="L31" s="124"/>
      <c r="M31" s="124"/>
      <c r="N31" s="124"/>
      <c r="O31" s="124"/>
      <c r="P31" s="124"/>
      <c r="Q31" s="124"/>
      <c r="R31" s="124"/>
      <c r="S31" s="124"/>
      <c r="T31" s="124"/>
      <c r="U31" s="124"/>
      <c r="V31" s="124"/>
      <c r="W31" s="124"/>
      <c r="X31" s="124"/>
      <c r="Y31" s="124"/>
      <c r="Z31" s="124"/>
    </row>
    <row r="32" spans="1:26" s="123" customFormat="1" ht="12.75" customHeight="1">
      <c r="A32" s="3103" t="s">
        <v>40</v>
      </c>
      <c r="B32" s="3108">
        <v>135</v>
      </c>
      <c r="C32" s="3140">
        <f>'C06'!$C$277</f>
        <v>20000</v>
      </c>
      <c r="D32" s="3140">
        <f>'C06'!$D$277</f>
        <v>27056</v>
      </c>
      <c r="E32" s="3140">
        <f>'C06'!$E$277</f>
        <v>27056</v>
      </c>
      <c r="F32" s="117"/>
      <c r="G32" s="677"/>
      <c r="H32" s="124"/>
      <c r="I32" s="124"/>
      <c r="J32" s="124"/>
      <c r="K32" s="124"/>
      <c r="L32" s="124"/>
      <c r="M32" s="124"/>
      <c r="N32" s="124"/>
      <c r="O32" s="124"/>
      <c r="P32" s="124"/>
      <c r="Q32" s="124"/>
      <c r="R32" s="124"/>
      <c r="S32" s="124"/>
      <c r="T32" s="124"/>
      <c r="U32" s="124"/>
      <c r="V32" s="124"/>
      <c r="W32" s="124"/>
      <c r="X32" s="124"/>
      <c r="Y32" s="124"/>
      <c r="Z32" s="124"/>
    </row>
    <row r="33" spans="1:26" s="123" customFormat="1" ht="12.75" customHeight="1">
      <c r="A33" s="1026" t="s">
        <v>308</v>
      </c>
      <c r="B33" s="995">
        <v>140</v>
      </c>
      <c r="C33" s="996">
        <f>'C08'!$C$282</f>
        <v>148243</v>
      </c>
      <c r="D33" s="1373">
        <f>'C08'!$D$282</f>
        <v>162000</v>
      </c>
      <c r="E33" s="996">
        <f>'C08'!$E$282</f>
        <v>162000</v>
      </c>
      <c r="F33" s="117"/>
      <c r="G33" s="117"/>
      <c r="H33" s="590" t="s">
        <v>3037</v>
      </c>
      <c r="I33" s="124"/>
      <c r="J33" s="124"/>
      <c r="K33" s="124"/>
      <c r="L33" s="124"/>
      <c r="M33" s="124"/>
      <c r="N33" s="124"/>
      <c r="O33" s="124"/>
      <c r="P33" s="124"/>
      <c r="Q33" s="124"/>
      <c r="R33" s="124"/>
      <c r="S33" s="124"/>
      <c r="T33" s="124"/>
      <c r="U33" s="124"/>
      <c r="V33" s="124"/>
      <c r="W33" s="124"/>
      <c r="X33" s="124"/>
      <c r="Y33" s="124"/>
      <c r="Z33" s="124"/>
    </row>
    <row r="34" spans="1:26" s="123" customFormat="1" ht="12.75" customHeight="1">
      <c r="A34" s="1026" t="s">
        <v>41</v>
      </c>
      <c r="B34" s="995">
        <v>145</v>
      </c>
      <c r="C34" s="994">
        <f>'C053'!$C$239</f>
        <v>0</v>
      </c>
      <c r="D34" s="1374">
        <f>'C053'!$D$239</f>
        <v>0</v>
      </c>
      <c r="E34" s="3810" t="s">
        <v>4905</v>
      </c>
      <c r="F34" s="117"/>
      <c r="G34" s="590"/>
      <c r="H34" s="591">
        <f>ROUND('F150'!J25*OpenData!N25,0)</f>
        <v>50825</v>
      </c>
      <c r="I34" s="124"/>
      <c r="J34" s="124"/>
      <c r="K34" s="124"/>
      <c r="L34" s="124"/>
      <c r="M34" s="124"/>
      <c r="N34" s="124"/>
      <c r="O34" s="124"/>
      <c r="P34" s="124"/>
      <c r="Q34" s="124"/>
      <c r="R34" s="124"/>
      <c r="S34" s="124"/>
      <c r="T34" s="124"/>
      <c r="U34" s="124"/>
      <c r="V34" s="124"/>
      <c r="W34" s="124"/>
      <c r="X34" s="124"/>
      <c r="Y34" s="124"/>
      <c r="Z34" s="124"/>
    </row>
    <row r="35" spans="1:26" s="123" customFormat="1" ht="12.75" customHeight="1">
      <c r="A35" s="1027" t="s">
        <v>653</v>
      </c>
      <c r="B35" s="998">
        <v>170</v>
      </c>
      <c r="C35" s="994">
        <f>SUM(C9:C34)</f>
        <v>201189</v>
      </c>
      <c r="D35" s="1372">
        <f>SUM(D9:D34)</f>
        <v>218409</v>
      </c>
      <c r="E35" s="3140">
        <f>SUM(E9:E34)</f>
        <v>212203</v>
      </c>
      <c r="F35" s="117"/>
      <c r="G35" s="478"/>
      <c r="H35" s="124"/>
      <c r="I35" s="716"/>
      <c r="J35" s="717"/>
      <c r="K35" s="124"/>
      <c r="L35" s="717"/>
      <c r="M35" s="124"/>
      <c r="N35" s="124"/>
      <c r="O35" s="124"/>
      <c r="P35" s="124"/>
      <c r="Q35" s="124"/>
      <c r="R35" s="124"/>
      <c r="S35" s="124"/>
      <c r="T35" s="124"/>
      <c r="U35" s="124"/>
      <c r="V35" s="124"/>
      <c r="W35" s="124"/>
      <c r="X35" s="124"/>
      <c r="Y35" s="124"/>
      <c r="Z35" s="124"/>
    </row>
    <row r="36" spans="1:26" s="123" customFormat="1" ht="12.75" customHeight="1">
      <c r="A36" s="1026" t="s">
        <v>43</v>
      </c>
      <c r="B36" s="995">
        <v>175</v>
      </c>
      <c r="C36" s="996">
        <f>C173</f>
        <v>193428</v>
      </c>
      <c r="D36" s="1374">
        <f>D173</f>
        <v>200191</v>
      </c>
      <c r="E36" s="996">
        <f>IF((E173&lt;=E35),E173,"ERROR")</f>
        <v>208510</v>
      </c>
      <c r="F36" s="117"/>
      <c r="G36" s="296" t="str">
        <f>IF(E36="ERROR","Expenditures must be less than or equal to Resources Available","")</f>
        <v/>
      </c>
      <c r="H36" s="124"/>
      <c r="I36" s="717"/>
      <c r="J36" s="717"/>
      <c r="K36" s="124"/>
      <c r="L36" s="124"/>
      <c r="M36" s="124"/>
      <c r="N36" s="124"/>
      <c r="O36" s="124"/>
      <c r="P36" s="124"/>
      <c r="Q36" s="124"/>
      <c r="R36" s="124"/>
      <c r="S36" s="124"/>
      <c r="T36" s="124"/>
      <c r="U36" s="124"/>
      <c r="V36" s="124"/>
      <c r="W36" s="124"/>
      <c r="X36" s="124"/>
      <c r="Y36" s="124"/>
      <c r="Z36" s="124"/>
    </row>
    <row r="37" spans="1:26" s="123" customFormat="1" ht="12.75" customHeight="1">
      <c r="A37" s="1031" t="s">
        <v>935</v>
      </c>
      <c r="B37" s="1375">
        <v>190</v>
      </c>
      <c r="C37" s="996">
        <f>C35-C36</f>
        <v>7761</v>
      </c>
      <c r="D37" s="1381">
        <f>D35-D36</f>
        <v>18218</v>
      </c>
      <c r="E37" s="1382">
        <f>IF(ISERROR(E35-E36),"NEGATIVE",E35-E36)</f>
        <v>3693</v>
      </c>
      <c r="F37" s="117"/>
      <c r="G37" s="419"/>
      <c r="H37" s="124"/>
      <c r="I37" s="717"/>
      <c r="J37" s="717"/>
      <c r="K37" s="124"/>
      <c r="L37" s="124"/>
      <c r="M37" s="124"/>
      <c r="N37" s="124"/>
      <c r="O37" s="124"/>
      <c r="P37" s="124"/>
      <c r="Q37" s="124"/>
      <c r="R37" s="124"/>
      <c r="S37" s="124"/>
      <c r="T37" s="124"/>
      <c r="U37" s="124"/>
      <c r="V37" s="124"/>
      <c r="W37" s="124"/>
      <c r="X37" s="124"/>
      <c r="Y37" s="124"/>
      <c r="Z37" s="124"/>
    </row>
    <row r="38" spans="1:26" s="123" customFormat="1" ht="12.75" customHeight="1">
      <c r="A38" s="1376"/>
      <c r="B38" s="1377"/>
      <c r="C38" s="1004"/>
      <c r="D38" s="1004"/>
      <c r="E38" s="1005"/>
      <c r="F38" s="117"/>
      <c r="G38" s="419"/>
      <c r="H38" s="124"/>
      <c r="I38" s="717"/>
      <c r="J38" s="717"/>
      <c r="K38" s="124"/>
      <c r="L38" s="124"/>
      <c r="M38" s="124"/>
      <c r="N38" s="124"/>
      <c r="O38" s="124"/>
      <c r="P38" s="124"/>
      <c r="Q38" s="124"/>
      <c r="R38" s="124"/>
      <c r="S38" s="124"/>
      <c r="T38" s="124"/>
      <c r="U38" s="124"/>
      <c r="V38" s="124"/>
      <c r="W38" s="124"/>
      <c r="X38" s="124"/>
      <c r="Y38" s="124"/>
      <c r="Z38" s="124"/>
    </row>
    <row r="39" spans="1:26" s="3724" customFormat="1" ht="12.75" customHeight="1">
      <c r="A39" s="3780" t="str">
        <f>A1</f>
        <v>USD #</v>
      </c>
      <c r="B39" s="4271">
        <f>B1</f>
        <v>237</v>
      </c>
      <c r="C39" s="3731"/>
      <c r="D39" s="6142" t="str">
        <f>D1</f>
        <v>STATE OF KANSAS</v>
      </c>
      <c r="E39" s="6142"/>
      <c r="F39" s="941"/>
      <c r="G39" s="3781"/>
      <c r="H39" s="3723"/>
      <c r="I39" s="3782"/>
      <c r="J39" s="3782"/>
      <c r="K39" s="3723"/>
      <c r="L39" s="3723"/>
      <c r="M39" s="3723"/>
      <c r="N39" s="3723"/>
      <c r="O39" s="3723"/>
      <c r="P39" s="3723"/>
      <c r="Q39" s="3723"/>
      <c r="R39" s="3723"/>
      <c r="S39" s="3723"/>
      <c r="T39" s="3723"/>
      <c r="U39" s="3723"/>
      <c r="V39" s="3723"/>
      <c r="W39" s="3723"/>
      <c r="X39" s="3723"/>
      <c r="Y39" s="3723"/>
      <c r="Z39" s="3723"/>
    </row>
    <row r="40" spans="1:26" s="123" customFormat="1" ht="12.75" customHeight="1">
      <c r="A40" s="1376"/>
      <c r="B40" s="1377"/>
      <c r="C40" s="1004"/>
      <c r="D40" s="6143" t="str">
        <f>D2</f>
        <v>Budget Form USD-E</v>
      </c>
      <c r="E40" s="6143"/>
      <c r="F40" s="117"/>
      <c r="G40" s="419"/>
      <c r="H40" s="124"/>
      <c r="I40" s="717"/>
      <c r="J40" s="717"/>
      <c r="K40" s="124"/>
      <c r="L40" s="124"/>
      <c r="M40" s="124"/>
      <c r="N40" s="124"/>
      <c r="O40" s="124"/>
      <c r="P40" s="124"/>
      <c r="Q40" s="124"/>
      <c r="R40" s="124"/>
      <c r="S40" s="124"/>
      <c r="T40" s="124"/>
      <c r="U40" s="124"/>
      <c r="V40" s="124"/>
      <c r="W40" s="124"/>
      <c r="X40" s="124"/>
      <c r="Y40" s="124"/>
      <c r="Z40" s="124"/>
    </row>
    <row r="41" spans="1:26" s="123" customFormat="1" ht="12.75" customHeight="1">
      <c r="A41" s="978"/>
      <c r="B41" s="980"/>
      <c r="C41" s="1030"/>
      <c r="D41" s="978"/>
      <c r="E41" s="1378" t="str">
        <f>E3</f>
        <v>2021-2022</v>
      </c>
      <c r="F41" s="117"/>
      <c r="G41" s="117"/>
      <c r="H41" s="124"/>
      <c r="I41" s="718"/>
      <c r="J41" s="124"/>
      <c r="K41" s="124"/>
      <c r="L41" s="124"/>
      <c r="M41" s="124"/>
      <c r="N41" s="124"/>
      <c r="O41" s="124"/>
      <c r="P41" s="124"/>
      <c r="Q41" s="124"/>
      <c r="R41" s="124"/>
      <c r="S41" s="124"/>
      <c r="T41" s="124"/>
      <c r="U41" s="124"/>
      <c r="V41" s="124"/>
      <c r="W41" s="124"/>
      <c r="X41" s="124"/>
      <c r="Y41" s="124"/>
      <c r="Z41" s="124"/>
    </row>
    <row r="42" spans="1:26" s="123" customFormat="1" ht="12.75" customHeight="1">
      <c r="A42" s="1379"/>
      <c r="B42" s="1379"/>
      <c r="C42" s="1379"/>
      <c r="D42" s="1379"/>
      <c r="E42" s="1379"/>
      <c r="F42" s="117"/>
      <c r="G42" s="117"/>
      <c r="H42" s="124"/>
      <c r="I42" s="124"/>
      <c r="J42" s="124"/>
      <c r="K42" s="124"/>
      <c r="L42" s="124"/>
      <c r="M42" s="124"/>
      <c r="N42" s="124"/>
      <c r="O42" s="124"/>
      <c r="P42" s="124"/>
      <c r="Q42" s="124"/>
      <c r="R42" s="124"/>
      <c r="S42" s="124"/>
      <c r="T42" s="124"/>
      <c r="U42" s="124"/>
      <c r="V42" s="124"/>
      <c r="W42" s="124"/>
      <c r="X42" s="124"/>
      <c r="Y42" s="124"/>
      <c r="Z42" s="124"/>
    </row>
    <row r="43" spans="1:26" s="123" customFormat="1" ht="12.75" customHeight="1">
      <c r="A43" s="978"/>
      <c r="B43" s="979"/>
      <c r="C43" s="980" t="s">
        <v>922</v>
      </c>
      <c r="D43" s="980" t="s">
        <v>922</v>
      </c>
      <c r="E43" s="980" t="s">
        <v>922</v>
      </c>
      <c r="F43" s="117"/>
      <c r="G43" s="117"/>
      <c r="H43" s="124"/>
      <c r="I43" s="124"/>
      <c r="J43" s="124"/>
      <c r="K43" s="124"/>
      <c r="L43" s="124"/>
      <c r="M43" s="124"/>
      <c r="N43" s="124"/>
      <c r="O43" s="124"/>
      <c r="P43" s="124"/>
      <c r="Q43" s="124"/>
      <c r="R43" s="124"/>
      <c r="S43" s="124"/>
      <c r="T43" s="124"/>
      <c r="U43" s="124"/>
      <c r="V43" s="124"/>
      <c r="W43" s="124"/>
      <c r="X43" s="124"/>
      <c r="Y43" s="124"/>
      <c r="Z43" s="124"/>
    </row>
    <row r="44" spans="1:26" s="123" customFormat="1" ht="12.75" customHeight="1">
      <c r="A44" s="1023"/>
      <c r="B44" s="993" t="s">
        <v>854</v>
      </c>
      <c r="C44" s="982" t="str">
        <f>C6</f>
        <v>2019-2020</v>
      </c>
      <c r="D44" s="982" t="str">
        <f>D6</f>
        <v>2020-2021</v>
      </c>
      <c r="E44" s="982" t="str">
        <f>E6</f>
        <v>2021-2022</v>
      </c>
      <c r="F44" s="117"/>
      <c r="G44" s="117"/>
      <c r="H44" s="124"/>
      <c r="I44" s="124"/>
      <c r="J44" s="124"/>
      <c r="K44" s="124"/>
      <c r="L44" s="124"/>
      <c r="M44" s="124"/>
      <c r="N44" s="124"/>
      <c r="O44" s="124"/>
      <c r="P44" s="124"/>
      <c r="Q44" s="124"/>
      <c r="R44" s="124"/>
      <c r="S44" s="124"/>
      <c r="T44" s="124"/>
      <c r="U44" s="124"/>
      <c r="V44" s="124"/>
      <c r="W44" s="124"/>
      <c r="X44" s="124"/>
      <c r="Y44" s="124"/>
      <c r="Z44" s="124"/>
    </row>
    <row r="45" spans="1:26" s="123" customFormat="1" ht="12.75" customHeight="1">
      <c r="A45" s="1023" t="str">
        <f>A7</f>
        <v>CAREER &amp; POSTSECONDARY EDUCATION</v>
      </c>
      <c r="B45" s="1006">
        <v>34</v>
      </c>
      <c r="C45" s="984" t="s">
        <v>893</v>
      </c>
      <c r="D45" s="984" t="s">
        <v>893</v>
      </c>
      <c r="E45" s="984" t="s">
        <v>923</v>
      </c>
      <c r="F45" s="117"/>
      <c r="G45" s="117"/>
      <c r="H45" s="124"/>
      <c r="I45" s="124"/>
      <c r="J45" s="124"/>
      <c r="K45" s="124"/>
      <c r="L45" s="124"/>
      <c r="M45" s="124"/>
      <c r="N45" s="124"/>
      <c r="O45" s="124"/>
      <c r="P45" s="124"/>
      <c r="Q45" s="124"/>
      <c r="R45" s="124"/>
      <c r="S45" s="124"/>
      <c r="T45" s="124"/>
      <c r="U45" s="124"/>
      <c r="V45" s="124"/>
      <c r="W45" s="124"/>
      <c r="X45" s="124"/>
      <c r="Y45" s="124"/>
      <c r="Z45" s="124"/>
    </row>
    <row r="46" spans="1:26" s="123" customFormat="1" ht="12.75" customHeight="1">
      <c r="A46" s="1030"/>
      <c r="B46" s="1006" t="s">
        <v>858</v>
      </c>
      <c r="C46" s="986">
        <v>1</v>
      </c>
      <c r="D46" s="986">
        <v>2</v>
      </c>
      <c r="E46" s="986">
        <v>3</v>
      </c>
      <c r="F46" s="117"/>
      <c r="G46" s="117"/>
      <c r="H46" s="124"/>
      <c r="I46" s="124"/>
      <c r="J46" s="124"/>
      <c r="K46" s="124"/>
      <c r="L46" s="124"/>
      <c r="M46" s="124"/>
      <c r="N46" s="124"/>
      <c r="O46" s="124"/>
      <c r="P46" s="124"/>
      <c r="Q46" s="124"/>
      <c r="R46" s="124"/>
      <c r="S46" s="124"/>
      <c r="T46" s="124"/>
      <c r="U46" s="124"/>
      <c r="V46" s="124"/>
      <c r="W46" s="124"/>
      <c r="X46" s="124"/>
      <c r="Y46" s="124"/>
      <c r="Z46" s="124"/>
    </row>
    <row r="47" spans="1:26" s="123" customFormat="1" ht="12.75" customHeight="1">
      <c r="A47" s="3084"/>
      <c r="B47" s="4272"/>
      <c r="C47" s="4273"/>
      <c r="D47" s="4273"/>
      <c r="E47" s="4274"/>
      <c r="F47" s="117"/>
      <c r="G47" s="117"/>
      <c r="H47" s="124"/>
      <c r="I47" s="124"/>
      <c r="J47" s="124"/>
      <c r="K47" s="124"/>
      <c r="L47" s="124"/>
      <c r="M47" s="124"/>
      <c r="N47" s="124"/>
      <c r="O47" s="124"/>
      <c r="P47" s="124"/>
      <c r="Q47" s="124"/>
      <c r="R47" s="124"/>
      <c r="S47" s="124"/>
      <c r="T47" s="124"/>
      <c r="U47" s="124"/>
      <c r="V47" s="124"/>
      <c r="W47" s="124"/>
      <c r="X47" s="124"/>
      <c r="Y47" s="124"/>
      <c r="Z47" s="124"/>
    </row>
    <row r="48" spans="1:26" s="123" customFormat="1" ht="12.75" customHeight="1">
      <c r="A48" s="4275" t="s">
        <v>60</v>
      </c>
      <c r="B48" s="4276"/>
      <c r="C48" s="4276"/>
      <c r="D48" s="4276"/>
      <c r="E48" s="4277"/>
      <c r="F48" s="117"/>
      <c r="G48" s="117"/>
      <c r="H48" s="124"/>
      <c r="I48" s="124"/>
      <c r="J48" s="124"/>
      <c r="K48" s="124"/>
      <c r="L48" s="124"/>
      <c r="M48" s="124"/>
      <c r="N48" s="124"/>
      <c r="O48" s="124"/>
      <c r="P48" s="124"/>
      <c r="Q48" s="124"/>
      <c r="R48" s="124"/>
      <c r="S48" s="124"/>
      <c r="T48" s="124"/>
      <c r="U48" s="124"/>
      <c r="V48" s="124"/>
      <c r="W48" s="124"/>
      <c r="X48" s="124"/>
      <c r="Y48" s="124"/>
      <c r="Z48" s="124"/>
    </row>
    <row r="49" spans="1:26" s="123" customFormat="1" ht="12.75" customHeight="1">
      <c r="A49" s="3082" t="s">
        <v>940</v>
      </c>
      <c r="B49" s="3107"/>
      <c r="C49" s="3107"/>
      <c r="D49" s="3107"/>
      <c r="E49" s="3107"/>
      <c r="F49" s="117"/>
      <c r="G49" s="117"/>
      <c r="H49" s="124"/>
      <c r="I49" s="124"/>
      <c r="J49" s="124"/>
      <c r="K49" s="124"/>
      <c r="L49" s="124"/>
      <c r="M49" s="124"/>
      <c r="N49" s="124"/>
      <c r="O49" s="124"/>
      <c r="P49" s="124"/>
      <c r="Q49" s="124"/>
      <c r="R49" s="124"/>
      <c r="S49" s="124"/>
      <c r="T49" s="124"/>
      <c r="U49" s="124"/>
      <c r="V49" s="124"/>
      <c r="W49" s="124"/>
      <c r="X49" s="124"/>
      <c r="Y49" s="124"/>
      <c r="Z49" s="124"/>
    </row>
    <row r="50" spans="1:26" s="123" customFormat="1" ht="12.75" customHeight="1">
      <c r="A50" s="3082" t="s">
        <v>941</v>
      </c>
      <c r="B50" s="3107"/>
      <c r="C50" s="3107"/>
      <c r="D50" s="3107"/>
      <c r="E50" s="3107"/>
      <c r="F50" s="117"/>
      <c r="G50" s="117"/>
      <c r="H50" s="124"/>
      <c r="I50" s="124"/>
      <c r="J50" s="124"/>
      <c r="K50" s="124"/>
      <c r="L50" s="124"/>
      <c r="M50" s="124"/>
      <c r="N50" s="124"/>
      <c r="O50" s="124"/>
      <c r="P50" s="124"/>
      <c r="Q50" s="124"/>
      <c r="R50" s="124"/>
      <c r="S50" s="124"/>
      <c r="T50" s="124"/>
      <c r="U50" s="124"/>
      <c r="V50" s="124"/>
      <c r="W50" s="124"/>
      <c r="X50" s="124"/>
      <c r="Y50" s="124"/>
      <c r="Z50" s="124"/>
    </row>
    <row r="51" spans="1:26" s="123" customFormat="1" ht="12.75" customHeight="1">
      <c r="A51" s="3087" t="s">
        <v>942</v>
      </c>
      <c r="B51" s="3108">
        <v>210</v>
      </c>
      <c r="C51" s="2022">
        <v>137138</v>
      </c>
      <c r="D51" s="2022">
        <v>139267</v>
      </c>
      <c r="E51" s="2022">
        <v>142000</v>
      </c>
      <c r="F51" s="117"/>
      <c r="G51" s="117"/>
      <c r="H51" s="124"/>
      <c r="I51" s="124"/>
      <c r="J51" s="124"/>
      <c r="K51" s="124"/>
      <c r="L51" s="124"/>
      <c r="M51" s="124"/>
      <c r="N51" s="124"/>
      <c r="O51" s="124"/>
      <c r="P51" s="124"/>
      <c r="Q51" s="124"/>
      <c r="R51" s="124"/>
      <c r="S51" s="124"/>
      <c r="T51" s="124"/>
      <c r="U51" s="124"/>
      <c r="V51" s="124"/>
      <c r="W51" s="124"/>
      <c r="X51" s="124"/>
      <c r="Y51" s="124"/>
      <c r="Z51" s="124"/>
    </row>
    <row r="52" spans="1:26" s="123" customFormat="1" ht="12.75" customHeight="1">
      <c r="A52" s="3088" t="s">
        <v>302</v>
      </c>
      <c r="B52" s="3109">
        <v>215</v>
      </c>
      <c r="C52" s="2050"/>
      <c r="D52" s="2050"/>
      <c r="E52" s="2050"/>
      <c r="F52" s="117"/>
      <c r="G52" s="117"/>
      <c r="H52" s="124"/>
      <c r="I52" s="124"/>
      <c r="J52" s="124"/>
      <c r="K52" s="124"/>
      <c r="L52" s="124"/>
      <c r="M52" s="124"/>
      <c r="N52" s="124"/>
      <c r="O52" s="124"/>
      <c r="P52" s="124"/>
      <c r="Q52" s="124"/>
      <c r="R52" s="124"/>
      <c r="S52" s="124"/>
      <c r="T52" s="124"/>
      <c r="U52" s="124"/>
      <c r="V52" s="124"/>
      <c r="W52" s="124"/>
      <c r="X52" s="124"/>
      <c r="Y52" s="124"/>
      <c r="Z52" s="124"/>
    </row>
    <row r="53" spans="1:26" s="123" customFormat="1" ht="12.75" customHeight="1">
      <c r="A53" s="3083" t="s">
        <v>944</v>
      </c>
      <c r="B53" s="3106"/>
      <c r="C53" s="3106"/>
      <c r="D53" s="3106"/>
      <c r="E53" s="3106"/>
      <c r="F53" s="117"/>
      <c r="G53" s="117"/>
      <c r="H53" s="124"/>
      <c r="I53" s="124"/>
      <c r="J53" s="124"/>
      <c r="K53" s="124"/>
      <c r="L53" s="124"/>
      <c r="M53" s="124"/>
      <c r="N53" s="124"/>
      <c r="O53" s="124"/>
      <c r="P53" s="124"/>
      <c r="Q53" s="124"/>
      <c r="R53" s="124"/>
      <c r="S53" s="124"/>
      <c r="T53" s="124"/>
      <c r="U53" s="124"/>
      <c r="V53" s="124"/>
      <c r="W53" s="124"/>
      <c r="X53" s="124"/>
      <c r="Y53" s="124"/>
      <c r="Z53" s="124"/>
    </row>
    <row r="54" spans="1:26" s="123" customFormat="1" ht="12.75" customHeight="1">
      <c r="A54" s="3087" t="s">
        <v>945</v>
      </c>
      <c r="B54" s="3108">
        <v>220</v>
      </c>
      <c r="C54" s="2022">
        <v>682</v>
      </c>
      <c r="D54" s="2022">
        <v>981</v>
      </c>
      <c r="E54" s="2022">
        <v>980</v>
      </c>
      <c r="F54" s="117"/>
      <c r="G54" s="117"/>
      <c r="H54" s="124"/>
      <c r="I54" s="124"/>
      <c r="J54" s="124"/>
      <c r="K54" s="124"/>
      <c r="L54" s="124"/>
      <c r="M54" s="124"/>
      <c r="N54" s="124"/>
      <c r="O54" s="124"/>
      <c r="P54" s="124"/>
      <c r="Q54" s="124"/>
      <c r="R54" s="124"/>
      <c r="S54" s="124"/>
      <c r="T54" s="124"/>
      <c r="U54" s="124"/>
      <c r="V54" s="124"/>
      <c r="W54" s="124"/>
      <c r="X54" s="124"/>
      <c r="Y54" s="124"/>
      <c r="Z54" s="124"/>
    </row>
    <row r="55" spans="1:26" s="123" customFormat="1" ht="12.75" customHeight="1">
      <c r="A55" s="3088" t="s">
        <v>946</v>
      </c>
      <c r="B55" s="3109">
        <v>225</v>
      </c>
      <c r="C55" s="2050">
        <v>8778</v>
      </c>
      <c r="D55" s="2050">
        <v>8665</v>
      </c>
      <c r="E55" s="2050">
        <v>8665</v>
      </c>
      <c r="F55" s="117"/>
      <c r="G55" s="117"/>
      <c r="H55" s="124"/>
      <c r="I55" s="124"/>
      <c r="J55" s="124"/>
      <c r="K55" s="124"/>
      <c r="L55" s="124"/>
      <c r="M55" s="124"/>
      <c r="N55" s="124"/>
      <c r="O55" s="124"/>
      <c r="P55" s="124"/>
      <c r="Q55" s="124"/>
      <c r="R55" s="124"/>
      <c r="S55" s="124"/>
      <c r="T55" s="124"/>
      <c r="U55" s="124"/>
      <c r="V55" s="124"/>
      <c r="W55" s="124"/>
      <c r="X55" s="124"/>
      <c r="Y55" s="124"/>
      <c r="Z55" s="124"/>
    </row>
    <row r="56" spans="1:26" s="123" customFormat="1" ht="12.75" customHeight="1">
      <c r="A56" s="3088" t="s">
        <v>947</v>
      </c>
      <c r="B56" s="3109">
        <v>230</v>
      </c>
      <c r="C56" s="2050"/>
      <c r="D56" s="2050"/>
      <c r="E56" s="2050"/>
      <c r="F56" s="117"/>
      <c r="G56" s="117"/>
      <c r="H56" s="124"/>
      <c r="I56" s="124"/>
      <c r="J56" s="124"/>
      <c r="K56" s="124"/>
      <c r="L56" s="124"/>
      <c r="M56" s="124"/>
      <c r="N56" s="124"/>
      <c r="O56" s="124"/>
      <c r="P56" s="124"/>
      <c r="Q56" s="124"/>
      <c r="R56" s="124"/>
      <c r="S56" s="124"/>
      <c r="T56" s="124"/>
      <c r="U56" s="124"/>
      <c r="V56" s="124"/>
      <c r="W56" s="124"/>
      <c r="X56" s="124"/>
      <c r="Y56" s="124"/>
      <c r="Z56" s="124"/>
    </row>
    <row r="57" spans="1:26" s="123" customFormat="1" ht="12.75" customHeight="1">
      <c r="A57" s="3088" t="s">
        <v>4818</v>
      </c>
      <c r="B57" s="3109">
        <v>235</v>
      </c>
      <c r="C57" s="2050"/>
      <c r="D57" s="2050"/>
      <c r="E57" s="2050"/>
      <c r="F57" s="117"/>
      <c r="G57" s="117"/>
      <c r="H57" s="124"/>
      <c r="I57" s="124"/>
      <c r="J57" s="124"/>
      <c r="K57" s="124"/>
      <c r="L57" s="124"/>
      <c r="M57" s="124"/>
      <c r="N57" s="124"/>
      <c r="O57" s="124"/>
      <c r="P57" s="124"/>
      <c r="Q57" s="124"/>
      <c r="R57" s="124"/>
      <c r="S57" s="124"/>
      <c r="T57" s="124"/>
      <c r="U57" s="124"/>
      <c r="V57" s="124"/>
      <c r="W57" s="124"/>
      <c r="X57" s="124"/>
      <c r="Y57" s="124"/>
      <c r="Z57" s="124"/>
    </row>
    <row r="58" spans="1:26" s="123" customFormat="1" ht="12.75" customHeight="1">
      <c r="A58" s="3089" t="s">
        <v>632</v>
      </c>
      <c r="B58" s="3110">
        <v>237</v>
      </c>
      <c r="C58" s="991"/>
      <c r="D58" s="991"/>
      <c r="E58" s="991"/>
      <c r="F58" s="117"/>
      <c r="G58" s="117"/>
      <c r="H58" s="124"/>
      <c r="I58" s="124"/>
      <c r="J58" s="124"/>
      <c r="K58" s="124"/>
      <c r="L58" s="124"/>
      <c r="M58" s="124"/>
      <c r="N58" s="124"/>
      <c r="O58" s="124"/>
      <c r="P58" s="124"/>
      <c r="Q58" s="124"/>
      <c r="R58" s="124"/>
      <c r="S58" s="124"/>
      <c r="T58" s="124"/>
      <c r="U58" s="124"/>
      <c r="V58" s="124"/>
      <c r="W58" s="124"/>
      <c r="X58" s="124"/>
      <c r="Y58" s="124"/>
      <c r="Z58" s="124"/>
    </row>
    <row r="59" spans="1:26" s="123" customFormat="1" ht="12.75" customHeight="1">
      <c r="A59" s="3083" t="s">
        <v>950</v>
      </c>
      <c r="B59" s="3106"/>
      <c r="C59" s="3106"/>
      <c r="D59" s="3106"/>
      <c r="E59" s="3106"/>
      <c r="F59" s="117"/>
      <c r="G59" s="117"/>
      <c r="H59" s="124"/>
      <c r="I59" s="124"/>
      <c r="J59" s="124"/>
      <c r="K59" s="124"/>
      <c r="L59" s="124"/>
      <c r="M59" s="124"/>
      <c r="N59" s="124"/>
      <c r="O59" s="124"/>
      <c r="P59" s="124"/>
      <c r="Q59" s="124"/>
      <c r="R59" s="124"/>
      <c r="S59" s="124"/>
      <c r="T59" s="124"/>
      <c r="U59" s="124"/>
      <c r="V59" s="124"/>
      <c r="W59" s="124"/>
      <c r="X59" s="124"/>
      <c r="Y59" s="124"/>
      <c r="Z59" s="124"/>
    </row>
    <row r="60" spans="1:26" s="123" customFormat="1" ht="12.75" customHeight="1">
      <c r="A60" s="3082" t="s">
        <v>951</v>
      </c>
      <c r="B60" s="3107"/>
      <c r="C60" s="3107"/>
      <c r="D60" s="3107"/>
      <c r="E60" s="3107"/>
      <c r="F60" s="117"/>
      <c r="G60" s="117"/>
      <c r="H60" s="124"/>
      <c r="I60" s="124"/>
      <c r="J60" s="124"/>
      <c r="K60" s="124"/>
      <c r="L60" s="124"/>
      <c r="M60" s="124"/>
      <c r="N60" s="124"/>
      <c r="O60" s="124"/>
      <c r="P60" s="124"/>
      <c r="Q60" s="124"/>
      <c r="R60" s="124"/>
      <c r="S60" s="124"/>
      <c r="T60" s="124"/>
      <c r="U60" s="124"/>
      <c r="V60" s="124"/>
      <c r="W60" s="124"/>
      <c r="X60" s="124"/>
      <c r="Y60" s="124"/>
      <c r="Z60" s="124"/>
    </row>
    <row r="61" spans="1:26" s="123" customFormat="1" ht="12.75" customHeight="1">
      <c r="A61" s="3087" t="s">
        <v>952</v>
      </c>
      <c r="B61" s="3108">
        <v>240</v>
      </c>
      <c r="C61" s="2022"/>
      <c r="D61" s="2022"/>
      <c r="E61" s="2022"/>
      <c r="F61" s="117"/>
      <c r="G61" s="117"/>
      <c r="H61" s="124"/>
      <c r="I61" s="124"/>
      <c r="J61" s="124"/>
      <c r="K61" s="124"/>
      <c r="L61" s="124"/>
      <c r="M61" s="124"/>
      <c r="N61" s="124"/>
      <c r="O61" s="124"/>
      <c r="P61" s="124"/>
      <c r="Q61" s="124"/>
      <c r="R61" s="124"/>
      <c r="S61" s="124"/>
      <c r="T61" s="124"/>
      <c r="U61" s="124"/>
      <c r="V61" s="124"/>
      <c r="W61" s="124"/>
      <c r="X61" s="124"/>
      <c r="Y61" s="124"/>
      <c r="Z61" s="124"/>
    </row>
    <row r="62" spans="1:26" s="123" customFormat="1" ht="12.75" customHeight="1">
      <c r="A62" s="3088" t="s">
        <v>654</v>
      </c>
      <c r="B62" s="3109">
        <v>245</v>
      </c>
      <c r="C62" s="2050"/>
      <c r="D62" s="2050"/>
      <c r="E62" s="2050"/>
      <c r="F62" s="117"/>
      <c r="G62" s="117"/>
      <c r="H62" s="124"/>
      <c r="I62" s="124"/>
      <c r="J62" s="124"/>
      <c r="K62" s="124"/>
      <c r="L62" s="124"/>
      <c r="M62" s="124"/>
      <c r="N62" s="124"/>
      <c r="O62" s="124"/>
      <c r="P62" s="124"/>
      <c r="Q62" s="124"/>
      <c r="R62" s="124"/>
      <c r="S62" s="124"/>
      <c r="T62" s="124"/>
      <c r="U62" s="124"/>
      <c r="V62" s="124"/>
      <c r="W62" s="124"/>
      <c r="X62" s="124"/>
      <c r="Y62" s="124"/>
      <c r="Z62" s="124"/>
    </row>
    <row r="63" spans="1:26" s="123" customFormat="1" ht="12.75" customHeight="1">
      <c r="A63" s="3088" t="s">
        <v>954</v>
      </c>
      <c r="B63" s="3109">
        <v>250</v>
      </c>
      <c r="C63" s="2050"/>
      <c r="D63" s="2050"/>
      <c r="E63" s="2050"/>
      <c r="F63" s="117"/>
      <c r="G63" s="117"/>
      <c r="H63" s="124"/>
      <c r="I63" s="124"/>
      <c r="J63" s="124"/>
      <c r="K63" s="124"/>
      <c r="L63" s="124"/>
      <c r="M63" s="124"/>
      <c r="N63" s="124"/>
      <c r="O63" s="124"/>
      <c r="P63" s="124"/>
      <c r="Q63" s="124"/>
      <c r="R63" s="124"/>
      <c r="S63" s="124"/>
      <c r="T63" s="124"/>
      <c r="U63" s="124"/>
      <c r="V63" s="124"/>
      <c r="W63" s="124"/>
      <c r="X63" s="124"/>
      <c r="Y63" s="124"/>
      <c r="Z63" s="124"/>
    </row>
    <row r="64" spans="1:26" s="123" customFormat="1" ht="12.75" customHeight="1">
      <c r="A64" s="3083" t="s">
        <v>955</v>
      </c>
      <c r="B64" s="3106"/>
      <c r="C64" s="3106"/>
      <c r="D64" s="3106"/>
      <c r="E64" s="3106"/>
      <c r="F64" s="117"/>
      <c r="G64" s="117"/>
      <c r="H64" s="124"/>
      <c r="I64" s="124"/>
      <c r="J64" s="124"/>
      <c r="K64" s="124"/>
      <c r="L64" s="124"/>
      <c r="M64" s="124"/>
      <c r="N64" s="124"/>
      <c r="O64" s="124"/>
      <c r="P64" s="124"/>
      <c r="Q64" s="124"/>
      <c r="R64" s="124"/>
      <c r="S64" s="124"/>
      <c r="T64" s="124"/>
      <c r="U64" s="124"/>
      <c r="V64" s="124"/>
      <c r="W64" s="124"/>
      <c r="X64" s="124"/>
      <c r="Y64" s="124"/>
      <c r="Z64" s="124"/>
    </row>
    <row r="65" spans="1:26" s="123" customFormat="1" ht="12.75" customHeight="1">
      <c r="A65" s="3087" t="s">
        <v>956</v>
      </c>
      <c r="B65" s="3108">
        <v>255</v>
      </c>
      <c r="C65" s="2022"/>
      <c r="D65" s="2022"/>
      <c r="E65" s="2022"/>
      <c r="F65" s="117"/>
      <c r="G65" s="117"/>
      <c r="H65" s="124"/>
      <c r="I65" s="124"/>
      <c r="J65" s="124"/>
      <c r="K65" s="124"/>
      <c r="L65" s="124"/>
      <c r="M65" s="124"/>
      <c r="N65" s="124"/>
      <c r="O65" s="124"/>
      <c r="P65" s="124"/>
      <c r="Q65" s="124"/>
      <c r="R65" s="124"/>
      <c r="S65" s="124"/>
      <c r="T65" s="124"/>
      <c r="U65" s="124"/>
      <c r="V65" s="124"/>
      <c r="W65" s="124"/>
      <c r="X65" s="124"/>
      <c r="Y65" s="124"/>
      <c r="Z65" s="124"/>
    </row>
    <row r="66" spans="1:26" s="123" customFormat="1" ht="12.75" customHeight="1">
      <c r="A66" s="3088" t="s">
        <v>957</v>
      </c>
      <c r="B66" s="3109">
        <v>260</v>
      </c>
      <c r="C66" s="2050"/>
      <c r="D66" s="2050"/>
      <c r="E66" s="2050"/>
      <c r="F66" s="117"/>
      <c r="G66" s="117"/>
      <c r="H66" s="124"/>
      <c r="I66" s="124"/>
      <c r="J66" s="124"/>
      <c r="K66" s="124"/>
      <c r="L66" s="124"/>
      <c r="M66" s="124"/>
      <c r="N66" s="124"/>
      <c r="O66" s="124"/>
      <c r="P66" s="124"/>
      <c r="Q66" s="124"/>
      <c r="R66" s="124"/>
      <c r="S66" s="124"/>
      <c r="T66" s="124"/>
      <c r="U66" s="124"/>
      <c r="V66" s="124"/>
      <c r="W66" s="124"/>
      <c r="X66" s="124"/>
      <c r="Y66" s="124"/>
      <c r="Z66" s="124"/>
    </row>
    <row r="67" spans="1:26" s="123" customFormat="1" ht="12.75" customHeight="1">
      <c r="A67" s="3090" t="s">
        <v>936</v>
      </c>
      <c r="B67" s="3111">
        <v>263</v>
      </c>
      <c r="C67" s="2050"/>
      <c r="D67" s="2050"/>
      <c r="E67" s="2050"/>
      <c r="F67" s="117"/>
      <c r="G67" s="117"/>
      <c r="H67" s="124"/>
      <c r="I67" s="124"/>
      <c r="J67" s="124"/>
      <c r="K67" s="124"/>
      <c r="L67" s="124"/>
      <c r="M67" s="124"/>
      <c r="N67" s="124"/>
      <c r="O67" s="124"/>
      <c r="P67" s="124"/>
      <c r="Q67" s="124"/>
      <c r="R67" s="124"/>
      <c r="S67" s="124"/>
      <c r="T67" s="124"/>
      <c r="U67" s="124"/>
      <c r="V67" s="124"/>
      <c r="W67" s="124"/>
      <c r="X67" s="124"/>
      <c r="Y67" s="124"/>
      <c r="Z67" s="124"/>
    </row>
    <row r="68" spans="1:26" s="123" customFormat="1" ht="12.75" customHeight="1">
      <c r="A68" s="3088" t="s">
        <v>958</v>
      </c>
      <c r="B68" s="3109">
        <v>265</v>
      </c>
      <c r="C68" s="2050">
        <v>35</v>
      </c>
      <c r="D68" s="2050">
        <v>58</v>
      </c>
      <c r="E68" s="2050">
        <v>58</v>
      </c>
      <c r="F68" s="117"/>
      <c r="G68" s="117"/>
      <c r="H68" s="124"/>
      <c r="I68" s="124"/>
      <c r="J68" s="124"/>
      <c r="K68" s="124"/>
      <c r="L68" s="124"/>
      <c r="M68" s="124"/>
      <c r="N68" s="124"/>
      <c r="O68" s="124"/>
      <c r="P68" s="124"/>
      <c r="Q68" s="124"/>
      <c r="R68" s="124"/>
      <c r="S68" s="124"/>
      <c r="T68" s="124"/>
      <c r="U68" s="124"/>
      <c r="V68" s="124"/>
      <c r="W68" s="124"/>
      <c r="X68" s="124"/>
      <c r="Y68" s="124"/>
      <c r="Z68" s="124"/>
    </row>
    <row r="69" spans="1:26" s="123" customFormat="1" ht="12.75" customHeight="1">
      <c r="A69" s="3088" t="s">
        <v>959</v>
      </c>
      <c r="B69" s="3109">
        <v>270</v>
      </c>
      <c r="C69" s="2050">
        <v>41854</v>
      </c>
      <c r="D69" s="2050">
        <v>43162</v>
      </c>
      <c r="E69" s="2050">
        <v>39349</v>
      </c>
      <c r="F69" s="117"/>
      <c r="G69" s="117"/>
      <c r="H69" s="124"/>
      <c r="I69" s="124"/>
      <c r="J69" s="124"/>
      <c r="K69" s="124"/>
      <c r="L69" s="124"/>
      <c r="M69" s="124"/>
      <c r="N69" s="124"/>
      <c r="O69" s="124"/>
      <c r="P69" s="124"/>
      <c r="Q69" s="124"/>
      <c r="R69" s="124"/>
      <c r="S69" s="124"/>
      <c r="T69" s="124"/>
      <c r="U69" s="124"/>
      <c r="V69" s="124"/>
      <c r="W69" s="124"/>
      <c r="X69" s="124"/>
      <c r="Y69" s="124"/>
      <c r="Z69" s="124"/>
    </row>
    <row r="70" spans="1:26" s="123" customFormat="1" ht="12.75" customHeight="1">
      <c r="A70" s="3088" t="s">
        <v>960</v>
      </c>
      <c r="B70" s="3109">
        <v>275</v>
      </c>
      <c r="C70" s="2050">
        <v>4941</v>
      </c>
      <c r="D70" s="2050">
        <v>8058</v>
      </c>
      <c r="E70" s="2050">
        <v>7458</v>
      </c>
      <c r="F70" s="117"/>
      <c r="G70" s="117"/>
      <c r="H70" s="124"/>
      <c r="I70" s="124"/>
      <c r="J70" s="124"/>
      <c r="K70" s="124"/>
      <c r="L70" s="124"/>
      <c r="M70" s="124"/>
      <c r="N70" s="124"/>
      <c r="O70" s="124"/>
      <c r="P70" s="124"/>
      <c r="Q70" s="124"/>
      <c r="R70" s="124"/>
      <c r="S70" s="124"/>
      <c r="T70" s="124"/>
      <c r="U70" s="124"/>
      <c r="V70" s="124"/>
      <c r="W70" s="124"/>
      <c r="X70" s="124"/>
      <c r="Y70" s="124"/>
      <c r="Z70" s="124"/>
    </row>
    <row r="71" spans="1:26" s="123" customFormat="1" ht="12.75" customHeight="1">
      <c r="A71" s="3074" t="s">
        <v>66</v>
      </c>
      <c r="B71" s="3112"/>
      <c r="C71" s="3112"/>
      <c r="D71" s="3112"/>
      <c r="E71" s="3112"/>
      <c r="F71" s="117"/>
      <c r="G71" s="680"/>
      <c r="H71" s="124"/>
      <c r="I71" s="124"/>
      <c r="J71" s="124"/>
      <c r="K71" s="124"/>
      <c r="L71" s="124"/>
      <c r="M71" s="124"/>
      <c r="N71" s="124"/>
      <c r="O71" s="124"/>
      <c r="P71" s="124"/>
      <c r="Q71" s="124"/>
      <c r="R71" s="124"/>
      <c r="S71" s="124"/>
      <c r="T71" s="124"/>
      <c r="U71" s="124"/>
      <c r="V71" s="124"/>
      <c r="W71" s="124"/>
      <c r="X71" s="124"/>
      <c r="Y71" s="124"/>
      <c r="Z71" s="124"/>
    </row>
    <row r="72" spans="1:26" s="123" customFormat="1" ht="12.75" customHeight="1">
      <c r="A72" s="3082" t="s">
        <v>972</v>
      </c>
      <c r="B72" s="3107"/>
      <c r="C72" s="3107"/>
      <c r="D72" s="3107"/>
      <c r="E72" s="3107"/>
      <c r="F72" s="117"/>
      <c r="G72" s="680"/>
      <c r="H72" s="124"/>
      <c r="I72" s="124"/>
      <c r="J72" s="124"/>
      <c r="K72" s="124"/>
      <c r="L72" s="124"/>
      <c r="M72" s="124"/>
      <c r="N72" s="124"/>
      <c r="O72" s="124"/>
      <c r="P72" s="124"/>
      <c r="Q72" s="124"/>
      <c r="R72" s="124"/>
      <c r="S72" s="124"/>
      <c r="T72" s="124"/>
      <c r="U72" s="124"/>
      <c r="V72" s="124"/>
      <c r="W72" s="124"/>
      <c r="X72" s="124"/>
      <c r="Y72" s="124"/>
      <c r="Z72" s="124"/>
    </row>
    <row r="73" spans="1:26" s="123" customFormat="1" ht="12.75" customHeight="1">
      <c r="A73" s="3087" t="s">
        <v>999</v>
      </c>
      <c r="B73" s="3108">
        <v>280</v>
      </c>
      <c r="C73" s="2022"/>
      <c r="D73" s="2022"/>
      <c r="E73" s="2022"/>
      <c r="F73" s="117"/>
      <c r="G73" s="680"/>
      <c r="H73" s="124"/>
      <c r="I73" s="124"/>
      <c r="J73" s="124"/>
      <c r="K73" s="124"/>
      <c r="L73" s="124"/>
      <c r="M73" s="124"/>
      <c r="N73" s="124"/>
      <c r="O73" s="124"/>
      <c r="P73" s="124"/>
      <c r="Q73" s="124"/>
      <c r="R73" s="124"/>
      <c r="S73" s="124"/>
      <c r="T73" s="124"/>
      <c r="U73" s="124"/>
      <c r="V73" s="124"/>
      <c r="W73" s="124"/>
      <c r="X73" s="124"/>
      <c r="Y73" s="124"/>
      <c r="Z73" s="124"/>
    </row>
    <row r="74" spans="1:26" s="123" customFormat="1" ht="12.75" customHeight="1">
      <c r="A74" s="3088" t="s">
        <v>943</v>
      </c>
      <c r="B74" s="3109">
        <v>285</v>
      </c>
      <c r="C74" s="2050"/>
      <c r="D74" s="2050"/>
      <c r="E74" s="2050"/>
      <c r="F74" s="117"/>
      <c r="G74" s="680"/>
      <c r="H74" s="124"/>
      <c r="I74" s="124"/>
      <c r="J74" s="124"/>
      <c r="K74" s="124"/>
      <c r="L74" s="124"/>
      <c r="M74" s="124"/>
      <c r="N74" s="124"/>
      <c r="O74" s="124"/>
      <c r="P74" s="124"/>
      <c r="Q74" s="124"/>
      <c r="R74" s="124"/>
      <c r="S74" s="124"/>
      <c r="T74" s="124"/>
      <c r="U74" s="124"/>
      <c r="V74" s="124"/>
      <c r="W74" s="124"/>
      <c r="X74" s="124"/>
      <c r="Y74" s="124"/>
      <c r="Z74" s="124"/>
    </row>
    <row r="75" spans="1:26" ht="12.75" customHeight="1">
      <c r="A75" s="3080" t="s">
        <v>973</v>
      </c>
      <c r="B75" s="3113"/>
      <c r="C75" s="3113"/>
      <c r="D75" s="3113"/>
      <c r="E75" s="3113"/>
      <c r="F75" s="114"/>
      <c r="G75" s="114"/>
    </row>
    <row r="76" spans="1:26" ht="12.75" customHeight="1">
      <c r="A76" s="3091" t="s">
        <v>974</v>
      </c>
      <c r="B76" s="3108">
        <v>290</v>
      </c>
      <c r="C76" s="2022"/>
      <c r="D76" s="2022"/>
      <c r="E76" s="2022"/>
      <c r="F76" s="114"/>
      <c r="G76" s="114"/>
    </row>
    <row r="77" spans="1:26" ht="12.75" customHeight="1">
      <c r="A77" s="3092" t="s">
        <v>977</v>
      </c>
      <c r="B77" s="3109">
        <v>295</v>
      </c>
      <c r="C77" s="2050"/>
      <c r="D77" s="2050"/>
      <c r="E77" s="2050"/>
      <c r="F77" s="114"/>
      <c r="G77" s="114"/>
    </row>
    <row r="78" spans="1:26" ht="12.75" customHeight="1">
      <c r="A78" s="3092" t="s">
        <v>978</v>
      </c>
      <c r="B78" s="3109">
        <v>300</v>
      </c>
      <c r="C78" s="2050"/>
      <c r="D78" s="2050"/>
      <c r="E78" s="2050"/>
      <c r="F78" s="114"/>
      <c r="G78" s="114"/>
    </row>
    <row r="79" spans="1:26" ht="12.75" customHeight="1">
      <c r="A79" s="3088" t="s">
        <v>4818</v>
      </c>
      <c r="B79" s="3114">
        <v>305</v>
      </c>
      <c r="C79" s="991"/>
      <c r="D79" s="991"/>
      <c r="E79" s="991"/>
      <c r="F79" s="114"/>
      <c r="G79" s="114"/>
    </row>
    <row r="80" spans="1:26" ht="12.75" customHeight="1">
      <c r="A80" s="3093" t="s">
        <v>979</v>
      </c>
      <c r="B80" s="3110">
        <v>307</v>
      </c>
      <c r="C80" s="991"/>
      <c r="D80" s="991"/>
      <c r="E80" s="991"/>
      <c r="F80" s="114"/>
      <c r="G80" s="114"/>
    </row>
    <row r="81" spans="1:7" ht="12.75" customHeight="1">
      <c r="A81" s="3092" t="s">
        <v>986</v>
      </c>
      <c r="B81" s="3109">
        <v>310</v>
      </c>
      <c r="C81" s="2050"/>
      <c r="D81" s="2050"/>
      <c r="E81" s="2050"/>
      <c r="F81" s="114"/>
      <c r="G81" s="114"/>
    </row>
    <row r="82" spans="1:7" ht="12.75" customHeight="1">
      <c r="A82" s="3092" t="s">
        <v>989</v>
      </c>
      <c r="B82" s="3109">
        <v>315</v>
      </c>
      <c r="C82" s="2050"/>
      <c r="D82" s="2050"/>
      <c r="E82" s="2050"/>
      <c r="F82" s="114"/>
      <c r="G82" s="114"/>
    </row>
    <row r="83" spans="1:7" ht="12.75" customHeight="1">
      <c r="A83" s="3092" t="s">
        <v>997</v>
      </c>
      <c r="B83" s="3109">
        <v>320</v>
      </c>
      <c r="C83" s="2050"/>
      <c r="D83" s="2050"/>
      <c r="E83" s="2050"/>
      <c r="F83" s="114"/>
      <c r="G83" s="114"/>
    </row>
    <row r="84" spans="1:7" ht="12.75" customHeight="1">
      <c r="A84" s="3092" t="s">
        <v>998</v>
      </c>
      <c r="B84" s="3109">
        <v>325</v>
      </c>
      <c r="C84" s="2050"/>
      <c r="D84" s="2050"/>
      <c r="E84" s="2050"/>
      <c r="F84" s="114"/>
      <c r="G84" s="114"/>
    </row>
    <row r="85" spans="1:7" ht="12.75" customHeight="1">
      <c r="A85" s="3080" t="s">
        <v>256</v>
      </c>
      <c r="B85" s="3113"/>
      <c r="C85" s="3113"/>
      <c r="D85" s="3113"/>
      <c r="E85" s="3113"/>
      <c r="F85" s="114"/>
      <c r="G85" s="114"/>
    </row>
    <row r="86" spans="1:7" ht="12.75" customHeight="1">
      <c r="A86" s="3081" t="s">
        <v>972</v>
      </c>
      <c r="B86" s="3115"/>
      <c r="C86" s="3115"/>
      <c r="D86" s="3115"/>
      <c r="E86" s="3115"/>
      <c r="F86" s="114"/>
      <c r="G86" s="114"/>
    </row>
    <row r="87" spans="1:7" ht="12.75" customHeight="1">
      <c r="A87" s="3091" t="s">
        <v>999</v>
      </c>
      <c r="B87" s="3108">
        <v>330</v>
      </c>
      <c r="C87" s="2022"/>
      <c r="D87" s="2022"/>
      <c r="E87" s="2022"/>
      <c r="F87" s="114"/>
      <c r="G87" s="114"/>
    </row>
    <row r="88" spans="1:7" ht="12.75" customHeight="1">
      <c r="A88" s="3092" t="s">
        <v>943</v>
      </c>
      <c r="B88" s="3109">
        <v>335</v>
      </c>
      <c r="C88" s="2050"/>
      <c r="D88" s="2050"/>
      <c r="E88" s="2050"/>
      <c r="F88" s="114"/>
      <c r="G88" s="114"/>
    </row>
    <row r="89" spans="1:7" ht="12.75" customHeight="1">
      <c r="A89" s="3080" t="s">
        <v>973</v>
      </c>
      <c r="B89" s="3113"/>
      <c r="C89" s="3113"/>
      <c r="D89" s="3113"/>
      <c r="E89" s="3113"/>
      <c r="F89" s="114"/>
      <c r="G89" s="114"/>
    </row>
    <row r="90" spans="1:7" ht="12.75" customHeight="1">
      <c r="A90" s="3091" t="s">
        <v>974</v>
      </c>
      <c r="B90" s="3108">
        <v>340</v>
      </c>
      <c r="C90" s="2022"/>
      <c r="D90" s="2022"/>
      <c r="E90" s="2022"/>
      <c r="F90" s="114"/>
      <c r="G90" s="114"/>
    </row>
    <row r="91" spans="1:7" ht="12.75" customHeight="1">
      <c r="A91" s="3092" t="s">
        <v>977</v>
      </c>
      <c r="B91" s="3109">
        <v>345</v>
      </c>
      <c r="C91" s="2050"/>
      <c r="D91" s="2050"/>
      <c r="E91" s="2050"/>
      <c r="F91" s="114"/>
      <c r="G91" s="114"/>
    </row>
    <row r="92" spans="1:7" ht="12.75" customHeight="1">
      <c r="A92" s="3092" t="s">
        <v>978</v>
      </c>
      <c r="B92" s="3109">
        <v>350</v>
      </c>
      <c r="C92" s="2050"/>
      <c r="D92" s="2050"/>
      <c r="E92" s="2050"/>
      <c r="F92" s="114"/>
      <c r="G92" s="114"/>
    </row>
    <row r="93" spans="1:7" ht="12.75" customHeight="1">
      <c r="A93" s="3088" t="s">
        <v>4818</v>
      </c>
      <c r="B93" s="3114">
        <v>355</v>
      </c>
      <c r="C93" s="991"/>
      <c r="D93" s="991"/>
      <c r="E93" s="991"/>
      <c r="F93" s="114"/>
      <c r="G93" s="114"/>
    </row>
    <row r="94" spans="1:7" ht="12.75" customHeight="1">
      <c r="A94" s="3093" t="s">
        <v>979</v>
      </c>
      <c r="B94" s="3110">
        <v>357</v>
      </c>
      <c r="C94" s="991"/>
      <c r="D94" s="991"/>
      <c r="E94" s="991"/>
      <c r="F94" s="114"/>
      <c r="G94" s="114"/>
    </row>
    <row r="95" spans="1:7" ht="12.75" customHeight="1">
      <c r="A95" s="3092" t="s">
        <v>986</v>
      </c>
      <c r="B95" s="3109">
        <v>360</v>
      </c>
      <c r="C95" s="2050"/>
      <c r="D95" s="2050"/>
      <c r="E95" s="2050"/>
      <c r="F95" s="114"/>
      <c r="G95" s="114"/>
    </row>
    <row r="96" spans="1:7" ht="12.75" customHeight="1">
      <c r="A96" s="3080" t="s">
        <v>989</v>
      </c>
      <c r="B96" s="3113"/>
      <c r="C96" s="3113"/>
      <c r="D96" s="3113"/>
      <c r="E96" s="3113"/>
      <c r="F96" s="114"/>
      <c r="G96" s="114"/>
    </row>
    <row r="97" spans="1:7" ht="12.75" customHeight="1">
      <c r="A97" s="2278" t="s">
        <v>5140</v>
      </c>
      <c r="B97" s="3116">
        <v>365</v>
      </c>
      <c r="C97" s="2022"/>
      <c r="D97" s="2022"/>
      <c r="E97" s="2022"/>
      <c r="F97" s="114"/>
      <c r="G97" s="114"/>
    </row>
    <row r="98" spans="1:7" ht="12.75" customHeight="1">
      <c r="A98" s="2277" t="s">
        <v>690</v>
      </c>
      <c r="B98" s="3114">
        <v>370</v>
      </c>
      <c r="C98" s="991"/>
      <c r="D98" s="991"/>
      <c r="E98" s="991"/>
      <c r="F98" s="114"/>
      <c r="G98" s="114"/>
    </row>
    <row r="99" spans="1:7" ht="12.75" customHeight="1">
      <c r="A99" s="3092" t="s">
        <v>996</v>
      </c>
      <c r="B99" s="3109">
        <v>375</v>
      </c>
      <c r="C99" s="2050"/>
      <c r="D99" s="2050"/>
      <c r="E99" s="2050"/>
      <c r="F99" s="114"/>
      <c r="G99" s="114"/>
    </row>
    <row r="100" spans="1:7" ht="12.75" customHeight="1">
      <c r="A100" s="3092" t="s">
        <v>997</v>
      </c>
      <c r="B100" s="3109">
        <v>380</v>
      </c>
      <c r="C100" s="2050"/>
      <c r="D100" s="2050"/>
      <c r="E100" s="2050"/>
      <c r="F100" s="114"/>
      <c r="G100" s="114"/>
    </row>
    <row r="101" spans="1:7" ht="12.75" customHeight="1">
      <c r="A101" s="3092" t="s">
        <v>998</v>
      </c>
      <c r="B101" s="3109">
        <v>385</v>
      </c>
      <c r="C101" s="2050"/>
      <c r="D101" s="2050"/>
      <c r="E101" s="2050">
        <v>10000</v>
      </c>
      <c r="F101" s="114"/>
      <c r="G101" s="114"/>
    </row>
    <row r="102" spans="1:7" ht="12.75" customHeight="1">
      <c r="A102" s="3079" t="s">
        <v>77</v>
      </c>
      <c r="B102" s="3117"/>
      <c r="C102" s="3117"/>
      <c r="D102" s="3117"/>
      <c r="E102" s="3117"/>
      <c r="F102" s="114"/>
      <c r="G102" s="114"/>
    </row>
    <row r="103" spans="1:7" ht="12.75" customHeight="1">
      <c r="A103" s="3078" t="s">
        <v>972</v>
      </c>
      <c r="B103" s="3118"/>
      <c r="C103" s="3118"/>
      <c r="D103" s="3118"/>
      <c r="E103" s="3118"/>
      <c r="F103" s="114"/>
      <c r="G103" s="114"/>
    </row>
    <row r="104" spans="1:7" ht="12.75" customHeight="1">
      <c r="A104" s="3094" t="s">
        <v>999</v>
      </c>
      <c r="B104" s="3119">
        <v>445</v>
      </c>
      <c r="C104" s="2022"/>
      <c r="D104" s="2022"/>
      <c r="E104" s="2022"/>
      <c r="F104" s="114"/>
      <c r="G104" s="114"/>
    </row>
    <row r="105" spans="1:7" ht="12.75" customHeight="1">
      <c r="A105" s="3095" t="s">
        <v>943</v>
      </c>
      <c r="B105" s="2028">
        <v>450</v>
      </c>
      <c r="C105" s="2050"/>
      <c r="D105" s="2022"/>
      <c r="E105" s="2022"/>
      <c r="F105" s="114"/>
      <c r="G105" s="114"/>
    </row>
    <row r="106" spans="1:7" ht="12.75" customHeight="1">
      <c r="A106" s="3074" t="s">
        <v>973</v>
      </c>
      <c r="B106" s="3112"/>
      <c r="C106" s="3112"/>
      <c r="D106" s="3112"/>
      <c r="E106" s="3112"/>
      <c r="F106" s="128"/>
      <c r="G106" s="114"/>
    </row>
    <row r="107" spans="1:7" ht="12.75" customHeight="1">
      <c r="A107" s="3096" t="s">
        <v>974</v>
      </c>
      <c r="B107" s="3119">
        <v>455</v>
      </c>
      <c r="C107" s="2022"/>
      <c r="D107" s="2022"/>
      <c r="E107" s="2022"/>
      <c r="F107" s="128"/>
      <c r="G107" s="114"/>
    </row>
    <row r="108" spans="1:7" ht="12.75" customHeight="1">
      <c r="A108" s="3096" t="s">
        <v>977</v>
      </c>
      <c r="B108" s="3119">
        <v>460</v>
      </c>
      <c r="C108" s="2022"/>
      <c r="D108" s="2022"/>
      <c r="E108" s="2022"/>
      <c r="F108" s="128"/>
      <c r="G108" s="114"/>
    </row>
    <row r="109" spans="1:7" ht="12.75" customHeight="1">
      <c r="A109" s="3097" t="s">
        <v>978</v>
      </c>
      <c r="B109" s="2028">
        <v>465</v>
      </c>
      <c r="C109" s="2050"/>
      <c r="D109" s="2050"/>
      <c r="E109" s="2050"/>
      <c r="F109" s="128"/>
      <c r="G109" s="114"/>
    </row>
    <row r="110" spans="1:7" ht="12.75" customHeight="1">
      <c r="A110" s="3088" t="s">
        <v>4818</v>
      </c>
      <c r="B110" s="981">
        <v>470</v>
      </c>
      <c r="C110" s="991"/>
      <c r="D110" s="991"/>
      <c r="E110" s="991"/>
      <c r="F110" s="128"/>
      <c r="G110" s="114"/>
    </row>
    <row r="111" spans="1:7" ht="12.75" customHeight="1">
      <c r="A111" s="3097" t="s">
        <v>986</v>
      </c>
      <c r="B111" s="2028">
        <v>475</v>
      </c>
      <c r="C111" s="2050"/>
      <c r="D111" s="2050"/>
      <c r="E111" s="2050"/>
      <c r="F111" s="128"/>
      <c r="G111" s="114"/>
    </row>
    <row r="112" spans="1:7" ht="12.75" customHeight="1">
      <c r="A112" s="3097" t="s">
        <v>989</v>
      </c>
      <c r="B112" s="2028">
        <v>480</v>
      </c>
      <c r="C112" s="2050"/>
      <c r="D112" s="2050"/>
      <c r="E112" s="2050"/>
      <c r="F112" s="114"/>
      <c r="G112" s="114"/>
    </row>
    <row r="113" spans="1:7" ht="12.75" customHeight="1">
      <c r="A113" s="3097" t="s">
        <v>997</v>
      </c>
      <c r="B113" s="2028">
        <v>485</v>
      </c>
      <c r="C113" s="2050"/>
      <c r="D113" s="2050"/>
      <c r="E113" s="2050"/>
      <c r="F113" s="114"/>
      <c r="G113" s="114"/>
    </row>
    <row r="114" spans="1:7" ht="12.75" customHeight="1">
      <c r="A114" s="3097" t="s">
        <v>998</v>
      </c>
      <c r="B114" s="2028">
        <v>490</v>
      </c>
      <c r="C114" s="2050"/>
      <c r="D114" s="2050"/>
      <c r="E114" s="2050"/>
      <c r="F114" s="114"/>
      <c r="G114" s="114"/>
    </row>
    <row r="115" spans="1:7" ht="12.75" customHeight="1">
      <c r="A115" s="3076" t="s">
        <v>1320</v>
      </c>
      <c r="B115" s="3120"/>
      <c r="C115" s="3120"/>
      <c r="D115" s="3120"/>
      <c r="E115" s="3120"/>
      <c r="F115" s="114"/>
      <c r="G115" s="114"/>
    </row>
    <row r="116" spans="1:7" ht="12.75" customHeight="1">
      <c r="A116" s="3077" t="s">
        <v>941</v>
      </c>
      <c r="B116" s="3121"/>
      <c r="C116" s="3121"/>
      <c r="D116" s="3121"/>
      <c r="E116" s="3121"/>
      <c r="F116" s="114"/>
      <c r="G116" s="114"/>
    </row>
    <row r="117" spans="1:7" ht="12.75" customHeight="1">
      <c r="A117" s="3098" t="s">
        <v>942</v>
      </c>
      <c r="B117" s="2575">
        <v>590</v>
      </c>
      <c r="C117" s="2581"/>
      <c r="D117" s="2581"/>
      <c r="E117" s="2581"/>
      <c r="F117" s="114"/>
      <c r="G117" s="114"/>
    </row>
    <row r="118" spans="1:7" ht="12.75" customHeight="1">
      <c r="A118" s="3098" t="s">
        <v>313</v>
      </c>
      <c r="B118" s="2575">
        <v>595</v>
      </c>
      <c r="C118" s="2581"/>
      <c r="D118" s="2581"/>
      <c r="E118" s="2581"/>
      <c r="F118" s="114"/>
      <c r="G118" s="114"/>
    </row>
    <row r="119" spans="1:7" ht="12.75" customHeight="1">
      <c r="A119" s="3076" t="s">
        <v>944</v>
      </c>
      <c r="B119" s="3120"/>
      <c r="C119" s="3120"/>
      <c r="D119" s="3120"/>
      <c r="E119" s="3120"/>
      <c r="F119" s="114"/>
      <c r="G119" s="114"/>
    </row>
    <row r="120" spans="1:7" ht="12.75" customHeight="1">
      <c r="A120" s="3098" t="s">
        <v>295</v>
      </c>
      <c r="B120" s="2575">
        <v>600</v>
      </c>
      <c r="C120" s="2581"/>
      <c r="D120" s="2581"/>
      <c r="E120" s="2581"/>
      <c r="F120" s="114"/>
      <c r="G120" s="114"/>
    </row>
    <row r="121" spans="1:7" ht="12.75" customHeight="1">
      <c r="A121" s="3099" t="s">
        <v>946</v>
      </c>
      <c r="B121" s="2576">
        <v>605</v>
      </c>
      <c r="C121" s="2023"/>
      <c r="D121" s="2023"/>
      <c r="E121" s="2023"/>
      <c r="F121" s="114"/>
      <c r="G121" s="114"/>
    </row>
    <row r="122" spans="1:7" ht="12.75" customHeight="1">
      <c r="A122" s="3099" t="s">
        <v>947</v>
      </c>
      <c r="B122" s="2576">
        <v>610</v>
      </c>
      <c r="C122" s="2023"/>
      <c r="D122" s="2023"/>
      <c r="E122" s="2023"/>
      <c r="F122" s="114"/>
      <c r="G122" s="114"/>
    </row>
    <row r="123" spans="1:7" ht="12.75" customHeight="1">
      <c r="A123" s="3088" t="s">
        <v>4818</v>
      </c>
      <c r="B123" s="2577">
        <v>615</v>
      </c>
      <c r="C123" s="2582"/>
      <c r="D123" s="2582"/>
      <c r="E123" s="2582"/>
      <c r="F123" s="114"/>
      <c r="G123" s="114"/>
    </row>
    <row r="124" spans="1:7" ht="12.75" customHeight="1">
      <c r="A124" s="3099" t="s">
        <v>968</v>
      </c>
      <c r="B124" s="2576">
        <v>620</v>
      </c>
      <c r="C124" s="2023"/>
      <c r="D124" s="2023"/>
      <c r="E124" s="2023"/>
      <c r="F124" s="114"/>
      <c r="G124" s="114"/>
    </row>
    <row r="125" spans="1:7" ht="12.75" customHeight="1">
      <c r="A125" s="3099" t="s">
        <v>950</v>
      </c>
      <c r="B125" s="2576">
        <v>625</v>
      </c>
      <c r="C125" s="2023"/>
      <c r="D125" s="2023"/>
      <c r="E125" s="2023"/>
      <c r="F125" s="114"/>
      <c r="G125" s="114"/>
    </row>
    <row r="126" spans="1:7" ht="12.75" customHeight="1">
      <c r="A126" s="3099" t="s">
        <v>955</v>
      </c>
      <c r="B126" s="2576">
        <v>630</v>
      </c>
      <c r="C126" s="2023"/>
      <c r="D126" s="2023"/>
      <c r="E126" s="2023"/>
      <c r="F126" s="114"/>
      <c r="G126" s="114"/>
    </row>
    <row r="127" spans="1:7" ht="12.75" customHeight="1">
      <c r="A127" s="3099" t="s">
        <v>959</v>
      </c>
      <c r="B127" s="2576">
        <v>635</v>
      </c>
      <c r="C127" s="2023"/>
      <c r="D127" s="2023"/>
      <c r="E127" s="2023"/>
      <c r="F127" s="114"/>
      <c r="G127" s="114"/>
    </row>
    <row r="128" spans="1:7" ht="12.75" customHeight="1">
      <c r="A128" s="3099" t="s">
        <v>960</v>
      </c>
      <c r="B128" s="2576">
        <v>640</v>
      </c>
      <c r="C128" s="2023"/>
      <c r="D128" s="2023"/>
      <c r="E128" s="2023"/>
      <c r="F128" s="114"/>
      <c r="G128" s="114"/>
    </row>
    <row r="129" spans="1:7" ht="12.75" customHeight="1">
      <c r="A129" s="3074" t="s">
        <v>971</v>
      </c>
      <c r="B129" s="3112"/>
      <c r="C129" s="3112"/>
      <c r="D129" s="3112"/>
      <c r="E129" s="3112"/>
      <c r="F129" s="114"/>
      <c r="G129" s="114"/>
    </row>
    <row r="130" spans="1:7" ht="12.75" customHeight="1">
      <c r="A130" s="3075" t="s">
        <v>972</v>
      </c>
      <c r="B130" s="3122"/>
      <c r="C130" s="3122"/>
      <c r="D130" s="3122"/>
      <c r="E130" s="3122"/>
      <c r="F130" s="114"/>
      <c r="G130" s="114"/>
    </row>
    <row r="131" spans="1:7" ht="12.75" customHeight="1">
      <c r="A131" s="3096" t="s">
        <v>943</v>
      </c>
      <c r="B131" s="3119">
        <v>495</v>
      </c>
      <c r="C131" s="2022"/>
      <c r="D131" s="2022"/>
      <c r="E131" s="2022"/>
      <c r="F131" s="114"/>
      <c r="G131" s="114"/>
    </row>
    <row r="132" spans="1:7" ht="12.75" customHeight="1">
      <c r="A132" s="3074" t="s">
        <v>973</v>
      </c>
      <c r="B132" s="3112"/>
      <c r="C132" s="3112"/>
      <c r="D132" s="3112"/>
      <c r="E132" s="3112"/>
      <c r="F132" s="114"/>
      <c r="G132" s="114"/>
    </row>
    <row r="133" spans="1:7" ht="12.75" customHeight="1">
      <c r="A133" s="3096" t="s">
        <v>974</v>
      </c>
      <c r="B133" s="3119">
        <v>500</v>
      </c>
      <c r="C133" s="2022"/>
      <c r="D133" s="2022"/>
      <c r="E133" s="2022"/>
      <c r="F133" s="114"/>
      <c r="G133" s="114"/>
    </row>
    <row r="134" spans="1:7" ht="12.75" customHeight="1">
      <c r="A134" s="3097" t="s">
        <v>977</v>
      </c>
      <c r="B134" s="2028">
        <v>505</v>
      </c>
      <c r="C134" s="2050"/>
      <c r="D134" s="2050"/>
      <c r="E134" s="2050"/>
      <c r="F134" s="114"/>
      <c r="G134" s="114"/>
    </row>
    <row r="135" spans="1:7" ht="12.75" customHeight="1">
      <c r="A135" s="2276" t="s">
        <v>978</v>
      </c>
      <c r="B135" s="3123">
        <v>510</v>
      </c>
      <c r="C135" s="3124"/>
      <c r="D135" s="3124"/>
      <c r="E135" s="3124"/>
      <c r="F135" s="114"/>
      <c r="G135" s="114"/>
    </row>
    <row r="136" spans="1:7" ht="12.75" customHeight="1">
      <c r="A136" s="3088" t="s">
        <v>4818</v>
      </c>
      <c r="B136" s="981">
        <v>515</v>
      </c>
      <c r="C136" s="991"/>
      <c r="D136" s="991"/>
      <c r="E136" s="991"/>
      <c r="F136" s="114"/>
      <c r="G136" s="114"/>
    </row>
    <row r="137" spans="1:7" ht="12.75" customHeight="1">
      <c r="A137" s="3074" t="s">
        <v>979</v>
      </c>
      <c r="B137" s="3112"/>
      <c r="C137" s="3112"/>
      <c r="D137" s="3112"/>
      <c r="E137" s="3112"/>
      <c r="F137" s="114"/>
      <c r="G137" s="114"/>
    </row>
    <row r="138" spans="1:7" ht="12.75" customHeight="1">
      <c r="A138" s="3096" t="s">
        <v>980</v>
      </c>
      <c r="B138" s="3119">
        <v>520</v>
      </c>
      <c r="C138" s="2022"/>
      <c r="D138" s="2022"/>
      <c r="E138" s="2022"/>
      <c r="F138" s="114"/>
      <c r="G138" s="114"/>
    </row>
    <row r="139" spans="1:7" ht="12.75" customHeight="1">
      <c r="A139" s="3097" t="s">
        <v>981</v>
      </c>
      <c r="B139" s="2028">
        <v>525</v>
      </c>
      <c r="C139" s="2050"/>
      <c r="D139" s="2050"/>
      <c r="E139" s="2050"/>
      <c r="F139" s="114"/>
      <c r="G139" s="114"/>
    </row>
    <row r="140" spans="1:7" ht="12.75" customHeight="1">
      <c r="A140" s="3097" t="s">
        <v>982</v>
      </c>
      <c r="B140" s="2028">
        <v>530</v>
      </c>
      <c r="C140" s="2050"/>
      <c r="D140" s="2050"/>
      <c r="E140" s="2050"/>
      <c r="F140" s="114"/>
      <c r="G140" s="114"/>
    </row>
    <row r="141" spans="1:7" ht="12.75" customHeight="1">
      <c r="A141" s="3097" t="s">
        <v>983</v>
      </c>
      <c r="B141" s="2028">
        <v>535</v>
      </c>
      <c r="C141" s="2050"/>
      <c r="D141" s="2050"/>
      <c r="E141" s="2050"/>
      <c r="F141" s="114"/>
      <c r="G141" s="114"/>
    </row>
    <row r="142" spans="1:7" ht="12.75" customHeight="1">
      <c r="A142" s="3097" t="s">
        <v>985</v>
      </c>
      <c r="B142" s="2028">
        <v>540</v>
      </c>
      <c r="C142" s="2050"/>
      <c r="D142" s="2050"/>
      <c r="E142" s="2050"/>
      <c r="F142" s="114"/>
      <c r="G142" s="114"/>
    </row>
    <row r="143" spans="1:7" ht="12.75" customHeight="1">
      <c r="A143" s="3097" t="s">
        <v>986</v>
      </c>
      <c r="B143" s="2028">
        <v>545</v>
      </c>
      <c r="C143" s="2050"/>
      <c r="D143" s="2050"/>
      <c r="E143" s="2050"/>
      <c r="F143" s="114"/>
      <c r="G143" s="114"/>
    </row>
    <row r="144" spans="1:7" ht="12.75" customHeight="1">
      <c r="A144" s="3074" t="s">
        <v>989</v>
      </c>
      <c r="B144" s="3112"/>
      <c r="C144" s="3112"/>
      <c r="D144" s="3112"/>
      <c r="E144" s="3112"/>
      <c r="F144" s="114"/>
      <c r="G144" s="114"/>
    </row>
    <row r="145" spans="1:7" ht="12.75" customHeight="1">
      <c r="A145" s="3096" t="s">
        <v>990</v>
      </c>
      <c r="B145" s="3119">
        <v>550</v>
      </c>
      <c r="C145" s="2022"/>
      <c r="D145" s="2022"/>
      <c r="E145" s="2022"/>
      <c r="F145" s="114"/>
      <c r="G145" s="114"/>
    </row>
    <row r="146" spans="1:7" ht="12.75" customHeight="1">
      <c r="A146" s="3074" t="s">
        <v>991</v>
      </c>
      <c r="B146" s="3112"/>
      <c r="C146" s="3112"/>
      <c r="D146" s="3112"/>
      <c r="E146" s="3112"/>
      <c r="F146" s="114"/>
      <c r="G146" s="114"/>
    </row>
    <row r="147" spans="1:7" ht="12.75" customHeight="1">
      <c r="A147" s="3096" t="s">
        <v>992</v>
      </c>
      <c r="B147" s="3119">
        <v>555</v>
      </c>
      <c r="C147" s="2022"/>
      <c r="D147" s="2022"/>
      <c r="E147" s="2022"/>
      <c r="F147" s="114"/>
      <c r="G147" s="114"/>
    </row>
    <row r="148" spans="1:7" ht="12.75" customHeight="1">
      <c r="A148" s="3097" t="s">
        <v>993</v>
      </c>
      <c r="B148" s="2028">
        <v>560</v>
      </c>
      <c r="C148" s="2050"/>
      <c r="D148" s="2050"/>
      <c r="E148" s="2050"/>
      <c r="F148" s="114"/>
      <c r="G148" s="114"/>
    </row>
    <row r="149" spans="1:7" ht="12.75" customHeight="1">
      <c r="A149" s="3097" t="s">
        <v>994</v>
      </c>
      <c r="B149" s="2028">
        <v>565</v>
      </c>
      <c r="C149" s="2050"/>
      <c r="D149" s="2050"/>
      <c r="E149" s="2050"/>
      <c r="F149" s="128"/>
      <c r="G149" s="114"/>
    </row>
    <row r="150" spans="1:7" ht="12.75" customHeight="1">
      <c r="A150" s="3097" t="s">
        <v>995</v>
      </c>
      <c r="B150" s="2028">
        <v>570</v>
      </c>
      <c r="C150" s="2050"/>
      <c r="D150" s="2050"/>
      <c r="E150" s="2050"/>
      <c r="F150" s="128"/>
      <c r="G150" s="114"/>
    </row>
    <row r="151" spans="1:7" ht="12.75" customHeight="1">
      <c r="A151" s="3097" t="s">
        <v>996</v>
      </c>
      <c r="B151" s="2028">
        <v>575</v>
      </c>
      <c r="C151" s="2050"/>
      <c r="D151" s="2050"/>
      <c r="E151" s="2050"/>
      <c r="F151" s="114"/>
      <c r="G151" s="114"/>
    </row>
    <row r="152" spans="1:7" ht="12.75" customHeight="1">
      <c r="A152" s="3097" t="s">
        <v>997</v>
      </c>
      <c r="B152" s="2028">
        <v>580</v>
      </c>
      <c r="C152" s="2050"/>
      <c r="D152" s="2050"/>
      <c r="E152" s="2050"/>
      <c r="F152" s="114"/>
      <c r="G152" s="114"/>
    </row>
    <row r="153" spans="1:7" ht="12.75" customHeight="1">
      <c r="A153" s="3097" t="s">
        <v>998</v>
      </c>
      <c r="B153" s="2028">
        <v>585</v>
      </c>
      <c r="C153" s="2050"/>
      <c r="D153" s="2050"/>
      <c r="E153" s="2050"/>
      <c r="F153" s="114"/>
      <c r="G153" s="114"/>
    </row>
    <row r="154" spans="1:7" ht="12.75" customHeight="1">
      <c r="A154" s="3074" t="s">
        <v>1027</v>
      </c>
      <c r="B154" s="3112"/>
      <c r="C154" s="3112"/>
      <c r="D154" s="3112"/>
      <c r="E154" s="3112"/>
      <c r="F154" s="114"/>
      <c r="G154" s="114"/>
    </row>
    <row r="155" spans="1:7" ht="12.75" customHeight="1">
      <c r="A155" s="3096" t="s">
        <v>1273</v>
      </c>
      <c r="B155" s="3119">
        <v>586</v>
      </c>
      <c r="C155" s="2022"/>
      <c r="D155" s="2022"/>
      <c r="E155" s="2022"/>
      <c r="F155" s="114"/>
      <c r="G155" s="114"/>
    </row>
    <row r="156" spans="1:7" ht="12.75" customHeight="1">
      <c r="A156" s="2276" t="s">
        <v>973</v>
      </c>
      <c r="B156" s="3123">
        <v>587</v>
      </c>
      <c r="C156" s="3124"/>
      <c r="D156" s="3124"/>
      <c r="E156" s="3124"/>
      <c r="F156" s="114"/>
      <c r="G156" s="114"/>
    </row>
    <row r="157" spans="1:7" ht="12.75" customHeight="1">
      <c r="A157" s="2253" t="s">
        <v>1033</v>
      </c>
      <c r="B157" s="981">
        <v>588</v>
      </c>
      <c r="C157" s="991"/>
      <c r="D157" s="991"/>
      <c r="E157" s="991"/>
      <c r="F157" s="114"/>
      <c r="G157" s="114"/>
    </row>
    <row r="158" spans="1:7" ht="12.75" customHeight="1">
      <c r="A158" s="2253" t="s">
        <v>998</v>
      </c>
      <c r="B158" s="981">
        <v>589</v>
      </c>
      <c r="C158" s="991"/>
      <c r="D158" s="991"/>
      <c r="E158" s="991"/>
      <c r="F158" s="114"/>
      <c r="G158" s="114"/>
    </row>
    <row r="159" spans="1:7" ht="12.75" customHeight="1">
      <c r="A159" s="3074" t="s">
        <v>1328</v>
      </c>
      <c r="B159" s="3112"/>
      <c r="C159" s="3112"/>
      <c r="D159" s="3112"/>
      <c r="E159" s="3112"/>
      <c r="F159" s="114"/>
      <c r="G159" s="114"/>
    </row>
    <row r="160" spans="1:7" ht="12.75" customHeight="1">
      <c r="A160" s="3075" t="s">
        <v>972</v>
      </c>
      <c r="B160" s="3122"/>
      <c r="C160" s="3122"/>
      <c r="D160" s="3122"/>
      <c r="E160" s="3122"/>
      <c r="F160" s="114"/>
      <c r="G160" s="114"/>
    </row>
    <row r="161" spans="1:7" ht="12.75" customHeight="1">
      <c r="A161" s="3096" t="s">
        <v>999</v>
      </c>
      <c r="B161" s="3125">
        <v>650</v>
      </c>
      <c r="C161" s="3126"/>
      <c r="D161" s="2022"/>
      <c r="E161" s="2022"/>
      <c r="F161" s="114"/>
      <c r="G161" s="114"/>
    </row>
    <row r="162" spans="1:7" ht="12.75" customHeight="1">
      <c r="A162" s="3100" t="s">
        <v>943</v>
      </c>
      <c r="B162" s="3127">
        <v>655</v>
      </c>
      <c r="C162" s="3126"/>
      <c r="D162" s="2050"/>
      <c r="E162" s="2050"/>
      <c r="F162" s="114"/>
      <c r="G162" s="114"/>
    </row>
    <row r="163" spans="1:7" ht="12.75" customHeight="1">
      <c r="A163" s="3074" t="s">
        <v>973</v>
      </c>
      <c r="B163" s="3112"/>
      <c r="C163" s="3112"/>
      <c r="D163" s="3112"/>
      <c r="E163" s="3112"/>
      <c r="F163" s="114"/>
      <c r="G163" s="114"/>
    </row>
    <row r="164" spans="1:7" ht="12.75" customHeight="1">
      <c r="A164" s="3096" t="s">
        <v>1000</v>
      </c>
      <c r="B164" s="3125">
        <v>660</v>
      </c>
      <c r="C164" s="3126"/>
      <c r="D164" s="2022"/>
      <c r="E164" s="2022"/>
      <c r="F164" s="114"/>
      <c r="G164" s="114"/>
    </row>
    <row r="165" spans="1:7" ht="12.75" customHeight="1">
      <c r="A165" s="3097" t="s">
        <v>977</v>
      </c>
      <c r="B165" s="3127">
        <v>665</v>
      </c>
      <c r="C165" s="3126"/>
      <c r="D165" s="2050"/>
      <c r="E165" s="2050"/>
      <c r="F165" s="114"/>
      <c r="G165" s="114"/>
    </row>
    <row r="166" spans="1:7" ht="12.75" customHeight="1">
      <c r="A166" s="2253" t="s">
        <v>978</v>
      </c>
      <c r="B166" s="3128">
        <v>670</v>
      </c>
      <c r="C166" s="3126"/>
      <c r="D166" s="991"/>
      <c r="E166" s="991"/>
      <c r="F166" s="114"/>
      <c r="G166" s="114"/>
    </row>
    <row r="167" spans="1:7" ht="12.75" customHeight="1">
      <c r="A167" s="3088" t="s">
        <v>4818</v>
      </c>
      <c r="B167" s="3110">
        <v>675</v>
      </c>
      <c r="C167" s="3126"/>
      <c r="D167" s="991"/>
      <c r="E167" s="991"/>
      <c r="F167" s="114"/>
      <c r="G167" s="114"/>
    </row>
    <row r="168" spans="1:7" ht="12.75" customHeight="1">
      <c r="A168" s="3088" t="s">
        <v>979</v>
      </c>
      <c r="B168" s="3111">
        <v>680</v>
      </c>
      <c r="C168" s="3126"/>
      <c r="D168" s="2050"/>
      <c r="E168" s="2050"/>
      <c r="F168" s="114"/>
      <c r="G168" s="114"/>
    </row>
    <row r="169" spans="1:7" ht="12.75" customHeight="1">
      <c r="A169" s="3088" t="s">
        <v>986</v>
      </c>
      <c r="B169" s="3111">
        <v>685</v>
      </c>
      <c r="C169" s="3126"/>
      <c r="D169" s="2050"/>
      <c r="E169" s="2050"/>
      <c r="F169" s="114"/>
      <c r="G169" s="114"/>
    </row>
    <row r="170" spans="1:7" ht="12.75" customHeight="1">
      <c r="A170" s="3088" t="s">
        <v>989</v>
      </c>
      <c r="B170" s="3111">
        <v>690</v>
      </c>
      <c r="C170" s="3126"/>
      <c r="D170" s="2050"/>
      <c r="E170" s="2050"/>
      <c r="F170" s="114"/>
      <c r="G170" s="114"/>
    </row>
    <row r="171" spans="1:7" ht="12.75" customHeight="1">
      <c r="A171" s="3088" t="s">
        <v>997</v>
      </c>
      <c r="B171" s="3111">
        <v>695</v>
      </c>
      <c r="C171" s="3126"/>
      <c r="D171" s="2050"/>
      <c r="E171" s="2050"/>
      <c r="F171" s="114"/>
      <c r="G171" s="114"/>
    </row>
    <row r="172" spans="1:7" ht="12.75" customHeight="1">
      <c r="A172" s="2253" t="s">
        <v>998</v>
      </c>
      <c r="B172" s="3127">
        <v>700</v>
      </c>
      <c r="C172" s="3126"/>
      <c r="D172" s="2050"/>
      <c r="E172" s="2050"/>
      <c r="F172" s="114"/>
      <c r="G172" s="114"/>
    </row>
    <row r="173" spans="1:7" ht="12.75" customHeight="1">
      <c r="A173" s="639" t="s">
        <v>5153</v>
      </c>
      <c r="B173" s="2578" t="s">
        <v>4906</v>
      </c>
      <c r="C173" s="994">
        <f>SUM(C51:C172)</f>
        <v>193428</v>
      </c>
      <c r="D173" s="994">
        <f t="shared" ref="D173:E173" si="0">SUM(D51:D172)</f>
        <v>200191</v>
      </c>
      <c r="E173" s="994">
        <f t="shared" si="0"/>
        <v>208510</v>
      </c>
      <c r="F173" s="114"/>
      <c r="G173" s="114"/>
    </row>
    <row r="174" spans="1:7" ht="12.75" customHeight="1">
      <c r="A174" s="6101" t="s">
        <v>4911</v>
      </c>
      <c r="B174" s="6101"/>
      <c r="C174" s="6101"/>
      <c r="D174" s="6101"/>
      <c r="E174" s="6101"/>
      <c r="F174" s="114"/>
      <c r="G174" s="114"/>
    </row>
    <row r="175" spans="1:7" ht="12.75" customHeight="1">
      <c r="A175" s="4627"/>
      <c r="B175" s="4628"/>
      <c r="C175" s="1004"/>
      <c r="D175" s="1004"/>
      <c r="E175" s="1004"/>
      <c r="F175" s="114"/>
      <c r="G175" s="114"/>
    </row>
    <row r="176" spans="1:7" ht="12.75" customHeight="1">
      <c r="A176" s="4627"/>
      <c r="B176" s="4628"/>
      <c r="C176" s="1004"/>
      <c r="D176" s="1004"/>
      <c r="E176" s="1004"/>
      <c r="F176" s="114"/>
      <c r="G176" s="114"/>
    </row>
    <row r="177" spans="1:7" ht="12.75" customHeight="1">
      <c r="A177" s="4627"/>
      <c r="B177" s="4628"/>
      <c r="C177" s="1004"/>
      <c r="D177" s="1004"/>
      <c r="E177" s="1004"/>
      <c r="F177" s="114"/>
      <c r="G177" s="114"/>
    </row>
    <row r="178" spans="1:7" ht="12.75" customHeight="1">
      <c r="A178" s="6144"/>
      <c r="B178" s="6144"/>
      <c r="C178" s="6144"/>
      <c r="D178" s="6144"/>
      <c r="E178" s="6144"/>
      <c r="F178" s="114"/>
      <c r="G178" s="420"/>
    </row>
  </sheetData>
  <sheetProtection algorithmName="SHA-512" hashValue="VJqxOz5z00wezBdmEctYxtlacDFKtN0NYQQxGMNblm/yyJFYoCIfwWmRFwje+47BQphslfSb/jS4DDFoe6bqqA==" saltValue="CbUnE5utsa97TQIVr9rxwQ==" spinCount="100000" sheet="1" objects="1" scenarios="1"/>
  <mergeCells count="6">
    <mergeCell ref="D39:E39"/>
    <mergeCell ref="D40:E40"/>
    <mergeCell ref="D1:E1"/>
    <mergeCell ref="D2:E2"/>
    <mergeCell ref="A178:E178"/>
    <mergeCell ref="A174:E174"/>
  </mergeCells>
  <phoneticPr fontId="13" type="noConversion"/>
  <dataValidations count="3">
    <dataValidation type="whole" operator="greaterThanOrEqual" showInputMessage="1" showErrorMessage="1" errorTitle="Invalid Data Entry " error="Please enter a positive number or press the delete key or enter zero." sqref="C155:E158 C145:E145 C164:E172 E18 C131:E131 C87:E88 C97:E101 C90:E95 C76:E84 C107:E114 C54:E58 C73:E74 C51:E52 C25 C28:E30 C138:E143 C21:D21 C65:E70 C10:D10 C15:E17 C19:D19 D21:E23 C22:C23 C161:E162 C147:E153 C133:E136 C104:E105 C61:E63">
      <formula1>0</formula1>
    </dataValidation>
    <dataValidation type="whole" operator="greaterThanOrEqual" showInputMessage="1" showErrorMessage="1" errorTitle="Invalid Data Entry" error="Please enter a positive number or press the delete key or enter zero." sqref="C120:E128 C117:E118">
      <formula1>0</formula1>
    </dataValidation>
    <dataValidation type="whole" operator="greaterThanOrEqual" showInputMessage="1" showErrorMessage="1" errorTitle="Invalid Data Entry" error="Please enter a positive number or press the delete key or enter a zero." sqref="C18:D18">
      <formula1>0</formula1>
    </dataValidation>
  </dataValidations>
  <hyperlinks>
    <hyperlink ref="G1" location="Contents!F1" display="Return to Contents page"/>
  </hyperlinks>
  <printOptions horizontalCentered="1"/>
  <pageMargins left="0.75" right="0.75" top="0.5" bottom="0.5" header="0.3" footer="0.3"/>
  <pageSetup scale="86" fitToHeight="0" orientation="portrait" blackAndWhite="1" r:id="rId1"/>
  <headerFooter scaleWithDoc="0">
    <oddFooter>&amp;L&amp;"Open Sans Light,Regular"&amp;8&amp;D    &amp;T&amp;C&amp;"Open Sans Light,Regular"&amp;8Page &amp;P&amp;R&amp;"Open Sans Light,Regular"&amp;8&amp;A</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theme="4" tint="0.39997558519241921"/>
  </sheetPr>
  <dimension ref="A1:Z243"/>
  <sheetViews>
    <sheetView showGridLines="0" zoomScaleNormal="100" zoomScaleSheetLayoutView="100" workbookViewId="0">
      <pane ySplit="8" topLeftCell="A30" activePane="bottomLeft" state="frozen"/>
      <selection activeCell="B22" sqref="B22"/>
      <selection pane="bottomLeft" activeCell="B22" sqref="B22"/>
    </sheetView>
  </sheetViews>
  <sheetFormatPr defaultColWidth="10.6640625" defaultRowHeight="12.75" customHeight="1"/>
  <cols>
    <col min="1" max="1" width="40.6640625" style="8" customWidth="1"/>
    <col min="2" max="2" width="4.88671875" style="938" customWidth="1"/>
    <col min="3" max="5" width="14.33203125" style="901" customWidth="1"/>
    <col min="6" max="6" width="2.109375" style="8" customWidth="1"/>
    <col min="7" max="7" width="21.6640625" style="8" customWidth="1"/>
    <col min="8" max="26" width="10.6640625" style="8"/>
    <col min="27" max="16384" width="10.6640625" style="5"/>
  </cols>
  <sheetData>
    <row r="1" spans="1:26" ht="12.75" customHeight="1">
      <c r="A1" s="943" t="s">
        <v>809</v>
      </c>
      <c r="B1" s="4252">
        <f>OPEN!B4</f>
        <v>237</v>
      </c>
      <c r="C1" s="903"/>
      <c r="D1" s="6102" t="s">
        <v>836</v>
      </c>
      <c r="E1" s="6102"/>
      <c r="F1" s="3"/>
      <c r="G1" s="304" t="s">
        <v>754</v>
      </c>
    </row>
    <row r="2" spans="1:26" ht="12.75" customHeight="1">
      <c r="A2" s="899"/>
      <c r="B2" s="900"/>
      <c r="C2" s="903"/>
      <c r="D2" s="6102" t="s">
        <v>921</v>
      </c>
      <c r="E2" s="6102"/>
      <c r="F2" s="3"/>
      <c r="G2" s="3"/>
    </row>
    <row r="3" spans="1:26" ht="12.75" customHeight="1">
      <c r="A3" s="899"/>
      <c r="B3" s="900"/>
      <c r="C3" s="899"/>
      <c r="D3" s="902"/>
      <c r="E3" s="902" t="str">
        <f>OpenData!N2</f>
        <v>2021-2022</v>
      </c>
      <c r="F3" s="3"/>
      <c r="G3" s="3"/>
    </row>
    <row r="4" spans="1:26" ht="12.75" customHeight="1">
      <c r="A4" s="899"/>
      <c r="B4" s="900"/>
      <c r="C4" s="899"/>
      <c r="D4" s="899"/>
      <c r="E4" s="899"/>
      <c r="F4" s="3"/>
      <c r="G4" s="3"/>
    </row>
    <row r="5" spans="1:26" ht="12.75" customHeight="1">
      <c r="A5" s="899"/>
      <c r="B5" s="900"/>
      <c r="C5" s="904" t="s">
        <v>922</v>
      </c>
      <c r="D5" s="904" t="s">
        <v>922</v>
      </c>
      <c r="E5" s="904" t="s">
        <v>922</v>
      </c>
      <c r="F5" s="3"/>
      <c r="G5" s="3"/>
    </row>
    <row r="6" spans="1:26" ht="12.75" customHeight="1">
      <c r="A6" s="928" t="s">
        <v>4776</v>
      </c>
      <c r="B6" s="905" t="s">
        <v>854</v>
      </c>
      <c r="C6" s="906" t="str">
        <f>OpenData!N4</f>
        <v>2019-2020</v>
      </c>
      <c r="D6" s="906" t="str">
        <f>OpenData!O4</f>
        <v>2020-2021</v>
      </c>
      <c r="E6" s="1383" t="str">
        <f>OpenData!P4</f>
        <v>2021-2022</v>
      </c>
      <c r="F6" s="3"/>
      <c r="G6" s="3"/>
      <c r="K6" s="9"/>
    </row>
    <row r="7" spans="1:26" ht="12.75" customHeight="1">
      <c r="A7" s="2025" t="s">
        <v>5133</v>
      </c>
      <c r="B7" s="908">
        <v>35</v>
      </c>
      <c r="C7" s="909" t="s">
        <v>893</v>
      </c>
      <c r="D7" s="909" t="s">
        <v>893</v>
      </c>
      <c r="E7" s="1384" t="s">
        <v>923</v>
      </c>
      <c r="F7" s="3"/>
      <c r="G7" s="3"/>
      <c r="L7" s="10"/>
    </row>
    <row r="8" spans="1:26" ht="12.75" customHeight="1">
      <c r="B8" s="911" t="s">
        <v>858</v>
      </c>
      <c r="C8" s="912">
        <v>1</v>
      </c>
      <c r="D8" s="912">
        <v>2</v>
      </c>
      <c r="E8" s="1385">
        <v>3</v>
      </c>
      <c r="F8" s="3"/>
      <c r="G8" s="3"/>
      <c r="L8" s="10"/>
    </row>
    <row r="9" spans="1:26" s="11" customFormat="1" ht="12.75" customHeight="1">
      <c r="A9" s="2029" t="s">
        <v>924</v>
      </c>
      <c r="B9" s="915">
        <v>1</v>
      </c>
      <c r="C9" s="916">
        <v>0</v>
      </c>
      <c r="D9" s="918">
        <f>C31</f>
        <v>16575</v>
      </c>
      <c r="E9" s="918">
        <f>D31</f>
        <v>7657</v>
      </c>
      <c r="F9" s="15"/>
      <c r="G9" s="15"/>
      <c r="H9" s="12"/>
      <c r="I9" s="12"/>
      <c r="J9" s="12"/>
      <c r="K9" s="12"/>
      <c r="L9" s="13"/>
      <c r="M9" s="12"/>
      <c r="N9" s="12"/>
      <c r="O9" s="12"/>
      <c r="P9" s="12"/>
      <c r="Q9" s="12"/>
      <c r="R9" s="12"/>
      <c r="S9" s="12"/>
      <c r="T9" s="12"/>
      <c r="U9" s="12"/>
      <c r="V9" s="12"/>
      <c r="W9" s="12"/>
      <c r="X9" s="12"/>
      <c r="Y9" s="12"/>
      <c r="Z9" s="12"/>
    </row>
    <row r="10" spans="1:26" s="11" customFormat="1" ht="12.75" customHeight="1">
      <c r="A10" s="3974" t="s">
        <v>4940</v>
      </c>
      <c r="B10" s="1386">
        <v>3</v>
      </c>
      <c r="C10" s="1387"/>
      <c r="D10" s="1387"/>
      <c r="E10" s="3039"/>
      <c r="F10" s="15"/>
      <c r="G10" s="15"/>
      <c r="H10" s="12"/>
      <c r="I10" s="12"/>
      <c r="J10" s="12"/>
      <c r="K10" s="12"/>
      <c r="L10" s="13"/>
      <c r="M10" s="12"/>
      <c r="N10" s="12"/>
      <c r="O10" s="12"/>
      <c r="P10" s="12"/>
      <c r="Q10" s="12"/>
      <c r="R10" s="12"/>
      <c r="S10" s="12"/>
      <c r="T10" s="12"/>
      <c r="U10" s="12"/>
      <c r="V10" s="12"/>
      <c r="W10" s="12"/>
      <c r="X10" s="12"/>
      <c r="Y10" s="12"/>
      <c r="Z10" s="12"/>
    </row>
    <row r="11" spans="1:26" s="11" customFormat="1" ht="12.75" customHeight="1">
      <c r="A11" s="2281"/>
      <c r="B11" s="4265"/>
      <c r="C11" s="4265"/>
      <c r="D11" s="4265"/>
      <c r="E11" s="3045"/>
      <c r="F11" s="15"/>
      <c r="G11" s="15"/>
      <c r="H11" s="12"/>
      <c r="I11" s="12"/>
      <c r="J11" s="12"/>
      <c r="K11" s="12"/>
      <c r="L11" s="13"/>
      <c r="M11" s="12"/>
      <c r="N11" s="12"/>
      <c r="O11" s="12"/>
      <c r="P11" s="12"/>
      <c r="Q11" s="12"/>
      <c r="R11" s="12"/>
      <c r="S11" s="12"/>
      <c r="T11" s="12"/>
      <c r="U11" s="12"/>
      <c r="V11" s="12"/>
      <c r="W11" s="12"/>
      <c r="X11" s="12"/>
      <c r="Y11" s="12"/>
      <c r="Z11" s="12"/>
    </row>
    <row r="12" spans="1:26" s="11" customFormat="1" ht="12.75" customHeight="1">
      <c r="A12" s="3992" t="s">
        <v>4767</v>
      </c>
      <c r="B12" s="3993"/>
      <c r="C12" s="3993"/>
      <c r="D12" s="3993"/>
      <c r="E12" s="3994"/>
      <c r="F12" s="15"/>
      <c r="G12" s="15"/>
      <c r="H12" s="12"/>
      <c r="I12" s="12"/>
      <c r="J12" s="12"/>
      <c r="K12" s="12"/>
      <c r="L12" s="13"/>
      <c r="M12" s="12"/>
      <c r="N12" s="12"/>
      <c r="O12" s="12"/>
      <c r="P12" s="12"/>
      <c r="Q12" s="12"/>
      <c r="R12" s="12"/>
      <c r="S12" s="12"/>
      <c r="T12" s="12"/>
      <c r="U12" s="12"/>
      <c r="V12" s="12"/>
      <c r="W12" s="12"/>
      <c r="X12" s="12"/>
      <c r="Y12" s="12"/>
      <c r="Z12" s="12"/>
    </row>
    <row r="13" spans="1:26" s="11" customFormat="1" ht="12.75" customHeight="1">
      <c r="A13" s="3044" t="s">
        <v>636</v>
      </c>
      <c r="B13" s="3055"/>
      <c r="C13" s="3055"/>
      <c r="D13" s="3055"/>
      <c r="E13" s="3045"/>
      <c r="F13" s="15"/>
      <c r="G13" s="15"/>
      <c r="H13" s="12"/>
      <c r="I13" s="12"/>
      <c r="J13" s="12"/>
      <c r="K13" s="12"/>
      <c r="L13" s="13"/>
      <c r="M13" s="12"/>
      <c r="N13" s="12"/>
      <c r="O13" s="12"/>
      <c r="P13" s="12"/>
      <c r="Q13" s="12"/>
      <c r="R13" s="12"/>
      <c r="S13" s="12"/>
      <c r="T13" s="12"/>
      <c r="U13" s="12"/>
      <c r="V13" s="12"/>
      <c r="W13" s="12"/>
      <c r="X13" s="12"/>
      <c r="Y13" s="12"/>
      <c r="Z13" s="12"/>
    </row>
    <row r="14" spans="1:26" ht="12.75" customHeight="1">
      <c r="A14" s="3069" t="s">
        <v>633</v>
      </c>
      <c r="B14" s="3056">
        <v>10</v>
      </c>
      <c r="C14" s="1388"/>
      <c r="D14" s="1388"/>
      <c r="E14" s="925"/>
      <c r="F14" s="3"/>
      <c r="G14" s="3811" t="s">
        <v>4992</v>
      </c>
      <c r="L14" s="10"/>
    </row>
    <row r="15" spans="1:26" ht="12.75" customHeight="1">
      <c r="A15" s="3070" t="s">
        <v>634</v>
      </c>
      <c r="B15" s="3058">
        <v>20</v>
      </c>
      <c r="C15" s="1388"/>
      <c r="D15" s="1388"/>
      <c r="E15" s="925"/>
      <c r="F15" s="3"/>
      <c r="G15" s="3811" t="s">
        <v>4993</v>
      </c>
      <c r="K15" s="9"/>
    </row>
    <row r="16" spans="1:26" ht="12.75" customHeight="1">
      <c r="A16" s="2281" t="s">
        <v>637</v>
      </c>
      <c r="B16" s="3832"/>
      <c r="C16" s="1396"/>
      <c r="D16" s="1396"/>
      <c r="E16" s="2282"/>
      <c r="F16" s="3"/>
      <c r="G16" s="3"/>
      <c r="L16" s="14"/>
    </row>
    <row r="17" spans="1:26" ht="12.75" customHeight="1">
      <c r="A17" s="3069" t="s">
        <v>279</v>
      </c>
      <c r="B17" s="3056">
        <v>30</v>
      </c>
      <c r="C17" s="1388">
        <v>16575</v>
      </c>
      <c r="D17" s="1388">
        <v>10246</v>
      </c>
      <c r="E17" s="925">
        <v>100000</v>
      </c>
      <c r="F17" s="3"/>
      <c r="G17" s="3"/>
      <c r="L17" s="14"/>
    </row>
    <row r="18" spans="1:26" ht="12.75" customHeight="1">
      <c r="A18" s="3069" t="s">
        <v>796</v>
      </c>
      <c r="B18" s="3056">
        <v>32</v>
      </c>
      <c r="C18" s="1388"/>
      <c r="D18" s="1388"/>
      <c r="E18" s="925"/>
      <c r="F18" s="3"/>
      <c r="G18" s="3"/>
      <c r="L18" s="14"/>
    </row>
    <row r="19" spans="1:26" ht="12.75" customHeight="1">
      <c r="A19" s="3071" t="s">
        <v>635</v>
      </c>
      <c r="B19" s="3833">
        <v>35</v>
      </c>
      <c r="C19" s="3063"/>
      <c r="D19" s="3063">
        <v>3796</v>
      </c>
      <c r="E19" s="3068"/>
      <c r="F19" s="3"/>
      <c r="G19" s="3"/>
      <c r="L19" s="14"/>
    </row>
    <row r="20" spans="1:26" ht="12.75" customHeight="1">
      <c r="A20" s="2279" t="s">
        <v>272</v>
      </c>
      <c r="B20" s="3834"/>
      <c r="C20" s="3073"/>
      <c r="D20" s="3073"/>
      <c r="E20" s="2280"/>
      <c r="F20" s="3"/>
      <c r="G20" s="3"/>
      <c r="L20" s="14"/>
    </row>
    <row r="21" spans="1:26" ht="12.75" customHeight="1">
      <c r="A21" s="3072" t="s">
        <v>5136</v>
      </c>
      <c r="B21" s="3835">
        <v>40</v>
      </c>
      <c r="C21" s="1388"/>
      <c r="D21" s="1388"/>
      <c r="E21" s="925"/>
      <c r="F21" s="3"/>
      <c r="G21" s="3"/>
      <c r="L21" s="14"/>
    </row>
    <row r="22" spans="1:26" ht="12.75" customHeight="1">
      <c r="A22" s="3072" t="s">
        <v>5134</v>
      </c>
      <c r="B22" s="3835">
        <v>45</v>
      </c>
      <c r="C22" s="1388"/>
      <c r="D22" s="1388"/>
      <c r="E22" s="925"/>
      <c r="F22" s="3"/>
      <c r="G22" s="459"/>
      <c r="L22" s="14"/>
    </row>
    <row r="23" spans="1:26" ht="12.75" hidden="1" customHeight="1">
      <c r="A23" s="3072" t="s">
        <v>5135</v>
      </c>
      <c r="B23" s="3835">
        <v>50</v>
      </c>
      <c r="C23" s="1388"/>
      <c r="D23" s="1388"/>
      <c r="E23" s="925"/>
      <c r="F23" s="3"/>
      <c r="G23" s="3"/>
      <c r="L23" s="14"/>
    </row>
    <row r="24" spans="1:26" ht="12.75" customHeight="1">
      <c r="A24" s="3072" t="s">
        <v>4431</v>
      </c>
      <c r="B24" s="3835">
        <v>55</v>
      </c>
      <c r="C24" s="1388">
        <v>3291</v>
      </c>
      <c r="D24" s="1388"/>
      <c r="E24" s="925"/>
      <c r="F24" s="3"/>
      <c r="G24" s="3"/>
      <c r="L24" s="14"/>
    </row>
    <row r="25" spans="1:26" ht="12.75" customHeight="1">
      <c r="A25" s="1399" t="s">
        <v>5137</v>
      </c>
      <c r="B25" s="3836">
        <v>60</v>
      </c>
      <c r="C25" s="1388"/>
      <c r="D25" s="920"/>
      <c r="E25" s="923"/>
      <c r="F25" s="3"/>
      <c r="G25" s="3"/>
      <c r="L25" s="14"/>
    </row>
    <row r="26" spans="1:26" ht="12.75" customHeight="1">
      <c r="A26" s="1399" t="s">
        <v>5004</v>
      </c>
      <c r="B26" s="3829">
        <v>70</v>
      </c>
      <c r="C26" s="1388"/>
      <c r="D26" s="1388"/>
      <c r="E26" s="925"/>
      <c r="F26" s="3"/>
      <c r="G26" s="3"/>
      <c r="L26" s="14"/>
    </row>
    <row r="27" spans="1:26" ht="12.75" customHeight="1">
      <c r="A27" s="3084" t="s">
        <v>37</v>
      </c>
      <c r="B27" s="4259"/>
      <c r="C27" s="3837"/>
      <c r="D27" s="3837"/>
      <c r="E27" s="3838"/>
      <c r="F27" s="3"/>
      <c r="G27" s="3"/>
      <c r="L27" s="14"/>
    </row>
    <row r="28" spans="1:26" s="11" customFormat="1" ht="12.75" customHeight="1">
      <c r="A28" s="1399" t="s">
        <v>5138</v>
      </c>
      <c r="B28" s="3836">
        <v>80</v>
      </c>
      <c r="C28" s="920"/>
      <c r="D28" s="920"/>
      <c r="E28" s="923"/>
      <c r="F28" s="16"/>
      <c r="G28" s="17"/>
      <c r="H28" s="12"/>
      <c r="I28" s="12"/>
      <c r="J28" s="12"/>
      <c r="K28" s="12"/>
      <c r="L28" s="12"/>
      <c r="M28" s="12"/>
      <c r="N28" s="12"/>
      <c r="O28" s="12"/>
      <c r="P28" s="12"/>
      <c r="Q28" s="12"/>
      <c r="R28" s="12"/>
      <c r="S28" s="12"/>
      <c r="T28" s="12"/>
      <c r="U28" s="12"/>
      <c r="V28" s="12"/>
      <c r="W28" s="12"/>
      <c r="X28" s="12"/>
      <c r="Y28" s="12"/>
      <c r="Z28" s="12"/>
    </row>
    <row r="29" spans="1:26" s="11" customFormat="1" ht="12.75" customHeight="1">
      <c r="A29" s="927" t="s">
        <v>933</v>
      </c>
      <c r="B29" s="915">
        <v>170</v>
      </c>
      <c r="C29" s="1389">
        <f>SUM(C9:C28)</f>
        <v>19866</v>
      </c>
      <c r="D29" s="1389">
        <f>SUM(D9:D28)</f>
        <v>30617</v>
      </c>
      <c r="E29" s="1389">
        <f>SUM(E9:E28)</f>
        <v>107657</v>
      </c>
      <c r="F29" s="16"/>
      <c r="G29" s="320" t="str">
        <f>IF(E30="ERROR","Expenditures must be less than or equal to the Resources Available","")</f>
        <v/>
      </c>
      <c r="H29" s="12"/>
      <c r="I29" s="12"/>
      <c r="J29" s="12"/>
      <c r="K29" s="12"/>
      <c r="L29" s="12"/>
      <c r="M29" s="12"/>
      <c r="N29" s="12"/>
      <c r="O29" s="12"/>
      <c r="P29" s="12"/>
      <c r="Q29" s="12"/>
      <c r="R29" s="12"/>
      <c r="S29" s="12"/>
      <c r="T29" s="12"/>
      <c r="U29" s="12"/>
      <c r="V29" s="12"/>
      <c r="W29" s="12"/>
      <c r="X29" s="12"/>
      <c r="Y29" s="12"/>
      <c r="Z29" s="12"/>
    </row>
    <row r="30" spans="1:26" s="11" customFormat="1" ht="12.75" customHeight="1">
      <c r="A30" s="914" t="s">
        <v>934</v>
      </c>
      <c r="B30" s="915">
        <v>175</v>
      </c>
      <c r="C30" s="918">
        <f>C239</f>
        <v>3291</v>
      </c>
      <c r="D30" s="918">
        <f>D239</f>
        <v>22960</v>
      </c>
      <c r="E30" s="918">
        <f>IF(E239&lt;=E29,E239,"ERROR")</f>
        <v>107657</v>
      </c>
      <c r="F30" s="18"/>
      <c r="G30" s="15"/>
      <c r="H30" s="15"/>
      <c r="I30" s="15"/>
      <c r="J30" s="12"/>
      <c r="K30" s="12"/>
      <c r="L30" s="12"/>
      <c r="M30" s="12"/>
      <c r="N30" s="12"/>
      <c r="O30" s="12"/>
      <c r="P30" s="12"/>
      <c r="Q30" s="12"/>
      <c r="R30" s="12"/>
      <c r="S30" s="12"/>
      <c r="T30" s="12"/>
      <c r="U30" s="12"/>
      <c r="V30" s="12"/>
      <c r="W30" s="12"/>
      <c r="X30" s="12"/>
      <c r="Y30" s="12"/>
      <c r="Z30" s="12"/>
    </row>
    <row r="31" spans="1:26" ht="12.75" customHeight="1">
      <c r="A31" s="914" t="s">
        <v>935</v>
      </c>
      <c r="B31" s="915">
        <v>190</v>
      </c>
      <c r="C31" s="918">
        <f>C29-C30</f>
        <v>16575</v>
      </c>
      <c r="D31" s="918">
        <f>D29-D30</f>
        <v>7657</v>
      </c>
      <c r="E31" s="918">
        <f>IF(ISERROR(E29-E30),"NEGATIVE",E29-E30)</f>
        <v>0</v>
      </c>
      <c r="F31" s="3"/>
      <c r="G31" s="3"/>
      <c r="H31" s="3"/>
      <c r="I31" s="3"/>
    </row>
    <row r="32" spans="1:26" ht="12.75" customHeight="1">
      <c r="A32" s="6148" t="s">
        <v>4789</v>
      </c>
      <c r="B32" s="6148"/>
      <c r="C32" s="6148"/>
      <c r="D32" s="6148"/>
      <c r="E32" s="6148"/>
      <c r="F32" s="3"/>
      <c r="G32" s="3"/>
      <c r="H32" s="3"/>
      <c r="I32" s="3"/>
    </row>
    <row r="33" spans="1:9" ht="30" customHeight="1">
      <c r="A33" s="6149" t="s">
        <v>4790</v>
      </c>
      <c r="B33" s="6149"/>
      <c r="C33" s="6149"/>
      <c r="D33" s="6149"/>
      <c r="E33" s="6149"/>
      <c r="F33" s="3"/>
      <c r="G33" s="3"/>
      <c r="H33" s="3"/>
      <c r="I33" s="3"/>
    </row>
    <row r="34" spans="1:9" ht="12.75" customHeight="1">
      <c r="A34" s="6147" t="s">
        <v>4777</v>
      </c>
      <c r="B34" s="6147"/>
      <c r="C34" s="6147"/>
      <c r="D34" s="6147"/>
      <c r="E34" s="6147"/>
      <c r="F34" s="3"/>
      <c r="G34" s="3"/>
      <c r="H34" s="3"/>
      <c r="I34" s="3"/>
    </row>
    <row r="35" spans="1:9" ht="12.75" customHeight="1">
      <c r="A35" s="1613" t="s">
        <v>4778</v>
      </c>
      <c r="B35" s="1614"/>
      <c r="C35" s="6146" t="s">
        <v>4783</v>
      </c>
      <c r="D35" s="6146"/>
      <c r="E35" s="6146"/>
      <c r="F35" s="3"/>
      <c r="G35" s="3"/>
      <c r="H35" s="3"/>
      <c r="I35" s="3"/>
    </row>
    <row r="36" spans="1:9" ht="12.75" customHeight="1">
      <c r="A36" s="1613" t="s">
        <v>4779</v>
      </c>
      <c r="B36" s="1614"/>
      <c r="C36" s="6146" t="s">
        <v>4782</v>
      </c>
      <c r="D36" s="6146"/>
      <c r="E36" s="6146"/>
      <c r="F36" s="3"/>
      <c r="G36" s="3"/>
      <c r="H36" s="3"/>
      <c r="I36" s="3"/>
    </row>
    <row r="37" spans="1:9" ht="12.75" customHeight="1">
      <c r="A37" s="1613" t="s">
        <v>4780</v>
      </c>
      <c r="B37" s="1614"/>
      <c r="C37" s="6146"/>
      <c r="D37" s="6146"/>
      <c r="E37" s="6146"/>
      <c r="F37" s="3"/>
      <c r="G37" s="3"/>
      <c r="H37" s="3"/>
      <c r="I37" s="3"/>
    </row>
    <row r="38" spans="1:9" ht="12.75" customHeight="1">
      <c r="A38" s="1613" t="s">
        <v>4781</v>
      </c>
      <c r="B38" s="1614"/>
      <c r="C38" s="1615"/>
      <c r="D38" s="1615"/>
      <c r="E38" s="1615"/>
    </row>
    <row r="39" spans="1:9" ht="12.75" customHeight="1">
      <c r="A39" s="1613"/>
      <c r="B39" s="1614"/>
      <c r="C39" s="1615"/>
      <c r="D39" s="1615"/>
      <c r="E39" s="1615"/>
    </row>
    <row r="40" spans="1:9" ht="12.75" customHeight="1">
      <c r="A40" s="943" t="str">
        <f>A1</f>
        <v>USD #</v>
      </c>
      <c r="B40" s="4252">
        <f>B1</f>
        <v>237</v>
      </c>
      <c r="C40" s="1390"/>
      <c r="D40" s="6145" t="str">
        <f>D1</f>
        <v>STATE OF KANSAS</v>
      </c>
      <c r="E40" s="6145"/>
      <c r="F40" s="3"/>
      <c r="G40" s="3"/>
      <c r="H40" s="3"/>
      <c r="I40" s="3"/>
    </row>
    <row r="41" spans="1:9" ht="12.75" customHeight="1">
      <c r="A41" s="1397"/>
      <c r="B41" s="899"/>
      <c r="C41" s="899"/>
      <c r="D41" s="6145" t="str">
        <f>D2</f>
        <v>Budget Form USD-E</v>
      </c>
      <c r="E41" s="6145"/>
      <c r="F41" s="3"/>
      <c r="G41" s="3"/>
    </row>
    <row r="42" spans="1:9" ht="12.75" customHeight="1">
      <c r="A42" s="901"/>
      <c r="B42" s="1391"/>
      <c r="C42" s="937"/>
      <c r="D42" s="937"/>
      <c r="E42" s="902" t="str">
        <f>E3</f>
        <v>2021-2022</v>
      </c>
      <c r="F42" s="3"/>
      <c r="G42" s="3"/>
    </row>
    <row r="43" spans="1:9" ht="12.75" customHeight="1">
      <c r="A43" s="901"/>
      <c r="B43" s="1391"/>
      <c r="C43" s="937"/>
      <c r="D43" s="937"/>
      <c r="E43" s="902"/>
      <c r="F43" s="3"/>
      <c r="G43" s="3"/>
    </row>
    <row r="44" spans="1:9" ht="12.75" customHeight="1">
      <c r="A44" s="899"/>
      <c r="B44" s="900"/>
      <c r="C44" s="904" t="s">
        <v>922</v>
      </c>
      <c r="D44" s="904" t="s">
        <v>922</v>
      </c>
      <c r="E44" s="904" t="s">
        <v>922</v>
      </c>
      <c r="F44" s="3"/>
      <c r="G44" s="3"/>
    </row>
    <row r="45" spans="1:9" ht="12.75" customHeight="1">
      <c r="A45" s="928" t="str">
        <f>A6</f>
        <v>GIFTS &amp; GRANTS</v>
      </c>
      <c r="B45" s="1392" t="s">
        <v>854</v>
      </c>
      <c r="C45" s="906" t="str">
        <f>C6</f>
        <v>2019-2020</v>
      </c>
      <c r="D45" s="906" t="str">
        <f>D6</f>
        <v>2020-2021</v>
      </c>
      <c r="E45" s="906" t="str">
        <f>E6</f>
        <v>2021-2022</v>
      </c>
      <c r="F45" s="3"/>
      <c r="G45" s="3"/>
    </row>
    <row r="46" spans="1:9" ht="12.75" customHeight="1">
      <c r="A46" s="1398" t="str">
        <f>A7</f>
        <v>(monies not included in other funds)</v>
      </c>
      <c r="B46" s="1393">
        <v>35</v>
      </c>
      <c r="C46" s="909" t="s">
        <v>893</v>
      </c>
      <c r="D46" s="909" t="s">
        <v>893</v>
      </c>
      <c r="E46" s="909" t="s">
        <v>923</v>
      </c>
      <c r="F46" s="3"/>
      <c r="G46" s="3"/>
    </row>
    <row r="47" spans="1:9" ht="12.75" customHeight="1">
      <c r="A47" s="1398"/>
      <c r="B47" s="1393" t="s">
        <v>858</v>
      </c>
      <c r="C47" s="1394">
        <v>1</v>
      </c>
      <c r="D47" s="1394">
        <v>2</v>
      </c>
      <c r="E47" s="1394">
        <v>3</v>
      </c>
      <c r="F47" s="3"/>
      <c r="G47" s="3"/>
    </row>
    <row r="48" spans="1:9" ht="12.75" customHeight="1">
      <c r="A48" s="4266"/>
      <c r="B48" s="3991"/>
      <c r="C48" s="3984"/>
      <c r="D48" s="3984"/>
      <c r="E48" s="3985"/>
      <c r="F48" s="3"/>
      <c r="G48" s="3"/>
    </row>
    <row r="49" spans="1:7" ht="12.75" customHeight="1">
      <c r="A49" s="3992" t="s">
        <v>60</v>
      </c>
      <c r="B49" s="3993"/>
      <c r="C49" s="3993"/>
      <c r="D49" s="3993"/>
      <c r="E49" s="3994"/>
      <c r="F49" s="3"/>
      <c r="G49" s="3"/>
    </row>
    <row r="50" spans="1:7" ht="12.75" customHeight="1">
      <c r="A50" s="3044" t="s">
        <v>940</v>
      </c>
      <c r="B50" s="3055"/>
      <c r="C50" s="3055"/>
      <c r="D50" s="3055"/>
      <c r="E50" s="3055"/>
      <c r="F50" s="3"/>
      <c r="G50" s="3"/>
    </row>
    <row r="51" spans="1:7" ht="12.75" customHeight="1">
      <c r="A51" s="3044" t="s">
        <v>941</v>
      </c>
      <c r="B51" s="3055"/>
      <c r="C51" s="3055"/>
      <c r="D51" s="3055"/>
      <c r="E51" s="3055"/>
      <c r="F51" s="3"/>
      <c r="G51" s="3"/>
    </row>
    <row r="52" spans="1:7" ht="12.75" customHeight="1">
      <c r="A52" s="3047" t="s">
        <v>942</v>
      </c>
      <c r="B52" s="3056">
        <v>210</v>
      </c>
      <c r="C52" s="1388"/>
      <c r="D52" s="1388"/>
      <c r="E52" s="1388"/>
      <c r="F52" s="3"/>
      <c r="G52" s="3"/>
    </row>
    <row r="53" spans="1:7" ht="12.75" customHeight="1">
      <c r="A53" s="3048" t="s">
        <v>943</v>
      </c>
      <c r="B53" s="2019">
        <v>215</v>
      </c>
      <c r="C53" s="2055"/>
      <c r="D53" s="2055"/>
      <c r="E53" s="2055"/>
      <c r="F53" s="3"/>
      <c r="G53" s="3"/>
    </row>
    <row r="54" spans="1:7" ht="12.75" customHeight="1">
      <c r="A54" s="2281" t="s">
        <v>944</v>
      </c>
      <c r="B54" s="1396"/>
      <c r="C54" s="1396"/>
      <c r="D54" s="1396"/>
      <c r="E54" s="1396"/>
      <c r="F54" s="3"/>
      <c r="G54" s="3"/>
    </row>
    <row r="55" spans="1:7" ht="12.75" customHeight="1">
      <c r="A55" s="3047" t="s">
        <v>945</v>
      </c>
      <c r="B55" s="3056">
        <v>220</v>
      </c>
      <c r="C55" s="1388"/>
      <c r="D55" s="1388"/>
      <c r="E55" s="1388"/>
      <c r="F55" s="3"/>
      <c r="G55" s="3"/>
    </row>
    <row r="56" spans="1:7" ht="12.75" customHeight="1">
      <c r="A56" s="3048" t="s">
        <v>946</v>
      </c>
      <c r="B56" s="2019">
        <v>225</v>
      </c>
      <c r="C56" s="2055"/>
      <c r="D56" s="2055"/>
      <c r="E56" s="2055"/>
      <c r="F56" s="3"/>
      <c r="G56" s="3"/>
    </row>
    <row r="57" spans="1:7" ht="12.75" customHeight="1">
      <c r="A57" s="3048" t="s">
        <v>947</v>
      </c>
      <c r="B57" s="2019">
        <v>230</v>
      </c>
      <c r="C57" s="2055"/>
      <c r="D57" s="2055"/>
      <c r="E57" s="2055"/>
      <c r="F57" s="3"/>
      <c r="G57" s="3"/>
    </row>
    <row r="58" spans="1:7" ht="12.75" customHeight="1">
      <c r="A58" s="2279" t="s">
        <v>4818</v>
      </c>
      <c r="B58" s="3056">
        <v>235</v>
      </c>
      <c r="C58" s="1387"/>
      <c r="D58" s="1387"/>
      <c r="E58" s="1387"/>
      <c r="F58" s="3"/>
      <c r="G58" s="3"/>
    </row>
    <row r="59" spans="1:7" ht="12.75" customHeight="1">
      <c r="A59" s="3049" t="s">
        <v>632</v>
      </c>
      <c r="B59" s="3057">
        <v>237</v>
      </c>
      <c r="C59" s="1387"/>
      <c r="D59" s="1387"/>
      <c r="E59" s="1387"/>
      <c r="F59" s="3"/>
      <c r="G59" s="3"/>
    </row>
    <row r="60" spans="1:7" ht="12.75" customHeight="1">
      <c r="A60" s="2281" t="s">
        <v>950</v>
      </c>
      <c r="B60" s="1396"/>
      <c r="C60" s="1396"/>
      <c r="D60" s="1396"/>
      <c r="E60" s="1396"/>
      <c r="F60" s="3"/>
      <c r="G60" s="3"/>
    </row>
    <row r="61" spans="1:7" ht="12.75" customHeight="1">
      <c r="A61" s="3044" t="s">
        <v>951</v>
      </c>
      <c r="B61" s="3055"/>
      <c r="C61" s="3055"/>
      <c r="D61" s="3055"/>
      <c r="E61" s="3055"/>
      <c r="F61" s="3"/>
      <c r="G61" s="3"/>
    </row>
    <row r="62" spans="1:7" ht="12.75" customHeight="1">
      <c r="A62" s="3047" t="s">
        <v>952</v>
      </c>
      <c r="B62" s="3056">
        <v>240</v>
      </c>
      <c r="C62" s="1388"/>
      <c r="D62" s="1388"/>
      <c r="E62" s="1388"/>
      <c r="F62" s="3"/>
      <c r="G62" s="3"/>
    </row>
    <row r="63" spans="1:7" ht="12.75" customHeight="1">
      <c r="A63" s="2281" t="s">
        <v>953</v>
      </c>
      <c r="B63" s="3058">
        <v>245</v>
      </c>
      <c r="C63" s="1387"/>
      <c r="D63" s="1387"/>
      <c r="E63" s="1387"/>
      <c r="F63" s="3"/>
      <c r="G63" s="3"/>
    </row>
    <row r="64" spans="1:7" ht="12.75" customHeight="1">
      <c r="A64" s="3048" t="s">
        <v>682</v>
      </c>
      <c r="B64" s="2019">
        <v>250</v>
      </c>
      <c r="C64" s="2055"/>
      <c r="D64" s="2055"/>
      <c r="E64" s="2055"/>
      <c r="F64" s="3"/>
      <c r="G64" s="3"/>
    </row>
    <row r="65" spans="1:7" ht="12.75" customHeight="1">
      <c r="A65" s="3048" t="s">
        <v>954</v>
      </c>
      <c r="B65" s="2019">
        <v>255</v>
      </c>
      <c r="C65" s="2055"/>
      <c r="D65" s="2055"/>
      <c r="E65" s="2055"/>
      <c r="F65" s="3"/>
      <c r="G65" s="3"/>
    </row>
    <row r="66" spans="1:7" ht="12.75" customHeight="1">
      <c r="A66" s="2281" t="s">
        <v>955</v>
      </c>
      <c r="B66" s="1396"/>
      <c r="C66" s="1396"/>
      <c r="D66" s="1396"/>
      <c r="E66" s="1396"/>
      <c r="F66" s="3"/>
      <c r="G66" s="3"/>
    </row>
    <row r="67" spans="1:7" ht="12.75" customHeight="1">
      <c r="A67" s="3047" t="s">
        <v>956</v>
      </c>
      <c r="B67" s="3056">
        <v>260</v>
      </c>
      <c r="C67" s="1388"/>
      <c r="D67" s="1388"/>
      <c r="E67" s="1388"/>
      <c r="F67" s="3"/>
      <c r="G67" s="3"/>
    </row>
    <row r="68" spans="1:7" ht="12.75" customHeight="1">
      <c r="A68" s="3048" t="s">
        <v>957</v>
      </c>
      <c r="B68" s="2019">
        <v>265</v>
      </c>
      <c r="C68" s="2055"/>
      <c r="D68" s="2055"/>
      <c r="E68" s="2055"/>
      <c r="F68" s="3"/>
      <c r="G68" s="3"/>
    </row>
    <row r="69" spans="1:7" ht="12.75" customHeight="1">
      <c r="A69" s="3050" t="s">
        <v>936</v>
      </c>
      <c r="B69" s="3059">
        <v>267</v>
      </c>
      <c r="C69" s="2055"/>
      <c r="D69" s="2055">
        <v>3825</v>
      </c>
      <c r="E69" s="2055"/>
      <c r="F69" s="3"/>
      <c r="G69" s="3"/>
    </row>
    <row r="70" spans="1:7" ht="12.75" customHeight="1">
      <c r="A70" s="3048" t="s">
        <v>958</v>
      </c>
      <c r="B70" s="2019">
        <v>270</v>
      </c>
      <c r="C70" s="2055"/>
      <c r="D70" s="2055"/>
      <c r="E70" s="2055"/>
      <c r="F70" s="3"/>
      <c r="G70" s="3"/>
    </row>
    <row r="71" spans="1:7" ht="12.75" customHeight="1">
      <c r="A71" s="3047" t="s">
        <v>959</v>
      </c>
      <c r="B71" s="3056">
        <v>275</v>
      </c>
      <c r="C71" s="1388"/>
      <c r="D71" s="1388"/>
      <c r="E71" s="1388"/>
      <c r="F71" s="3"/>
      <c r="G71" s="3"/>
    </row>
    <row r="72" spans="1:7" ht="12.75" customHeight="1">
      <c r="A72" s="3048" t="s">
        <v>960</v>
      </c>
      <c r="B72" s="2019">
        <v>280</v>
      </c>
      <c r="C72" s="2055"/>
      <c r="D72" s="2055"/>
      <c r="E72" s="2055"/>
      <c r="F72" s="3"/>
      <c r="G72" s="3"/>
    </row>
    <row r="73" spans="1:7" ht="12.75" customHeight="1">
      <c r="A73" s="2281" t="s">
        <v>961</v>
      </c>
      <c r="B73" s="1396"/>
      <c r="C73" s="1396"/>
      <c r="D73" s="1396"/>
      <c r="E73" s="1396"/>
      <c r="F73" s="3"/>
      <c r="G73" s="3"/>
    </row>
    <row r="74" spans="1:7" ht="12.75" customHeight="1">
      <c r="A74" s="3044" t="s">
        <v>962</v>
      </c>
      <c r="B74" s="3055"/>
      <c r="C74" s="3055"/>
      <c r="D74" s="3055"/>
      <c r="E74" s="3055"/>
      <c r="F74" s="3"/>
      <c r="G74" s="3"/>
    </row>
    <row r="75" spans="1:7" ht="12.75" customHeight="1">
      <c r="A75" s="3044" t="s">
        <v>941</v>
      </c>
      <c r="B75" s="3055"/>
      <c r="C75" s="3055"/>
      <c r="D75" s="3055"/>
      <c r="E75" s="3055"/>
      <c r="F75" s="3"/>
      <c r="G75" s="3"/>
    </row>
    <row r="76" spans="1:7" ht="12.75" customHeight="1">
      <c r="A76" s="3047" t="s">
        <v>942</v>
      </c>
      <c r="B76" s="3056">
        <v>285</v>
      </c>
      <c r="C76" s="1388"/>
      <c r="D76" s="1388"/>
      <c r="E76" s="1388"/>
      <c r="F76" s="3"/>
      <c r="G76" s="3"/>
    </row>
    <row r="77" spans="1:7" s="8" customFormat="1" ht="12.75" customHeight="1">
      <c r="A77" s="3048" t="s">
        <v>943</v>
      </c>
      <c r="B77" s="2019">
        <v>290</v>
      </c>
      <c r="C77" s="2055"/>
      <c r="D77" s="2055"/>
      <c r="E77" s="2055"/>
      <c r="F77" s="3"/>
      <c r="G77" s="3"/>
    </row>
    <row r="78" spans="1:7" s="8" customFormat="1" ht="12.75" customHeight="1">
      <c r="A78" s="2281" t="s">
        <v>944</v>
      </c>
      <c r="B78" s="1396"/>
      <c r="C78" s="1396"/>
      <c r="D78" s="1396"/>
      <c r="E78" s="1396"/>
      <c r="F78" s="3"/>
      <c r="G78" s="3"/>
    </row>
    <row r="79" spans="1:7" s="8" customFormat="1" ht="12.75" customHeight="1">
      <c r="A79" s="3047" t="s">
        <v>945</v>
      </c>
      <c r="B79" s="3056">
        <v>295</v>
      </c>
      <c r="C79" s="1388"/>
      <c r="D79" s="1388"/>
      <c r="E79" s="1388"/>
      <c r="F79" s="3"/>
      <c r="G79" s="3"/>
    </row>
    <row r="80" spans="1:7" s="8" customFormat="1" ht="12.75" customHeight="1">
      <c r="A80" s="3047" t="s">
        <v>946</v>
      </c>
      <c r="B80" s="3056">
        <v>300</v>
      </c>
      <c r="C80" s="1388"/>
      <c r="D80" s="1388"/>
      <c r="E80" s="1388"/>
      <c r="F80" s="3"/>
      <c r="G80" s="3"/>
    </row>
    <row r="81" spans="1:7" s="8" customFormat="1" ht="12.75" customHeight="1">
      <c r="A81" s="3048" t="s">
        <v>947</v>
      </c>
      <c r="B81" s="2019">
        <v>305</v>
      </c>
      <c r="C81" s="2055"/>
      <c r="D81" s="2055"/>
      <c r="E81" s="2055"/>
      <c r="F81" s="3"/>
      <c r="G81" s="3"/>
    </row>
    <row r="82" spans="1:7" s="8" customFormat="1" ht="12.75" customHeight="1">
      <c r="A82" s="2279" t="s">
        <v>4818</v>
      </c>
      <c r="B82" s="3056">
        <v>310</v>
      </c>
      <c r="C82" s="1387"/>
      <c r="D82" s="1387"/>
      <c r="E82" s="1387"/>
      <c r="F82" s="3"/>
      <c r="G82" s="3"/>
    </row>
    <row r="83" spans="1:7" s="8" customFormat="1" ht="12.75" customHeight="1">
      <c r="A83" s="3049" t="s">
        <v>632</v>
      </c>
      <c r="B83" s="3060">
        <v>313</v>
      </c>
      <c r="C83" s="1387"/>
      <c r="D83" s="1387"/>
      <c r="E83" s="1387"/>
      <c r="F83" s="3"/>
      <c r="G83" s="3"/>
    </row>
    <row r="84" spans="1:7" s="8" customFormat="1" ht="12.75" customHeight="1">
      <c r="A84" s="3048" t="s">
        <v>950</v>
      </c>
      <c r="B84" s="2019">
        <v>315</v>
      </c>
      <c r="C84" s="2055"/>
      <c r="D84" s="2055"/>
      <c r="E84" s="2055"/>
      <c r="F84" s="3"/>
      <c r="G84" s="3"/>
    </row>
    <row r="85" spans="1:7" s="8" customFormat="1" ht="12.75" customHeight="1">
      <c r="A85" s="3047" t="s">
        <v>955</v>
      </c>
      <c r="B85" s="3056">
        <v>320</v>
      </c>
      <c r="C85" s="1388"/>
      <c r="D85" s="1388">
        <v>3586</v>
      </c>
      <c r="E85" s="1388">
        <v>50000</v>
      </c>
      <c r="F85" s="3"/>
      <c r="G85" s="3"/>
    </row>
    <row r="86" spans="1:7" s="8" customFormat="1" ht="12.75" customHeight="1">
      <c r="A86" s="2281" t="s">
        <v>959</v>
      </c>
      <c r="B86" s="3058">
        <v>325</v>
      </c>
      <c r="C86" s="1387"/>
      <c r="D86" s="1387">
        <v>15549</v>
      </c>
      <c r="E86" s="1387">
        <v>57657</v>
      </c>
      <c r="F86" s="3"/>
      <c r="G86" s="3"/>
    </row>
    <row r="87" spans="1:7" s="8" customFormat="1" ht="12.75" customHeight="1">
      <c r="A87" s="3048" t="s">
        <v>960</v>
      </c>
      <c r="B87" s="2019">
        <v>330</v>
      </c>
      <c r="C87" s="2055"/>
      <c r="D87" s="2055"/>
      <c r="E87" s="2055"/>
      <c r="F87" s="3"/>
      <c r="G87" s="3"/>
    </row>
    <row r="88" spans="1:7" s="8" customFormat="1" ht="12.75" customHeight="1">
      <c r="A88" s="2281" t="s">
        <v>963</v>
      </c>
      <c r="B88" s="1396"/>
      <c r="C88" s="1396"/>
      <c r="D88" s="1396"/>
      <c r="E88" s="1396"/>
      <c r="F88" s="3"/>
      <c r="G88" s="3"/>
    </row>
    <row r="89" spans="1:7" s="8" customFormat="1" ht="12.75" customHeight="1">
      <c r="A89" s="3044" t="s">
        <v>941</v>
      </c>
      <c r="B89" s="3055"/>
      <c r="C89" s="3055"/>
      <c r="D89" s="3055"/>
      <c r="E89" s="3055"/>
      <c r="F89" s="3"/>
      <c r="G89" s="3"/>
    </row>
    <row r="90" spans="1:7" s="8" customFormat="1" ht="12.75" customHeight="1">
      <c r="A90" s="3047" t="s">
        <v>942</v>
      </c>
      <c r="B90" s="3056">
        <v>335</v>
      </c>
      <c r="C90" s="1388"/>
      <c r="D90" s="1388"/>
      <c r="E90" s="1388"/>
      <c r="F90" s="3"/>
      <c r="G90" s="3"/>
    </row>
    <row r="91" spans="1:7" s="8" customFormat="1" ht="12.75" customHeight="1">
      <c r="A91" s="3048" t="s">
        <v>943</v>
      </c>
      <c r="B91" s="2019">
        <v>340</v>
      </c>
      <c r="C91" s="2055"/>
      <c r="D91" s="2055"/>
      <c r="E91" s="2055"/>
      <c r="F91" s="3"/>
      <c r="G91" s="3"/>
    </row>
    <row r="92" spans="1:7" s="8" customFormat="1" ht="12.75" customHeight="1">
      <c r="A92" s="2281" t="s">
        <v>944</v>
      </c>
      <c r="B92" s="1396"/>
      <c r="C92" s="1396"/>
      <c r="D92" s="1396"/>
      <c r="E92" s="1396"/>
      <c r="F92" s="3"/>
      <c r="G92" s="3"/>
    </row>
    <row r="93" spans="1:7" ht="12.75" customHeight="1">
      <c r="A93" s="3047" t="s">
        <v>945</v>
      </c>
      <c r="B93" s="3056">
        <v>345</v>
      </c>
      <c r="C93" s="1388"/>
      <c r="D93" s="1388"/>
      <c r="E93" s="1388"/>
      <c r="F93" s="3"/>
      <c r="G93" s="3"/>
    </row>
    <row r="94" spans="1:7" ht="12.75" customHeight="1">
      <c r="A94" s="3048" t="s">
        <v>946</v>
      </c>
      <c r="B94" s="2019">
        <v>350</v>
      </c>
      <c r="C94" s="2055"/>
      <c r="D94" s="2055"/>
      <c r="E94" s="2055"/>
      <c r="F94" s="3"/>
      <c r="G94" s="3"/>
    </row>
    <row r="95" spans="1:7" ht="12.75" customHeight="1">
      <c r="A95" s="3048" t="s">
        <v>947</v>
      </c>
      <c r="B95" s="2019">
        <v>355</v>
      </c>
      <c r="C95" s="2055"/>
      <c r="D95" s="2055"/>
      <c r="E95" s="2055"/>
      <c r="F95" s="3"/>
      <c r="G95" s="3"/>
    </row>
    <row r="96" spans="1:7" ht="12.75" customHeight="1">
      <c r="A96" s="4587" t="s">
        <v>4818</v>
      </c>
      <c r="B96" s="3056">
        <v>360</v>
      </c>
      <c r="C96" s="1388"/>
      <c r="D96" s="1388"/>
      <c r="E96" s="1388"/>
      <c r="F96" s="3"/>
      <c r="G96" s="3"/>
    </row>
    <row r="97" spans="1:7" ht="12.75" customHeight="1">
      <c r="A97" s="3051" t="s">
        <v>632</v>
      </c>
      <c r="B97" s="3060">
        <v>363</v>
      </c>
      <c r="C97" s="1388"/>
      <c r="D97" s="1388"/>
      <c r="E97" s="1388"/>
      <c r="F97" s="3"/>
      <c r="G97" s="3"/>
    </row>
    <row r="98" spans="1:7" ht="12.75" customHeight="1">
      <c r="A98" s="3048" t="s">
        <v>950</v>
      </c>
      <c r="B98" s="2019">
        <v>365</v>
      </c>
      <c r="C98" s="2055"/>
      <c r="D98" s="2055"/>
      <c r="E98" s="2055"/>
      <c r="F98" s="3"/>
      <c r="G98" s="3"/>
    </row>
    <row r="99" spans="1:7" ht="12.75" customHeight="1">
      <c r="A99" s="2281" t="s">
        <v>955</v>
      </c>
      <c r="B99" s="1396"/>
      <c r="C99" s="1396"/>
      <c r="D99" s="1396"/>
      <c r="E99" s="1396"/>
      <c r="F99" s="3"/>
      <c r="G99" s="3"/>
    </row>
    <row r="100" spans="1:7" ht="12.75" customHeight="1">
      <c r="A100" s="3047" t="s">
        <v>948</v>
      </c>
      <c r="B100" s="3056">
        <v>370</v>
      </c>
      <c r="C100" s="1388"/>
      <c r="D100" s="1388"/>
      <c r="E100" s="1388"/>
      <c r="F100" s="3"/>
      <c r="G100" s="3"/>
    </row>
    <row r="101" spans="1:7" ht="12.75" customHeight="1">
      <c r="A101" s="3047" t="s">
        <v>685</v>
      </c>
      <c r="B101" s="3056">
        <v>375</v>
      </c>
      <c r="C101" s="1388"/>
      <c r="D101" s="1388"/>
      <c r="E101" s="1388"/>
      <c r="F101" s="3"/>
      <c r="G101" s="3"/>
    </row>
    <row r="102" spans="1:7" ht="12.75" customHeight="1">
      <c r="A102" s="3048" t="s">
        <v>958</v>
      </c>
      <c r="B102" s="2019">
        <v>380</v>
      </c>
      <c r="C102" s="2055"/>
      <c r="D102" s="2055"/>
      <c r="E102" s="2055"/>
      <c r="F102" s="3"/>
      <c r="G102" s="3"/>
    </row>
    <row r="103" spans="1:7" ht="12.75" customHeight="1">
      <c r="A103" s="3048" t="s">
        <v>959</v>
      </c>
      <c r="B103" s="2019">
        <v>385</v>
      </c>
      <c r="C103" s="2055"/>
      <c r="D103" s="2055"/>
      <c r="E103" s="2055"/>
      <c r="F103" s="3"/>
      <c r="G103" s="3"/>
    </row>
    <row r="104" spans="1:7" ht="12.75" customHeight="1">
      <c r="A104" s="3048" t="s">
        <v>960</v>
      </c>
      <c r="B104" s="2019">
        <v>390</v>
      </c>
      <c r="C104" s="2055"/>
      <c r="D104" s="2055"/>
      <c r="E104" s="2055"/>
      <c r="F104" s="3"/>
      <c r="G104" s="3"/>
    </row>
    <row r="105" spans="1:7" ht="12.75" customHeight="1">
      <c r="A105" s="2281" t="s">
        <v>967</v>
      </c>
      <c r="B105" s="1396"/>
      <c r="C105" s="1396"/>
      <c r="D105" s="1396"/>
      <c r="E105" s="1396"/>
      <c r="F105" s="3"/>
      <c r="G105" s="3"/>
    </row>
    <row r="106" spans="1:7" ht="12.75" customHeight="1">
      <c r="A106" s="3044" t="s">
        <v>941</v>
      </c>
      <c r="B106" s="3055"/>
      <c r="C106" s="3055"/>
      <c r="D106" s="3055"/>
      <c r="E106" s="3055"/>
      <c r="F106" s="3"/>
      <c r="G106" s="3"/>
    </row>
    <row r="107" spans="1:7" ht="12.75" customHeight="1">
      <c r="A107" s="3047" t="s">
        <v>942</v>
      </c>
      <c r="B107" s="3056">
        <v>395</v>
      </c>
      <c r="C107" s="1388"/>
      <c r="D107" s="1388"/>
      <c r="E107" s="1388"/>
      <c r="F107" s="3"/>
      <c r="G107" s="3"/>
    </row>
    <row r="108" spans="1:7" ht="12.75" customHeight="1">
      <c r="A108" s="3048" t="s">
        <v>943</v>
      </c>
      <c r="B108" s="2019">
        <v>400</v>
      </c>
      <c r="C108" s="2055"/>
      <c r="D108" s="2055"/>
      <c r="E108" s="2055"/>
      <c r="F108" s="3"/>
      <c r="G108" s="3"/>
    </row>
    <row r="109" spans="1:7" ht="12.75" customHeight="1">
      <c r="A109" s="2281" t="s">
        <v>944</v>
      </c>
      <c r="B109" s="1396"/>
      <c r="C109" s="1396"/>
      <c r="D109" s="1396"/>
      <c r="E109" s="1396"/>
      <c r="F109" s="3"/>
      <c r="G109" s="3"/>
    </row>
    <row r="110" spans="1:7" ht="12.75" customHeight="1">
      <c r="A110" s="3047" t="s">
        <v>945</v>
      </c>
      <c r="B110" s="3056">
        <v>405</v>
      </c>
      <c r="C110" s="1388"/>
      <c r="D110" s="1388"/>
      <c r="E110" s="1388"/>
      <c r="F110" s="3"/>
      <c r="G110" s="3"/>
    </row>
    <row r="111" spans="1:7" ht="12.75" customHeight="1">
      <c r="A111" s="3048" t="s">
        <v>946</v>
      </c>
      <c r="B111" s="2019">
        <v>410</v>
      </c>
      <c r="C111" s="2055"/>
      <c r="D111" s="2055"/>
      <c r="E111" s="2055"/>
      <c r="F111" s="3"/>
      <c r="G111" s="3"/>
    </row>
    <row r="112" spans="1:7" ht="12.75" customHeight="1">
      <c r="A112" s="3048" t="s">
        <v>947</v>
      </c>
      <c r="B112" s="2019">
        <v>415</v>
      </c>
      <c r="C112" s="2055"/>
      <c r="D112" s="2055"/>
      <c r="E112" s="2055"/>
      <c r="F112" s="3"/>
      <c r="G112" s="3"/>
    </row>
    <row r="113" spans="1:7" ht="12.75" customHeight="1">
      <c r="A113" s="2279" t="s">
        <v>4818</v>
      </c>
      <c r="B113" s="3056">
        <v>420</v>
      </c>
      <c r="C113" s="1388"/>
      <c r="D113" s="1388"/>
      <c r="E113" s="1388"/>
      <c r="F113" s="3"/>
      <c r="G113" s="3"/>
    </row>
    <row r="114" spans="1:7" ht="12.75" customHeight="1">
      <c r="A114" s="3048" t="s">
        <v>968</v>
      </c>
      <c r="B114" s="2019">
        <v>425</v>
      </c>
      <c r="C114" s="2055"/>
      <c r="D114" s="2055"/>
      <c r="E114" s="2055"/>
      <c r="F114" s="3"/>
      <c r="G114" s="3"/>
    </row>
    <row r="115" spans="1:7" ht="12.75" customHeight="1">
      <c r="A115" s="2281" t="s">
        <v>950</v>
      </c>
      <c r="B115" s="1396"/>
      <c r="C115" s="1396"/>
      <c r="D115" s="1396"/>
      <c r="E115" s="1396"/>
      <c r="F115" s="3"/>
      <c r="G115" s="3"/>
    </row>
    <row r="116" spans="1:7" ht="12.75" customHeight="1">
      <c r="A116" s="3047" t="s">
        <v>969</v>
      </c>
      <c r="B116" s="3056">
        <v>430</v>
      </c>
      <c r="C116" s="1388"/>
      <c r="D116" s="1388"/>
      <c r="E116" s="1388"/>
      <c r="F116" s="3"/>
      <c r="G116" s="3"/>
    </row>
    <row r="117" spans="1:7" ht="12.75" customHeight="1">
      <c r="A117" s="3569" t="s">
        <v>5130</v>
      </c>
      <c r="B117" s="3056">
        <v>435</v>
      </c>
      <c r="C117" s="1388"/>
      <c r="D117" s="1388"/>
      <c r="E117" s="1388"/>
      <c r="F117" s="3"/>
      <c r="G117" s="3"/>
    </row>
    <row r="118" spans="1:7" s="8" customFormat="1" ht="12.75" customHeight="1">
      <c r="A118" s="3048" t="s">
        <v>954</v>
      </c>
      <c r="B118" s="2019">
        <v>440</v>
      </c>
      <c r="C118" s="2055"/>
      <c r="D118" s="2055"/>
      <c r="E118" s="2055"/>
      <c r="F118" s="3"/>
      <c r="G118" s="3"/>
    </row>
    <row r="119" spans="1:7" s="8" customFormat="1" ht="12.75" customHeight="1">
      <c r="A119" s="3048" t="s">
        <v>955</v>
      </c>
      <c r="B119" s="2019">
        <v>445</v>
      </c>
      <c r="C119" s="2055"/>
      <c r="D119" s="2055"/>
      <c r="E119" s="2055"/>
      <c r="F119" s="3"/>
      <c r="G119" s="3"/>
    </row>
    <row r="120" spans="1:7" s="8" customFormat="1" ht="12.75" customHeight="1">
      <c r="A120" s="3048" t="s">
        <v>959</v>
      </c>
      <c r="B120" s="2019">
        <v>450</v>
      </c>
      <c r="C120" s="2055"/>
      <c r="D120" s="2055"/>
      <c r="E120" s="2055"/>
      <c r="F120" s="3"/>
      <c r="G120" s="3"/>
    </row>
    <row r="121" spans="1:7" s="8" customFormat="1" ht="12.75" customHeight="1">
      <c r="A121" s="3048" t="s">
        <v>960</v>
      </c>
      <c r="B121" s="2019">
        <v>455</v>
      </c>
      <c r="C121" s="2055"/>
      <c r="D121" s="2055"/>
      <c r="E121" s="2055"/>
      <c r="F121" s="3"/>
      <c r="G121" s="3"/>
    </row>
    <row r="122" spans="1:7" s="8" customFormat="1" ht="12.75" customHeight="1">
      <c r="A122" s="2281" t="s">
        <v>970</v>
      </c>
      <c r="B122" s="1396"/>
      <c r="C122" s="1396"/>
      <c r="D122" s="1396"/>
      <c r="E122" s="1396"/>
      <c r="F122" s="3"/>
      <c r="G122" s="3"/>
    </row>
    <row r="123" spans="1:7" s="8" customFormat="1" ht="12.75" customHeight="1">
      <c r="A123" s="3044" t="s">
        <v>941</v>
      </c>
      <c r="B123" s="3055"/>
      <c r="C123" s="3055"/>
      <c r="D123" s="3055"/>
      <c r="E123" s="3055"/>
      <c r="F123" s="3"/>
      <c r="G123" s="3"/>
    </row>
    <row r="124" spans="1:7" s="8" customFormat="1" ht="12.75" customHeight="1">
      <c r="A124" s="3047" t="s">
        <v>942</v>
      </c>
      <c r="B124" s="3056">
        <v>460</v>
      </c>
      <c r="C124" s="1388"/>
      <c r="D124" s="1388"/>
      <c r="E124" s="1388"/>
      <c r="F124" s="3"/>
      <c r="G124" s="3"/>
    </row>
    <row r="125" spans="1:7" s="8" customFormat="1" ht="12.75" customHeight="1">
      <c r="A125" s="3048" t="s">
        <v>943</v>
      </c>
      <c r="B125" s="2019">
        <v>465</v>
      </c>
      <c r="C125" s="2055"/>
      <c r="D125" s="2055"/>
      <c r="E125" s="2055"/>
      <c r="F125" s="3"/>
      <c r="G125" s="3"/>
    </row>
    <row r="126" spans="1:7" s="8" customFormat="1" ht="12.75" customHeight="1">
      <c r="A126" s="2281" t="s">
        <v>944</v>
      </c>
      <c r="B126" s="1396"/>
      <c r="C126" s="1396"/>
      <c r="D126" s="1396"/>
      <c r="E126" s="1396"/>
      <c r="F126" s="3"/>
      <c r="G126" s="3"/>
    </row>
    <row r="127" spans="1:7" s="8" customFormat="1" ht="12.75" customHeight="1">
      <c r="A127" s="3047" t="s">
        <v>945</v>
      </c>
      <c r="B127" s="3056">
        <v>470</v>
      </c>
      <c r="C127" s="1388"/>
      <c r="D127" s="1388"/>
      <c r="E127" s="1388"/>
      <c r="F127" s="3"/>
      <c r="G127" s="3"/>
    </row>
    <row r="128" spans="1:7" s="8" customFormat="1" ht="12.75" customHeight="1">
      <c r="A128" s="3048" t="s">
        <v>946</v>
      </c>
      <c r="B128" s="2019">
        <v>475</v>
      </c>
      <c r="C128" s="2055"/>
      <c r="D128" s="2055"/>
      <c r="E128" s="2055"/>
      <c r="F128" s="3"/>
      <c r="G128" s="3"/>
    </row>
    <row r="129" spans="1:26" s="8" customFormat="1" ht="12.75" customHeight="1">
      <c r="A129" s="3048" t="s">
        <v>947</v>
      </c>
      <c r="B129" s="2019">
        <v>480</v>
      </c>
      <c r="C129" s="2055"/>
      <c r="D129" s="2055"/>
      <c r="E129" s="2055"/>
      <c r="F129" s="3"/>
      <c r="G129" s="3"/>
    </row>
    <row r="130" spans="1:26" ht="12.75" customHeight="1">
      <c r="A130" s="2279" t="s">
        <v>4818</v>
      </c>
      <c r="B130" s="3056">
        <v>485</v>
      </c>
      <c r="C130" s="1388"/>
      <c r="D130" s="1388"/>
      <c r="E130" s="1388"/>
      <c r="F130" s="3"/>
      <c r="G130" s="3"/>
    </row>
    <row r="131" spans="1:26" ht="12.75" customHeight="1">
      <c r="A131" s="3048" t="s">
        <v>968</v>
      </c>
      <c r="B131" s="2019">
        <v>490</v>
      </c>
      <c r="C131" s="2055"/>
      <c r="D131" s="2055"/>
      <c r="E131" s="2055"/>
      <c r="F131" s="3"/>
      <c r="G131" s="3"/>
    </row>
    <row r="132" spans="1:26" ht="12.75" customHeight="1">
      <c r="A132" s="2281" t="s">
        <v>950</v>
      </c>
      <c r="B132" s="1396"/>
      <c r="C132" s="1396"/>
      <c r="D132" s="1396"/>
      <c r="E132" s="1396"/>
      <c r="F132" s="3"/>
      <c r="G132" s="3"/>
    </row>
    <row r="133" spans="1:26" ht="12.75" customHeight="1">
      <c r="A133" s="3569" t="s">
        <v>5130</v>
      </c>
      <c r="B133" s="3056">
        <v>495</v>
      </c>
      <c r="C133" s="1388"/>
      <c r="D133" s="1388"/>
      <c r="E133" s="1388"/>
      <c r="F133" s="3"/>
      <c r="G133" s="3"/>
    </row>
    <row r="134" spans="1:26" ht="12.75" customHeight="1">
      <c r="A134" s="3048" t="s">
        <v>954</v>
      </c>
      <c r="B134" s="2019">
        <v>500</v>
      </c>
      <c r="C134" s="2055"/>
      <c r="D134" s="2055"/>
      <c r="E134" s="2055"/>
      <c r="F134" s="3"/>
      <c r="G134" s="3"/>
    </row>
    <row r="135" spans="1:26" ht="12.75" customHeight="1">
      <c r="A135" s="3048" t="s">
        <v>955</v>
      </c>
      <c r="B135" s="2019">
        <v>505</v>
      </c>
      <c r="C135" s="2055"/>
      <c r="D135" s="2055"/>
      <c r="E135" s="2055"/>
      <c r="F135" s="3"/>
      <c r="G135" s="3"/>
    </row>
    <row r="136" spans="1:26" ht="12.75" customHeight="1">
      <c r="A136" s="3048" t="s">
        <v>959</v>
      </c>
      <c r="B136" s="2019">
        <v>510</v>
      </c>
      <c r="C136" s="2055"/>
      <c r="D136" s="2055"/>
      <c r="E136" s="2055"/>
      <c r="F136" s="3"/>
      <c r="G136" s="3"/>
    </row>
    <row r="137" spans="1:26" ht="12.75" customHeight="1">
      <c r="A137" s="3048" t="s">
        <v>960</v>
      </c>
      <c r="B137" s="2019">
        <v>515</v>
      </c>
      <c r="C137" s="2055"/>
      <c r="D137" s="2055"/>
      <c r="E137" s="2055"/>
      <c r="F137" s="3"/>
      <c r="G137" s="3"/>
    </row>
    <row r="138" spans="1:26" ht="12.75" customHeight="1">
      <c r="A138" s="2555" t="s">
        <v>1320</v>
      </c>
      <c r="B138" s="2573"/>
      <c r="C138" s="2573"/>
      <c r="D138" s="2573"/>
      <c r="E138" s="2573"/>
      <c r="F138" s="3"/>
      <c r="G138" s="3"/>
    </row>
    <row r="139" spans="1:26" ht="12.75" customHeight="1">
      <c r="A139" s="2556" t="s">
        <v>941</v>
      </c>
      <c r="B139" s="2574"/>
      <c r="C139" s="2574"/>
      <c r="D139" s="2574"/>
      <c r="E139" s="2574"/>
      <c r="F139" s="3"/>
      <c r="G139" s="3"/>
    </row>
    <row r="140" spans="1:26" ht="12.75" customHeight="1">
      <c r="A140" s="2562" t="s">
        <v>942</v>
      </c>
      <c r="B140" s="2575">
        <v>680</v>
      </c>
      <c r="C140" s="2581"/>
      <c r="D140" s="2581"/>
      <c r="E140" s="2581"/>
      <c r="F140" s="3"/>
      <c r="G140" s="3"/>
    </row>
    <row r="141" spans="1:26" ht="12.75" customHeight="1">
      <c r="A141" s="2562" t="s">
        <v>313</v>
      </c>
      <c r="B141" s="2575">
        <v>685</v>
      </c>
      <c r="C141" s="2581"/>
      <c r="D141" s="2581"/>
      <c r="E141" s="2581"/>
      <c r="F141" s="3"/>
      <c r="G141" s="3"/>
    </row>
    <row r="142" spans="1:26" customFormat="1" ht="12.75" customHeight="1">
      <c r="A142" s="2555" t="s">
        <v>944</v>
      </c>
      <c r="B142" s="2573"/>
      <c r="C142" s="2573"/>
      <c r="D142" s="2573"/>
      <c r="E142" s="2573"/>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customFormat="1" ht="12.75" customHeight="1">
      <c r="A143" s="2562" t="s">
        <v>295</v>
      </c>
      <c r="B143" s="2575">
        <v>690</v>
      </c>
      <c r="C143" s="2581"/>
      <c r="D143" s="2581"/>
      <c r="E143" s="2581"/>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customFormat="1" ht="12.75" customHeight="1">
      <c r="A144" s="2563" t="s">
        <v>946</v>
      </c>
      <c r="B144" s="2576">
        <v>695</v>
      </c>
      <c r="C144" s="2023"/>
      <c r="D144" s="2023"/>
      <c r="E144" s="2023"/>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customFormat="1" ht="12.75" customHeight="1">
      <c r="A145" s="2563" t="s">
        <v>947</v>
      </c>
      <c r="B145" s="2576">
        <v>700</v>
      </c>
      <c r="C145" s="2023"/>
      <c r="D145" s="2023"/>
      <c r="E145" s="2023"/>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customFormat="1" ht="12.75" customHeight="1">
      <c r="A146" s="2279" t="s">
        <v>4818</v>
      </c>
      <c r="B146" s="2577">
        <v>705</v>
      </c>
      <c r="C146" s="2582"/>
      <c r="D146" s="2582"/>
      <c r="E146" s="25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customFormat="1" ht="12.75" customHeight="1">
      <c r="A147" s="2563" t="s">
        <v>968</v>
      </c>
      <c r="B147" s="2576">
        <v>710</v>
      </c>
      <c r="C147" s="2023"/>
      <c r="D147" s="2023"/>
      <c r="E147" s="2023"/>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customFormat="1" ht="12.75" customHeight="1">
      <c r="A148" s="2563" t="s">
        <v>950</v>
      </c>
      <c r="B148" s="2576">
        <v>715</v>
      </c>
      <c r="C148" s="2023"/>
      <c r="D148" s="2023"/>
      <c r="E148" s="2023"/>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customFormat="1" ht="12.75" customHeight="1">
      <c r="A149" s="2563" t="s">
        <v>955</v>
      </c>
      <c r="B149" s="2576">
        <v>720</v>
      </c>
      <c r="C149" s="2023"/>
      <c r="D149" s="2023"/>
      <c r="E149" s="2023"/>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customFormat="1" ht="12.75" customHeight="1">
      <c r="A150" s="2563" t="s">
        <v>959</v>
      </c>
      <c r="B150" s="2576">
        <v>725</v>
      </c>
      <c r="C150" s="2023"/>
      <c r="D150" s="2023"/>
      <c r="E150" s="2023"/>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2.75" customHeight="1">
      <c r="A151" s="2563" t="s">
        <v>960</v>
      </c>
      <c r="B151" s="2576">
        <v>730</v>
      </c>
      <c r="C151" s="2023"/>
      <c r="D151" s="2023"/>
      <c r="E151" s="2023"/>
      <c r="F151" s="3"/>
      <c r="G151" s="3"/>
    </row>
    <row r="152" spans="1:26" ht="12.75" customHeight="1">
      <c r="A152" s="3042" t="s">
        <v>971</v>
      </c>
      <c r="B152" s="3061"/>
      <c r="C152" s="3061"/>
      <c r="D152" s="3061"/>
      <c r="E152" s="3061"/>
      <c r="F152" s="3"/>
      <c r="G152" s="3"/>
    </row>
    <row r="153" spans="1:26" ht="12.75" customHeight="1">
      <c r="A153" s="3043" t="s">
        <v>972</v>
      </c>
      <c r="B153" s="3062"/>
      <c r="C153" s="3062"/>
      <c r="D153" s="3062"/>
      <c r="E153" s="3062"/>
      <c r="F153" s="3"/>
      <c r="G153" s="3"/>
    </row>
    <row r="154" spans="1:26" ht="12.75" customHeight="1">
      <c r="A154" s="3052" t="s">
        <v>943</v>
      </c>
      <c r="B154" s="3056">
        <v>520</v>
      </c>
      <c r="C154" s="1388"/>
      <c r="D154" s="1388"/>
      <c r="E154" s="1388"/>
      <c r="F154" s="3"/>
      <c r="G154" s="3"/>
    </row>
    <row r="155" spans="1:26" ht="12.75" customHeight="1">
      <c r="A155" s="3042" t="s">
        <v>973</v>
      </c>
      <c r="B155" s="3061"/>
      <c r="C155" s="3061"/>
      <c r="D155" s="3061"/>
      <c r="E155" s="3061"/>
      <c r="F155" s="3"/>
      <c r="G155" s="3"/>
    </row>
    <row r="156" spans="1:26" ht="12.75" customHeight="1">
      <c r="A156" s="3052" t="s">
        <v>974</v>
      </c>
      <c r="B156" s="3056">
        <v>525</v>
      </c>
      <c r="C156" s="1388"/>
      <c r="D156" s="1388"/>
      <c r="E156" s="1388"/>
      <c r="F156" s="3"/>
      <c r="G156" s="3"/>
    </row>
    <row r="157" spans="1:26" ht="12.75" customHeight="1">
      <c r="A157" s="3053" t="s">
        <v>977</v>
      </c>
      <c r="B157" s="2019">
        <v>530</v>
      </c>
      <c r="C157" s="2055"/>
      <c r="D157" s="2055"/>
      <c r="E157" s="2055"/>
      <c r="F157" s="3"/>
      <c r="G157" s="3"/>
    </row>
    <row r="158" spans="1:26" ht="12.75" customHeight="1">
      <c r="A158" s="3053" t="s">
        <v>978</v>
      </c>
      <c r="B158" s="2019">
        <v>535</v>
      </c>
      <c r="C158" s="2055"/>
      <c r="D158" s="2055"/>
      <c r="E158" s="2055"/>
      <c r="F158" s="3"/>
      <c r="G158" s="3"/>
    </row>
    <row r="159" spans="1:26" ht="12.75" customHeight="1">
      <c r="A159" s="2279" t="s">
        <v>4818</v>
      </c>
      <c r="B159" s="3056">
        <v>540</v>
      </c>
      <c r="C159" s="1388"/>
      <c r="D159" s="1388"/>
      <c r="E159" s="1388"/>
      <c r="F159" s="3"/>
      <c r="G159" s="3"/>
    </row>
    <row r="160" spans="1:26" ht="12.75" customHeight="1">
      <c r="A160" s="3042" t="s">
        <v>979</v>
      </c>
      <c r="B160" s="3061"/>
      <c r="C160" s="3061"/>
      <c r="D160" s="3061"/>
      <c r="E160" s="3061"/>
      <c r="F160" s="3"/>
      <c r="G160" s="3"/>
    </row>
    <row r="161" spans="1:7" ht="12.75" customHeight="1">
      <c r="A161" s="3052" t="s">
        <v>980</v>
      </c>
      <c r="B161" s="3056">
        <v>545</v>
      </c>
      <c r="C161" s="1388"/>
      <c r="D161" s="1388"/>
      <c r="E161" s="1388"/>
      <c r="F161" s="3"/>
      <c r="G161" s="3"/>
    </row>
    <row r="162" spans="1:7" ht="12.75" customHeight="1">
      <c r="A162" s="3053" t="s">
        <v>981</v>
      </c>
      <c r="B162" s="2019">
        <v>550</v>
      </c>
      <c r="C162" s="2055"/>
      <c r="D162" s="2055"/>
      <c r="E162" s="2055"/>
      <c r="F162" s="3"/>
      <c r="G162" s="3"/>
    </row>
    <row r="163" spans="1:7" ht="12.75" customHeight="1">
      <c r="A163" s="3053" t="s">
        <v>982</v>
      </c>
      <c r="B163" s="2019">
        <v>555</v>
      </c>
      <c r="C163" s="2055"/>
      <c r="D163" s="2055"/>
      <c r="E163" s="2055"/>
      <c r="F163" s="3"/>
      <c r="G163" s="3"/>
    </row>
    <row r="164" spans="1:7" ht="12.75" customHeight="1">
      <c r="A164" s="3053" t="s">
        <v>983</v>
      </c>
      <c r="B164" s="2019">
        <v>560</v>
      </c>
      <c r="C164" s="2055"/>
      <c r="D164" s="2055"/>
      <c r="E164" s="2055"/>
      <c r="F164" s="3"/>
      <c r="G164" s="3"/>
    </row>
    <row r="165" spans="1:7" ht="12.75" customHeight="1">
      <c r="A165" s="3053" t="s">
        <v>984</v>
      </c>
      <c r="B165" s="2019">
        <v>565</v>
      </c>
      <c r="C165" s="2055"/>
      <c r="D165" s="2055"/>
      <c r="E165" s="2055"/>
      <c r="F165" s="3"/>
      <c r="G165" s="3"/>
    </row>
    <row r="166" spans="1:7" ht="12.75" customHeight="1">
      <c r="A166" s="3053" t="s">
        <v>985</v>
      </c>
      <c r="B166" s="2019">
        <v>570</v>
      </c>
      <c r="C166" s="2055"/>
      <c r="D166" s="2055"/>
      <c r="E166" s="2055"/>
      <c r="F166" s="3"/>
      <c r="G166" s="3"/>
    </row>
    <row r="167" spans="1:7" ht="12.75" customHeight="1">
      <c r="A167" s="3042" t="s">
        <v>986</v>
      </c>
      <c r="B167" s="3061"/>
      <c r="C167" s="3061"/>
      <c r="D167" s="3061"/>
      <c r="E167" s="3061"/>
      <c r="F167" s="3"/>
      <c r="G167" s="3"/>
    </row>
    <row r="168" spans="1:7" ht="12.75" customHeight="1">
      <c r="A168" s="3052" t="s">
        <v>987</v>
      </c>
      <c r="B168" s="3056">
        <v>575</v>
      </c>
      <c r="C168" s="1388"/>
      <c r="D168" s="1388"/>
      <c r="E168" s="1388"/>
      <c r="F168" s="3"/>
      <c r="G168" s="3"/>
    </row>
    <row r="169" spans="1:7" ht="12.75" customHeight="1">
      <c r="A169" s="3053" t="s">
        <v>988</v>
      </c>
      <c r="B169" s="2019">
        <v>580</v>
      </c>
      <c r="C169" s="2055"/>
      <c r="D169" s="2055"/>
      <c r="E169" s="2055"/>
      <c r="F169" s="3"/>
      <c r="G169" s="3"/>
    </row>
    <row r="170" spans="1:7" ht="12.75" customHeight="1">
      <c r="A170" s="3042" t="s">
        <v>989</v>
      </c>
      <c r="B170" s="3061"/>
      <c r="C170" s="3061"/>
      <c r="D170" s="3061"/>
      <c r="E170" s="3061"/>
      <c r="F170" s="3"/>
      <c r="G170" s="3"/>
    </row>
    <row r="171" spans="1:7" ht="12.75" customHeight="1">
      <c r="A171" s="3052" t="s">
        <v>990</v>
      </c>
      <c r="B171" s="3056">
        <v>585</v>
      </c>
      <c r="C171" s="1388"/>
      <c r="D171" s="1388"/>
      <c r="E171" s="1388"/>
      <c r="F171" s="3"/>
      <c r="G171" s="3"/>
    </row>
    <row r="172" spans="1:7" ht="12.75" customHeight="1">
      <c r="A172" s="3042" t="s">
        <v>991</v>
      </c>
      <c r="B172" s="3061"/>
      <c r="C172" s="3061"/>
      <c r="D172" s="3061"/>
      <c r="E172" s="3061"/>
      <c r="F172" s="3"/>
      <c r="G172" s="3"/>
    </row>
    <row r="173" spans="1:7" ht="12.75" customHeight="1">
      <c r="A173" s="3052" t="s">
        <v>992</v>
      </c>
      <c r="B173" s="3056">
        <v>590</v>
      </c>
      <c r="C173" s="1388"/>
      <c r="D173" s="1388"/>
      <c r="E173" s="1388"/>
      <c r="F173" s="3"/>
      <c r="G173" s="3"/>
    </row>
    <row r="174" spans="1:7" ht="12.75" customHeight="1">
      <c r="A174" s="3053" t="s">
        <v>993</v>
      </c>
      <c r="B174" s="2019">
        <v>595</v>
      </c>
      <c r="C174" s="2055"/>
      <c r="D174" s="2055"/>
      <c r="E174" s="2055"/>
      <c r="F174" s="3"/>
      <c r="G174" s="3"/>
    </row>
    <row r="175" spans="1:7" s="19" customFormat="1" ht="12.75" customHeight="1">
      <c r="A175" s="3053" t="s">
        <v>994</v>
      </c>
      <c r="B175" s="2019">
        <v>600</v>
      </c>
      <c r="C175" s="2055"/>
      <c r="D175" s="2055"/>
      <c r="E175" s="2055"/>
      <c r="F175" s="7"/>
      <c r="G175" s="7"/>
    </row>
    <row r="176" spans="1:7" s="19" customFormat="1" ht="12.75" customHeight="1">
      <c r="A176" s="3053" t="s">
        <v>995</v>
      </c>
      <c r="B176" s="2019">
        <v>605</v>
      </c>
      <c r="C176" s="2055"/>
      <c r="D176" s="2055"/>
      <c r="E176" s="2055"/>
      <c r="F176" s="7"/>
      <c r="G176" s="7"/>
    </row>
    <row r="177" spans="1:7" s="19" customFormat="1" ht="12.75" customHeight="1">
      <c r="A177" s="3053" t="s">
        <v>996</v>
      </c>
      <c r="B177" s="2019">
        <v>610</v>
      </c>
      <c r="C177" s="2055"/>
      <c r="D177" s="2055"/>
      <c r="E177" s="2055"/>
      <c r="F177" s="7"/>
      <c r="G177" s="7"/>
    </row>
    <row r="178" spans="1:7" s="19" customFormat="1" ht="12.75" customHeight="1">
      <c r="A178" s="3053" t="s">
        <v>997</v>
      </c>
      <c r="B178" s="2019">
        <v>615</v>
      </c>
      <c r="C178" s="2055"/>
      <c r="D178" s="2055"/>
      <c r="E178" s="2055"/>
      <c r="F178" s="7"/>
      <c r="G178" s="7"/>
    </row>
    <row r="179" spans="1:7" s="19" customFormat="1" ht="12.75" customHeight="1">
      <c r="A179" s="3053" t="s">
        <v>998</v>
      </c>
      <c r="B179" s="2019">
        <v>620</v>
      </c>
      <c r="C179" s="2055"/>
      <c r="D179" s="2055"/>
      <c r="E179" s="2055"/>
      <c r="F179" s="7"/>
      <c r="G179" s="7"/>
    </row>
    <row r="180" spans="1:7" s="19" customFormat="1" ht="12.75" customHeight="1">
      <c r="A180" s="3042" t="s">
        <v>1027</v>
      </c>
      <c r="B180" s="3061"/>
      <c r="C180" s="3061"/>
      <c r="D180" s="3061"/>
      <c r="E180" s="3061"/>
      <c r="F180" s="7"/>
      <c r="G180" s="7"/>
    </row>
    <row r="181" spans="1:7" s="19" customFormat="1" ht="12.75" customHeight="1">
      <c r="A181" s="3043" t="s">
        <v>689</v>
      </c>
      <c r="B181" s="3062"/>
      <c r="C181" s="3062"/>
      <c r="D181" s="3062"/>
      <c r="E181" s="3062"/>
      <c r="F181" s="7"/>
      <c r="G181" s="7"/>
    </row>
    <row r="182" spans="1:7" s="19" customFormat="1" ht="12.75" customHeight="1">
      <c r="A182" s="3043" t="s">
        <v>972</v>
      </c>
      <c r="B182" s="3062"/>
      <c r="C182" s="3062"/>
      <c r="D182" s="3062"/>
      <c r="E182" s="3062"/>
      <c r="F182" s="7"/>
      <c r="G182" s="7"/>
    </row>
    <row r="183" spans="1:7" s="19" customFormat="1" ht="12.75" customHeight="1">
      <c r="A183" s="3052" t="s">
        <v>1028</v>
      </c>
      <c r="B183" s="3060">
        <v>625</v>
      </c>
      <c r="C183" s="1388"/>
      <c r="D183" s="1388"/>
      <c r="E183" s="1388"/>
      <c r="F183" s="7"/>
      <c r="G183" s="7"/>
    </row>
    <row r="184" spans="1:7" s="19" customFormat="1" ht="12.75" customHeight="1">
      <c r="A184" s="3042" t="s">
        <v>973</v>
      </c>
      <c r="B184" s="3061"/>
      <c r="C184" s="3061"/>
      <c r="D184" s="3061"/>
      <c r="E184" s="3061"/>
      <c r="F184" s="7"/>
      <c r="G184" s="7"/>
    </row>
    <row r="185" spans="1:7" s="19" customFormat="1" ht="12.75" customHeight="1">
      <c r="A185" s="3052" t="s">
        <v>1029</v>
      </c>
      <c r="B185" s="3060">
        <v>630</v>
      </c>
      <c r="C185" s="1388"/>
      <c r="D185" s="1388"/>
      <c r="E185" s="1388"/>
      <c r="F185" s="7"/>
      <c r="G185" s="7"/>
    </row>
    <row r="186" spans="1:7" s="19" customFormat="1" ht="12.75" customHeight="1">
      <c r="A186" s="2250" t="s">
        <v>977</v>
      </c>
      <c r="B186" s="3057">
        <v>635</v>
      </c>
      <c r="C186" s="3063"/>
      <c r="D186" s="3063"/>
      <c r="E186" s="3063"/>
      <c r="F186" s="7"/>
      <c r="G186" s="7"/>
    </row>
    <row r="187" spans="1:7" s="19" customFormat="1" ht="12.75" customHeight="1">
      <c r="A187" s="2249" t="s">
        <v>978</v>
      </c>
      <c r="B187" s="3064">
        <v>640</v>
      </c>
      <c r="C187" s="1387"/>
      <c r="D187" s="1387"/>
      <c r="E187" s="1387"/>
      <c r="F187" s="7"/>
      <c r="G187" s="7"/>
    </row>
    <row r="188" spans="1:7" s="19" customFormat="1" ht="12.75" customHeight="1">
      <c r="A188" s="2249" t="s">
        <v>1030</v>
      </c>
      <c r="B188" s="3064">
        <v>645</v>
      </c>
      <c r="C188" s="1387"/>
      <c r="D188" s="1387"/>
      <c r="E188" s="1387"/>
      <c r="F188" s="7"/>
      <c r="G188" s="7"/>
    </row>
    <row r="189" spans="1:7" s="19" customFormat="1" ht="12.75" customHeight="1">
      <c r="A189" s="3042" t="s">
        <v>986</v>
      </c>
      <c r="B189" s="3061"/>
      <c r="C189" s="3061"/>
      <c r="D189" s="3061"/>
      <c r="E189" s="3061"/>
      <c r="F189" s="7"/>
      <c r="G189" s="7"/>
    </row>
    <row r="190" spans="1:7" s="19" customFormat="1" ht="12.75" customHeight="1">
      <c r="A190" s="3052" t="s">
        <v>1031</v>
      </c>
      <c r="B190" s="3060">
        <v>650</v>
      </c>
      <c r="C190" s="1388"/>
      <c r="D190" s="1388"/>
      <c r="E190" s="1388"/>
      <c r="F190" s="7"/>
      <c r="G190" s="7"/>
    </row>
    <row r="191" spans="1:7" s="19" customFormat="1" ht="12.75" customHeight="1">
      <c r="A191" s="2250" t="s">
        <v>1032</v>
      </c>
      <c r="B191" s="3057">
        <v>655</v>
      </c>
      <c r="C191" s="3063"/>
      <c r="D191" s="3063"/>
      <c r="E191" s="3063"/>
      <c r="F191" s="7"/>
      <c r="G191" s="7"/>
    </row>
    <row r="192" spans="1:7" s="19" customFormat="1" ht="12.75" customHeight="1">
      <c r="A192" s="2249" t="s">
        <v>987</v>
      </c>
      <c r="B192" s="3064">
        <v>660</v>
      </c>
      <c r="C192" s="1387"/>
      <c r="D192" s="1387"/>
      <c r="E192" s="1387"/>
      <c r="F192" s="7"/>
      <c r="G192" s="7"/>
    </row>
    <row r="193" spans="1:7" s="19" customFormat="1" ht="12.75" customHeight="1">
      <c r="A193" s="2249" t="s">
        <v>1033</v>
      </c>
      <c r="B193" s="3064">
        <v>665</v>
      </c>
      <c r="C193" s="1387"/>
      <c r="D193" s="1387"/>
      <c r="E193" s="1387"/>
      <c r="F193" s="7"/>
      <c r="G193" s="7"/>
    </row>
    <row r="194" spans="1:7" s="19" customFormat="1" ht="12.75" customHeight="1">
      <c r="A194" s="2249" t="s">
        <v>1034</v>
      </c>
      <c r="B194" s="3064">
        <v>670</v>
      </c>
      <c r="C194" s="1387"/>
      <c r="D194" s="1387"/>
      <c r="E194" s="1387"/>
      <c r="F194" s="7"/>
      <c r="G194" s="7"/>
    </row>
    <row r="195" spans="1:7" s="8" customFormat="1" ht="12.75" customHeight="1">
      <c r="A195" s="3053" t="s">
        <v>998</v>
      </c>
      <c r="B195" s="3059">
        <v>675</v>
      </c>
      <c r="C195" s="1387"/>
      <c r="D195" s="2055"/>
      <c r="E195" s="2055"/>
      <c r="F195" s="3"/>
      <c r="G195" s="3"/>
    </row>
    <row r="196" spans="1:7" ht="12.75" customHeight="1">
      <c r="A196" s="3040" t="s">
        <v>1326</v>
      </c>
      <c r="B196" s="3065"/>
      <c r="C196" s="3065"/>
      <c r="D196" s="3065"/>
      <c r="E196" s="3065"/>
      <c r="F196" s="3"/>
      <c r="G196" s="3"/>
    </row>
    <row r="197" spans="1:7" ht="12.75" customHeight="1">
      <c r="A197" s="3043" t="s">
        <v>972</v>
      </c>
      <c r="B197" s="3062"/>
      <c r="C197" s="3062"/>
      <c r="D197" s="3062"/>
      <c r="E197" s="3062"/>
      <c r="F197" s="3"/>
      <c r="G197" s="3"/>
    </row>
    <row r="198" spans="1:7" ht="12.75" customHeight="1">
      <c r="A198" s="3052" t="s">
        <v>999</v>
      </c>
      <c r="B198" s="3060">
        <v>805</v>
      </c>
      <c r="C198" s="3066"/>
      <c r="D198" s="1388"/>
      <c r="E198" s="1388"/>
      <c r="F198" s="3"/>
      <c r="G198" s="3"/>
    </row>
    <row r="199" spans="1:7" ht="12.75" customHeight="1">
      <c r="A199" s="3053" t="s">
        <v>943</v>
      </c>
      <c r="B199" s="3059">
        <v>810</v>
      </c>
      <c r="C199" s="3066"/>
      <c r="D199" s="2055"/>
      <c r="E199" s="2055"/>
      <c r="F199" s="3"/>
      <c r="G199" s="3"/>
    </row>
    <row r="200" spans="1:7" ht="12.75" customHeight="1">
      <c r="A200" s="3042" t="s">
        <v>973</v>
      </c>
      <c r="B200" s="3061"/>
      <c r="C200" s="3061"/>
      <c r="D200" s="3061"/>
      <c r="E200" s="3061"/>
      <c r="F200" s="3"/>
      <c r="G200" s="3"/>
    </row>
    <row r="201" spans="1:7" ht="12.75" customHeight="1">
      <c r="A201" s="3052" t="s">
        <v>1000</v>
      </c>
      <c r="B201" s="3060">
        <v>815</v>
      </c>
      <c r="C201" s="3066"/>
      <c r="D201" s="1388"/>
      <c r="E201" s="1388"/>
      <c r="F201" s="3"/>
      <c r="G201" s="3"/>
    </row>
    <row r="202" spans="1:7" ht="12.75" customHeight="1">
      <c r="A202" s="3053" t="s">
        <v>977</v>
      </c>
      <c r="B202" s="3059">
        <v>820</v>
      </c>
      <c r="C202" s="3066"/>
      <c r="D202" s="2055"/>
      <c r="E202" s="2055"/>
      <c r="F202" s="3"/>
      <c r="G202" s="3"/>
    </row>
    <row r="203" spans="1:7" ht="12.75" customHeight="1">
      <c r="A203" s="3053" t="s">
        <v>978</v>
      </c>
      <c r="B203" s="3059">
        <v>825</v>
      </c>
      <c r="C203" s="3066"/>
      <c r="D203" s="2055"/>
      <c r="E203" s="2055"/>
      <c r="F203" s="3"/>
      <c r="G203" s="3"/>
    </row>
    <row r="204" spans="1:7" ht="12.75" customHeight="1">
      <c r="A204" s="2279" t="s">
        <v>4818</v>
      </c>
      <c r="B204" s="3064">
        <v>830</v>
      </c>
      <c r="C204" s="3066"/>
      <c r="D204" s="1387"/>
      <c r="E204" s="1387"/>
      <c r="F204" s="3"/>
      <c r="G204" s="3"/>
    </row>
    <row r="205" spans="1:7" ht="12.75" customHeight="1">
      <c r="A205" s="3053" t="s">
        <v>979</v>
      </c>
      <c r="B205" s="3059">
        <v>835</v>
      </c>
      <c r="C205" s="3066"/>
      <c r="D205" s="2055"/>
      <c r="E205" s="2055"/>
      <c r="F205" s="3"/>
      <c r="G205" s="3"/>
    </row>
    <row r="206" spans="1:7" ht="12.75" customHeight="1">
      <c r="A206" s="3053" t="s">
        <v>986</v>
      </c>
      <c r="B206" s="3059">
        <v>840</v>
      </c>
      <c r="C206" s="3066"/>
      <c r="D206" s="2055"/>
      <c r="E206" s="2055"/>
      <c r="F206" s="3"/>
      <c r="G206" s="3"/>
    </row>
    <row r="207" spans="1:7" ht="12.75" customHeight="1">
      <c r="A207" s="3053" t="s">
        <v>989</v>
      </c>
      <c r="B207" s="3059">
        <v>845</v>
      </c>
      <c r="C207" s="3066"/>
      <c r="D207" s="2055"/>
      <c r="E207" s="2055"/>
      <c r="F207" s="3"/>
      <c r="G207" s="3"/>
    </row>
    <row r="208" spans="1:7" ht="12.75" customHeight="1">
      <c r="A208" s="3053" t="s">
        <v>997</v>
      </c>
      <c r="B208" s="3059">
        <v>850</v>
      </c>
      <c r="C208" s="3066"/>
      <c r="D208" s="2055"/>
      <c r="E208" s="2055"/>
      <c r="F208" s="3"/>
      <c r="G208" s="3"/>
    </row>
    <row r="209" spans="1:7" ht="12.75" customHeight="1">
      <c r="A209" s="2249" t="s">
        <v>998</v>
      </c>
      <c r="B209" s="3064">
        <v>855</v>
      </c>
      <c r="C209" s="3066"/>
      <c r="D209" s="1387"/>
      <c r="E209" s="1387"/>
      <c r="F209" s="3"/>
      <c r="G209" s="3"/>
    </row>
    <row r="210" spans="1:7" ht="12.75" customHeight="1">
      <c r="A210" s="3042" t="s">
        <v>1035</v>
      </c>
      <c r="B210" s="3061"/>
      <c r="C210" s="3061"/>
      <c r="D210" s="3061"/>
      <c r="E210" s="3061"/>
      <c r="F210" s="3"/>
      <c r="G210" s="3"/>
    </row>
    <row r="211" spans="1:7" ht="12.75" customHeight="1">
      <c r="A211" s="3043" t="s">
        <v>1036</v>
      </c>
      <c r="B211" s="3062"/>
      <c r="C211" s="3062"/>
      <c r="D211" s="3062"/>
      <c r="E211" s="3062"/>
      <c r="F211" s="3"/>
      <c r="G211" s="3"/>
    </row>
    <row r="212" spans="1:7" ht="12.75" customHeight="1">
      <c r="A212" s="3043" t="s">
        <v>972</v>
      </c>
      <c r="B212" s="3062"/>
      <c r="C212" s="3062"/>
      <c r="D212" s="3062"/>
      <c r="E212" s="3062"/>
      <c r="F212" s="3"/>
      <c r="G212" s="3"/>
    </row>
    <row r="213" spans="1:7" ht="12.75" customHeight="1">
      <c r="A213" s="3052" t="s">
        <v>999</v>
      </c>
      <c r="B213" s="3060">
        <v>735</v>
      </c>
      <c r="C213" s="1388"/>
      <c r="D213" s="1388"/>
      <c r="E213" s="1388"/>
      <c r="F213" s="3"/>
      <c r="G213" s="3"/>
    </row>
    <row r="214" spans="1:7" ht="12.75" customHeight="1">
      <c r="A214" s="2250" t="s">
        <v>943</v>
      </c>
      <c r="B214" s="3057">
        <v>740</v>
      </c>
      <c r="C214" s="3063"/>
      <c r="D214" s="3063"/>
      <c r="E214" s="3063"/>
      <c r="F214" s="3"/>
      <c r="G214" s="3"/>
    </row>
    <row r="215" spans="1:7" ht="12.75" customHeight="1">
      <c r="A215" s="3042" t="s">
        <v>973</v>
      </c>
      <c r="B215" s="3061"/>
      <c r="C215" s="3061"/>
      <c r="D215" s="3061"/>
      <c r="E215" s="3061"/>
      <c r="F215" s="3"/>
      <c r="G215" s="3"/>
    </row>
    <row r="216" spans="1:7" ht="12.75" customHeight="1">
      <c r="A216" s="3052" t="s">
        <v>1000</v>
      </c>
      <c r="B216" s="3060">
        <v>745</v>
      </c>
      <c r="C216" s="1388"/>
      <c r="D216" s="1388"/>
      <c r="E216" s="1388"/>
      <c r="F216" s="3"/>
      <c r="G216" s="3"/>
    </row>
    <row r="217" spans="1:7" ht="12.75" customHeight="1">
      <c r="A217" s="3052" t="s">
        <v>977</v>
      </c>
      <c r="B217" s="3060">
        <v>750</v>
      </c>
      <c r="C217" s="1388"/>
      <c r="D217" s="1388"/>
      <c r="E217" s="1388"/>
      <c r="F217" s="3"/>
      <c r="G217" s="3"/>
    </row>
    <row r="218" spans="1:7" ht="12.75" customHeight="1">
      <c r="A218" s="2249" t="s">
        <v>978</v>
      </c>
      <c r="B218" s="3064">
        <v>755</v>
      </c>
      <c r="C218" s="1387"/>
      <c r="D218" s="1387"/>
      <c r="E218" s="1387"/>
      <c r="F218" s="3"/>
      <c r="G218" s="3"/>
    </row>
    <row r="219" spans="1:7" ht="12.75" customHeight="1">
      <c r="A219" s="3042" t="s">
        <v>986</v>
      </c>
      <c r="B219" s="3061"/>
      <c r="C219" s="3061"/>
      <c r="D219" s="3061"/>
      <c r="E219" s="3061"/>
      <c r="F219" s="3"/>
      <c r="G219" s="3"/>
    </row>
    <row r="220" spans="1:7" ht="12.75" customHeight="1">
      <c r="A220" s="3052" t="s">
        <v>1037</v>
      </c>
      <c r="B220" s="3060">
        <v>760</v>
      </c>
      <c r="C220" s="1388"/>
      <c r="D220" s="1388"/>
      <c r="E220" s="1388"/>
      <c r="F220" s="3"/>
      <c r="G220" s="3"/>
    </row>
    <row r="221" spans="1:7" ht="12.75" customHeight="1">
      <c r="A221" s="3052" t="s">
        <v>1038</v>
      </c>
      <c r="B221" s="3060">
        <v>765</v>
      </c>
      <c r="C221" s="1388"/>
      <c r="D221" s="1388"/>
      <c r="E221" s="1388"/>
      <c r="F221" s="3"/>
      <c r="G221" s="3"/>
    </row>
    <row r="222" spans="1:7" ht="12.75" customHeight="1">
      <c r="A222" s="2249" t="s">
        <v>1039</v>
      </c>
      <c r="B222" s="3064">
        <v>770</v>
      </c>
      <c r="C222" s="1387"/>
      <c r="D222" s="1387"/>
      <c r="E222" s="1387"/>
      <c r="F222" s="3"/>
      <c r="G222" s="3"/>
    </row>
    <row r="223" spans="1:7" ht="12.75" customHeight="1">
      <c r="A223" s="3042" t="s">
        <v>989</v>
      </c>
      <c r="B223" s="3061"/>
      <c r="C223" s="3061"/>
      <c r="D223" s="3061"/>
      <c r="E223" s="3061"/>
      <c r="F223" s="3"/>
      <c r="G223" s="3"/>
    </row>
    <row r="224" spans="1:7" ht="12.75" customHeight="1">
      <c r="A224" s="3052" t="s">
        <v>1040</v>
      </c>
      <c r="B224" s="3060">
        <v>775</v>
      </c>
      <c r="C224" s="1388"/>
      <c r="D224" s="1388"/>
      <c r="E224" s="1388"/>
      <c r="F224" s="3"/>
      <c r="G224" s="3"/>
    </row>
    <row r="225" spans="1:7" ht="12.75" customHeight="1">
      <c r="A225" s="3052" t="s">
        <v>1041</v>
      </c>
      <c r="B225" s="3060">
        <v>780</v>
      </c>
      <c r="C225" s="1388"/>
      <c r="D225" s="1388"/>
      <c r="E225" s="1388"/>
      <c r="F225" s="3"/>
      <c r="G225" s="3"/>
    </row>
    <row r="226" spans="1:7" ht="12.75" customHeight="1">
      <c r="A226" s="3053" t="s">
        <v>997</v>
      </c>
      <c r="B226" s="3059">
        <v>785</v>
      </c>
      <c r="C226" s="2055"/>
      <c r="D226" s="2055"/>
      <c r="E226" s="2055"/>
      <c r="F226" s="3"/>
      <c r="G226" s="3"/>
    </row>
    <row r="227" spans="1:7" ht="12.75" customHeight="1">
      <c r="A227" s="3053" t="s">
        <v>998</v>
      </c>
      <c r="B227" s="3059">
        <v>790</v>
      </c>
      <c r="C227" s="2055"/>
      <c r="D227" s="2055"/>
      <c r="E227" s="2055"/>
      <c r="F227" s="3"/>
      <c r="G227" s="3"/>
    </row>
    <row r="228" spans="1:7" ht="12.75" customHeight="1">
      <c r="A228" s="3053" t="s">
        <v>1001</v>
      </c>
      <c r="B228" s="2019">
        <v>795</v>
      </c>
      <c r="C228" s="2055"/>
      <c r="D228" s="2055"/>
      <c r="E228" s="2055"/>
      <c r="F228" s="3"/>
      <c r="G228" s="3"/>
    </row>
    <row r="229" spans="1:7" ht="12.75" customHeight="1">
      <c r="A229" s="3053" t="s">
        <v>1002</v>
      </c>
      <c r="B229" s="2019">
        <v>800</v>
      </c>
      <c r="C229" s="2055"/>
      <c r="D229" s="2055"/>
      <c r="E229" s="2055"/>
      <c r="F229" s="3"/>
      <c r="G229" s="3"/>
    </row>
    <row r="230" spans="1:7" ht="12.75" customHeight="1">
      <c r="A230" s="3040" t="s">
        <v>3089</v>
      </c>
      <c r="B230" s="3065"/>
      <c r="C230" s="3065"/>
      <c r="D230" s="3065"/>
      <c r="E230" s="3065"/>
      <c r="F230" s="3"/>
      <c r="G230" s="3"/>
    </row>
    <row r="231" spans="1:7" ht="12.75" customHeight="1">
      <c r="A231" s="3041" t="s">
        <v>908</v>
      </c>
      <c r="B231" s="3067"/>
      <c r="C231" s="3067"/>
      <c r="D231" s="3067"/>
      <c r="E231" s="3067"/>
      <c r="F231" s="3"/>
      <c r="G231" s="3"/>
    </row>
    <row r="232" spans="1:7" ht="12.75" customHeight="1">
      <c r="A232" s="3054" t="s">
        <v>3090</v>
      </c>
      <c r="B232" s="3060">
        <v>860</v>
      </c>
      <c r="C232" s="1388"/>
      <c r="D232" s="1388"/>
      <c r="E232" s="1388"/>
      <c r="F232" s="3"/>
      <c r="G232" s="3"/>
    </row>
    <row r="233" spans="1:7" ht="12.75" customHeight="1">
      <c r="A233" s="3040" t="s">
        <v>909</v>
      </c>
      <c r="B233" s="3065"/>
      <c r="C233" s="3065"/>
      <c r="D233" s="3065"/>
      <c r="E233" s="3065"/>
      <c r="F233" s="3"/>
      <c r="G233" s="3"/>
    </row>
    <row r="234" spans="1:7" ht="12.75" customHeight="1">
      <c r="A234" s="3054" t="s">
        <v>3091</v>
      </c>
      <c r="B234" s="3060">
        <v>865</v>
      </c>
      <c r="C234" s="1388"/>
      <c r="D234" s="1388"/>
      <c r="E234" s="1388"/>
      <c r="F234" s="3"/>
      <c r="G234" s="3"/>
    </row>
    <row r="235" spans="1:7" ht="12.75" customHeight="1">
      <c r="A235" s="1400" t="s">
        <v>3092</v>
      </c>
      <c r="B235" s="911">
        <v>870</v>
      </c>
      <c r="C235" s="920"/>
      <c r="D235" s="920"/>
      <c r="E235" s="923"/>
      <c r="F235" s="3"/>
      <c r="G235" s="3"/>
    </row>
    <row r="236" spans="1:7" ht="12.75" customHeight="1">
      <c r="A236" s="935" t="s">
        <v>3093</v>
      </c>
      <c r="B236" s="915">
        <v>875</v>
      </c>
      <c r="C236" s="929"/>
      <c r="D236" s="929"/>
      <c r="E236" s="1395"/>
      <c r="F236" s="3"/>
      <c r="G236" s="3"/>
    </row>
    <row r="237" spans="1:7" ht="12.75" customHeight="1">
      <c r="A237" s="935" t="s">
        <v>696</v>
      </c>
      <c r="B237" s="915">
        <v>880</v>
      </c>
      <c r="C237" s="929"/>
      <c r="D237" s="929"/>
      <c r="E237" s="1395"/>
      <c r="F237" s="3"/>
      <c r="G237" s="3"/>
    </row>
    <row r="238" spans="1:7" s="8" customFormat="1" ht="12.75" customHeight="1">
      <c r="A238" s="935" t="s">
        <v>3094</v>
      </c>
      <c r="B238" s="915">
        <v>885</v>
      </c>
      <c r="C238" s="929">
        <v>3291</v>
      </c>
      <c r="D238" s="929"/>
      <c r="E238" s="1395"/>
      <c r="F238" s="3"/>
      <c r="G238" s="3"/>
    </row>
    <row r="239" spans="1:7" s="8" customFormat="1" ht="12.75" customHeight="1">
      <c r="A239" s="3046" t="s">
        <v>5153</v>
      </c>
      <c r="B239" s="2578" t="s">
        <v>4906</v>
      </c>
      <c r="C239" s="918">
        <f>SUM(C52:C238)</f>
        <v>3291</v>
      </c>
      <c r="D239" s="918">
        <f t="shared" ref="D239:E239" si="0">SUM(D52:D238)</f>
        <v>22960</v>
      </c>
      <c r="E239" s="918">
        <f t="shared" si="0"/>
        <v>107657</v>
      </c>
      <c r="F239" s="3"/>
      <c r="G239" s="3"/>
    </row>
    <row r="240" spans="1:7" s="8" customFormat="1" ht="12.75" customHeight="1">
      <c r="A240" s="6101" t="s">
        <v>4911</v>
      </c>
      <c r="B240" s="6101"/>
      <c r="C240" s="6101"/>
      <c r="D240" s="6101"/>
      <c r="E240" s="6101"/>
      <c r="F240" s="3"/>
      <c r="G240" s="3"/>
    </row>
    <row r="241" spans="1:7" s="8" customFormat="1" ht="12.75" customHeight="1">
      <c r="A241" s="2864"/>
      <c r="B241" s="938"/>
      <c r="C241" s="901"/>
      <c r="D241" s="901"/>
      <c r="E241" s="901"/>
      <c r="F241" s="3"/>
      <c r="G241" s="3"/>
    </row>
    <row r="242" spans="1:7" s="8" customFormat="1" ht="12.75" customHeight="1">
      <c r="B242" s="938"/>
      <c r="C242" s="901"/>
      <c r="D242" s="901"/>
      <c r="E242" s="901"/>
      <c r="F242" s="3"/>
      <c r="G242" s="3"/>
    </row>
    <row r="243" spans="1:7" ht="12.75" customHeight="1">
      <c r="F243" s="3"/>
      <c r="G243" s="3"/>
    </row>
  </sheetData>
  <sheetProtection algorithmName="SHA-512" hashValue="JVgohgxNcnimjrWyg7ayqS+X84e5EICIYpHil1bpidfiWBi9/HZnia0MfvZWjanOcF3LyI3J8/2J5oe+n3WyPg==" saltValue="EVc3IqpUsYFhvHVi0trBxg==" spinCount="100000" sheet="1" objects="1" scenarios="1"/>
  <mergeCells count="10">
    <mergeCell ref="A240:E240"/>
    <mergeCell ref="D1:E1"/>
    <mergeCell ref="D2:E2"/>
    <mergeCell ref="D40:E40"/>
    <mergeCell ref="D41:E41"/>
    <mergeCell ref="C35:E35"/>
    <mergeCell ref="C36:E37"/>
    <mergeCell ref="A34:E34"/>
    <mergeCell ref="A32:E32"/>
    <mergeCell ref="A33:E33"/>
  </mergeCells>
  <phoneticPr fontId="0" type="noConversion"/>
  <dataValidations count="2">
    <dataValidation type="whole" operator="greaterThanOrEqual" showInputMessage="1" showErrorMessage="1" errorTitle="Invalid Data Entry" error="Please enter a positive number or press the delete key or enter zero." sqref="C171:E171 C168:E169 C232:E232 C198:E199 C140:E141 C62:E65 C100:E104 C84:E87 C81:E81 D79:E83 C93:E98 C67:E72 C116:E121 C55:E59 C10:E10 C52:E53 C76:E77 C90:E91 C82:C83 C79:C80 C156:E159 C110:E114 C124:E125 C127:E131 C133:E137 C143:E151 C173:E179 C201:E209 C21:E28 C107:E108 C17:E19 C234:E238 C224:E229 C220:E222 C216:E218 C213:E214 C190:E195 C185:E188 C183:E183 C161:E166 C154:E154">
      <formula1>0</formula1>
    </dataValidation>
    <dataValidation type="whole" operator="greaterThanOrEqual" showInputMessage="1" showErrorMessage="1" errorTitle="Invalid beginning cash balance" error="Please enter a number or press the delete key or enter zero." sqref="C9">
      <formula1>-1000000000</formula1>
    </dataValidation>
  </dataValidations>
  <hyperlinks>
    <hyperlink ref="G1" location="Contents!F1" display="Return to Contents page"/>
  </hyperlinks>
  <printOptions horizontalCentered="1"/>
  <pageMargins left="0.75" right="0.75" top="0.5" bottom="0.5" header="0.3" footer="0.3"/>
  <pageSetup scale="86" fitToHeight="0" orientation="portrait" blackAndWhite="1" r:id="rId1"/>
  <headerFooter scaleWithDoc="0">
    <oddFooter>&amp;L&amp;"Open Sans Light,Regular"&amp;8&amp;D    &amp;T&amp;C&amp;"Open Sans Light,Regular"&amp;8Page &amp;P&amp;R&amp;"Open Sans Light,Regular"&amp;8&amp;A</oddFooter>
  </headerFooter>
  <rowBreaks count="3" manualBreakCount="3">
    <brk id="121" max="4" man="1"/>
    <brk id="177" max="4" man="1"/>
    <brk id="232" max="4" man="1"/>
  </row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4" tint="0.39997558519241921"/>
  </sheetPr>
  <dimension ref="A1:Z61"/>
  <sheetViews>
    <sheetView showGridLines="0" zoomScaleNormal="100" zoomScaleSheetLayoutView="100" workbookViewId="0">
      <pane ySplit="8" topLeftCell="A9" activePane="bottomLeft" state="frozen"/>
      <selection activeCell="B22" sqref="B22"/>
      <selection pane="bottomLeft" activeCell="B22" sqref="B22"/>
    </sheetView>
  </sheetViews>
  <sheetFormatPr defaultColWidth="10.6640625" defaultRowHeight="12.75" customHeight="1"/>
  <cols>
    <col min="1" max="1" width="40.6640625" style="144" customWidth="1"/>
    <col min="2" max="2" width="5.6640625" style="1641" customWidth="1"/>
    <col min="3" max="6" width="14.33203125" style="1642" customWidth="1"/>
    <col min="7" max="7" width="2.6640625" style="144" customWidth="1"/>
    <col min="8" max="8" width="21" style="144" customWidth="1"/>
    <col min="9" max="26" width="10.6640625" style="144"/>
    <col min="27" max="16384" width="10.6640625" style="143"/>
  </cols>
  <sheetData>
    <row r="1" spans="1:8" ht="12.75" customHeight="1">
      <c r="A1" s="1620" t="s">
        <v>809</v>
      </c>
      <c r="B1" s="4224">
        <f>OPEN!$B$4</f>
        <v>237</v>
      </c>
      <c r="C1" s="1618"/>
      <c r="D1" s="1618"/>
      <c r="E1" s="6150" t="s">
        <v>836</v>
      </c>
      <c r="F1" s="6150"/>
      <c r="H1" s="304" t="s">
        <v>754</v>
      </c>
    </row>
    <row r="2" spans="1:8" ht="12.75" customHeight="1">
      <c r="A2" s="1618"/>
      <c r="B2" s="1619"/>
      <c r="C2" s="1618"/>
      <c r="D2" s="1618"/>
      <c r="E2" s="6150" t="s">
        <v>921</v>
      </c>
      <c r="F2" s="6150"/>
    </row>
    <row r="3" spans="1:8" ht="12.75" customHeight="1">
      <c r="A3" s="1618"/>
      <c r="B3" s="1619"/>
      <c r="C3" s="1618"/>
      <c r="D3" s="1618"/>
      <c r="E3" s="1618"/>
      <c r="F3" s="1620" t="str">
        <f>OpenData!N2</f>
        <v>2021-2022</v>
      </c>
    </row>
    <row r="4" spans="1:8" ht="12.75" customHeight="1">
      <c r="A4" s="1618"/>
      <c r="B4" s="1619"/>
      <c r="C4" s="1618"/>
      <c r="D4" s="1618"/>
      <c r="E4" s="1618"/>
      <c r="F4" s="1618"/>
    </row>
    <row r="5" spans="1:8" ht="12.75" customHeight="1">
      <c r="A5" s="1618"/>
      <c r="B5" s="1619"/>
      <c r="C5" s="1621" t="s">
        <v>922</v>
      </c>
      <c r="D5" s="1621" t="s">
        <v>922</v>
      </c>
      <c r="E5" s="1621" t="s">
        <v>922</v>
      </c>
      <c r="F5" s="1621" t="s">
        <v>5</v>
      </c>
    </row>
    <row r="6" spans="1:8" ht="12.75" customHeight="1">
      <c r="A6" s="1643"/>
      <c r="B6" s="1622" t="s">
        <v>854</v>
      </c>
      <c r="C6" s="1623" t="str">
        <f>OpenData!N4</f>
        <v>2019-2020</v>
      </c>
      <c r="D6" s="1623" t="str">
        <f>OpenData!O4</f>
        <v>2020-2021</v>
      </c>
      <c r="E6" s="1623" t="str">
        <f>OpenData!P4</f>
        <v>2021-2022</v>
      </c>
      <c r="F6" s="1623" t="s">
        <v>663</v>
      </c>
    </row>
    <row r="7" spans="1:8" ht="12.75" customHeight="1">
      <c r="A7" s="1643" t="s">
        <v>669</v>
      </c>
      <c r="B7" s="1624">
        <v>42</v>
      </c>
      <c r="C7" s="1625" t="s">
        <v>893</v>
      </c>
      <c r="D7" s="1625" t="s">
        <v>893</v>
      </c>
      <c r="E7" s="1625" t="s">
        <v>923</v>
      </c>
      <c r="F7" s="1625" t="s">
        <v>11</v>
      </c>
    </row>
    <row r="8" spans="1:8" ht="12.75" customHeight="1">
      <c r="A8" s="1644"/>
      <c r="B8" s="1626" t="s">
        <v>858</v>
      </c>
      <c r="C8" s="1627">
        <v>1</v>
      </c>
      <c r="D8" s="1627">
        <v>2</v>
      </c>
      <c r="E8" s="1627">
        <v>3</v>
      </c>
      <c r="F8" s="1627">
        <v>4</v>
      </c>
    </row>
    <row r="9" spans="1:8" ht="12.75" customHeight="1">
      <c r="A9" s="1645" t="s">
        <v>1043</v>
      </c>
      <c r="B9" s="1626">
        <v>1</v>
      </c>
      <c r="C9" s="1628"/>
      <c r="D9" s="1629">
        <f>C51</f>
        <v>0</v>
      </c>
      <c r="E9" s="1629">
        <f>D51</f>
        <v>0</v>
      </c>
      <c r="F9" s="1630">
        <f>E9</f>
        <v>0</v>
      </c>
    </row>
    <row r="10" spans="1:8" ht="12.75" customHeight="1">
      <c r="A10" s="3974" t="s">
        <v>4940</v>
      </c>
      <c r="B10" s="1624">
        <v>3</v>
      </c>
      <c r="C10" s="1631"/>
      <c r="D10" s="1631"/>
      <c r="E10" s="1633"/>
      <c r="F10" s="1633"/>
    </row>
    <row r="11" spans="1:8" ht="12.75" customHeight="1">
      <c r="A11" s="2283"/>
      <c r="B11" s="4240"/>
      <c r="C11" s="4240"/>
      <c r="D11" s="4240"/>
      <c r="E11" s="4240"/>
      <c r="F11" s="4241"/>
    </row>
    <row r="12" spans="1:8" ht="12.75" customHeight="1">
      <c r="A12" s="4242" t="s">
        <v>4767</v>
      </c>
      <c r="B12" s="4243"/>
      <c r="C12" s="4243"/>
      <c r="D12" s="4243"/>
      <c r="E12" s="4243"/>
      <c r="F12" s="4244"/>
    </row>
    <row r="13" spans="1:8" ht="12.75" customHeight="1">
      <c r="A13" s="2284" t="s">
        <v>13</v>
      </c>
      <c r="B13" s="3015"/>
      <c r="C13" s="3015"/>
      <c r="D13" s="3015"/>
      <c r="E13" s="3015"/>
      <c r="F13" s="3015"/>
    </row>
    <row r="14" spans="1:8" ht="12.75" customHeight="1">
      <c r="A14" s="2284" t="s">
        <v>14</v>
      </c>
      <c r="B14" s="3015"/>
      <c r="C14" s="3015"/>
      <c r="D14" s="3015"/>
      <c r="E14" s="3015"/>
      <c r="F14" s="3015"/>
    </row>
    <row r="15" spans="1:8" ht="12.75" customHeight="1">
      <c r="A15" s="3008" t="str">
        <f>OpenData!N8</f>
        <v xml:space="preserve">    2018 $</v>
      </c>
      <c r="B15" s="3016">
        <v>5</v>
      </c>
      <c r="C15" s="3017"/>
      <c r="D15" s="3018"/>
      <c r="E15" s="3018"/>
      <c r="F15" s="3018"/>
      <c r="H15" s="719"/>
    </row>
    <row r="16" spans="1:8" ht="12.75" customHeight="1">
      <c r="A16" s="3008" t="str">
        <f>OpenData!N9</f>
        <v xml:space="preserve">    2019 $</v>
      </c>
      <c r="B16" s="3019">
        <v>10</v>
      </c>
      <c r="C16" s="1989"/>
      <c r="D16" s="3017"/>
      <c r="E16" s="3018"/>
      <c r="F16" s="3018"/>
    </row>
    <row r="17" spans="1:9" ht="12.75" customHeight="1">
      <c r="A17" s="3008" t="str">
        <f>OpenData!N10</f>
        <v xml:space="preserve">    2020 $</v>
      </c>
      <c r="B17" s="3016">
        <v>15</v>
      </c>
      <c r="C17" s="3020"/>
      <c r="D17" s="3021">
        <f>'C04'!E16</f>
        <v>0</v>
      </c>
      <c r="E17" s="3021">
        <f>'F110'!G81</f>
        <v>0</v>
      </c>
      <c r="F17" s="3021">
        <f>E17</f>
        <v>0</v>
      </c>
    </row>
    <row r="18" spans="1:9" ht="12.75" customHeight="1">
      <c r="A18" s="3009" t="str">
        <f>OpenData!N11</f>
        <v xml:space="preserve">    2021 $</v>
      </c>
      <c r="B18" s="3019">
        <v>20</v>
      </c>
      <c r="C18" s="3018"/>
      <c r="D18" s="3020"/>
      <c r="E18" s="1647">
        <f>'C04'!L16</f>
        <v>0</v>
      </c>
      <c r="F18" s="3020"/>
    </row>
    <row r="19" spans="1:9" ht="12.75" customHeight="1">
      <c r="A19" s="3009" t="s">
        <v>1377</v>
      </c>
      <c r="B19" s="3019">
        <v>25</v>
      </c>
      <c r="C19" s="3017"/>
      <c r="D19" s="3017"/>
      <c r="E19" s="3021">
        <f>0.667*F19</f>
        <v>0</v>
      </c>
      <c r="F19" s="3021">
        <f>'F110'!G85</f>
        <v>0</v>
      </c>
    </row>
    <row r="20" spans="1:9" ht="12.75" customHeight="1">
      <c r="A20" s="3010" t="s">
        <v>332</v>
      </c>
      <c r="B20" s="3022">
        <v>27</v>
      </c>
      <c r="C20" s="3017"/>
      <c r="D20" s="3017"/>
      <c r="E20" s="3023"/>
      <c r="F20" s="1647">
        <f>E20</f>
        <v>0</v>
      </c>
      <c r="H20" s="720"/>
      <c r="I20" s="720"/>
    </row>
    <row r="21" spans="1:9" ht="12.75" customHeight="1">
      <c r="A21" s="3009" t="s">
        <v>18</v>
      </c>
      <c r="B21" s="3019">
        <v>30</v>
      </c>
      <c r="C21" s="1989"/>
      <c r="D21" s="1989"/>
      <c r="E21" s="3017"/>
      <c r="F21" s="1647">
        <f>E21</f>
        <v>0</v>
      </c>
      <c r="H21" s="720"/>
    </row>
    <row r="22" spans="1:9" ht="12.75" customHeight="1">
      <c r="A22" s="3008" t="s">
        <v>22</v>
      </c>
      <c r="B22" s="3016">
        <v>35</v>
      </c>
      <c r="C22" s="3020"/>
      <c r="D22" s="3020"/>
      <c r="E22" s="3020"/>
      <c r="F22" s="3017"/>
    </row>
    <row r="23" spans="1:9" ht="12.75" customHeight="1">
      <c r="A23" s="2284" t="s">
        <v>21</v>
      </c>
      <c r="B23" s="3015"/>
      <c r="C23" s="3015"/>
      <c r="D23" s="3015"/>
      <c r="E23" s="3015"/>
      <c r="F23" s="3015"/>
    </row>
    <row r="24" spans="1:9" ht="12.75" customHeight="1">
      <c r="A24" s="3008" t="s">
        <v>243</v>
      </c>
      <c r="B24" s="3016">
        <v>40</v>
      </c>
      <c r="C24" s="3017"/>
      <c r="D24" s="3017"/>
      <c r="E24" s="3021">
        <f>IF(ISERROR('F194'!H85+'F194'!H28+'F194'!$P$85+'F194'!$P$28),0,('F194'!H28+'F194'!H85+'F194'!$P$85+'F194'!$P$28))</f>
        <v>0</v>
      </c>
      <c r="F24" s="3021">
        <f>E24</f>
        <v>0</v>
      </c>
    </row>
    <row r="25" spans="1:9" ht="12.75" customHeight="1">
      <c r="A25" s="3009" t="s">
        <v>22</v>
      </c>
      <c r="B25" s="3019">
        <v>45</v>
      </c>
      <c r="C25" s="3020"/>
      <c r="D25" s="3020"/>
      <c r="E25" s="3024"/>
      <c r="F25" s="1647">
        <f>F24*0.5</f>
        <v>0</v>
      </c>
    </row>
    <row r="26" spans="1:9" ht="12.75" customHeight="1">
      <c r="A26" s="3008" t="s">
        <v>23</v>
      </c>
      <c r="B26" s="3016">
        <v>50</v>
      </c>
      <c r="C26" s="3017"/>
      <c r="D26" s="3017"/>
      <c r="E26" s="3021">
        <f>IF(ISERROR('F194'!$L$85+'F194'!$L$28),0,('F194'!$L$85+'F194'!$L$28))</f>
        <v>0</v>
      </c>
      <c r="F26" s="1647">
        <f>E26</f>
        <v>0</v>
      </c>
    </row>
    <row r="27" spans="1:9" ht="12.75" customHeight="1">
      <c r="A27" s="3008" t="s">
        <v>24</v>
      </c>
      <c r="B27" s="3016">
        <v>55</v>
      </c>
      <c r="C27" s="3018"/>
      <c r="D27" s="3018"/>
      <c r="E27" s="3025"/>
      <c r="F27" s="1647">
        <f>F26*0.5</f>
        <v>0</v>
      </c>
    </row>
    <row r="28" spans="1:9" ht="12.75" customHeight="1">
      <c r="A28" s="3011" t="s">
        <v>1374</v>
      </c>
      <c r="B28" s="3026">
        <v>56</v>
      </c>
      <c r="C28" s="3023"/>
      <c r="D28" s="3023"/>
      <c r="E28" s="3021">
        <f>IF(ISERROR('F194'!R85+'F194'!R28),0,('F194'!R85+'F194'!R28))</f>
        <v>0</v>
      </c>
      <c r="F28" s="1647">
        <f>E28</f>
        <v>0</v>
      </c>
    </row>
    <row r="29" spans="1:9" ht="12.75" customHeight="1">
      <c r="A29" s="3011" t="s">
        <v>24</v>
      </c>
      <c r="B29" s="3026">
        <v>57</v>
      </c>
      <c r="C29" s="3018"/>
      <c r="D29" s="3018"/>
      <c r="E29" s="3018"/>
      <c r="F29" s="1647">
        <f>F28*0.5</f>
        <v>0</v>
      </c>
    </row>
    <row r="30" spans="1:9" ht="12.75" customHeight="1">
      <c r="A30" s="3008" t="s">
        <v>1387</v>
      </c>
      <c r="B30" s="3016">
        <v>60</v>
      </c>
      <c r="C30" s="3027"/>
      <c r="D30" s="3027"/>
      <c r="E30" s="3021">
        <f>IF(ISERROR('F194'!N85+'F194'!N28),0,('F194'!N85+'F194'!N28))</f>
        <v>0</v>
      </c>
      <c r="F30" s="1647">
        <f>E30</f>
        <v>0</v>
      </c>
    </row>
    <row r="31" spans="1:9" ht="12.75" customHeight="1">
      <c r="A31" s="3012" t="s">
        <v>22</v>
      </c>
      <c r="B31" s="3028">
        <v>65</v>
      </c>
      <c r="C31" s="3020"/>
      <c r="D31" s="3020"/>
      <c r="E31" s="3024"/>
      <c r="F31" s="3020">
        <f>F30*0.5</f>
        <v>0</v>
      </c>
    </row>
    <row r="32" spans="1:9" ht="12.75" customHeight="1">
      <c r="A32" s="2284" t="s">
        <v>1056</v>
      </c>
      <c r="B32" s="3015"/>
      <c r="C32" s="3015"/>
      <c r="D32" s="3015"/>
      <c r="E32" s="3015"/>
      <c r="F32" s="3015"/>
    </row>
    <row r="33" spans="1:26" ht="12.75" customHeight="1">
      <c r="A33" s="3008" t="s">
        <v>1058</v>
      </c>
      <c r="B33" s="3029">
        <v>70</v>
      </c>
      <c r="C33" s="3030">
        <f>'C06'!C279</f>
        <v>0</v>
      </c>
      <c r="D33" s="3030">
        <f>'C06'!D279</f>
        <v>0</v>
      </c>
      <c r="E33" s="3030">
        <f>'C06'!E279</f>
        <v>0</v>
      </c>
      <c r="F33" s="3030">
        <f>E33</f>
        <v>0</v>
      </c>
      <c r="G33" s="721"/>
    </row>
    <row r="34" spans="1:26" ht="12.75" customHeight="1">
      <c r="A34" s="3013" t="s">
        <v>22</v>
      </c>
      <c r="B34" s="3031">
        <v>75</v>
      </c>
      <c r="C34" s="3032"/>
      <c r="D34" s="3032"/>
      <c r="E34" s="3020"/>
      <c r="F34" s="3017"/>
      <c r="G34" s="721"/>
    </row>
    <row r="35" spans="1:26" ht="12.75" customHeight="1">
      <c r="A35" s="3008" t="s">
        <v>932</v>
      </c>
      <c r="B35" s="3029">
        <v>80</v>
      </c>
      <c r="C35" s="3030">
        <f>'C08'!C284</f>
        <v>0</v>
      </c>
      <c r="D35" s="3030">
        <f>'C08'!D284</f>
        <v>0</v>
      </c>
      <c r="E35" s="3030">
        <f>'C08'!E284</f>
        <v>0</v>
      </c>
      <c r="F35" s="3033">
        <f>E35</f>
        <v>0</v>
      </c>
      <c r="G35" s="721"/>
    </row>
    <row r="36" spans="1:26" ht="12.75" customHeight="1">
      <c r="A36" s="3014" t="s">
        <v>24</v>
      </c>
      <c r="B36" s="3029">
        <v>85</v>
      </c>
      <c r="C36" s="3032"/>
      <c r="D36" s="3032"/>
      <c r="E36" s="3020"/>
      <c r="F36" s="3017"/>
      <c r="G36" s="721"/>
    </row>
    <row r="37" spans="1:26" ht="12.75" customHeight="1">
      <c r="A37" s="3008" t="s">
        <v>1059</v>
      </c>
      <c r="B37" s="3029">
        <v>90</v>
      </c>
      <c r="C37" s="3030">
        <f>'C053'!C240</f>
        <v>0</v>
      </c>
      <c r="D37" s="3030">
        <f>'C053'!D240</f>
        <v>0</v>
      </c>
      <c r="E37" s="4617" t="s">
        <v>4905</v>
      </c>
      <c r="F37" s="3720" t="s">
        <v>4905</v>
      </c>
    </row>
    <row r="38" spans="1:26" ht="12.75" customHeight="1">
      <c r="A38" s="4245" t="s">
        <v>42</v>
      </c>
      <c r="B38" s="4246">
        <v>100</v>
      </c>
      <c r="C38" s="3020">
        <f>SUM(C9:C37)</f>
        <v>0</v>
      </c>
      <c r="D38" s="3020">
        <f>SUM(D9:D37)</f>
        <v>0</v>
      </c>
      <c r="E38" s="3020">
        <f>SUM(E9:E37)</f>
        <v>0</v>
      </c>
      <c r="F38" s="3020">
        <f>SUM(F9:F36)</f>
        <v>0</v>
      </c>
    </row>
    <row r="39" spans="1:26" s="1617" customFormat="1" ht="12.75" customHeight="1">
      <c r="A39" s="3005"/>
      <c r="B39" s="4247"/>
      <c r="C39" s="4247"/>
      <c r="D39" s="4247"/>
      <c r="E39" s="4247"/>
      <c r="F39" s="3006"/>
      <c r="G39" s="1616"/>
      <c r="H39" s="1616"/>
      <c r="I39" s="1616"/>
      <c r="J39" s="1616"/>
      <c r="K39" s="1616"/>
      <c r="L39" s="1616"/>
      <c r="M39" s="1616"/>
      <c r="N39" s="1616"/>
      <c r="O39" s="1616"/>
      <c r="P39" s="1616"/>
      <c r="Q39" s="1616"/>
      <c r="R39" s="1616"/>
      <c r="S39" s="1616"/>
      <c r="T39" s="1616"/>
      <c r="U39" s="1616"/>
      <c r="V39" s="1616"/>
      <c r="W39" s="1616"/>
      <c r="X39" s="1616"/>
      <c r="Y39" s="1616"/>
      <c r="Z39" s="1616"/>
    </row>
    <row r="40" spans="1:26" ht="12.75" customHeight="1">
      <c r="A40" s="4248" t="s">
        <v>60</v>
      </c>
      <c r="B40" s="4249"/>
      <c r="C40" s="4249"/>
      <c r="D40" s="4249"/>
      <c r="E40" s="4249"/>
      <c r="F40" s="4250"/>
    </row>
    <row r="41" spans="1:26" ht="12.75" customHeight="1">
      <c r="A41" s="2285" t="s">
        <v>664</v>
      </c>
      <c r="B41" s="3037"/>
      <c r="C41" s="3037"/>
      <c r="D41" s="3037"/>
      <c r="E41" s="3037"/>
      <c r="F41" s="3007"/>
    </row>
    <row r="42" spans="1:26" ht="12.75" customHeight="1">
      <c r="A42" s="2285" t="s">
        <v>1266</v>
      </c>
      <c r="B42" s="3037"/>
      <c r="C42" s="3037"/>
      <c r="D42" s="3037"/>
      <c r="E42" s="3037"/>
      <c r="F42" s="3007"/>
    </row>
    <row r="43" spans="1:26" ht="12.75" customHeight="1">
      <c r="A43" s="3034" t="s">
        <v>670</v>
      </c>
      <c r="B43" s="3038">
        <v>105</v>
      </c>
      <c r="C43" s="3017"/>
      <c r="D43" s="3017"/>
      <c r="E43" s="3017"/>
      <c r="F43" s="3035"/>
    </row>
    <row r="44" spans="1:26" ht="12.75" customHeight="1">
      <c r="A44" s="3012" t="s">
        <v>665</v>
      </c>
      <c r="B44" s="3028">
        <v>110</v>
      </c>
      <c r="C44" s="1989"/>
      <c r="D44" s="1989"/>
      <c r="E44" s="1989"/>
      <c r="F44" s="3035"/>
    </row>
    <row r="45" spans="1:26" ht="12.75" customHeight="1">
      <c r="A45" s="3034" t="s">
        <v>671</v>
      </c>
      <c r="B45" s="3038">
        <v>115</v>
      </c>
      <c r="C45" s="1989"/>
      <c r="D45" s="1989"/>
      <c r="E45" s="1989"/>
      <c r="F45" s="3035"/>
    </row>
    <row r="46" spans="1:26" ht="12.75" customHeight="1">
      <c r="A46" s="2285" t="s">
        <v>1003</v>
      </c>
      <c r="B46" s="3037"/>
      <c r="C46" s="3037"/>
      <c r="D46" s="3037"/>
      <c r="E46" s="3037"/>
      <c r="F46" s="3007"/>
    </row>
    <row r="47" spans="1:26" ht="12.75" customHeight="1">
      <c r="A47" s="3034" t="s">
        <v>120</v>
      </c>
      <c r="B47" s="3038">
        <v>120</v>
      </c>
      <c r="C47" s="3017">
        <v>0</v>
      </c>
      <c r="D47" s="3017">
        <v>0</v>
      </c>
      <c r="E47" s="3017">
        <v>0</v>
      </c>
      <c r="F47" s="3035"/>
      <c r="J47" s="719"/>
    </row>
    <row r="48" spans="1:26" ht="12.75" customHeight="1">
      <c r="A48" s="3012" t="s">
        <v>666</v>
      </c>
      <c r="B48" s="3028">
        <v>175</v>
      </c>
      <c r="C48" s="1647">
        <f>SUM(C40:C47)</f>
        <v>0</v>
      </c>
      <c r="D48" s="1647">
        <f>SUM(D40:D47)</f>
        <v>0</v>
      </c>
      <c r="E48" s="3021">
        <f>SUM(E40:E47)</f>
        <v>0</v>
      </c>
      <c r="F48" s="3036">
        <f>E48</f>
        <v>0</v>
      </c>
    </row>
    <row r="49" spans="1:9" ht="12.75" customHeight="1">
      <c r="A49" s="1646" t="s">
        <v>672</v>
      </c>
      <c r="B49" s="1634">
        <v>180</v>
      </c>
      <c r="C49" s="4237" t="s">
        <v>4905</v>
      </c>
      <c r="D49" s="4238" t="s">
        <v>4905</v>
      </c>
      <c r="E49" s="4239" t="s">
        <v>4905</v>
      </c>
      <c r="F49" s="1632"/>
    </row>
    <row r="50" spans="1:9" ht="12.75" customHeight="1">
      <c r="A50" s="1646" t="s">
        <v>667</v>
      </c>
      <c r="B50" s="1635">
        <v>185</v>
      </c>
      <c r="C50" s="2422" t="s">
        <v>4905</v>
      </c>
      <c r="D50" s="2423" t="s">
        <v>4905</v>
      </c>
      <c r="E50" s="2424" t="s">
        <v>4905</v>
      </c>
      <c r="F50" s="1630">
        <f>SUM(F48+F49)</f>
        <v>0</v>
      </c>
    </row>
    <row r="51" spans="1:9" ht="12.75" customHeight="1">
      <c r="A51" s="1646" t="s">
        <v>247</v>
      </c>
      <c r="B51" s="1634">
        <v>190</v>
      </c>
      <c r="C51" s="1629">
        <f>SUM(C38-C48)</f>
        <v>0</v>
      </c>
      <c r="D51" s="1629">
        <f>SUM(D38-D48)</f>
        <v>0</v>
      </c>
      <c r="E51" s="1629">
        <f>SUM(E38-E48)</f>
        <v>0</v>
      </c>
      <c r="F51" s="2774" t="s">
        <v>4905</v>
      </c>
    </row>
    <row r="52" spans="1:9" ht="12.75" customHeight="1">
      <c r="A52" s="1648"/>
      <c r="B52" s="1634">
        <v>195</v>
      </c>
      <c r="C52" s="1636" t="s">
        <v>280</v>
      </c>
      <c r="D52" s="1637"/>
      <c r="E52" s="1638"/>
      <c r="F52" s="1630">
        <f>SUM(F50-F38)</f>
        <v>0</v>
      </c>
    </row>
    <row r="53" spans="1:9" ht="12.75" customHeight="1">
      <c r="A53" s="1648"/>
      <c r="B53" s="1634">
        <v>200</v>
      </c>
      <c r="C53" s="1636" t="s">
        <v>668</v>
      </c>
      <c r="D53" s="1637"/>
      <c r="E53" s="1638"/>
      <c r="F53" s="1630">
        <f>F52*'C01'!$E$97/100</f>
        <v>0</v>
      </c>
    </row>
    <row r="54" spans="1:9" ht="12.75" customHeight="1">
      <c r="A54" s="1648"/>
      <c r="B54" s="1634">
        <v>205</v>
      </c>
      <c r="C54" s="1636" t="str">
        <f>OpenData!N6</f>
        <v>Amount of 2021 Tax to be Levied</v>
      </c>
      <c r="D54" s="1637"/>
      <c r="E54" s="1639"/>
      <c r="F54" s="1630">
        <f>F52+F53</f>
        <v>0</v>
      </c>
      <c r="H54" s="343" t="s">
        <v>320</v>
      </c>
      <c r="I54" s="375">
        <f>IF(ISERROR(F54/OPEN!A15*1000),"Check errors below",F54/OPEN!A15*1000)</f>
        <v>0</v>
      </c>
    </row>
    <row r="55" spans="1:9" ht="12.75" customHeight="1">
      <c r="A55" s="142"/>
      <c r="B55" s="1640"/>
      <c r="C55" s="1618"/>
      <c r="D55" s="1618"/>
      <c r="E55" s="1618"/>
      <c r="F55" s="1618"/>
      <c r="H55" s="344" t="str">
        <f>OpenData!N40</f>
        <v/>
      </c>
    </row>
    <row r="56" spans="1:9" ht="12.75" customHeight="1">
      <c r="A56" s="142"/>
      <c r="B56" s="1621"/>
      <c r="C56" s="1618"/>
      <c r="D56" s="1618"/>
      <c r="E56" s="1618"/>
      <c r="F56" s="1618"/>
    </row>
    <row r="57" spans="1:9" ht="12.75" customHeight="1">
      <c r="A57" s="142"/>
      <c r="B57" s="1621"/>
      <c r="C57" s="1618"/>
      <c r="D57" s="1618"/>
      <c r="E57" s="1618"/>
      <c r="F57" s="1618"/>
    </row>
    <row r="58" spans="1:9" ht="12.75" customHeight="1">
      <c r="A58" s="142"/>
      <c r="B58" s="1621"/>
      <c r="C58" s="1618"/>
      <c r="D58" s="1618"/>
      <c r="E58" s="1618"/>
      <c r="F58" s="1618"/>
    </row>
    <row r="59" spans="1:9" ht="12.75" customHeight="1">
      <c r="A59" s="142"/>
      <c r="B59" s="1621"/>
      <c r="C59" s="1618"/>
      <c r="D59" s="1618"/>
      <c r="E59" s="1618"/>
      <c r="F59" s="1618"/>
    </row>
    <row r="60" spans="1:9" ht="12.75" customHeight="1">
      <c r="A60" s="142"/>
      <c r="B60" s="1621"/>
      <c r="C60" s="1618"/>
      <c r="D60" s="1618"/>
      <c r="E60" s="1618"/>
      <c r="F60" s="1618"/>
    </row>
    <row r="61" spans="1:9" ht="12.75" customHeight="1">
      <c r="A61" s="142"/>
      <c r="B61" s="1621"/>
      <c r="C61" s="1618"/>
      <c r="D61" s="1618"/>
      <c r="E61" s="1618"/>
      <c r="F61" s="1618"/>
    </row>
  </sheetData>
  <sheetProtection algorithmName="SHA-512" hashValue="gIkvEEEmF7HDZeBQ+4/lNCOs1ThwmJWjI5Z0JY/90yfl1sl98D4fcfCq2atAamiF7YOLxD3wPbHjizHvuN2mVw==" saltValue="qch8hUQEQBf5xb4JxaUcUg==" spinCount="100000" sheet="1" objects="1" scenarios="1"/>
  <mergeCells count="2">
    <mergeCell ref="E1:F1"/>
    <mergeCell ref="E2:F2"/>
  </mergeCells>
  <phoneticPr fontId="13" type="noConversion"/>
  <dataValidations count="3">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F36 C15 C16:D16 D19:D20 C19:C22 D21:E21 D22:F22 C24:D24 C26:D26 C30:D30 C43:E45 F49 C47:E47 C33:D33 C35:D35 C37:D37 F34 C10:D10">
      <formula1>0</formula1>
    </dataValidation>
    <dataValidation type="whole" operator="greaterThanOrEqual" allowBlank="1" showInputMessage="1" showErrorMessage="1" errorTitle="Invalid Data Entry" error="Please enter a positive number or press the delete key or enter zero." sqref="C28">
      <formula1>0</formula1>
    </dataValidation>
  </dataValidations>
  <hyperlinks>
    <hyperlink ref="H1" location="Contents!F1" display="Return to Contents page"/>
  </hyperlinks>
  <printOptions horizontalCentered="1"/>
  <pageMargins left="0.75" right="0.75" top="0.5" bottom="0.5" header="0.3" footer="0.3"/>
  <pageSetup scale="81" fitToHeight="0" orientation="portrait" blackAndWhite="1" r:id="rId1"/>
  <headerFooter scaleWithDoc="0">
    <oddFooter>&amp;L&amp;"Open Sans Light,Regular"&amp;8&amp;D    &amp;T&amp;C&amp;"Open Sans Light,Regular"&amp;8Page &amp;P&amp;R&amp;"Open Sans Light,Regular"&amp;8&amp;A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4" tint="0.39997558519241921"/>
  </sheetPr>
  <dimension ref="A1:Z47"/>
  <sheetViews>
    <sheetView showGridLines="0" zoomScaleNormal="100" zoomScaleSheetLayoutView="100" workbookViewId="0">
      <pane ySplit="8" topLeftCell="A12" activePane="bottomLeft" state="frozen"/>
      <selection activeCell="B22" sqref="B22"/>
      <selection pane="bottomLeft" activeCell="B22" sqref="B22"/>
    </sheetView>
  </sheetViews>
  <sheetFormatPr defaultColWidth="10.6640625" defaultRowHeight="12.75" customHeight="1"/>
  <cols>
    <col min="1" max="1" width="40.6640625" style="154" customWidth="1"/>
    <col min="2" max="2" width="5.6640625" style="174" customWidth="1"/>
    <col min="3" max="6" width="14.33203125" style="154" customWidth="1"/>
    <col min="7" max="7" width="2.88671875" style="154" customWidth="1"/>
    <col min="8" max="8" width="21.109375" style="154" customWidth="1"/>
    <col min="9" max="26" width="10.6640625" style="154"/>
    <col min="27" max="16384" width="10.6640625" style="148"/>
  </cols>
  <sheetData>
    <row r="1" spans="1:8" ht="12.75" customHeight="1">
      <c r="A1" s="146" t="s">
        <v>809</v>
      </c>
      <c r="B1" s="4225">
        <f>OPEN!$B$4</f>
        <v>237</v>
      </c>
      <c r="C1" s="2287"/>
      <c r="D1" s="940"/>
      <c r="E1" s="6151" t="s">
        <v>836</v>
      </c>
      <c r="F1" s="6151"/>
      <c r="H1" s="304" t="s">
        <v>754</v>
      </c>
    </row>
    <row r="2" spans="1:8" ht="12.75" customHeight="1">
      <c r="A2" s="145"/>
      <c r="B2" s="149"/>
      <c r="C2" s="145"/>
      <c r="D2" s="145"/>
      <c r="E2" s="6151" t="s">
        <v>921</v>
      </c>
      <c r="F2" s="6151"/>
    </row>
    <row r="3" spans="1:8" ht="12.75" customHeight="1">
      <c r="A3" s="145"/>
      <c r="B3" s="149"/>
      <c r="C3" s="145"/>
      <c r="D3" s="145"/>
      <c r="E3" s="145"/>
      <c r="F3" s="147" t="str">
        <f>OpenData!N2</f>
        <v>2021-2022</v>
      </c>
    </row>
    <row r="4" spans="1:8" ht="12.75" customHeight="1">
      <c r="A4" s="145"/>
      <c r="B4" s="149"/>
      <c r="C4" s="145"/>
      <c r="D4" s="145"/>
      <c r="E4" s="145"/>
      <c r="F4" s="145"/>
    </row>
    <row r="5" spans="1:8" ht="12.75" customHeight="1">
      <c r="A5" s="145"/>
      <c r="B5" s="149"/>
      <c r="C5" s="150" t="s">
        <v>922</v>
      </c>
      <c r="D5" s="150" t="s">
        <v>922</v>
      </c>
      <c r="E5" s="150" t="s">
        <v>922</v>
      </c>
      <c r="F5" s="150" t="s">
        <v>5</v>
      </c>
    </row>
    <row r="6" spans="1:8" ht="12.75" customHeight="1">
      <c r="A6" s="151" t="s">
        <v>674</v>
      </c>
      <c r="B6" s="152" t="s">
        <v>854</v>
      </c>
      <c r="C6" s="153" t="str">
        <f>OpenData!N4</f>
        <v>2019-2020</v>
      </c>
      <c r="D6" s="153" t="str">
        <f>OpenData!O4</f>
        <v>2020-2021</v>
      </c>
      <c r="E6" s="153" t="str">
        <f>OpenData!P4</f>
        <v>2021-2022</v>
      </c>
      <c r="F6" s="153" t="s">
        <v>663</v>
      </c>
    </row>
    <row r="7" spans="1:8" ht="12.75" customHeight="1">
      <c r="A7" s="2030" t="s">
        <v>1338</v>
      </c>
      <c r="B7" s="155">
        <v>44</v>
      </c>
      <c r="C7" s="156" t="s">
        <v>893</v>
      </c>
      <c r="D7" s="156" t="s">
        <v>893</v>
      </c>
      <c r="E7" s="156" t="s">
        <v>923</v>
      </c>
      <c r="F7" s="156" t="s">
        <v>11</v>
      </c>
    </row>
    <row r="8" spans="1:8" ht="12.75" customHeight="1">
      <c r="B8" s="157" t="s">
        <v>858</v>
      </c>
      <c r="C8" s="158">
        <v>1</v>
      </c>
      <c r="D8" s="158">
        <v>2</v>
      </c>
      <c r="E8" s="158">
        <v>3</v>
      </c>
      <c r="F8" s="158">
        <v>4</v>
      </c>
    </row>
    <row r="9" spans="1:8" ht="12.75" customHeight="1">
      <c r="A9" s="2031" t="s">
        <v>1043</v>
      </c>
      <c r="B9" s="157">
        <v>1</v>
      </c>
      <c r="C9" s="159"/>
      <c r="D9" s="160">
        <f>C39</f>
        <v>0</v>
      </c>
      <c r="E9" s="160">
        <f>D39</f>
        <v>0</v>
      </c>
      <c r="F9" s="161">
        <f>E9</f>
        <v>0</v>
      </c>
    </row>
    <row r="10" spans="1:8" ht="12.75" customHeight="1">
      <c r="A10" s="3974" t="s">
        <v>4940</v>
      </c>
      <c r="B10" s="155">
        <v>3</v>
      </c>
      <c r="C10" s="162"/>
      <c r="D10" s="162"/>
      <c r="E10" s="4226"/>
      <c r="F10" s="4226"/>
    </row>
    <row r="11" spans="1:8" ht="12.75" customHeight="1">
      <c r="A11" s="2289"/>
      <c r="B11" s="4227"/>
      <c r="C11" s="4227"/>
      <c r="D11" s="4227"/>
      <c r="E11" s="4227"/>
      <c r="F11" s="4228"/>
    </row>
    <row r="12" spans="1:8" ht="12.75" customHeight="1">
      <c r="A12" s="4229" t="s">
        <v>4767</v>
      </c>
      <c r="B12" s="4230"/>
      <c r="C12" s="4230"/>
      <c r="D12" s="4230"/>
      <c r="E12" s="4230"/>
      <c r="F12" s="4231"/>
    </row>
    <row r="13" spans="1:8" ht="12.75" customHeight="1">
      <c r="A13" s="2291" t="s">
        <v>13</v>
      </c>
      <c r="B13" s="2987"/>
      <c r="C13" s="2987"/>
      <c r="D13" s="2987"/>
      <c r="E13" s="2987"/>
      <c r="F13" s="2987"/>
      <c r="H13" s="722"/>
    </row>
    <row r="14" spans="1:8" ht="12.75" customHeight="1">
      <c r="A14" s="2291" t="s">
        <v>14</v>
      </c>
      <c r="B14" s="2987"/>
      <c r="C14" s="2987"/>
      <c r="D14" s="2987"/>
      <c r="E14" s="2987"/>
      <c r="F14" s="2987"/>
    </row>
    <row r="15" spans="1:8" ht="12.75" customHeight="1">
      <c r="A15" s="2980" t="str">
        <f>OpenData!N8</f>
        <v xml:space="preserve">    2018 $</v>
      </c>
      <c r="B15" s="2988">
        <v>5</v>
      </c>
      <c r="C15" s="2989"/>
      <c r="D15" s="3000"/>
      <c r="E15" s="3000"/>
      <c r="F15" s="3000"/>
    </row>
    <row r="16" spans="1:8" ht="12.75" customHeight="1">
      <c r="A16" s="2980" t="str">
        <f>OpenData!N9</f>
        <v xml:space="preserve">    2019 $</v>
      </c>
      <c r="B16" s="2990">
        <v>10</v>
      </c>
      <c r="C16" s="2991"/>
      <c r="D16" s="2989"/>
      <c r="E16" s="3000"/>
      <c r="F16" s="3000"/>
      <c r="H16" s="723"/>
    </row>
    <row r="17" spans="1:8" ht="12.75" customHeight="1">
      <c r="A17" s="2980" t="str">
        <f>OpenData!N10</f>
        <v xml:space="preserve">    2020 $</v>
      </c>
      <c r="B17" s="2988">
        <v>15</v>
      </c>
      <c r="C17" s="1649"/>
      <c r="D17" s="2992">
        <v>0</v>
      </c>
      <c r="E17" s="2992">
        <f>'F110'!I81</f>
        <v>0</v>
      </c>
      <c r="F17" s="2992">
        <f>E17</f>
        <v>0</v>
      </c>
    </row>
    <row r="18" spans="1:8" ht="12.75" customHeight="1">
      <c r="A18" s="2981" t="str">
        <f>OpenData!N11</f>
        <v xml:space="preserve">    2021 $</v>
      </c>
      <c r="B18" s="2990">
        <v>20</v>
      </c>
      <c r="C18" s="3000"/>
      <c r="D18" s="1649"/>
      <c r="E18" s="2993">
        <v>0</v>
      </c>
      <c r="F18" s="1649"/>
    </row>
    <row r="19" spans="1:8" ht="12.75" customHeight="1">
      <c r="A19" s="2981" t="s">
        <v>1377</v>
      </c>
      <c r="B19" s="2990">
        <v>25</v>
      </c>
      <c r="C19" s="2989"/>
      <c r="D19" s="2989"/>
      <c r="E19" s="2992">
        <f>0.667*F19</f>
        <v>0</v>
      </c>
      <c r="F19" s="2992">
        <f>'F110'!I85</f>
        <v>0</v>
      </c>
    </row>
    <row r="20" spans="1:8" ht="12.75" customHeight="1">
      <c r="A20" s="2981" t="s">
        <v>332</v>
      </c>
      <c r="B20" s="2990">
        <v>30</v>
      </c>
      <c r="C20" s="2991"/>
      <c r="D20" s="2994"/>
      <c r="E20" s="2991"/>
      <c r="F20" s="2991"/>
    </row>
    <row r="21" spans="1:8" ht="12.75" customHeight="1">
      <c r="A21" s="2290" t="s">
        <v>21</v>
      </c>
      <c r="B21" s="2986"/>
      <c r="C21" s="2986"/>
      <c r="D21" s="2986"/>
      <c r="E21" s="2986"/>
      <c r="F21" s="2986"/>
      <c r="H21" s="723"/>
    </row>
    <row r="22" spans="1:8" ht="12.75" customHeight="1">
      <c r="A22" s="2980" t="s">
        <v>242</v>
      </c>
      <c r="B22" s="2988">
        <v>45</v>
      </c>
      <c r="C22" s="2989"/>
      <c r="D22" s="2989"/>
      <c r="E22" s="2992">
        <f>IF(ISERROR('F194'!H86+'F194'!H29+'F194'!$P$86+'F194'!$P$29),0,('F194'!H86+'F194'!H29+'F194'!$P$86+'F194'!$P$29))</f>
        <v>0</v>
      </c>
      <c r="F22" s="2992">
        <f>E22</f>
        <v>0</v>
      </c>
    </row>
    <row r="23" spans="1:8" ht="12.75" customHeight="1">
      <c r="A23" s="2981" t="s">
        <v>22</v>
      </c>
      <c r="B23" s="2990">
        <v>50</v>
      </c>
      <c r="C23" s="1649"/>
      <c r="D23" s="1649"/>
      <c r="E23" s="1649"/>
      <c r="F23" s="2993">
        <f>F22*0.5</f>
        <v>0</v>
      </c>
    </row>
    <row r="24" spans="1:8" ht="12.75" customHeight="1">
      <c r="A24" s="2980" t="s">
        <v>23</v>
      </c>
      <c r="B24" s="2988">
        <v>55</v>
      </c>
      <c r="C24" s="2989"/>
      <c r="D24" s="2989"/>
      <c r="E24" s="2992">
        <f>IF(ISERROR('F194'!$L$86+'F194'!$L$29),0,('F194'!$L$86+'F194'!$L$29))</f>
        <v>0</v>
      </c>
      <c r="F24" s="2993">
        <f>E24</f>
        <v>0</v>
      </c>
    </row>
    <row r="25" spans="1:8" ht="12.75" customHeight="1">
      <c r="A25" s="2980" t="s">
        <v>24</v>
      </c>
      <c r="B25" s="2988">
        <v>56</v>
      </c>
      <c r="C25" s="3000"/>
      <c r="D25" s="3000"/>
      <c r="E25" s="3000"/>
      <c r="F25" s="2993">
        <f>F24*0.5</f>
        <v>0</v>
      </c>
    </row>
    <row r="26" spans="1:8" ht="12.75" customHeight="1">
      <c r="A26" s="2982" t="s">
        <v>1374</v>
      </c>
      <c r="B26" s="2995">
        <v>57</v>
      </c>
      <c r="C26" s="2996"/>
      <c r="D26" s="2996"/>
      <c r="E26" s="2992">
        <f>IF(ISERROR('F194'!R86+'F194'!R29),0,('F194'!R86+'F194'!R29))</f>
        <v>0</v>
      </c>
      <c r="F26" s="2993">
        <f>E26</f>
        <v>0</v>
      </c>
    </row>
    <row r="27" spans="1:8" ht="12.75" customHeight="1">
      <c r="A27" s="2982" t="s">
        <v>24</v>
      </c>
      <c r="B27" s="2995">
        <v>58</v>
      </c>
      <c r="C27" s="1649"/>
      <c r="D27" s="1649"/>
      <c r="E27" s="1649"/>
      <c r="F27" s="2993">
        <f>F26*0.5</f>
        <v>0</v>
      </c>
    </row>
    <row r="28" spans="1:8" ht="12.75" customHeight="1">
      <c r="A28" s="2980" t="s">
        <v>1387</v>
      </c>
      <c r="B28" s="2988">
        <v>60</v>
      </c>
      <c r="C28" s="2997"/>
      <c r="D28" s="2997"/>
      <c r="E28" s="2992">
        <f>IF(ISERROR('F194'!N86+'F194'!N29),0,('F194'!N86+'F194'!N29))</f>
        <v>0</v>
      </c>
      <c r="F28" s="2993">
        <f>E28</f>
        <v>0</v>
      </c>
    </row>
    <row r="29" spans="1:8" ht="12.75" customHeight="1">
      <c r="A29" s="2983" t="s">
        <v>22</v>
      </c>
      <c r="B29" s="2998">
        <v>65</v>
      </c>
      <c r="C29" s="3004"/>
      <c r="D29" s="3004"/>
      <c r="E29" s="3004"/>
      <c r="F29" s="1649">
        <f>F28*0.5</f>
        <v>0</v>
      </c>
    </row>
    <row r="30" spans="1:8" ht="12.75" customHeight="1">
      <c r="A30" s="2984" t="s">
        <v>42</v>
      </c>
      <c r="B30" s="2999">
        <v>70</v>
      </c>
      <c r="C30" s="3000">
        <f>SUM(C9:C29)</f>
        <v>0</v>
      </c>
      <c r="D30" s="3000">
        <f>SUM(D9:D29)</f>
        <v>0</v>
      </c>
      <c r="E30" s="3000">
        <f>SUM(E9:E29)</f>
        <v>0</v>
      </c>
      <c r="F30" s="1649">
        <f>SUM(F9:F29)</f>
        <v>0</v>
      </c>
    </row>
    <row r="31" spans="1:8" ht="12.75" customHeight="1">
      <c r="A31" s="2288"/>
      <c r="B31" s="4232"/>
      <c r="C31" s="4232"/>
      <c r="D31" s="4232"/>
      <c r="E31" s="4232"/>
      <c r="F31" s="4233"/>
    </row>
    <row r="32" spans="1:8" ht="12.75" customHeight="1">
      <c r="A32" s="4234" t="s">
        <v>60</v>
      </c>
      <c r="B32" s="4235"/>
      <c r="C32" s="4235"/>
      <c r="D32" s="4235"/>
      <c r="E32" s="4235"/>
      <c r="F32" s="4236"/>
    </row>
    <row r="33" spans="1:9" ht="12.75" customHeight="1">
      <c r="A33" s="2286" t="s">
        <v>675</v>
      </c>
      <c r="B33" s="3001"/>
      <c r="C33" s="3001"/>
      <c r="D33" s="3001"/>
      <c r="E33" s="3001"/>
      <c r="F33" s="3001"/>
    </row>
    <row r="34" spans="1:9" ht="12.75" customHeight="1">
      <c r="A34" s="2286" t="s">
        <v>676</v>
      </c>
      <c r="B34" s="3001"/>
      <c r="C34" s="3001"/>
      <c r="D34" s="3001"/>
      <c r="E34" s="3001"/>
      <c r="F34" s="3001"/>
    </row>
    <row r="35" spans="1:9" ht="12.75" customHeight="1">
      <c r="A35" s="2985" t="s">
        <v>677</v>
      </c>
      <c r="B35" s="3002">
        <v>75</v>
      </c>
      <c r="C35" s="2989"/>
      <c r="D35" s="2989"/>
      <c r="E35" s="2989"/>
      <c r="F35" s="3000"/>
    </row>
    <row r="36" spans="1:9" ht="12.75" customHeight="1">
      <c r="A36" s="164" t="s">
        <v>666</v>
      </c>
      <c r="B36" s="165">
        <v>175</v>
      </c>
      <c r="C36" s="161">
        <f>SUM(C32:C35)</f>
        <v>0</v>
      </c>
      <c r="D36" s="161">
        <f>SUM(D32:D35)</f>
        <v>0</v>
      </c>
      <c r="E36" s="161">
        <f>SUM(E32:E35)</f>
        <v>0</v>
      </c>
      <c r="F36" s="2992">
        <f>E36</f>
        <v>0</v>
      </c>
    </row>
    <row r="37" spans="1:9" ht="12.75" customHeight="1">
      <c r="A37" s="164" t="s">
        <v>22</v>
      </c>
      <c r="B37" s="167">
        <v>180</v>
      </c>
      <c r="C37" s="4237" t="s">
        <v>4905</v>
      </c>
      <c r="D37" s="4238" t="s">
        <v>4905</v>
      </c>
      <c r="E37" s="4239" t="s">
        <v>4905</v>
      </c>
      <c r="F37" s="163"/>
    </row>
    <row r="38" spans="1:9" ht="12.75" customHeight="1">
      <c r="A38" s="164" t="s">
        <v>667</v>
      </c>
      <c r="B38" s="165">
        <v>185</v>
      </c>
      <c r="C38" s="2422" t="s">
        <v>4905</v>
      </c>
      <c r="D38" s="2423" t="s">
        <v>4905</v>
      </c>
      <c r="E38" s="2424" t="s">
        <v>4905</v>
      </c>
      <c r="F38" s="161">
        <f>SUM(F36:F37)</f>
        <v>0</v>
      </c>
    </row>
    <row r="39" spans="1:9" ht="12.75" customHeight="1">
      <c r="A39" s="166" t="s">
        <v>678</v>
      </c>
      <c r="B39" s="167">
        <v>190</v>
      </c>
      <c r="C39" s="3003">
        <f>SUM(C30-C36)</f>
        <v>0</v>
      </c>
      <c r="D39" s="3003">
        <f>SUM(D30-D36)</f>
        <v>0</v>
      </c>
      <c r="E39" s="3003">
        <f>SUM(E30-E36)</f>
        <v>0</v>
      </c>
      <c r="F39" s="2774" t="s">
        <v>4905</v>
      </c>
    </row>
    <row r="40" spans="1:9" ht="12.75" customHeight="1">
      <c r="A40" s="145"/>
      <c r="B40" s="165">
        <v>195</v>
      </c>
      <c r="C40" s="168" t="s">
        <v>673</v>
      </c>
      <c r="D40" s="169"/>
      <c r="E40" s="170"/>
      <c r="F40" s="2992">
        <f>SUM(F38-F30)</f>
        <v>0</v>
      </c>
    </row>
    <row r="41" spans="1:9" ht="12.75" customHeight="1">
      <c r="A41" s="145"/>
      <c r="B41" s="165">
        <v>200</v>
      </c>
      <c r="C41" s="168" t="s">
        <v>668</v>
      </c>
      <c r="D41" s="169"/>
      <c r="E41" s="170"/>
      <c r="F41" s="161">
        <f>F40*'C01'!$E$97/100</f>
        <v>0</v>
      </c>
    </row>
    <row r="42" spans="1:9" ht="12.75" customHeight="1">
      <c r="A42" s="145"/>
      <c r="B42" s="165">
        <v>205</v>
      </c>
      <c r="C42" s="168" t="str">
        <f>OpenData!N6</f>
        <v>Amount of 2021 Tax to be Levied</v>
      </c>
      <c r="D42" s="169"/>
      <c r="E42" s="171"/>
      <c r="F42" s="161">
        <f>SUM(F40+F41)</f>
        <v>0</v>
      </c>
      <c r="H42" s="345" t="s">
        <v>321</v>
      </c>
      <c r="I42" s="376">
        <f>IF(ISERROR(F42/OPEN!A15*1000),"See errors below",F42/OPEN!A15*1000)</f>
        <v>0</v>
      </c>
    </row>
    <row r="43" spans="1:9" ht="12.75" customHeight="1">
      <c r="A43" s="172"/>
      <c r="B43" s="293"/>
      <c r="C43" s="145"/>
      <c r="D43" s="145"/>
      <c r="E43" s="145"/>
      <c r="F43" s="145"/>
      <c r="H43" s="346" t="str">
        <f>OpenData!N40</f>
        <v/>
      </c>
    </row>
    <row r="44" spans="1:9" ht="12.75" customHeight="1">
      <c r="A44" s="172"/>
      <c r="B44" s="173"/>
      <c r="C44" s="145"/>
      <c r="D44" s="145"/>
      <c r="E44" s="145"/>
      <c r="F44" s="145"/>
    </row>
    <row r="45" spans="1:9" ht="12.75" customHeight="1">
      <c r="A45" s="172"/>
      <c r="B45" s="173"/>
      <c r="C45" s="145"/>
      <c r="D45" s="145"/>
      <c r="E45" s="145"/>
      <c r="F45" s="145"/>
    </row>
    <row r="46" spans="1:9" ht="12.75" customHeight="1">
      <c r="A46" s="172"/>
      <c r="B46" s="173"/>
      <c r="C46" s="145"/>
      <c r="D46" s="145"/>
      <c r="E46" s="145"/>
      <c r="F46" s="145"/>
    </row>
    <row r="47" spans="1:9" ht="12.75" customHeight="1">
      <c r="A47" s="145"/>
      <c r="B47" s="150"/>
      <c r="C47" s="145"/>
      <c r="D47" s="145"/>
      <c r="E47" s="145"/>
      <c r="F47" s="145"/>
    </row>
  </sheetData>
  <sheetProtection algorithmName="SHA-512" hashValue="v04oyQRUEPcf+lDQOChwTa9ISMM/M+8K3DgK2HEYjSpi+Y9xKNOCqvXtq/MwSuzVdU6mQAq/1dttQrJy0h4OEw==" saltValue="Ewgm73q9nGd9f38WpVBH+g==" spinCount="100000" sheet="1" objects="1" scenarios="1"/>
  <mergeCells count="2">
    <mergeCell ref="E1:F1"/>
    <mergeCell ref="E2:F2"/>
  </mergeCells>
  <phoneticPr fontId="13" type="noConversion"/>
  <dataValidations count="5">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C15 C16:D16 F37 C22:D22 C24:D24 C28:D28 C35:E35 E20:F20 C19:D19 C10:D10">
      <formula1>0</formula1>
    </dataValidation>
    <dataValidation type="whole" operator="greaterThanOrEqual" allowBlank="1" showInputMessage="1" showErrorMessage="1" errorTitle="Invalid Data Entry" error="Please enter a positive number or press the delete key or enter zero." sqref="C26">
      <formula1>0</formula1>
    </dataValidation>
    <dataValidation type="whole" operator="greaterThanOrEqual" showInputMessage="1" showErrorMessage="1" errorTitle="Invalid Data Entry" error="Please enter a positive number or press the delete key or enter a zero." sqref="D20">
      <formula1>0</formula1>
    </dataValidation>
    <dataValidation type="whole" operator="greaterThanOrEqual" allowBlank="1" showInputMessage="1" showErrorMessage="1" errorTitle="Invalid data entry" error="Please enter a positive number or press the delete key or enter zero." sqref="C20">
      <formula1>0</formula1>
    </dataValidation>
  </dataValidations>
  <hyperlinks>
    <hyperlink ref="H1" location="Contents!F1" display="Return to Contents page"/>
  </hyperlinks>
  <printOptions horizontalCentered="1"/>
  <pageMargins left="0.75" right="0.75" top="0.5" bottom="0.5" header="0.3" footer="0.3"/>
  <pageSetup scale="81" fitToHeight="0" orientation="portrait" blackAndWhite="1" r:id="rId1"/>
  <headerFooter scaleWithDoc="0">
    <oddFooter>&amp;L&amp;"Open Sans Light,Regular"&amp;8&amp;D    &amp;T&amp;C&amp;"Open Sans Light,Regular"&amp;8Page &amp;P&amp;R&amp;"Open Sans Light,Regular"&amp;8&amp;A</oddFooter>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theme="4" tint="0.39997558519241921"/>
  </sheetPr>
  <dimension ref="A1:Z44"/>
  <sheetViews>
    <sheetView showGridLines="0" workbookViewId="0">
      <pane ySplit="8" topLeftCell="A9" activePane="bottomLeft" state="frozen"/>
      <selection activeCell="B22" sqref="B22"/>
      <selection pane="bottomLeft" activeCell="B22" sqref="B22"/>
    </sheetView>
  </sheetViews>
  <sheetFormatPr defaultColWidth="11.44140625" defaultRowHeight="12.75" customHeight="1"/>
  <cols>
    <col min="1" max="1" width="40.6640625" style="175" customWidth="1"/>
    <col min="2" max="2" width="5.6640625" style="175" customWidth="1"/>
    <col min="3" max="5" width="14.33203125" style="175" customWidth="1"/>
    <col min="6" max="6" width="3.44140625" style="175" customWidth="1"/>
    <col min="7" max="7" width="5" style="175" customWidth="1"/>
    <col min="8" max="8" width="21" style="175" customWidth="1"/>
    <col min="9" max="26" width="11.44140625" style="175"/>
    <col min="27" max="16384" width="11.44140625" style="178"/>
  </cols>
  <sheetData>
    <row r="1" spans="1:8" ht="12.75" customHeight="1">
      <c r="A1" s="944" t="s">
        <v>809</v>
      </c>
      <c r="B1" s="305">
        <f>OPEN!B4</f>
        <v>237</v>
      </c>
      <c r="C1" s="939"/>
      <c r="D1" s="6124" t="s">
        <v>836</v>
      </c>
      <c r="E1" s="6124"/>
      <c r="F1" s="177"/>
      <c r="H1" s="304" t="s">
        <v>754</v>
      </c>
    </row>
    <row r="2" spans="1:8" ht="12.75" customHeight="1">
      <c r="B2" s="176"/>
      <c r="D2" s="6124" t="s">
        <v>921</v>
      </c>
      <c r="E2" s="6124"/>
      <c r="F2" s="177"/>
    </row>
    <row r="3" spans="1:8" ht="12.75" customHeight="1">
      <c r="B3" s="176"/>
      <c r="E3" s="177" t="str">
        <f>OpenData!N2</f>
        <v>2021-2022</v>
      </c>
      <c r="F3" s="177"/>
    </row>
    <row r="4" spans="1:8" ht="12.75" customHeight="1">
      <c r="B4" s="176"/>
    </row>
    <row r="5" spans="1:8" ht="12.75" customHeight="1">
      <c r="B5" s="176"/>
      <c r="C5" s="179" t="s">
        <v>922</v>
      </c>
      <c r="D5" s="179" t="s">
        <v>922</v>
      </c>
      <c r="E5" s="179" t="s">
        <v>922</v>
      </c>
      <c r="F5" s="436"/>
    </row>
    <row r="6" spans="1:8" ht="12.75" customHeight="1">
      <c r="A6" s="180"/>
      <c r="B6" s="181" t="s">
        <v>854</v>
      </c>
      <c r="C6" s="182" t="str">
        <f>OpenData!N4</f>
        <v>2019-2020</v>
      </c>
      <c r="D6" s="182" t="str">
        <f>OpenData!O4</f>
        <v>2020-2021</v>
      </c>
      <c r="E6" s="182" t="str">
        <f>OpenData!P4</f>
        <v>2021-2022</v>
      </c>
      <c r="F6" s="436"/>
    </row>
    <row r="7" spans="1:8" ht="12.75" customHeight="1">
      <c r="A7" s="180" t="s">
        <v>4914</v>
      </c>
      <c r="B7" s="183">
        <v>45</v>
      </c>
      <c r="C7" s="184" t="s">
        <v>893</v>
      </c>
      <c r="D7" s="184" t="s">
        <v>893</v>
      </c>
      <c r="E7" s="184" t="s">
        <v>923</v>
      </c>
      <c r="F7" s="436"/>
    </row>
    <row r="8" spans="1:8" ht="12.75" customHeight="1">
      <c r="A8" s="185"/>
      <c r="B8" s="186" t="s">
        <v>858</v>
      </c>
      <c r="C8" s="187">
        <v>1</v>
      </c>
      <c r="D8" s="187">
        <v>2</v>
      </c>
      <c r="E8" s="187">
        <v>3</v>
      </c>
      <c r="F8" s="437"/>
    </row>
    <row r="9" spans="1:8" ht="12.75" customHeight="1">
      <c r="A9" s="188" t="s">
        <v>1043</v>
      </c>
      <c r="B9" s="186">
        <v>1</v>
      </c>
      <c r="C9" s="189"/>
      <c r="D9" s="441">
        <f>C32</f>
        <v>0</v>
      </c>
      <c r="E9" s="190">
        <f>D32</f>
        <v>0</v>
      </c>
      <c r="F9" s="434"/>
    </row>
    <row r="10" spans="1:8" ht="12.75" customHeight="1">
      <c r="A10" s="3974" t="s">
        <v>4940</v>
      </c>
      <c r="B10" s="183">
        <v>3</v>
      </c>
      <c r="C10" s="193"/>
      <c r="D10" s="193"/>
      <c r="E10" s="2979"/>
      <c r="F10" s="434"/>
    </row>
    <row r="11" spans="1:8" ht="12.75" customHeight="1">
      <c r="A11" s="2960"/>
      <c r="B11" s="4216"/>
      <c r="C11" s="4216"/>
      <c r="D11" s="4216"/>
      <c r="E11" s="4621"/>
      <c r="F11" s="434"/>
    </row>
    <row r="12" spans="1:8" ht="12.75" customHeight="1">
      <c r="A12" s="4217" t="s">
        <v>4767</v>
      </c>
      <c r="B12" s="4218"/>
      <c r="C12" s="4218"/>
      <c r="D12" s="4218"/>
      <c r="E12" s="4219"/>
      <c r="F12" s="434"/>
    </row>
    <row r="13" spans="1:8" ht="12.75" customHeight="1">
      <c r="A13" s="2272" t="s">
        <v>13</v>
      </c>
      <c r="B13" s="2967"/>
      <c r="C13" s="2967"/>
      <c r="D13" s="2967"/>
      <c r="E13" s="2273"/>
      <c r="F13" s="434"/>
    </row>
    <row r="14" spans="1:8" ht="12.75" customHeight="1">
      <c r="A14" s="2272" t="s">
        <v>14</v>
      </c>
      <c r="B14" s="2967"/>
      <c r="C14" s="2967"/>
      <c r="D14" s="2967"/>
      <c r="E14" s="2273"/>
      <c r="F14" s="434"/>
    </row>
    <row r="15" spans="1:8" ht="12.75" customHeight="1">
      <c r="A15" s="2961" t="str">
        <f>OpenData!N8</f>
        <v xml:space="preserve">    2018 $</v>
      </c>
      <c r="B15" s="2968">
        <v>5</v>
      </c>
      <c r="C15" s="870"/>
      <c r="D15" s="2977"/>
      <c r="E15" s="2977"/>
      <c r="F15" s="434"/>
      <c r="H15" s="316"/>
    </row>
    <row r="16" spans="1:8" ht="12.75" customHeight="1">
      <c r="A16" s="2961" t="str">
        <f>OpenData!N9</f>
        <v xml:space="preserve">    2019 $</v>
      </c>
      <c r="B16" s="2969">
        <v>10</v>
      </c>
      <c r="C16" s="2970"/>
      <c r="D16" s="870"/>
      <c r="E16" s="2977"/>
      <c r="F16" s="434"/>
    </row>
    <row r="17" spans="1:12" ht="12.75" customHeight="1">
      <c r="A17" s="2961" t="str">
        <f>OpenData!N10</f>
        <v xml:space="preserve">    2020 $</v>
      </c>
      <c r="B17" s="2968">
        <v>15</v>
      </c>
      <c r="C17" s="2979"/>
      <c r="D17" s="2011">
        <f>'C04'!$E$21</f>
        <v>0</v>
      </c>
      <c r="E17" s="2965">
        <f>'F110'!$I$172</f>
        <v>0</v>
      </c>
      <c r="F17" s="434"/>
      <c r="I17" s="690" t="s">
        <v>5008</v>
      </c>
    </row>
    <row r="18" spans="1:12" ht="12.75" customHeight="1">
      <c r="A18" s="2962" t="str">
        <f>OpenData!N11</f>
        <v xml:space="preserve">    2021 $</v>
      </c>
      <c r="B18" s="2969">
        <v>20</v>
      </c>
      <c r="C18" s="2977"/>
      <c r="D18" s="2971"/>
      <c r="E18" s="2966">
        <v>0</v>
      </c>
      <c r="F18" s="434"/>
      <c r="I18" s="690" t="s">
        <v>5009</v>
      </c>
    </row>
    <row r="19" spans="1:12" ht="12.75" customHeight="1">
      <c r="A19" s="2962" t="s">
        <v>1376</v>
      </c>
      <c r="B19" s="2969">
        <v>25</v>
      </c>
      <c r="C19" s="870"/>
      <c r="D19" s="870"/>
      <c r="E19" s="2966">
        <f>0.667*'F110'!$I$176</f>
        <v>0</v>
      </c>
      <c r="F19" s="434"/>
      <c r="I19" s="690" t="s">
        <v>5010</v>
      </c>
    </row>
    <row r="20" spans="1:12" ht="12.75" customHeight="1">
      <c r="A20" s="2270" t="s">
        <v>21</v>
      </c>
      <c r="B20" s="2972"/>
      <c r="C20" s="2972"/>
      <c r="D20" s="2972"/>
      <c r="E20" s="2271"/>
      <c r="F20" s="434"/>
      <c r="H20" s="440"/>
      <c r="I20" s="440"/>
      <c r="J20" s="440"/>
      <c r="K20" s="440"/>
    </row>
    <row r="21" spans="1:12" ht="12.75" customHeight="1">
      <c r="A21" s="2961" t="s">
        <v>242</v>
      </c>
      <c r="B21" s="2968">
        <v>45</v>
      </c>
      <c r="C21" s="870"/>
      <c r="D21" s="870"/>
      <c r="E21" s="2965">
        <f>IF(ISERROR('F194'!$H$31+'F194'!$H$88+'F194'!$P$88+'F194'!$P$31),0,('F194'!$H$31+'F194'!$H$88+'F194'!$P$31+'F194'!$P$88))</f>
        <v>0</v>
      </c>
      <c r="F21" s="434"/>
      <c r="G21" s="440"/>
      <c r="H21" s="724"/>
      <c r="I21" s="725"/>
      <c r="J21" s="725"/>
      <c r="K21" s="726"/>
    </row>
    <row r="22" spans="1:12" ht="12.75" customHeight="1">
      <c r="A22" s="2961" t="s">
        <v>23</v>
      </c>
      <c r="B22" s="2968">
        <v>55</v>
      </c>
      <c r="C22" s="2973"/>
      <c r="D22" s="2973"/>
      <c r="E22" s="2965">
        <f>IF(ISERROR('F194'!$L$88+'F194'!$L$31),0,('F194'!$L$88+'F194'!$L$31))</f>
        <v>0</v>
      </c>
      <c r="F22" s="434"/>
      <c r="G22" s="440"/>
      <c r="H22" s="727">
        <f>OPEN!A96</f>
        <v>0</v>
      </c>
      <c r="I22" s="440" t="s">
        <v>1070</v>
      </c>
      <c r="J22" s="440"/>
      <c r="K22" s="728"/>
    </row>
    <row r="23" spans="1:12" ht="12.75" customHeight="1">
      <c r="A23" s="2963" t="s">
        <v>1374</v>
      </c>
      <c r="B23" s="2974">
        <v>57</v>
      </c>
      <c r="C23" s="2975"/>
      <c r="D23" s="2975"/>
      <c r="E23" s="2965">
        <f>IF(ISERROR('F194'!$R$88+'F194'!$R$31),0,('F194'!$R$88+'F194'!$R$31))</f>
        <v>0</v>
      </c>
      <c r="F23" s="434"/>
      <c r="G23" s="440"/>
      <c r="H23" s="727">
        <f>E17+E19+E21+E22+E23</f>
        <v>0</v>
      </c>
      <c r="I23" s="440" t="s">
        <v>1684</v>
      </c>
      <c r="J23" s="440"/>
      <c r="K23" s="728"/>
    </row>
    <row r="24" spans="1:12" ht="12.75" customHeight="1">
      <c r="A24" s="2961" t="s">
        <v>1387</v>
      </c>
      <c r="B24" s="2968">
        <v>60</v>
      </c>
      <c r="C24" s="870"/>
      <c r="D24" s="870"/>
      <c r="E24" s="2965">
        <f>IF(ISERROR('F194'!$N$88+'F194'!$N$31),0,('F194'!$N$88+'F194'!$N$31))</f>
        <v>0</v>
      </c>
      <c r="F24" s="434"/>
      <c r="G24" s="440"/>
      <c r="H24" s="729">
        <f>'F110'!$I$44/100</f>
        <v>0.88</v>
      </c>
      <c r="I24" s="440" t="s">
        <v>1071</v>
      </c>
      <c r="J24" s="440"/>
      <c r="K24" s="728"/>
    </row>
    <row r="25" spans="1:12" ht="12.75" customHeight="1">
      <c r="A25" s="2964" t="s">
        <v>42</v>
      </c>
      <c r="B25" s="2976">
        <v>70</v>
      </c>
      <c r="C25" s="2977">
        <f>SUM(C9:C24)</f>
        <v>0</v>
      </c>
      <c r="D25" s="2977">
        <f>SUM(D9:D24)</f>
        <v>0</v>
      </c>
      <c r="E25" s="1650">
        <f>SUM(E9:E24)</f>
        <v>0</v>
      </c>
      <c r="F25" s="434"/>
      <c r="G25" s="440"/>
      <c r="H25" s="730">
        <f>'F110'!$I$178/100</f>
        <v>0</v>
      </c>
      <c r="I25" s="440" t="s">
        <v>1072</v>
      </c>
      <c r="J25" s="440"/>
      <c r="K25" s="728"/>
      <c r="L25" s="440"/>
    </row>
    <row r="26" spans="1:12" ht="12.75" customHeight="1">
      <c r="A26" s="2292"/>
      <c r="B26" s="4220"/>
      <c r="C26" s="4220"/>
      <c r="D26" s="4220"/>
      <c r="E26" s="2293"/>
      <c r="F26" s="434"/>
      <c r="G26" s="440"/>
      <c r="H26" s="727">
        <f>(H25-H24)*H22</f>
        <v>0</v>
      </c>
      <c r="I26" s="440" t="s">
        <v>1073</v>
      </c>
      <c r="J26" s="440"/>
      <c r="K26" s="728"/>
    </row>
    <row r="27" spans="1:12" ht="12.75" customHeight="1" thickBot="1">
      <c r="A27" s="4221" t="s">
        <v>60</v>
      </c>
      <c r="B27" s="4222"/>
      <c r="C27" s="4222"/>
      <c r="D27" s="4222"/>
      <c r="E27" s="4223"/>
      <c r="F27" s="434"/>
      <c r="G27" s="440"/>
      <c r="H27" s="627"/>
      <c r="I27" s="731" t="s">
        <v>1074</v>
      </c>
      <c r="J27" s="440"/>
      <c r="K27" s="728"/>
    </row>
    <row r="28" spans="1:12" ht="12.75" customHeight="1" thickTop="1">
      <c r="A28" s="2274" t="s">
        <v>792</v>
      </c>
      <c r="B28" s="2978"/>
      <c r="C28" s="2978"/>
      <c r="D28" s="2978"/>
      <c r="E28" s="2275"/>
      <c r="F28" s="434"/>
      <c r="G28" s="440"/>
      <c r="H28" s="732"/>
      <c r="I28" s="440"/>
      <c r="J28" s="440"/>
      <c r="K28" s="728"/>
    </row>
    <row r="29" spans="1:12" ht="12.75" customHeight="1">
      <c r="A29" s="2274" t="s">
        <v>258</v>
      </c>
      <c r="B29" s="2978"/>
      <c r="C29" s="2978"/>
      <c r="D29" s="2978"/>
      <c r="E29" s="2275"/>
      <c r="F29" s="434"/>
      <c r="G29" s="440"/>
      <c r="H29" s="733">
        <f>(H22*H24)+H23+H26+H27</f>
        <v>0</v>
      </c>
      <c r="I29" s="690" t="s">
        <v>1364</v>
      </c>
      <c r="J29" s="440"/>
      <c r="K29" s="728"/>
    </row>
    <row r="30" spans="1:12" ht="12.75" customHeight="1">
      <c r="A30" s="202" t="s">
        <v>679</v>
      </c>
      <c r="B30" s="203">
        <v>75</v>
      </c>
      <c r="C30" s="189"/>
      <c r="D30" s="189"/>
      <c r="E30" s="871">
        <f>'F150'!E38</f>
        <v>0</v>
      </c>
      <c r="F30" s="434"/>
      <c r="G30" s="440"/>
      <c r="H30" s="734"/>
      <c r="I30" s="440"/>
      <c r="J30" s="440"/>
      <c r="K30" s="728"/>
    </row>
    <row r="31" spans="1:12" ht="12.75" customHeight="1">
      <c r="A31" s="199" t="s">
        <v>666</v>
      </c>
      <c r="B31" s="200">
        <v>175</v>
      </c>
      <c r="C31" s="191">
        <f>SUM(C27:C30)</f>
        <v>0</v>
      </c>
      <c r="D31" s="191">
        <f>SUM(D27:D30)</f>
        <v>0</v>
      </c>
      <c r="E31" s="191">
        <f>SUM(E27:E30)</f>
        <v>0</v>
      </c>
      <c r="F31" s="434"/>
      <c r="G31" s="440"/>
      <c r="H31" s="732"/>
      <c r="I31" s="440"/>
      <c r="J31" s="440"/>
      <c r="K31" s="728"/>
    </row>
    <row r="32" spans="1:12" ht="12.75" customHeight="1">
      <c r="A32" s="202" t="s">
        <v>935</v>
      </c>
      <c r="B32" s="203">
        <v>190</v>
      </c>
      <c r="C32" s="191">
        <f>SUM(C25-C31)</f>
        <v>0</v>
      </c>
      <c r="D32" s="191">
        <f>SUM(D25-D31)</f>
        <v>0</v>
      </c>
      <c r="E32" s="3810" t="s">
        <v>4905</v>
      </c>
      <c r="F32" s="434"/>
      <c r="G32" s="440"/>
      <c r="H32" s="732"/>
      <c r="I32" s="440"/>
      <c r="J32" s="440"/>
      <c r="K32" s="728"/>
    </row>
    <row r="33" spans="1:11" ht="12.75" customHeight="1">
      <c r="A33" s="6152" t="s">
        <v>5132</v>
      </c>
      <c r="B33" s="203">
        <v>195</v>
      </c>
      <c r="C33" s="459" t="s">
        <v>5143</v>
      </c>
      <c r="D33" s="282"/>
      <c r="E33" s="2011">
        <f>E31-E25</f>
        <v>0</v>
      </c>
      <c r="F33" s="434"/>
      <c r="G33" s="440"/>
      <c r="H33" s="735"/>
      <c r="I33" s="736"/>
      <c r="J33" s="736"/>
      <c r="K33" s="737"/>
    </row>
    <row r="34" spans="1:11" ht="12.75" customHeight="1">
      <c r="A34" s="6153"/>
      <c r="B34" s="200">
        <v>200</v>
      </c>
      <c r="C34" s="204" t="s">
        <v>668</v>
      </c>
      <c r="D34" s="205"/>
      <c r="E34" s="2011">
        <f>E33*'C01'!E97/100</f>
        <v>0</v>
      </c>
      <c r="F34" s="439"/>
      <c r="J34" s="725"/>
      <c r="K34" s="725"/>
    </row>
    <row r="35" spans="1:11" ht="12.75" customHeight="1">
      <c r="A35" s="6153"/>
      <c r="B35" s="200">
        <v>205</v>
      </c>
      <c r="C35" s="204" t="str">
        <f>OpenData!N6</f>
        <v>Amount of 2021 Tax to be Levied</v>
      </c>
      <c r="D35" s="205"/>
      <c r="E35" s="2011">
        <f>E34+E33</f>
        <v>0</v>
      </c>
      <c r="F35" s="435"/>
      <c r="K35" s="440"/>
    </row>
    <row r="36" spans="1:11" ht="12.75" customHeight="1">
      <c r="A36" s="6141"/>
      <c r="B36" s="6141"/>
      <c r="C36" s="6141"/>
      <c r="D36" s="6141"/>
      <c r="E36" s="6141"/>
      <c r="F36" s="434"/>
      <c r="H36" s="347" t="s">
        <v>322</v>
      </c>
      <c r="I36" s="348">
        <f>IF(ISERROR(E35/OPEN!A15*1000),"See errors below",E35/OPEN!A15*1000)</f>
        <v>0</v>
      </c>
    </row>
    <row r="37" spans="1:11" ht="12.75" customHeight="1">
      <c r="B37" s="179"/>
      <c r="F37" s="434"/>
      <c r="H37" s="349" t="str">
        <f>OpenData!N40</f>
        <v/>
      </c>
    </row>
    <row r="38" spans="1:11" ht="12.75" customHeight="1">
      <c r="B38" s="393"/>
      <c r="F38" s="434"/>
      <c r="G38" s="738"/>
    </row>
    <row r="39" spans="1:11" ht="12.75" customHeight="1">
      <c r="B39" s="179"/>
      <c r="F39" s="434"/>
    </row>
    <row r="40" spans="1:11" ht="12.75" customHeight="1">
      <c r="B40" s="179"/>
      <c r="F40" s="439"/>
    </row>
    <row r="41" spans="1:11" ht="12.75" customHeight="1">
      <c r="B41" s="394" t="s">
        <v>1013</v>
      </c>
    </row>
    <row r="42" spans="1:11" ht="12.75" customHeight="1">
      <c r="B42" s="179"/>
    </row>
    <row r="43" spans="1:11" ht="12.75" customHeight="1">
      <c r="B43" s="179"/>
    </row>
    <row r="44" spans="1:11" ht="12.75" customHeight="1">
      <c r="B44" s="179"/>
    </row>
  </sheetData>
  <sheetProtection algorithmName="SHA-512" hashValue="05qVnq5X5nQYcAQ0LkdPwqM8Jv4hyFpXmT0KAc52qqU/2U2mhxHwGADcU4cwkX6ff8KnJR/W+ivPYXsEioUY5g==" saltValue="uzFDvSPL6xtASjt9whuIuQ==" spinCount="100000" sheet="1" objects="1" scenarios="1"/>
  <mergeCells count="4">
    <mergeCell ref="A36:E36"/>
    <mergeCell ref="D1:E1"/>
    <mergeCell ref="D2:E2"/>
    <mergeCell ref="A33:A35"/>
  </mergeCells>
  <phoneticPr fontId="13" type="noConversion"/>
  <dataValidations count="3">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a zero." sqref="C30:D30 C15 C16:D16 C19:D19 C21:D24 F35 C10:D10">
      <formula1>0</formula1>
    </dataValidation>
    <dataValidation operator="greaterThanOrEqual" errorTitle="Invalid Data Entry" error="Please enter a positive number or press the delete key or enter a zero." sqref="E30"/>
  </dataValidations>
  <hyperlinks>
    <hyperlink ref="H1" location="Contents!F1" display="Return to Contents page"/>
  </hyperlinks>
  <printOptions horizontalCentered="1"/>
  <pageMargins left="0.75" right="0.75" top="0.5" bottom="0.5" header="0.3" footer="0.3"/>
  <pageSetup scale="86" fitToHeight="0" orientation="portrait" blackAndWhite="1" r:id="rId1"/>
  <headerFooter scaleWithDoc="0">
    <oddFooter>&amp;L&amp;"Open Sans Light,Regular"&amp;8&amp;D    &amp;T&amp;C&amp;"Open Sans Light,Regular"&amp;8Page &amp;P&amp;R&amp;"Open Sans Light,Regular"&amp;8&amp;A</oddFooter>
  </headerFooter>
  <drawing r:id="rId2"/>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4" tint="0.39997558519241921"/>
  </sheetPr>
  <dimension ref="A1:Z56"/>
  <sheetViews>
    <sheetView showGridLines="0" workbookViewId="0">
      <pane ySplit="8" topLeftCell="A30" activePane="bottomLeft" state="frozen"/>
      <selection activeCell="B22" sqref="B22"/>
      <selection pane="bottomLeft" activeCell="B22" sqref="B22"/>
    </sheetView>
  </sheetViews>
  <sheetFormatPr defaultColWidth="10.6640625" defaultRowHeight="12.75" customHeight="1"/>
  <cols>
    <col min="1" max="1" width="40.6640625" style="210" customWidth="1"/>
    <col min="2" max="2" width="5.6640625" style="1424" customWidth="1"/>
    <col min="3" max="5" width="14.33203125" style="1425" customWidth="1"/>
    <col min="6" max="6" width="2.33203125" style="210" customWidth="1"/>
    <col min="7" max="7" width="20.88671875" style="210" customWidth="1"/>
    <col min="8" max="8" width="20.6640625" style="210" customWidth="1"/>
    <col min="9" max="26" width="10.6640625" style="210"/>
    <col min="27" max="16384" width="10.6640625" style="209"/>
  </cols>
  <sheetData>
    <row r="1" spans="1:7" ht="12.75" customHeight="1">
      <c r="A1" s="1403" t="s">
        <v>809</v>
      </c>
      <c r="B1" s="4153">
        <f>OPEN!$B$4</f>
        <v>237</v>
      </c>
      <c r="C1" s="1401"/>
      <c r="D1" s="6154" t="s">
        <v>836</v>
      </c>
      <c r="E1" s="6154"/>
      <c r="F1" s="208"/>
      <c r="G1" s="304" t="s">
        <v>754</v>
      </c>
    </row>
    <row r="2" spans="1:7" ht="12.75" customHeight="1">
      <c r="A2" s="1401"/>
      <c r="B2" s="1402"/>
      <c r="C2" s="1401"/>
      <c r="D2" s="6154" t="s">
        <v>921</v>
      </c>
      <c r="E2" s="6154"/>
      <c r="F2" s="208"/>
      <c r="G2" s="208"/>
    </row>
    <row r="3" spans="1:7" ht="12.75" customHeight="1">
      <c r="A3" s="1401"/>
      <c r="B3" s="1402"/>
      <c r="C3" s="1401"/>
      <c r="D3" s="1401"/>
      <c r="E3" s="1403" t="str">
        <f>OpenData!N2</f>
        <v>2021-2022</v>
      </c>
      <c r="F3" s="208"/>
      <c r="G3" s="208"/>
    </row>
    <row r="4" spans="1:7" ht="12.75" customHeight="1">
      <c r="A4" s="1401"/>
      <c r="B4" s="1402"/>
      <c r="C4" s="1401"/>
      <c r="D4" s="1401"/>
      <c r="E4" s="1401"/>
      <c r="F4" s="208"/>
      <c r="G4" s="208"/>
    </row>
    <row r="5" spans="1:7" ht="12.75" customHeight="1">
      <c r="A5" s="1401"/>
      <c r="B5" s="1402"/>
      <c r="C5" s="1404" t="s">
        <v>922</v>
      </c>
      <c r="D5" s="1404" t="s">
        <v>922</v>
      </c>
      <c r="E5" s="1405"/>
      <c r="F5" s="208"/>
      <c r="G5" s="208"/>
    </row>
    <row r="6" spans="1:7" ht="12.75" customHeight="1">
      <c r="A6" s="1426"/>
      <c r="B6" s="1406" t="s">
        <v>854</v>
      </c>
      <c r="C6" s="1407" t="str">
        <f>OpenData!N4</f>
        <v>2019-2020</v>
      </c>
      <c r="D6" s="1407" t="str">
        <f>OpenData!O4</f>
        <v>2020-2021</v>
      </c>
      <c r="E6" s="1407" t="str">
        <f>OpenData!P4</f>
        <v>2021-2022</v>
      </c>
      <c r="F6" s="208"/>
      <c r="G6" s="208"/>
    </row>
    <row r="7" spans="1:7" ht="12.75" customHeight="1">
      <c r="A7" s="1426" t="s">
        <v>4784</v>
      </c>
      <c r="B7" s="1408">
        <v>47</v>
      </c>
      <c r="C7" s="1409" t="s">
        <v>893</v>
      </c>
      <c r="D7" s="1409" t="s">
        <v>893</v>
      </c>
      <c r="E7" s="1409" t="s">
        <v>893</v>
      </c>
      <c r="F7" s="208"/>
      <c r="G7" s="208"/>
    </row>
    <row r="8" spans="1:7" ht="12.75" customHeight="1">
      <c r="A8" s="1427"/>
      <c r="B8" s="1410" t="s">
        <v>858</v>
      </c>
      <c r="C8" s="1411">
        <v>1</v>
      </c>
      <c r="D8" s="1411">
        <v>2</v>
      </c>
      <c r="E8" s="1411">
        <v>3</v>
      </c>
      <c r="F8" s="208"/>
      <c r="G8" s="208"/>
    </row>
    <row r="9" spans="1:7" ht="12.75" customHeight="1">
      <c r="A9" s="1428" t="s">
        <v>1043</v>
      </c>
      <c r="B9" s="1410">
        <v>1</v>
      </c>
      <c r="C9" s="1412"/>
      <c r="D9" s="1413">
        <f>C47</f>
        <v>0</v>
      </c>
      <c r="E9" s="1414">
        <f>D47</f>
        <v>0</v>
      </c>
      <c r="F9" s="208"/>
      <c r="G9" s="208"/>
    </row>
    <row r="10" spans="1:7" ht="12.75" customHeight="1">
      <c r="A10" s="3974" t="s">
        <v>4940</v>
      </c>
      <c r="B10" s="1408">
        <v>3</v>
      </c>
      <c r="C10" s="1415"/>
      <c r="D10" s="1415"/>
      <c r="E10" s="2959"/>
      <c r="F10" s="208"/>
      <c r="G10" s="208"/>
    </row>
    <row r="11" spans="1:7" ht="12.75" customHeight="1">
      <c r="A11" s="2295"/>
      <c r="B11" s="4208"/>
      <c r="C11" s="4208"/>
      <c r="D11" s="4208"/>
      <c r="E11" s="2938"/>
      <c r="F11" s="208"/>
      <c r="G11" s="208"/>
    </row>
    <row r="12" spans="1:7" ht="12.75" customHeight="1">
      <c r="A12" s="4209" t="s">
        <v>4767</v>
      </c>
      <c r="B12" s="4210"/>
      <c r="C12" s="4210"/>
      <c r="D12" s="4210"/>
      <c r="E12" s="4211"/>
      <c r="F12" s="208"/>
      <c r="G12" s="208"/>
    </row>
    <row r="13" spans="1:7" ht="12.75" customHeight="1">
      <c r="A13" s="2937" t="s">
        <v>13</v>
      </c>
      <c r="B13" s="2944"/>
      <c r="C13" s="2944"/>
      <c r="D13" s="2944"/>
      <c r="E13" s="2938"/>
      <c r="F13" s="208"/>
      <c r="G13" s="208"/>
    </row>
    <row r="14" spans="1:7" ht="12.75" customHeight="1">
      <c r="A14" s="2939" t="s">
        <v>71</v>
      </c>
      <c r="B14" s="2935">
        <v>5</v>
      </c>
      <c r="C14" s="2936"/>
      <c r="D14" s="2936"/>
      <c r="E14" s="2953"/>
      <c r="F14" s="208"/>
      <c r="G14" s="208"/>
    </row>
    <row r="15" spans="1:7" ht="12.75" customHeight="1">
      <c r="A15" s="2940" t="s">
        <v>840</v>
      </c>
      <c r="B15" s="2945">
        <v>7</v>
      </c>
      <c r="C15" s="2946"/>
      <c r="D15" s="2946"/>
      <c r="E15" s="2953"/>
      <c r="F15" s="208"/>
      <c r="G15" s="208"/>
    </row>
    <row r="16" spans="1:7" ht="12.75" customHeight="1">
      <c r="A16" s="2940" t="s">
        <v>841</v>
      </c>
      <c r="B16" s="2945">
        <v>10</v>
      </c>
      <c r="C16" s="2946"/>
      <c r="D16" s="2946"/>
      <c r="E16" s="2953"/>
      <c r="F16" s="208"/>
      <c r="G16" s="739"/>
    </row>
    <row r="17" spans="1:7" ht="12.75" customHeight="1">
      <c r="A17" s="2939" t="s">
        <v>842</v>
      </c>
      <c r="B17" s="2935">
        <v>12</v>
      </c>
      <c r="C17" s="2946"/>
      <c r="D17" s="2946"/>
      <c r="E17" s="2953"/>
      <c r="F17" s="208"/>
      <c r="G17" s="208"/>
    </row>
    <row r="18" spans="1:7" ht="12.75" customHeight="1">
      <c r="A18" s="2939" t="s">
        <v>843</v>
      </c>
      <c r="B18" s="2935">
        <v>15</v>
      </c>
      <c r="C18" s="2946"/>
      <c r="D18" s="2946"/>
      <c r="E18" s="2953"/>
      <c r="F18" s="208"/>
      <c r="G18" s="208"/>
    </row>
    <row r="19" spans="1:7" ht="25.5" customHeight="1">
      <c r="A19" s="4215" t="s">
        <v>5131</v>
      </c>
      <c r="B19" s="2935">
        <v>20</v>
      </c>
      <c r="C19" s="2946"/>
      <c r="D19" s="2946"/>
      <c r="E19" s="2953"/>
      <c r="F19" s="208"/>
      <c r="G19" s="208"/>
    </row>
    <row r="20" spans="1:7" ht="12.75" customHeight="1">
      <c r="A20" s="2939" t="s">
        <v>844</v>
      </c>
      <c r="B20" s="2935">
        <v>25</v>
      </c>
      <c r="C20" s="2946"/>
      <c r="D20" s="2946"/>
      <c r="E20" s="2953"/>
      <c r="F20" s="208"/>
      <c r="G20" s="208"/>
    </row>
    <row r="21" spans="1:7" ht="12.75" customHeight="1">
      <c r="A21" s="2939" t="s">
        <v>845</v>
      </c>
      <c r="B21" s="2935">
        <v>30</v>
      </c>
      <c r="C21" s="2946"/>
      <c r="D21" s="2946"/>
      <c r="E21" s="2953"/>
      <c r="F21" s="208"/>
      <c r="G21" s="208"/>
    </row>
    <row r="22" spans="1:7" ht="12.75" customHeight="1">
      <c r="A22" s="2939" t="s">
        <v>846</v>
      </c>
      <c r="B22" s="2935">
        <v>37</v>
      </c>
      <c r="C22" s="2946"/>
      <c r="D22" s="2946"/>
      <c r="E22" s="2953"/>
      <c r="F22" s="208"/>
      <c r="G22" s="208"/>
    </row>
    <row r="23" spans="1:7" ht="12.75" customHeight="1">
      <c r="A23" s="2939" t="s">
        <v>847</v>
      </c>
      <c r="B23" s="2935">
        <v>40</v>
      </c>
      <c r="C23" s="2946"/>
      <c r="D23" s="2946"/>
      <c r="E23" s="2953"/>
      <c r="F23" s="208"/>
      <c r="G23" s="208"/>
    </row>
    <row r="24" spans="1:7" ht="12.75" customHeight="1">
      <c r="A24" s="2939" t="s">
        <v>662</v>
      </c>
      <c r="B24" s="2935">
        <v>45</v>
      </c>
      <c r="C24" s="2946"/>
      <c r="D24" s="2946"/>
      <c r="E24" s="2953"/>
      <c r="F24" s="208"/>
      <c r="G24" s="208"/>
    </row>
    <row r="25" spans="1:7" ht="12.75" customHeight="1">
      <c r="A25" s="2939" t="s">
        <v>848</v>
      </c>
      <c r="B25" s="2935">
        <v>50</v>
      </c>
      <c r="C25" s="2946"/>
      <c r="D25" s="2946"/>
      <c r="E25" s="2953"/>
      <c r="F25" s="208"/>
      <c r="G25" s="208"/>
    </row>
    <row r="26" spans="1:7" ht="12.75" customHeight="1">
      <c r="A26" s="2939" t="s">
        <v>849</v>
      </c>
      <c r="B26" s="2935">
        <v>52</v>
      </c>
      <c r="C26" s="2946"/>
      <c r="D26" s="2946"/>
      <c r="E26" s="2953"/>
      <c r="F26" s="208"/>
      <c r="G26" s="208"/>
    </row>
    <row r="27" spans="1:7" ht="12.75" customHeight="1">
      <c r="A27" s="2939" t="s">
        <v>850</v>
      </c>
      <c r="B27" s="2935">
        <v>55</v>
      </c>
      <c r="C27" s="2946"/>
      <c r="D27" s="2946"/>
      <c r="E27" s="2954"/>
      <c r="F27" s="208"/>
      <c r="G27" s="740"/>
    </row>
    <row r="28" spans="1:7" ht="12.75" customHeight="1">
      <c r="A28" s="2939" t="s">
        <v>3044</v>
      </c>
      <c r="B28" s="2935">
        <v>65</v>
      </c>
      <c r="C28" s="2946"/>
      <c r="D28" s="2946"/>
      <c r="E28" s="2953"/>
      <c r="F28" s="208"/>
      <c r="G28" s="208"/>
    </row>
    <row r="29" spans="1:7" ht="12.75" customHeight="1">
      <c r="A29" s="2939" t="s">
        <v>851</v>
      </c>
      <c r="B29" s="2947">
        <v>71</v>
      </c>
      <c r="C29" s="2946"/>
      <c r="D29" s="2936"/>
      <c r="E29" s="2953"/>
      <c r="F29" s="208"/>
      <c r="G29" s="208"/>
    </row>
    <row r="30" spans="1:7" ht="12.75" customHeight="1">
      <c r="A30" s="2939" t="s">
        <v>852</v>
      </c>
      <c r="B30" s="2935">
        <v>72</v>
      </c>
      <c r="C30" s="2946"/>
      <c r="D30" s="2936"/>
      <c r="E30" s="2953"/>
      <c r="F30" s="208"/>
      <c r="G30" s="208"/>
    </row>
    <row r="31" spans="1:7" ht="12.75" customHeight="1">
      <c r="A31" s="2939" t="s">
        <v>69</v>
      </c>
      <c r="B31" s="2935">
        <v>75</v>
      </c>
      <c r="C31" s="2948">
        <f>'C042'!C47</f>
        <v>0</v>
      </c>
      <c r="D31" s="2948">
        <f>'C042'!D47</f>
        <v>0</v>
      </c>
      <c r="E31" s="2953"/>
      <c r="F31" s="208"/>
      <c r="G31" s="208"/>
    </row>
    <row r="32" spans="1:7" ht="12.75" customHeight="1">
      <c r="A32" s="2941" t="s">
        <v>4552</v>
      </c>
      <c r="B32" s="2947">
        <v>77</v>
      </c>
      <c r="C32" s="2949"/>
      <c r="D32" s="2949"/>
      <c r="E32" s="2953"/>
      <c r="F32" s="208"/>
      <c r="G32" s="208"/>
    </row>
    <row r="33" spans="1:8" ht="12.75" customHeight="1">
      <c r="A33" s="2941" t="s">
        <v>239</v>
      </c>
      <c r="B33" s="2947">
        <v>78</v>
      </c>
      <c r="C33" s="2949"/>
      <c r="D33" s="2949"/>
      <c r="E33" s="2953"/>
      <c r="F33" s="208"/>
      <c r="G33" s="208"/>
    </row>
    <row r="34" spans="1:8" ht="12.75" customHeight="1">
      <c r="A34" s="2941" t="s">
        <v>1069</v>
      </c>
      <c r="B34" s="2947">
        <v>79</v>
      </c>
      <c r="C34" s="2012"/>
      <c r="D34" s="2012"/>
      <c r="E34" s="2955"/>
      <c r="F34" s="208"/>
      <c r="G34" s="208"/>
    </row>
    <row r="35" spans="1:8" ht="12.75" customHeight="1">
      <c r="A35" s="2296" t="s">
        <v>58</v>
      </c>
      <c r="B35" s="2950"/>
      <c r="C35" s="2950"/>
      <c r="D35" s="2950"/>
      <c r="E35" s="2943"/>
      <c r="F35" s="208"/>
      <c r="G35" s="208"/>
    </row>
    <row r="36" spans="1:8" ht="12.75" customHeight="1">
      <c r="A36" s="2941" t="s">
        <v>333</v>
      </c>
      <c r="B36" s="2951">
        <v>80</v>
      </c>
      <c r="C36" s="2952">
        <f>'C06'!C278</f>
        <v>0</v>
      </c>
      <c r="D36" s="2952">
        <f>'C06'!D278</f>
        <v>0</v>
      </c>
      <c r="E36" s="2953"/>
      <c r="F36" s="208"/>
      <c r="G36" s="208"/>
    </row>
    <row r="37" spans="1:8" ht="12.75" customHeight="1">
      <c r="A37" s="2941" t="s">
        <v>1686</v>
      </c>
      <c r="B37" s="2951">
        <v>81</v>
      </c>
      <c r="C37" s="2952">
        <f>'C08'!C283</f>
        <v>0</v>
      </c>
      <c r="D37" s="2952">
        <f>'C08'!D283</f>
        <v>0</v>
      </c>
      <c r="E37" s="2953"/>
      <c r="F37" s="208"/>
      <c r="G37" s="208"/>
    </row>
    <row r="38" spans="1:8" ht="12.75" customHeight="1">
      <c r="A38" s="2942" t="s">
        <v>42</v>
      </c>
      <c r="B38" s="1408">
        <v>82</v>
      </c>
      <c r="C38" s="4212">
        <f>SUM(C9:C37)</f>
        <v>0</v>
      </c>
      <c r="D38" s="4212">
        <f>SUM(D9:D37)</f>
        <v>0</v>
      </c>
      <c r="E38" s="2956"/>
      <c r="F38" s="208"/>
      <c r="G38" s="208"/>
    </row>
    <row r="39" spans="1:8" ht="12.75" customHeight="1">
      <c r="A39" s="2294"/>
      <c r="B39" s="4213"/>
      <c r="C39" s="4213"/>
      <c r="D39" s="4213"/>
      <c r="E39" s="4214"/>
      <c r="F39" s="208"/>
      <c r="G39" s="208"/>
    </row>
    <row r="40" spans="1:8" ht="12.75" customHeight="1">
      <c r="A40" s="4209" t="s">
        <v>60</v>
      </c>
      <c r="B40" s="4210"/>
      <c r="C40" s="4210"/>
      <c r="D40" s="4210"/>
      <c r="E40" s="4211"/>
      <c r="F40" s="208"/>
      <c r="G40" s="208"/>
    </row>
    <row r="41" spans="1:8" ht="12.75" customHeight="1">
      <c r="A41" s="2934" t="s">
        <v>122</v>
      </c>
      <c r="B41" s="2935">
        <v>85</v>
      </c>
      <c r="C41" s="2936"/>
      <c r="D41" s="2936"/>
      <c r="E41" s="2955"/>
      <c r="F41" s="208"/>
      <c r="G41" s="208"/>
    </row>
    <row r="42" spans="1:8" ht="12.75" customHeight="1">
      <c r="A42" s="1428" t="s">
        <v>281</v>
      </c>
      <c r="B42" s="1416">
        <v>90</v>
      </c>
      <c r="C42" s="1412"/>
      <c r="D42" s="1412"/>
      <c r="E42" s="2956"/>
      <c r="F42" s="208"/>
      <c r="G42" s="208"/>
    </row>
    <row r="43" spans="1:8" ht="12.75" customHeight="1">
      <c r="A43" s="1428" t="s">
        <v>282</v>
      </c>
      <c r="B43" s="1416">
        <v>95</v>
      </c>
      <c r="C43" s="1412"/>
      <c r="D43" s="1412"/>
      <c r="E43" s="2956"/>
      <c r="F43" s="208"/>
      <c r="G43" s="208"/>
    </row>
    <row r="44" spans="1:8" ht="12.75" customHeight="1">
      <c r="A44" s="1429" t="s">
        <v>853</v>
      </c>
      <c r="B44" s="1417">
        <v>100</v>
      </c>
      <c r="C44" s="1412"/>
      <c r="D44" s="1412"/>
      <c r="E44" s="2957"/>
      <c r="F44" s="208"/>
      <c r="G44" s="208"/>
      <c r="H44" s="741"/>
    </row>
    <row r="45" spans="1:8" ht="12.75" customHeight="1">
      <c r="A45" s="1430" t="s">
        <v>123</v>
      </c>
      <c r="B45" s="1418">
        <v>105</v>
      </c>
      <c r="C45" s="1415"/>
      <c r="D45" s="1415"/>
      <c r="E45" s="2956"/>
      <c r="F45" s="208"/>
      <c r="G45" s="208"/>
    </row>
    <row r="46" spans="1:8" ht="12.75" customHeight="1">
      <c r="A46" s="1431" t="s">
        <v>1687</v>
      </c>
      <c r="B46" s="1419">
        <v>175</v>
      </c>
      <c r="C46" s="1420">
        <f>SUM(C41:C45)</f>
        <v>0</v>
      </c>
      <c r="D46" s="1420">
        <f>SUM(D40:D45)</f>
        <v>0</v>
      </c>
      <c r="E46" s="2956"/>
      <c r="F46" s="208"/>
      <c r="G46" s="208"/>
    </row>
    <row r="47" spans="1:8" ht="12.75" customHeight="1">
      <c r="A47" s="1432" t="s">
        <v>247</v>
      </c>
      <c r="B47" s="1421">
        <v>190</v>
      </c>
      <c r="C47" s="1422">
        <f>SUM(C38-C46)</f>
        <v>0</v>
      </c>
      <c r="D47" s="1422">
        <f>SUM(D38-D46)</f>
        <v>0</v>
      </c>
      <c r="E47" s="2958"/>
      <c r="F47" s="208"/>
      <c r="G47" s="739"/>
    </row>
    <row r="48" spans="1:8" ht="12.75" customHeight="1">
      <c r="A48" s="208"/>
      <c r="B48" s="1423" t="s">
        <v>1013</v>
      </c>
      <c r="C48" s="1401"/>
      <c r="D48" s="1401"/>
      <c r="E48" s="1401"/>
      <c r="F48" s="208"/>
      <c r="G48" s="739"/>
    </row>
    <row r="49" spans="1:7" ht="12.75" customHeight="1">
      <c r="A49" s="208"/>
      <c r="B49" s="1404"/>
      <c r="C49" s="1401"/>
      <c r="D49" s="1401"/>
      <c r="E49" s="1401"/>
      <c r="F49" s="208"/>
      <c r="G49" s="208"/>
    </row>
    <row r="50" spans="1:7" ht="12.75" customHeight="1">
      <c r="A50" s="208"/>
      <c r="B50" s="1404"/>
      <c r="C50" s="1401"/>
      <c r="D50" s="1401"/>
      <c r="E50" s="1401"/>
      <c r="F50" s="208"/>
      <c r="G50" s="208"/>
    </row>
    <row r="51" spans="1:7" ht="12.75" customHeight="1">
      <c r="A51" s="208"/>
      <c r="B51" s="1401"/>
      <c r="C51" s="1401"/>
      <c r="D51" s="1401"/>
      <c r="E51" s="1401"/>
      <c r="F51" s="208"/>
      <c r="G51" s="208"/>
    </row>
    <row r="52" spans="1:7" ht="12.75" customHeight="1">
      <c r="A52" s="208"/>
      <c r="B52" s="1401"/>
      <c r="C52" s="1401"/>
      <c r="D52" s="1401"/>
      <c r="E52" s="1401"/>
      <c r="F52" s="208"/>
      <c r="G52" s="208"/>
    </row>
    <row r="53" spans="1:7" ht="12.75" customHeight="1">
      <c r="A53" s="208"/>
      <c r="B53" s="1401"/>
      <c r="C53" s="1401"/>
      <c r="D53" s="1401"/>
      <c r="E53" s="1401"/>
      <c r="F53" s="208"/>
      <c r="G53" s="208"/>
    </row>
    <row r="54" spans="1:7" ht="12.75" customHeight="1">
      <c r="A54" s="208"/>
      <c r="B54" s="1401"/>
      <c r="C54" s="1401"/>
      <c r="D54" s="1401"/>
      <c r="E54" s="1401"/>
      <c r="F54" s="208"/>
      <c r="G54" s="208"/>
    </row>
    <row r="55" spans="1:7" ht="12.75" customHeight="1">
      <c r="F55" s="208"/>
      <c r="G55" s="208"/>
    </row>
    <row r="56" spans="1:7" ht="12.75" customHeight="1">
      <c r="F56" s="208"/>
      <c r="G56" s="208"/>
    </row>
  </sheetData>
  <sheetProtection algorithmName="SHA-512" hashValue="uKAVQQ5rza34zWyifKXd1gJGkfTkdreo9zb2l98sU4WFUOQoz5fJ1gzpx7MgPUb1LX54/K+MZuNECbGhGfeDIA==" saltValue="Mj6op0wo9fowRRFme76MIw==" spinCount="100000" sheet="1" objects="1" scenarios="1"/>
  <mergeCells count="2">
    <mergeCell ref="D1:E1"/>
    <mergeCell ref="D2:E2"/>
  </mergeCells>
  <phoneticPr fontId="13" type="noConversion"/>
  <dataValidations count="2">
    <dataValidation type="whole" operator="greaterThanOrEqual" showInputMessage="1" showErrorMessage="1" errorTitle="Invalid Data Entry" error="Please enter a positive number or press the delete key or enter zero." sqref="C10:D10 C41:D45 C14:D34 C36:D37">
      <formula1>0</formula1>
    </dataValidation>
    <dataValidation type="whole" operator="greaterThanOrEqual" showInputMessage="1" showErrorMessage="1" errorTitle="Invalid beginning cash balance" error="Please enter a number or press the delete key or enter zero." sqref="C9">
      <formula1>-1000000000</formula1>
    </dataValidation>
  </dataValidations>
  <hyperlinks>
    <hyperlink ref="G1" location="Contents!F1" display="Return to Contents page"/>
  </hyperlinks>
  <printOptions horizontalCentered="1"/>
  <pageMargins left="0.75" right="0.75" top="0.5" bottom="0.5" header="0.3" footer="0.3"/>
  <pageSetup scale="86" fitToHeight="0" orientation="portrait" blackAndWhite="1" r:id="rId1"/>
  <headerFooter scaleWithDoc="0">
    <oddFooter>&amp;L&amp;"Open Sans Light,Regular"&amp;8&amp;D    &amp;T&amp;C&amp;"Open Sans Light,Regular"&amp;8Page &amp;P&amp;R&amp;"Open Sans Light,Regular"&amp;8&amp;A</oddFoot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theme="4" tint="0.39997558519241921"/>
  </sheetPr>
  <dimension ref="A1:BP49"/>
  <sheetViews>
    <sheetView showGridLines="0" workbookViewId="0">
      <pane ySplit="8" topLeftCell="A15" activePane="bottomLeft" state="frozen"/>
      <selection activeCell="B22" sqref="B22"/>
      <selection pane="bottomLeft"/>
    </sheetView>
  </sheetViews>
  <sheetFormatPr defaultColWidth="8.88671875" defaultRowHeight="12.75" customHeight="1"/>
  <cols>
    <col min="1" max="1" width="40.6640625" style="282" customWidth="1"/>
    <col min="2" max="2" width="5.6640625" style="936" customWidth="1"/>
    <col min="3" max="5" width="14.33203125" style="936" customWidth="1"/>
    <col min="6" max="6" width="3" style="282" customWidth="1"/>
    <col min="7" max="7" width="20.88671875" style="282" customWidth="1"/>
    <col min="8" max="8" width="15" style="282" customWidth="1"/>
    <col min="9" max="9" width="13.88671875" style="282" customWidth="1"/>
    <col min="10" max="12" width="9.109375" style="282"/>
    <col min="13" max="13" width="12.109375" style="282" customWidth="1"/>
    <col min="14" max="14" width="10.6640625" style="282" customWidth="1"/>
    <col min="15" max="15" width="10.88671875" style="282" customWidth="1"/>
    <col min="16" max="16" width="10.6640625" style="282" customWidth="1"/>
    <col min="17" max="17" width="11.109375" style="282" customWidth="1"/>
    <col min="18" max="18" width="11.33203125" style="282" customWidth="1"/>
    <col min="19" max="19" width="10.88671875" style="282" customWidth="1"/>
    <col min="20" max="32" width="9.109375" style="282"/>
    <col min="33" max="33" width="12" style="282" bestFit="1" customWidth="1"/>
    <col min="34" max="68" width="9.109375" style="282"/>
  </cols>
  <sheetData>
    <row r="1" spans="1:68" ht="12.75" customHeight="1">
      <c r="A1" s="1083" t="s">
        <v>809</v>
      </c>
      <c r="B1" s="4152">
        <f>OPEN!$B$4</f>
        <v>237</v>
      </c>
      <c r="C1" s="1084"/>
      <c r="D1" s="6115" t="s">
        <v>836</v>
      </c>
      <c r="E1" s="6115"/>
      <c r="G1" s="304" t="s">
        <v>754</v>
      </c>
    </row>
    <row r="2" spans="1:68" ht="12.75" customHeight="1">
      <c r="A2" s="1084"/>
      <c r="B2" s="1085"/>
      <c r="C2" s="1084"/>
      <c r="D2" s="6115" t="s">
        <v>921</v>
      </c>
      <c r="E2" s="6115"/>
    </row>
    <row r="3" spans="1:68" ht="12.75" customHeight="1">
      <c r="A3" s="1084"/>
      <c r="B3" s="1085"/>
      <c r="C3" s="1084"/>
      <c r="D3" s="1084"/>
      <c r="E3" s="1083" t="str">
        <f>OpenData!N2</f>
        <v>2021-2022</v>
      </c>
    </row>
    <row r="4" spans="1:68" ht="12.75" customHeight="1">
      <c r="A4" s="1084"/>
      <c r="B4" s="1085"/>
      <c r="C4" s="1084"/>
      <c r="D4" s="1084"/>
      <c r="E4" s="1084"/>
    </row>
    <row r="5" spans="1:68" ht="12.75" customHeight="1">
      <c r="A5" s="1084"/>
      <c r="B5" s="1085"/>
      <c r="C5" s="1086" t="s">
        <v>922</v>
      </c>
      <c r="D5" s="1086" t="s">
        <v>922</v>
      </c>
      <c r="E5" s="1086" t="s">
        <v>922</v>
      </c>
    </row>
    <row r="6" spans="1:68" ht="12.75" customHeight="1">
      <c r="A6" s="6155" t="s">
        <v>4785</v>
      </c>
      <c r="B6" s="1088" t="s">
        <v>854</v>
      </c>
      <c r="C6" s="1089" t="str">
        <f>OpenData!N4</f>
        <v>2019-2020</v>
      </c>
      <c r="D6" s="1089" t="str">
        <f>OpenData!O4</f>
        <v>2020-2021</v>
      </c>
      <c r="E6" s="1089" t="str">
        <f>OpenData!P4</f>
        <v>2021-2022</v>
      </c>
    </row>
    <row r="7" spans="1:68" ht="12.75" customHeight="1">
      <c r="A7" s="6155"/>
      <c r="B7" s="1433">
        <v>51</v>
      </c>
      <c r="C7" s="1091" t="s">
        <v>893</v>
      </c>
      <c r="D7" s="1091" t="s">
        <v>893</v>
      </c>
      <c r="E7" s="1091" t="s">
        <v>923</v>
      </c>
    </row>
    <row r="8" spans="1:68" ht="12.75" customHeight="1">
      <c r="A8" s="6156"/>
      <c r="B8" s="1093" t="s">
        <v>858</v>
      </c>
      <c r="C8" s="1107">
        <v>1</v>
      </c>
      <c r="D8" s="1107">
        <v>2</v>
      </c>
      <c r="E8" s="1107">
        <v>3</v>
      </c>
    </row>
    <row r="9" spans="1:68" ht="12.75" customHeight="1">
      <c r="A9" s="1095" t="s">
        <v>1043</v>
      </c>
      <c r="B9" s="1096">
        <v>1</v>
      </c>
      <c r="C9" s="4237" t="s">
        <v>4905</v>
      </c>
      <c r="D9" s="4238" t="s">
        <v>4905</v>
      </c>
      <c r="E9" s="4239" t="s">
        <v>4905</v>
      </c>
    </row>
    <row r="10" spans="1:68" ht="12.75" customHeight="1">
      <c r="A10" s="3974" t="s">
        <v>4940</v>
      </c>
      <c r="B10" s="4198">
        <v>3</v>
      </c>
      <c r="C10" s="2419" t="s">
        <v>4905</v>
      </c>
      <c r="D10" s="2420" t="s">
        <v>4905</v>
      </c>
      <c r="E10" s="2421" t="s">
        <v>4905</v>
      </c>
    </row>
    <row r="11" spans="1:68" s="667" customFormat="1" ht="12.75" customHeight="1">
      <c r="A11" s="2297"/>
      <c r="B11" s="4200"/>
      <c r="C11" s="4199"/>
      <c r="D11" s="4199"/>
      <c r="E11" s="2912"/>
      <c r="F11" s="898"/>
      <c r="G11" s="898"/>
      <c r="H11" s="898"/>
      <c r="I11" s="898"/>
      <c r="J11" s="898"/>
      <c r="K11" s="898"/>
      <c r="L11" s="898"/>
      <c r="M11" s="898"/>
      <c r="N11" s="898"/>
      <c r="O11" s="898"/>
      <c r="P11" s="898"/>
      <c r="Q11" s="898"/>
      <c r="R11" s="898"/>
      <c r="S11" s="898"/>
      <c r="T11" s="898"/>
      <c r="U11" s="898"/>
      <c r="V11" s="898"/>
      <c r="W11" s="898"/>
      <c r="X11" s="898"/>
      <c r="Y11" s="898"/>
      <c r="Z11" s="898"/>
      <c r="AA11" s="898"/>
      <c r="AB11" s="898"/>
      <c r="AC11" s="898"/>
      <c r="AD11" s="898"/>
      <c r="AE11" s="898"/>
      <c r="AF11" s="898"/>
      <c r="AG11" s="898"/>
      <c r="AH11" s="898"/>
      <c r="AI11" s="898"/>
      <c r="AJ11" s="898"/>
      <c r="AK11" s="898"/>
      <c r="AL11" s="898"/>
      <c r="AM11" s="898"/>
      <c r="AN11" s="898"/>
      <c r="AO11" s="898"/>
      <c r="AP11" s="898"/>
      <c r="AQ11" s="898"/>
      <c r="AR11" s="898"/>
      <c r="AS11" s="898"/>
      <c r="AT11" s="898"/>
      <c r="AU11" s="898"/>
      <c r="AV11" s="898"/>
      <c r="AW11" s="898"/>
      <c r="AX11" s="898"/>
      <c r="AY11" s="898"/>
      <c r="AZ11" s="898"/>
      <c r="BA11" s="898"/>
      <c r="BB11" s="898"/>
      <c r="BC11" s="898"/>
      <c r="BD11" s="898"/>
      <c r="BE11" s="898"/>
      <c r="BF11" s="898"/>
      <c r="BG11" s="898"/>
      <c r="BH11" s="898"/>
      <c r="BI11" s="898"/>
      <c r="BJ11" s="898"/>
      <c r="BK11" s="898"/>
      <c r="BL11" s="898"/>
      <c r="BM11" s="898"/>
      <c r="BN11" s="898"/>
      <c r="BO11" s="898"/>
      <c r="BP11" s="898"/>
    </row>
    <row r="12" spans="1:68" ht="12.75" customHeight="1">
      <c r="A12" s="4201" t="s">
        <v>4767</v>
      </c>
      <c r="B12" s="4202"/>
      <c r="C12" s="4202"/>
      <c r="D12" s="4202"/>
      <c r="E12" s="4203"/>
    </row>
    <row r="13" spans="1:68" ht="12.75" customHeight="1">
      <c r="A13" s="2913" t="s">
        <v>25</v>
      </c>
      <c r="B13" s="2925"/>
      <c r="C13" s="2925"/>
      <c r="D13" s="2925"/>
      <c r="E13" s="2912"/>
      <c r="G13" s="380" t="s">
        <v>252</v>
      </c>
      <c r="I13" s="453"/>
      <c r="AD13" s="453"/>
    </row>
    <row r="14" spans="1:68" ht="12.75" customHeight="1">
      <c r="A14" s="2920" t="s">
        <v>638</v>
      </c>
      <c r="B14" s="2917">
        <v>5</v>
      </c>
      <c r="C14" s="2927">
        <f>VLOOKUP(B1,DATA!A4:'DATA'!BH289,29,FALSE)</f>
        <v>438469</v>
      </c>
      <c r="D14" s="2932">
        <f>VLOOKUP(B1,DATA!A4:BE289,30,FALSE)</f>
        <v>425144</v>
      </c>
      <c r="E14" s="2915">
        <f>'F195'!H27</f>
        <v>523777</v>
      </c>
      <c r="G14" s="381">
        <f>E14</f>
        <v>523777</v>
      </c>
      <c r="H14" s="317"/>
    </row>
    <row r="15" spans="1:68" s="472" customFormat="1" ht="12.75" customHeight="1">
      <c r="A15" s="2921" t="s">
        <v>42</v>
      </c>
      <c r="B15" s="1986">
        <v>70</v>
      </c>
      <c r="C15" s="1987">
        <f>C14</f>
        <v>438469</v>
      </c>
      <c r="D15" s="1987">
        <f>D14</f>
        <v>425144</v>
      </c>
      <c r="E15" s="1988">
        <f>E14</f>
        <v>523777</v>
      </c>
      <c r="F15" s="282"/>
      <c r="G15" s="381"/>
      <c r="H15" s="317"/>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282"/>
      <c r="AL15" s="282"/>
      <c r="AM15" s="282"/>
      <c r="AN15" s="282"/>
      <c r="AO15" s="282"/>
      <c r="AP15" s="282"/>
      <c r="AQ15" s="282"/>
      <c r="AR15" s="282"/>
      <c r="AS15" s="282"/>
      <c r="AT15" s="282"/>
      <c r="AU15" s="282"/>
      <c r="AV15" s="282"/>
      <c r="AW15" s="282"/>
      <c r="AX15" s="282"/>
      <c r="AY15" s="282"/>
      <c r="AZ15" s="282"/>
      <c r="BA15" s="282"/>
      <c r="BB15" s="282"/>
      <c r="BC15" s="282"/>
      <c r="BD15" s="282"/>
      <c r="BE15" s="282"/>
      <c r="BF15" s="282"/>
      <c r="BG15" s="282"/>
      <c r="BH15" s="282"/>
      <c r="BI15" s="282"/>
      <c r="BJ15" s="282"/>
      <c r="BK15" s="282"/>
      <c r="BL15" s="282"/>
      <c r="BM15" s="282"/>
      <c r="BN15" s="282"/>
      <c r="BO15" s="282"/>
      <c r="BP15" s="282"/>
    </row>
    <row r="16" spans="1:68" s="667" customFormat="1" ht="12.75" customHeight="1">
      <c r="A16" s="2298"/>
      <c r="B16" s="4204"/>
      <c r="C16" s="4204"/>
      <c r="D16" s="4204"/>
      <c r="E16" s="2299"/>
      <c r="F16" s="898"/>
      <c r="G16" s="381"/>
      <c r="H16" s="317"/>
      <c r="I16" s="898"/>
      <c r="J16" s="898"/>
      <c r="K16" s="898"/>
      <c r="L16" s="898"/>
      <c r="M16" s="898"/>
      <c r="N16" s="898"/>
      <c r="O16" s="898"/>
      <c r="P16" s="898"/>
      <c r="Q16" s="898"/>
      <c r="R16" s="898"/>
      <c r="S16" s="898"/>
      <c r="T16" s="898"/>
      <c r="U16" s="898"/>
      <c r="V16" s="898"/>
      <c r="W16" s="898"/>
      <c r="X16" s="898"/>
      <c r="Y16" s="898"/>
      <c r="Z16" s="898"/>
      <c r="AA16" s="898"/>
      <c r="AB16" s="898"/>
      <c r="AC16" s="898"/>
      <c r="AD16" s="898"/>
      <c r="AE16" s="898"/>
      <c r="AF16" s="898"/>
      <c r="AG16" s="898"/>
      <c r="AH16" s="898"/>
      <c r="AI16" s="898"/>
      <c r="AJ16" s="898"/>
      <c r="AK16" s="898"/>
      <c r="AL16" s="898"/>
      <c r="AM16" s="898"/>
      <c r="AN16" s="898"/>
      <c r="AO16" s="898"/>
      <c r="AP16" s="898"/>
      <c r="AQ16" s="898"/>
      <c r="AR16" s="898"/>
      <c r="AS16" s="898"/>
      <c r="AT16" s="898"/>
      <c r="AU16" s="898"/>
      <c r="AV16" s="898"/>
      <c r="AW16" s="898"/>
      <c r="AX16" s="898"/>
      <c r="AY16" s="898"/>
      <c r="AZ16" s="898"/>
      <c r="BA16" s="898"/>
      <c r="BB16" s="898"/>
      <c r="BC16" s="898"/>
      <c r="BD16" s="898"/>
      <c r="BE16" s="898"/>
      <c r="BF16" s="898"/>
      <c r="BG16" s="898"/>
      <c r="BH16" s="898"/>
      <c r="BI16" s="898"/>
      <c r="BJ16" s="898"/>
      <c r="BK16" s="898"/>
      <c r="BL16" s="898"/>
      <c r="BM16" s="898"/>
      <c r="BN16" s="898"/>
      <c r="BO16" s="898"/>
      <c r="BP16" s="898"/>
    </row>
    <row r="17" spans="1:68" s="472" customFormat="1" ht="12.75" customHeight="1">
      <c r="A17" s="4205" t="s">
        <v>60</v>
      </c>
      <c r="B17" s="4206"/>
      <c r="C17" s="4206"/>
      <c r="D17" s="4206"/>
      <c r="E17" s="4207"/>
      <c r="F17" s="282"/>
      <c r="G17" s="378" t="s">
        <v>251</v>
      </c>
      <c r="H17" s="282"/>
      <c r="I17" s="282"/>
      <c r="J17" s="282"/>
      <c r="K17" s="282"/>
      <c r="L17" s="282"/>
      <c r="M17" s="377" t="str">
        <f>"Salary line items in the budget (100) for "&amp; OpenData!P14</f>
        <v>Salary line items in the budget (100) for 2021-22</v>
      </c>
      <c r="N17" s="282"/>
      <c r="O17" s="282"/>
      <c r="P17" s="282"/>
      <c r="Q17" s="282"/>
      <c r="R17" s="282"/>
      <c r="S17" s="282"/>
      <c r="T17" s="282"/>
      <c r="U17" s="282"/>
      <c r="V17" s="282"/>
      <c r="W17" s="282"/>
      <c r="X17" s="282"/>
      <c r="Y17" s="282"/>
      <c r="Z17" s="282"/>
      <c r="AA17" s="282"/>
      <c r="AB17" s="282"/>
      <c r="AC17" s="282"/>
      <c r="AD17" s="282"/>
      <c r="AE17" s="282"/>
      <c r="AF17" s="282"/>
      <c r="AG17" s="459" t="s">
        <v>4912</v>
      </c>
      <c r="AH17" s="282"/>
      <c r="AI17" s="282"/>
      <c r="AJ17" s="282"/>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2"/>
      <c r="BG17" s="282"/>
      <c r="BH17" s="282"/>
      <c r="BI17" s="282"/>
      <c r="BJ17" s="282"/>
      <c r="BK17" s="282"/>
      <c r="BL17" s="282"/>
      <c r="BM17" s="282"/>
      <c r="BN17" s="282"/>
      <c r="BO17" s="282"/>
      <c r="BP17" s="282"/>
    </row>
    <row r="18" spans="1:68" ht="12.75" customHeight="1">
      <c r="A18" s="3840" t="s">
        <v>675</v>
      </c>
      <c r="B18" s="3841"/>
      <c r="C18" s="3841"/>
      <c r="D18" s="3841"/>
      <c r="E18" s="3842"/>
      <c r="G18" s="382" t="s">
        <v>253</v>
      </c>
      <c r="L18" s="3"/>
      <c r="M18" s="3711" t="s">
        <v>1233</v>
      </c>
      <c r="N18" s="3711" t="s">
        <v>1237</v>
      </c>
      <c r="O18" s="3711" t="s">
        <v>1234</v>
      </c>
      <c r="P18" s="3711" t="s">
        <v>1235</v>
      </c>
      <c r="Q18" s="3711" t="s">
        <v>1113</v>
      </c>
      <c r="R18" s="3711" t="s">
        <v>1236</v>
      </c>
      <c r="S18" s="3711" t="s">
        <v>1114</v>
      </c>
      <c r="T18" s="3711" t="s">
        <v>1115</v>
      </c>
      <c r="U18" s="3711" t="s">
        <v>1116</v>
      </c>
      <c r="V18" s="3711" t="s">
        <v>1238</v>
      </c>
      <c r="W18" s="3711" t="s">
        <v>1117</v>
      </c>
      <c r="X18" s="3711" t="s">
        <v>1240</v>
      </c>
      <c r="Y18" s="3711" t="s">
        <v>1241</v>
      </c>
      <c r="Z18" s="3711" t="s">
        <v>1118</v>
      </c>
      <c r="AA18" s="3711" t="s">
        <v>1119</v>
      </c>
      <c r="AB18" s="3711" t="s">
        <v>1120</v>
      </c>
      <c r="AC18" s="3711" t="s">
        <v>1121</v>
      </c>
      <c r="AD18" s="3711" t="s">
        <v>1122</v>
      </c>
      <c r="AE18" s="3711" t="s">
        <v>1243</v>
      </c>
      <c r="AF18" s="3711" t="s">
        <v>1255</v>
      </c>
      <c r="AG18" s="459" t="s">
        <v>4913</v>
      </c>
      <c r="AH18" s="3"/>
    </row>
    <row r="19" spans="1:68" ht="12.75" customHeight="1">
      <c r="A19" s="2922" t="s">
        <v>676</v>
      </c>
      <c r="B19" s="2918">
        <v>75</v>
      </c>
      <c r="C19" s="2928">
        <v>263636</v>
      </c>
      <c r="D19" s="2928">
        <v>255624</v>
      </c>
      <c r="E19" s="2914">
        <v>314931</v>
      </c>
      <c r="G19" s="383">
        <f>AG19</f>
        <v>2256598</v>
      </c>
      <c r="L19" s="3705">
        <v>1000</v>
      </c>
      <c r="M19" s="3706">
        <f>SUM('C06'!E48:E49)</f>
        <v>1401684</v>
      </c>
      <c r="N19" s="3706">
        <f>SUM('C07'!E41:E42)</f>
        <v>90874</v>
      </c>
      <c r="O19" s="3706">
        <f>SUM('C08'!E53:E54)</f>
        <v>156321</v>
      </c>
      <c r="P19" s="3706">
        <f>SUM('C010'!E68:E69)</f>
        <v>0</v>
      </c>
      <c r="Q19" s="3706">
        <f>SUM('C011'!E44:E45)</f>
        <v>0</v>
      </c>
      <c r="R19" s="3706">
        <f>SUM('C012'!E40:E41)</f>
        <v>0</v>
      </c>
      <c r="S19" s="3706">
        <f>SUM('C013'!E44:E45)</f>
        <v>360100</v>
      </c>
      <c r="T19" s="3706">
        <f>SUM('C014'!E39:E40)</f>
        <v>1000</v>
      </c>
      <c r="U19" s="3706">
        <f>SUM('C015'!E40:E41)</f>
        <v>0</v>
      </c>
      <c r="V19" s="3710" t="s">
        <v>4941</v>
      </c>
      <c r="W19" s="3706">
        <f>SUM('C018'!E40:E41)</f>
        <v>10619</v>
      </c>
      <c r="X19" s="3706">
        <f>SUM('C022'!E39:E40)</f>
        <v>0</v>
      </c>
      <c r="Y19" s="3710" t="s">
        <v>4941</v>
      </c>
      <c r="Z19" s="3710" t="s">
        <v>4941</v>
      </c>
      <c r="AA19" s="3710" t="s">
        <v>4941</v>
      </c>
      <c r="AB19" s="3706">
        <f>SUM('C029'!E43:E44)</f>
        <v>0</v>
      </c>
      <c r="AC19" s="3706">
        <f>SUM('C030'!E47:E48)</f>
        <v>94000</v>
      </c>
      <c r="AD19" s="3706">
        <f>SUM('C034'!E51:E52)</f>
        <v>142000</v>
      </c>
      <c r="AE19" s="3706">
        <f>SUM('C035'!E52:E53)</f>
        <v>0</v>
      </c>
      <c r="AF19" s="3706">
        <f>SUM('C078'!E40:E41)</f>
        <v>0</v>
      </c>
      <c r="AG19" s="3706">
        <f t="shared" ref="AG19:AG29" si="0">SUM(M19:AF19)</f>
        <v>2256598</v>
      </c>
      <c r="AH19" s="3"/>
    </row>
    <row r="20" spans="1:68" ht="12.75" customHeight="1">
      <c r="A20" s="2300" t="s">
        <v>1019</v>
      </c>
      <c r="B20" s="2926"/>
      <c r="C20" s="2926"/>
      <c r="D20" s="2926"/>
      <c r="E20" s="2301"/>
      <c r="G20" s="378"/>
      <c r="L20" s="3705">
        <v>2100</v>
      </c>
      <c r="M20" s="3706">
        <f>SUM('C06'!E72:E73)</f>
        <v>41968</v>
      </c>
      <c r="N20" s="3706">
        <f>SUM('C07'!E65:E66)</f>
        <v>0</v>
      </c>
      <c r="O20" s="3706">
        <f>SUM('C08'!E77:E78)</f>
        <v>0</v>
      </c>
      <c r="P20" s="3706">
        <f>SUM('C010'!E89:E90)</f>
        <v>0</v>
      </c>
      <c r="Q20" s="3706">
        <f>SUM('C011'!E67:E68)</f>
        <v>0</v>
      </c>
      <c r="R20" s="3706">
        <f>SUM('C012'!E62:E63)</f>
        <v>0</v>
      </c>
      <c r="S20" s="3706">
        <f>SUM('C013'!E67:E68)</f>
        <v>0</v>
      </c>
      <c r="T20" s="3706">
        <f>SUM('C014'!E63:E64)</f>
        <v>0</v>
      </c>
      <c r="U20" s="3706">
        <f>SUM('C015'!E63:E64)</f>
        <v>0</v>
      </c>
      <c r="V20" s="3710" t="s">
        <v>4941</v>
      </c>
      <c r="W20" s="3706">
        <f>SUM('C018'!E63:E64)</f>
        <v>0</v>
      </c>
      <c r="X20" s="3706">
        <f>SUM('C022'!E63:E64)</f>
        <v>0</v>
      </c>
      <c r="Y20" s="3710" t="s">
        <v>4941</v>
      </c>
      <c r="Z20" s="3710" t="s">
        <v>4941</v>
      </c>
      <c r="AA20" s="3706">
        <f>SUM('C028'!E42:E43)</f>
        <v>34000</v>
      </c>
      <c r="AB20" s="3706">
        <f>SUM('C029'!E67:E68)</f>
        <v>0</v>
      </c>
      <c r="AC20" s="3706">
        <f>SUM('C030'!E72:E73)</f>
        <v>1616</v>
      </c>
      <c r="AD20" s="3706">
        <f>SUM('C034'!E73:E74)</f>
        <v>0</v>
      </c>
      <c r="AE20" s="3706">
        <f>SUM('C035'!E76:E77)</f>
        <v>0</v>
      </c>
      <c r="AF20" s="3706">
        <f>SUM('C078'!E63:E64)</f>
        <v>0</v>
      </c>
      <c r="AG20" s="3706">
        <f t="shared" si="0"/>
        <v>77584</v>
      </c>
      <c r="AH20" s="3"/>
    </row>
    <row r="21" spans="1:68" ht="12.75" customHeight="1">
      <c r="A21" s="2922" t="s">
        <v>676</v>
      </c>
      <c r="B21" s="2918">
        <v>80</v>
      </c>
      <c r="C21" s="2928">
        <v>14943</v>
      </c>
      <c r="D21" s="2928">
        <v>14489</v>
      </c>
      <c r="E21" s="2914">
        <v>17850</v>
      </c>
      <c r="G21" s="383">
        <f>AG20</f>
        <v>77584</v>
      </c>
      <c r="L21" s="3705">
        <v>2200</v>
      </c>
      <c r="M21" s="3706">
        <f>SUM('C06'!E86:E87)</f>
        <v>86708</v>
      </c>
      <c r="N21" s="3706">
        <f>SUM('C07'!E79:E80)</f>
        <v>0</v>
      </c>
      <c r="O21" s="3706">
        <f>SUM('C08'!E91:E92)</f>
        <v>23315</v>
      </c>
      <c r="P21" s="3706">
        <f>SUM('C010'!E103:E104)</f>
        <v>0</v>
      </c>
      <c r="Q21" s="3706">
        <f>SUM('C011'!E81:E82)</f>
        <v>0</v>
      </c>
      <c r="R21" s="3706">
        <f>SUM('C012'!E76:E77)</f>
        <v>0</v>
      </c>
      <c r="S21" s="3706">
        <f>SUM('C013'!E81:E82)</f>
        <v>20976</v>
      </c>
      <c r="T21" s="3706">
        <f>SUM('C014'!E77:E78)</f>
        <v>0</v>
      </c>
      <c r="U21" s="3706">
        <f>SUM('C015'!E77:E78)</f>
        <v>0</v>
      </c>
      <c r="V21" s="3710" t="s">
        <v>4941</v>
      </c>
      <c r="W21" s="3706">
        <f>SUM('C018'!E77:E78)</f>
        <v>0</v>
      </c>
      <c r="X21" s="3706">
        <f>SUM('C022'!E78:E79)</f>
        <v>0</v>
      </c>
      <c r="Y21" s="3710" t="s">
        <v>4941</v>
      </c>
      <c r="Z21" s="3706">
        <f>SUM('C026'!E39:E40)</f>
        <v>6447</v>
      </c>
      <c r="AA21" s="3706">
        <f>SUM('C028'!E62:E63)</f>
        <v>0</v>
      </c>
      <c r="AB21" s="3706">
        <f>SUM('C029'!E81:E82)</f>
        <v>0</v>
      </c>
      <c r="AC21" s="3706">
        <f>SUM('C030'!E86:E87)</f>
        <v>0</v>
      </c>
      <c r="AD21" s="3706">
        <f>SUM('C034'!E87:E88)</f>
        <v>0</v>
      </c>
      <c r="AE21" s="3706">
        <f>SUM('C035'!E90:E91)</f>
        <v>0</v>
      </c>
      <c r="AF21" s="3706">
        <f>SUM('C078'!E77:E78)</f>
        <v>0</v>
      </c>
      <c r="AG21" s="3706">
        <f t="shared" si="0"/>
        <v>137446</v>
      </c>
      <c r="AH21" s="3"/>
    </row>
    <row r="22" spans="1:68" ht="12.75" customHeight="1">
      <c r="A22" s="2300" t="s">
        <v>1020</v>
      </c>
      <c r="B22" s="2926"/>
      <c r="C22" s="2926"/>
      <c r="D22" s="2926"/>
      <c r="E22" s="2301"/>
      <c r="G22" s="378"/>
      <c r="L22" s="3705">
        <v>2300</v>
      </c>
      <c r="M22" s="3706">
        <f>SUM('C06'!E103:E104)</f>
        <v>153827</v>
      </c>
      <c r="N22" s="3706">
        <f>SUM('C07'!E96:E97)</f>
        <v>0</v>
      </c>
      <c r="O22" s="3706">
        <f>SUM('C08'!E108:E109)</f>
        <v>0</v>
      </c>
      <c r="P22" s="3706">
        <f>SUM('C010'!E120:E121)</f>
        <v>0</v>
      </c>
      <c r="Q22" s="3710" t="s">
        <v>4941</v>
      </c>
      <c r="R22" s="3710" t="s">
        <v>4941</v>
      </c>
      <c r="S22" s="3710" t="s">
        <v>4941</v>
      </c>
      <c r="T22" s="3710" t="s">
        <v>4941</v>
      </c>
      <c r="U22" s="3710" t="s">
        <v>4941</v>
      </c>
      <c r="V22" s="3710" t="s">
        <v>4941</v>
      </c>
      <c r="W22" s="3710" t="s">
        <v>4941</v>
      </c>
      <c r="X22" s="3710" t="s">
        <v>4941</v>
      </c>
      <c r="Y22" s="3710" t="s">
        <v>4941</v>
      </c>
      <c r="Z22" s="3710" t="s">
        <v>4941</v>
      </c>
      <c r="AA22" s="3710" t="s">
        <v>4941</v>
      </c>
      <c r="AB22" s="3710" t="s">
        <v>4941</v>
      </c>
      <c r="AC22" s="3706">
        <f>SUM('C030'!E104:E105)</f>
        <v>0</v>
      </c>
      <c r="AD22" s="3710" t="s">
        <v>4941</v>
      </c>
      <c r="AE22" s="3706">
        <f>SUM('C035'!E107:E108)</f>
        <v>0</v>
      </c>
      <c r="AF22" s="3706">
        <f>SUM('C078'!E95:E96)</f>
        <v>0</v>
      </c>
      <c r="AG22" s="3706">
        <f t="shared" si="0"/>
        <v>153827</v>
      </c>
      <c r="AH22" s="3"/>
    </row>
    <row r="23" spans="1:68" ht="12.75" customHeight="1">
      <c r="A23" s="2922" t="s">
        <v>676</v>
      </c>
      <c r="B23" s="2918">
        <v>85</v>
      </c>
      <c r="C23" s="2928">
        <v>22415</v>
      </c>
      <c r="D23" s="2928">
        <v>27196</v>
      </c>
      <c r="E23" s="2914">
        <v>26775</v>
      </c>
      <c r="G23" s="383">
        <f>AG21</f>
        <v>137446</v>
      </c>
      <c r="L23" s="3705">
        <v>2400</v>
      </c>
      <c r="M23" s="3706">
        <f>SUM('C06'!E120:E121)</f>
        <v>155597</v>
      </c>
      <c r="N23" s="3706">
        <f>SUM('C07'!E113:E114)</f>
        <v>3150</v>
      </c>
      <c r="O23" s="3706">
        <f>SUM('C08'!E125:E126)</f>
        <v>0</v>
      </c>
      <c r="P23" s="3710" t="s">
        <v>4941</v>
      </c>
      <c r="Q23" s="3706">
        <f>SUM('C011'!E98:E99)</f>
        <v>0</v>
      </c>
      <c r="R23" s="3706">
        <f>SUM('C012'!E90:E91)</f>
        <v>0</v>
      </c>
      <c r="S23" s="3706">
        <f>SUM('C013'!E98:E99)</f>
        <v>22000</v>
      </c>
      <c r="T23" s="3706">
        <f>SUM('C014'!E94:E95)</f>
        <v>0</v>
      </c>
      <c r="U23" s="3706">
        <f>SUM('C015'!E94:E95)</f>
        <v>0</v>
      </c>
      <c r="V23" s="3710" t="s">
        <v>4941</v>
      </c>
      <c r="W23" s="3706">
        <f>SUM('C018'!E94:E95)</f>
        <v>0</v>
      </c>
      <c r="X23" s="3706">
        <f>SUM('C022'!E94:E95)</f>
        <v>0</v>
      </c>
      <c r="Y23" s="3710" t="s">
        <v>4941</v>
      </c>
      <c r="Z23" s="3710" t="s">
        <v>4941</v>
      </c>
      <c r="AA23" s="3710" t="s">
        <v>4941</v>
      </c>
      <c r="AB23" s="3706">
        <f>SUM('C029'!E98:E99)</f>
        <v>0</v>
      </c>
      <c r="AC23" s="3706">
        <f>SUM('C030'!E118:E119)</f>
        <v>0</v>
      </c>
      <c r="AD23" s="3706">
        <f>SUM('C034'!E104:E105)</f>
        <v>0</v>
      </c>
      <c r="AE23" s="3706">
        <f>SUM('C035'!E124:E125)</f>
        <v>0</v>
      </c>
      <c r="AF23" s="3706">
        <f>SUM('C078'!E109:E110)</f>
        <v>0</v>
      </c>
      <c r="AG23" s="3706">
        <f t="shared" si="0"/>
        <v>180747</v>
      </c>
      <c r="AH23" s="3"/>
    </row>
    <row r="24" spans="1:68" ht="12.75" customHeight="1">
      <c r="A24" s="2300" t="s">
        <v>1021</v>
      </c>
      <c r="B24" s="2926"/>
      <c r="C24" s="2926"/>
      <c r="D24" s="2926"/>
      <c r="E24" s="2301"/>
      <c r="G24" s="378"/>
      <c r="L24" s="3705">
        <v>2500</v>
      </c>
      <c r="M24" s="3706">
        <f>SUM('C06'!E136:E137)</f>
        <v>33907</v>
      </c>
      <c r="N24" s="3706">
        <f>SUM('C07'!E129:E130)</f>
        <v>0</v>
      </c>
      <c r="O24" s="3706">
        <f>SUM('C08'!E141:E142)</f>
        <v>0</v>
      </c>
      <c r="P24" s="3710" t="s">
        <v>4941</v>
      </c>
      <c r="Q24" s="3706">
        <f>SUM('C011'!E111:E112)</f>
        <v>0</v>
      </c>
      <c r="R24" s="3710" t="s">
        <v>4941</v>
      </c>
      <c r="S24" s="3706">
        <f>SUM('C013'!E111:E112)</f>
        <v>0</v>
      </c>
      <c r="T24" s="3706">
        <f>SUM('C014'!E107:E108)</f>
        <v>0</v>
      </c>
      <c r="U24" s="3706">
        <f>SUM('C015'!E107:E108)</f>
        <v>0</v>
      </c>
      <c r="V24" s="3706">
        <f>SUM('C016'!E78)</f>
        <v>0</v>
      </c>
      <c r="W24" s="3706">
        <f>SUM('C018'!E107:E108)</f>
        <v>0</v>
      </c>
      <c r="X24" s="3707">
        <f>SUM('C022'!E107:E108)</f>
        <v>0</v>
      </c>
      <c r="Y24" s="3710" t="s">
        <v>4941</v>
      </c>
      <c r="Z24" s="3707">
        <f>SUM('C026'!E56:E57)</f>
        <v>0</v>
      </c>
      <c r="AA24" s="3706">
        <f>SUM('C028'!E76:E77)</f>
        <v>0</v>
      </c>
      <c r="AB24" s="3706">
        <f>SUM('C029'!E142:E143)</f>
        <v>0</v>
      </c>
      <c r="AC24" s="3706">
        <f>SUM('C030'!E131:E132)</f>
        <v>0</v>
      </c>
      <c r="AD24" s="3706">
        <f>SUM('C034'!E117:E118)</f>
        <v>0</v>
      </c>
      <c r="AE24" s="3706">
        <f>SUM('C035'!E140:E141)</f>
        <v>0</v>
      </c>
      <c r="AF24" s="3707">
        <f>SUM('C078'!E122:E123)</f>
        <v>0</v>
      </c>
      <c r="AG24" s="3706">
        <f t="shared" si="0"/>
        <v>33907</v>
      </c>
      <c r="AH24" s="3"/>
    </row>
    <row r="25" spans="1:68" ht="12.75" customHeight="1">
      <c r="A25" s="2922" t="s">
        <v>676</v>
      </c>
      <c r="B25" s="2918">
        <v>90</v>
      </c>
      <c r="C25" s="2928">
        <v>22414</v>
      </c>
      <c r="D25" s="2928">
        <v>21734</v>
      </c>
      <c r="E25" s="2914">
        <v>26775</v>
      </c>
      <c r="G25" s="383">
        <f>AG22</f>
        <v>153827</v>
      </c>
      <c r="L25" s="3705">
        <v>2600</v>
      </c>
      <c r="M25" s="3706">
        <f>SUM('C06'!E150+'C06'!E178)</f>
        <v>185276</v>
      </c>
      <c r="N25" s="3706">
        <f>SUM('C07'!E143)</f>
        <v>0</v>
      </c>
      <c r="O25" s="3706">
        <f>SUM('C08'!E155+'C08'!E183)</f>
        <v>0</v>
      </c>
      <c r="P25" s="3706">
        <f>SUM('C010'!E134)</f>
        <v>0</v>
      </c>
      <c r="Q25" s="3706">
        <f>SUM('C011'!E125)</f>
        <v>0</v>
      </c>
      <c r="R25" s="3706">
        <f>SUM('C012'!E103)</f>
        <v>0</v>
      </c>
      <c r="S25" s="3706">
        <f>SUM('C013'!E125)</f>
        <v>0</v>
      </c>
      <c r="T25" s="3706">
        <f>SUM('C014'!E121)</f>
        <v>0</v>
      </c>
      <c r="U25" s="3706">
        <f>SUM('C015'!E121)</f>
        <v>0</v>
      </c>
      <c r="V25" s="3706">
        <f>SUM('C016'!E87)</f>
        <v>55000</v>
      </c>
      <c r="W25" s="3706">
        <f>SUM('C018'!E121+'C018'!E141)</f>
        <v>0</v>
      </c>
      <c r="X25" s="3706">
        <f>SUM('C022'!E121)</f>
        <v>0</v>
      </c>
      <c r="Y25" s="3706">
        <f>SUM('C024'!E48)</f>
        <v>0</v>
      </c>
      <c r="Z25" s="3710" t="s">
        <v>4941</v>
      </c>
      <c r="AA25" s="3710" t="s">
        <v>4941</v>
      </c>
      <c r="AB25" s="3706">
        <f>SUM('C029'!E114)</f>
        <v>0</v>
      </c>
      <c r="AC25" s="3706">
        <f>SUM('C030'!E145)</f>
        <v>0</v>
      </c>
      <c r="AD25" s="3706">
        <f>SUM('C034'!E131)</f>
        <v>0</v>
      </c>
      <c r="AE25" s="3706">
        <f>SUM('C035'!E154)</f>
        <v>0</v>
      </c>
      <c r="AF25" s="3706">
        <f>SUM('C078'!E136)</f>
        <v>0</v>
      </c>
      <c r="AG25" s="3706">
        <f t="shared" si="0"/>
        <v>240276</v>
      </c>
      <c r="AH25" s="3"/>
    </row>
    <row r="26" spans="1:68" ht="12.75" customHeight="1">
      <c r="A26" s="2300" t="s">
        <v>1022</v>
      </c>
      <c r="B26" s="2926"/>
      <c r="C26" s="2926"/>
      <c r="D26" s="2926"/>
      <c r="E26" s="2301"/>
      <c r="G26" s="378"/>
      <c r="L26" s="3705">
        <v>2700</v>
      </c>
      <c r="M26" s="3706">
        <f>SUM('C06'!E199+'C06'!E209+'C06'!E224+'C06'!E237)</f>
        <v>110451</v>
      </c>
      <c r="N26" s="3706">
        <f>SUM('C07'!E172)</f>
        <v>0</v>
      </c>
      <c r="O26" s="3706">
        <f>SUM('C08'!E204+'C08'!E214+'C08'!E229+'C08'!E242)</f>
        <v>0</v>
      </c>
      <c r="P26" s="3710" t="s">
        <v>4941</v>
      </c>
      <c r="Q26" s="3706">
        <f>SUM('C011'!E149)</f>
        <v>0</v>
      </c>
      <c r="R26" s="3710" t="s">
        <v>4941</v>
      </c>
      <c r="S26" s="3706">
        <f>SUM('C013'!E149)</f>
        <v>0</v>
      </c>
      <c r="T26" s="3706">
        <f>SUM('C014'!E145)</f>
        <v>0</v>
      </c>
      <c r="U26" s="3710" t="s">
        <v>4941</v>
      </c>
      <c r="V26" s="3707">
        <f>SUM('C016'!E109)</f>
        <v>45000</v>
      </c>
      <c r="W26" s="3710" t="s">
        <v>4941</v>
      </c>
      <c r="X26" s="3710" t="s">
        <v>4941</v>
      </c>
      <c r="Y26" s="3710" t="s">
        <v>4941</v>
      </c>
      <c r="Z26" s="3710" t="s">
        <v>4941</v>
      </c>
      <c r="AA26" s="3710" t="s">
        <v>4941</v>
      </c>
      <c r="AB26" s="3710" t="s">
        <v>4941</v>
      </c>
      <c r="AC26" s="3706">
        <f>SUM('C030'!E171+'C030'!E182+'C030'!E202+'C030'!E214)</f>
        <v>30162</v>
      </c>
      <c r="AD26" s="3710" t="s">
        <v>4941</v>
      </c>
      <c r="AE26" s="3706">
        <f>SUM('C035'!E183)</f>
        <v>0</v>
      </c>
      <c r="AF26" s="3706">
        <f>SUM('C078'!E162+'C078'!E173+'C078'!E193+'C078'!E205)</f>
        <v>0</v>
      </c>
      <c r="AG26" s="3706">
        <f t="shared" si="0"/>
        <v>185613</v>
      </c>
      <c r="AH26" s="3"/>
    </row>
    <row r="27" spans="1:68" ht="12.75" customHeight="1">
      <c r="A27" s="2922" t="s">
        <v>676</v>
      </c>
      <c r="B27" s="2918">
        <v>95</v>
      </c>
      <c r="C27" s="2928">
        <v>37358</v>
      </c>
      <c r="D27" s="2928">
        <v>36222</v>
      </c>
      <c r="E27" s="2914">
        <v>44626</v>
      </c>
      <c r="G27" s="383">
        <f>AG23</f>
        <v>180747</v>
      </c>
      <c r="L27" s="3708">
        <v>2900</v>
      </c>
      <c r="M27" s="3706">
        <f>SUM('C06'!E250:E251)</f>
        <v>0</v>
      </c>
      <c r="N27" s="3706">
        <f>SUM('C07'!E187:E188)</f>
        <v>0</v>
      </c>
      <c r="O27" s="3706">
        <f>SUM('C08'!E255:E256)</f>
        <v>0</v>
      </c>
      <c r="P27" s="3709"/>
      <c r="Q27" s="3707">
        <f>SUM('C011'!E154:E155)</f>
        <v>0</v>
      </c>
      <c r="R27" s="3710" t="s">
        <v>4941</v>
      </c>
      <c r="S27" s="3707">
        <f>SUM('C013'!E154:E155)</f>
        <v>0</v>
      </c>
      <c r="T27" s="3707">
        <f>SUM('C014'!E150:E151)</f>
        <v>0</v>
      </c>
      <c r="U27" s="3707">
        <f>SUM('C015'!E146:E147)</f>
        <v>0</v>
      </c>
      <c r="V27" s="3710" t="s">
        <v>4941</v>
      </c>
      <c r="W27" s="3707">
        <f>SUM('C018'!E154:E155)</f>
        <v>0</v>
      </c>
      <c r="X27" s="3707">
        <f>SUM('C022'!E146:E147)</f>
        <v>0</v>
      </c>
      <c r="Y27" s="3710" t="s">
        <v>4941</v>
      </c>
      <c r="Z27" s="3707">
        <f>SUM('C026'!E70:E71)</f>
        <v>0</v>
      </c>
      <c r="AA27" s="3709">
        <f>SUM('C028'!E90:E91)</f>
        <v>0</v>
      </c>
      <c r="AB27" s="3709">
        <f>SUM('C029'!E156:E157)</f>
        <v>0</v>
      </c>
      <c r="AC27" s="3707">
        <f>SUM('C030'!E227:E228)</f>
        <v>0</v>
      </c>
      <c r="AD27" s="3707">
        <f>SUM('C034'!E161:E162)</f>
        <v>0</v>
      </c>
      <c r="AE27" s="3707">
        <f>SUM('C035'!E198:E199)</f>
        <v>0</v>
      </c>
      <c r="AF27" s="3707">
        <f>SUM('C078'!E218:E219)</f>
        <v>0</v>
      </c>
      <c r="AG27" s="3706">
        <f t="shared" si="0"/>
        <v>0</v>
      </c>
      <c r="AH27" s="460"/>
    </row>
    <row r="28" spans="1:68" ht="12.75" customHeight="1" thickBot="1">
      <c r="A28" s="2300" t="s">
        <v>1329</v>
      </c>
      <c r="B28" s="2926"/>
      <c r="C28" s="2926"/>
      <c r="D28" s="2926"/>
      <c r="E28" s="2301"/>
      <c r="G28" s="378"/>
      <c r="L28" s="3705">
        <v>3000</v>
      </c>
      <c r="M28" s="3714" t="s">
        <v>4941</v>
      </c>
      <c r="N28" s="3714" t="s">
        <v>4941</v>
      </c>
      <c r="O28" s="3714" t="s">
        <v>4941</v>
      </c>
      <c r="P28" s="3714" t="s">
        <v>4941</v>
      </c>
      <c r="Q28" s="3714" t="s">
        <v>4941</v>
      </c>
      <c r="R28" s="3714" t="s">
        <v>4941</v>
      </c>
      <c r="S28" s="3714" t="s">
        <v>4941</v>
      </c>
      <c r="T28" s="3714" t="s">
        <v>4941</v>
      </c>
      <c r="U28" s="3714" t="s">
        <v>4941</v>
      </c>
      <c r="V28" s="3715">
        <f>SUM('C016'!E132)</f>
        <v>0</v>
      </c>
      <c r="W28" s="3714" t="s">
        <v>4941</v>
      </c>
      <c r="X28" s="3714" t="s">
        <v>4941</v>
      </c>
      <c r="Y28" s="3716">
        <f>SUM('C024'!E70:E71)</f>
        <v>135000</v>
      </c>
      <c r="Z28" s="3714" t="s">
        <v>4941</v>
      </c>
      <c r="AA28" s="3714" t="s">
        <v>4941</v>
      </c>
      <c r="AB28" s="3714" t="s">
        <v>4941</v>
      </c>
      <c r="AC28" s="3714" t="s">
        <v>4941</v>
      </c>
      <c r="AD28" s="3714" t="s">
        <v>4941</v>
      </c>
      <c r="AE28" s="3716">
        <f>SUM('C035'!E213:E214)</f>
        <v>0</v>
      </c>
      <c r="AF28" s="3714" t="s">
        <v>4941</v>
      </c>
      <c r="AG28" s="3716">
        <f t="shared" si="0"/>
        <v>135000</v>
      </c>
    </row>
    <row r="29" spans="1:68" ht="12.75" customHeight="1" thickTop="1">
      <c r="A29" s="2922" t="s">
        <v>676</v>
      </c>
      <c r="B29" s="2918">
        <v>100</v>
      </c>
      <c r="C29" s="2928">
        <v>14943</v>
      </c>
      <c r="D29" s="2928">
        <v>14489</v>
      </c>
      <c r="E29" s="2914">
        <v>17850</v>
      </c>
      <c r="G29" s="383">
        <f>AG24</f>
        <v>33907</v>
      </c>
      <c r="L29" s="3712" t="s">
        <v>916</v>
      </c>
      <c r="M29" s="3713">
        <f t="shared" ref="M29:AF29" si="1">SUM(M19:M28)</f>
        <v>2169418</v>
      </c>
      <c r="N29" s="3713">
        <f t="shared" si="1"/>
        <v>94024</v>
      </c>
      <c r="O29" s="3713">
        <f t="shared" si="1"/>
        <v>179636</v>
      </c>
      <c r="P29" s="3713">
        <f t="shared" si="1"/>
        <v>0</v>
      </c>
      <c r="Q29" s="3713">
        <f t="shared" si="1"/>
        <v>0</v>
      </c>
      <c r="R29" s="3713">
        <f t="shared" si="1"/>
        <v>0</v>
      </c>
      <c r="S29" s="3713">
        <f t="shared" si="1"/>
        <v>403076</v>
      </c>
      <c r="T29" s="3713">
        <f t="shared" si="1"/>
        <v>1000</v>
      </c>
      <c r="U29" s="3713">
        <f t="shared" si="1"/>
        <v>0</v>
      </c>
      <c r="V29" s="3713">
        <f>SUM(V19:V28)</f>
        <v>100000</v>
      </c>
      <c r="W29" s="3713">
        <f t="shared" si="1"/>
        <v>10619</v>
      </c>
      <c r="X29" s="3713">
        <f t="shared" si="1"/>
        <v>0</v>
      </c>
      <c r="Y29" s="3713">
        <f t="shared" si="1"/>
        <v>135000</v>
      </c>
      <c r="Z29" s="3713">
        <f t="shared" si="1"/>
        <v>6447</v>
      </c>
      <c r="AA29" s="3713">
        <f t="shared" si="1"/>
        <v>34000</v>
      </c>
      <c r="AB29" s="3713">
        <f t="shared" si="1"/>
        <v>0</v>
      </c>
      <c r="AC29" s="3713">
        <f t="shared" si="1"/>
        <v>125778</v>
      </c>
      <c r="AD29" s="3713">
        <f t="shared" si="1"/>
        <v>142000</v>
      </c>
      <c r="AE29" s="3713">
        <f t="shared" si="1"/>
        <v>0</v>
      </c>
      <c r="AF29" s="3713">
        <f t="shared" si="1"/>
        <v>0</v>
      </c>
      <c r="AG29" s="3713">
        <f t="shared" si="0"/>
        <v>3400998</v>
      </c>
    </row>
    <row r="30" spans="1:68" ht="12.75" customHeight="1">
      <c r="A30" s="2300" t="s">
        <v>1023</v>
      </c>
      <c r="B30" s="2926"/>
      <c r="C30" s="2926"/>
      <c r="D30" s="2926"/>
      <c r="E30" s="2301"/>
      <c r="G30" s="378"/>
    </row>
    <row r="31" spans="1:68" ht="12.75" customHeight="1">
      <c r="A31" s="2922" t="s">
        <v>676</v>
      </c>
      <c r="B31" s="2918">
        <v>105</v>
      </c>
      <c r="C31" s="2928">
        <v>22415</v>
      </c>
      <c r="D31" s="2928">
        <v>16271</v>
      </c>
      <c r="E31" s="2914">
        <v>26775</v>
      </c>
      <c r="G31" s="383">
        <f>AG25</f>
        <v>240276</v>
      </c>
    </row>
    <row r="32" spans="1:68" ht="12.75" customHeight="1">
      <c r="A32" s="2300" t="s">
        <v>1024</v>
      </c>
      <c r="B32" s="2926"/>
      <c r="C32" s="2926"/>
      <c r="D32" s="2926"/>
      <c r="E32" s="2301"/>
      <c r="G32" s="378"/>
    </row>
    <row r="33" spans="1:68" ht="12.75" customHeight="1">
      <c r="A33" s="2922" t="s">
        <v>676</v>
      </c>
      <c r="B33" s="2918">
        <v>110</v>
      </c>
      <c r="C33" s="2929">
        <v>17931</v>
      </c>
      <c r="D33" s="2928">
        <v>17386</v>
      </c>
      <c r="E33" s="2914">
        <v>21420</v>
      </c>
      <c r="G33" s="383">
        <f>AG26</f>
        <v>185613</v>
      </c>
    </row>
    <row r="34" spans="1:68" ht="12.75" customHeight="1">
      <c r="A34" s="2300" t="s">
        <v>1330</v>
      </c>
      <c r="B34" s="2926"/>
      <c r="C34" s="2926"/>
      <c r="D34" s="2926"/>
      <c r="E34" s="2301"/>
      <c r="G34" s="383"/>
    </row>
    <row r="35" spans="1:68" ht="12.75" customHeight="1">
      <c r="A35" s="2922" t="s">
        <v>676</v>
      </c>
      <c r="B35" s="2918">
        <v>113</v>
      </c>
      <c r="C35" s="2930"/>
      <c r="D35" s="2928"/>
      <c r="E35" s="2914"/>
      <c r="G35" s="383">
        <f>AG27</f>
        <v>0</v>
      </c>
      <c r="V35" s="453"/>
    </row>
    <row r="36" spans="1:68" s="458" customFormat="1" ht="12.75" customHeight="1">
      <c r="A36" s="2300" t="s">
        <v>1025</v>
      </c>
      <c r="B36" s="2926"/>
      <c r="C36" s="2926"/>
      <c r="D36" s="2926"/>
      <c r="E36" s="2301"/>
      <c r="F36" s="282"/>
      <c r="G36" s="378"/>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row>
    <row r="37" spans="1:68" s="458" customFormat="1" ht="12.75" customHeight="1">
      <c r="A37" s="2922" t="s">
        <v>676</v>
      </c>
      <c r="B37" s="2918">
        <v>115</v>
      </c>
      <c r="C37" s="2928">
        <v>22414</v>
      </c>
      <c r="D37" s="2928">
        <v>21733</v>
      </c>
      <c r="E37" s="2914">
        <v>26775</v>
      </c>
      <c r="F37" s="282"/>
      <c r="G37" s="384">
        <f>AG28</f>
        <v>135000</v>
      </c>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2"/>
      <c r="AV37" s="282"/>
      <c r="AW37" s="282"/>
      <c r="AX37" s="282"/>
      <c r="AY37" s="282"/>
      <c r="AZ37" s="282"/>
      <c r="BA37" s="282"/>
      <c r="BB37" s="282"/>
      <c r="BC37" s="282"/>
      <c r="BD37" s="282"/>
      <c r="BE37" s="282"/>
      <c r="BF37" s="282"/>
      <c r="BG37" s="282"/>
      <c r="BH37" s="282"/>
      <c r="BI37" s="282"/>
      <c r="BJ37" s="282"/>
      <c r="BK37" s="282"/>
      <c r="BL37" s="282"/>
      <c r="BM37" s="282"/>
      <c r="BN37" s="282"/>
      <c r="BO37" s="282"/>
      <c r="BP37" s="282"/>
    </row>
    <row r="38" spans="1:68" ht="12.75" customHeight="1">
      <c r="A38" s="2923" t="s">
        <v>666</v>
      </c>
      <c r="B38" s="2919">
        <v>175</v>
      </c>
      <c r="C38" s="2931">
        <f>IF(G44=C15,G44,"Exp. &lt;&gt; Resources")</f>
        <v>438469</v>
      </c>
      <c r="D38" s="2933">
        <f>IF(H44=D15,H44,"Exp. &lt;&gt; Resources")</f>
        <v>425144</v>
      </c>
      <c r="E38" s="2916">
        <f>IF(I44=E15, I44,"Exp. &lt;&gt; Resources")</f>
        <v>523777</v>
      </c>
      <c r="G38" s="383">
        <f>SUM(G19:G37)</f>
        <v>3400998</v>
      </c>
    </row>
    <row r="39" spans="1:68" ht="12.75" customHeight="1">
      <c r="A39" s="1028" t="s">
        <v>935</v>
      </c>
      <c r="B39" s="2924">
        <v>190</v>
      </c>
      <c r="C39" s="2774" t="s">
        <v>4905</v>
      </c>
      <c r="D39" s="3720" t="s">
        <v>4905</v>
      </c>
      <c r="E39" s="3720" t="s">
        <v>4905</v>
      </c>
    </row>
    <row r="40" spans="1:68" ht="12.75" customHeight="1">
      <c r="A40" s="131"/>
      <c r="B40" s="1434"/>
      <c r="C40" s="1084"/>
      <c r="D40" s="1084"/>
      <c r="E40" s="1084"/>
    </row>
    <row r="41" spans="1:68" ht="12.75" customHeight="1">
      <c r="A41" s="387" t="str">
        <f>IF(E15=E19,"Please spread expenditures out over categories besides just 1000.","")</f>
        <v/>
      </c>
      <c r="B41" s="1435"/>
      <c r="C41" s="1435"/>
      <c r="D41" s="1435"/>
      <c r="E41" s="1435"/>
      <c r="G41" s="433" t="s">
        <v>1026</v>
      </c>
      <c r="H41" s="299"/>
    </row>
    <row r="42" spans="1:68" ht="12.75" customHeight="1">
      <c r="A42" s="742"/>
      <c r="B42" s="1436"/>
      <c r="C42" s="1436"/>
      <c r="D42" s="1436"/>
      <c r="E42" s="1436"/>
      <c r="G42" s="666" t="str">
        <f>C6</f>
        <v>2019-2020</v>
      </c>
      <c r="H42" s="666" t="str">
        <f>D6</f>
        <v>2020-2021</v>
      </c>
      <c r="I42" s="666" t="str">
        <f>E6</f>
        <v>2021-2022</v>
      </c>
    </row>
    <row r="43" spans="1:68" ht="12.75" customHeight="1">
      <c r="A43" s="131"/>
      <c r="B43" s="1114"/>
      <c r="C43" s="1115"/>
      <c r="D43" s="1115"/>
      <c r="E43" s="1115"/>
      <c r="G43" s="429">
        <f>C15</f>
        <v>438469</v>
      </c>
      <c r="H43" s="429">
        <f>D15</f>
        <v>425144</v>
      </c>
      <c r="I43" s="430">
        <f>E15</f>
        <v>523777</v>
      </c>
      <c r="J43" s="743" t="s">
        <v>805</v>
      </c>
    </row>
    <row r="44" spans="1:68" ht="12.75" customHeight="1">
      <c r="A44" s="744"/>
      <c r="B44" s="1114"/>
      <c r="C44" s="1115"/>
      <c r="D44" s="1115"/>
      <c r="E44" s="1115"/>
      <c r="G44" s="431">
        <f>SUM(C19:C37)</f>
        <v>438469</v>
      </c>
      <c r="H44" s="431">
        <f>SUM(D19:D37)</f>
        <v>425144</v>
      </c>
      <c r="I44" s="432">
        <f>SUM(E19:E37)</f>
        <v>523777</v>
      </c>
      <c r="J44" s="743" t="s">
        <v>804</v>
      </c>
    </row>
    <row r="45" spans="1:68" ht="12.75" customHeight="1">
      <c r="A45" s="744"/>
      <c r="B45" s="1114"/>
      <c r="C45" s="1115"/>
      <c r="D45" s="1115"/>
      <c r="E45" s="1115"/>
      <c r="G45" s="430">
        <f>SUM(G43-G44)</f>
        <v>0</v>
      </c>
      <c r="H45" s="430">
        <f>SUM(H43-H44)</f>
        <v>0</v>
      </c>
      <c r="I45" s="430">
        <f>SUM(I43-I44)</f>
        <v>0</v>
      </c>
      <c r="J45" s="743" t="s">
        <v>806</v>
      </c>
    </row>
    <row r="46" spans="1:68" ht="12.75" customHeight="1">
      <c r="F46" s="663"/>
      <c r="J46" s="743" t="s">
        <v>807</v>
      </c>
    </row>
    <row r="49" spans="2:2" ht="12.75" customHeight="1">
      <c r="B49" s="1437" t="s">
        <v>1013</v>
      </c>
    </row>
  </sheetData>
  <sheetProtection algorithmName="SHA-512" hashValue="+rGNaktWq+8DtlkOQKTX4Od0A4peYBT9lluRmCcCptTMTMi2UrzEyNOd+oFPk4lskXyMZ3LOH1dF17olnRmbdA==" saltValue="59dqGcy2tI23x4tqmVP6yw==" spinCount="100000" sheet="1" objects="1" scenarios="1"/>
  <mergeCells count="3">
    <mergeCell ref="D1:E1"/>
    <mergeCell ref="D2:E2"/>
    <mergeCell ref="A6:A8"/>
  </mergeCells>
  <phoneticPr fontId="12" type="noConversion"/>
  <conditionalFormatting sqref="C38:E38">
    <cfRule type="cellIs" dxfId="17" priority="1" operator="equal">
      <formula>"Exp. &lt;&gt; Resources"</formula>
    </cfRule>
  </conditionalFormatting>
  <dataValidations count="3">
    <dataValidation type="whole" operator="greaterThanOrEqual" showInputMessage="1" showErrorMessage="1" errorTitle="Invalid Data Entry " error="Please enter a positive number or press the delete key or enter zero." sqref="E19 E37 E31 E29 E21 E23 E25 E27 E33">
      <formula1>0</formula1>
    </dataValidation>
    <dataValidation operator="greaterThanOrEqual" showInputMessage="1" showErrorMessage="1" errorTitle="Invalid Data Entry " error="Please enter a positive number or press the delete key or enter zero." sqref="C14:D14 C37:D37 C31:D31 C29:D29 C19:D19 C21:D21 C23:D23 C25:D25 C27:D27 C33:D33"/>
    <dataValidation type="whole" operator="greaterThanOrEqual" showInputMessage="1" showErrorMessage="1" errorTitle="Invalid Data Entry" error="Please enter a positive number or press the delete key or enter a zero." sqref="C35:E35">
      <formula1>0</formula1>
    </dataValidation>
  </dataValidations>
  <hyperlinks>
    <hyperlink ref="G1" location="Contents!F1" display="Return to Contents page"/>
  </hyperlinks>
  <printOptions horizontalCentered="1"/>
  <pageMargins left="0.75" right="0.75" top="0.5" bottom="0.5" header="0.3" footer="0.3"/>
  <pageSetup scale="86" fitToHeight="0" orientation="portrait" blackAndWhite="1" r:id="rId1"/>
  <headerFooter scaleWithDoc="0">
    <oddFooter>&amp;L&amp;"Open Sans Light,Regular"&amp;8&amp;D    &amp;T&amp;C&amp;"Open Sans Light,Regular"&amp;8Page &amp;P&amp;R&amp;"Open Sans Light,Regular"&amp;8&amp;A</oddFooter>
  </headerFooter>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4" tint="0.39997558519241921"/>
  </sheetPr>
  <dimension ref="A1:Z248"/>
  <sheetViews>
    <sheetView showGridLines="0" zoomScaleNormal="100" zoomScaleSheetLayoutView="100" workbookViewId="0">
      <pane ySplit="8" topLeftCell="A225" activePane="bottomLeft" state="frozen"/>
      <selection activeCell="B22" sqref="B22"/>
      <selection pane="bottomLeft" activeCell="B22" sqref="B22"/>
    </sheetView>
  </sheetViews>
  <sheetFormatPr defaultColWidth="10.6640625" defaultRowHeight="12.75" customHeight="1"/>
  <cols>
    <col min="1" max="1" width="40.6640625" style="213" customWidth="1"/>
    <col min="2" max="2" width="5.6640625" style="1467" customWidth="1"/>
    <col min="3" max="5" width="14.33203125" style="1468" customWidth="1"/>
    <col min="6" max="6" width="2.33203125" style="213" customWidth="1"/>
    <col min="7" max="7" width="21" style="213" customWidth="1"/>
    <col min="8" max="8" width="13.6640625" style="213" customWidth="1"/>
    <col min="9" max="26" width="10.6640625" style="213"/>
    <col min="27" max="16384" width="10.6640625" style="212"/>
  </cols>
  <sheetData>
    <row r="1" spans="1:17" ht="12.75" customHeight="1">
      <c r="A1" s="1443" t="s">
        <v>809</v>
      </c>
      <c r="B1" s="4570">
        <f>OPEN!$B$4</f>
        <v>237</v>
      </c>
      <c r="C1" s="1441"/>
      <c r="D1" s="6157" t="s">
        <v>836</v>
      </c>
      <c r="E1" s="6157"/>
      <c r="F1" s="211"/>
      <c r="G1" s="304" t="s">
        <v>754</v>
      </c>
    </row>
    <row r="2" spans="1:17" ht="12.75" customHeight="1">
      <c r="A2" s="1441"/>
      <c r="B2" s="1442"/>
      <c r="C2" s="1441"/>
      <c r="D2" s="6157" t="s">
        <v>921</v>
      </c>
      <c r="E2" s="6157"/>
      <c r="F2" s="211"/>
    </row>
    <row r="3" spans="1:17" ht="12.75" customHeight="1">
      <c r="A3" s="1441"/>
      <c r="B3" s="1442"/>
      <c r="C3" s="1441"/>
      <c r="D3" s="1441"/>
      <c r="E3" s="1443" t="str">
        <f>OpenData!N2</f>
        <v>2021-2022</v>
      </c>
      <c r="F3" s="211"/>
    </row>
    <row r="4" spans="1:17" ht="12.75" customHeight="1">
      <c r="A4" s="1441"/>
      <c r="B4" s="1442"/>
      <c r="C4" s="1441"/>
      <c r="D4" s="1441"/>
      <c r="E4" s="1441"/>
      <c r="F4" s="211"/>
    </row>
    <row r="5" spans="1:17" ht="12.75" customHeight="1">
      <c r="A5" s="1441"/>
      <c r="B5" s="1442"/>
      <c r="C5" s="1444" t="s">
        <v>922</v>
      </c>
      <c r="D5" s="1444" t="s">
        <v>922</v>
      </c>
      <c r="E5" s="1444" t="s">
        <v>922</v>
      </c>
      <c r="F5" s="211"/>
    </row>
    <row r="6" spans="1:17" ht="12.75" customHeight="1">
      <c r="A6" s="1441"/>
      <c r="B6" s="1445" t="s">
        <v>854</v>
      </c>
      <c r="C6" s="1446" t="str">
        <f>OpenData!N4</f>
        <v>2019-2020</v>
      </c>
      <c r="D6" s="1446" t="str">
        <f>OpenData!O4</f>
        <v>2020-2021</v>
      </c>
      <c r="E6" s="4188" t="str">
        <f>E3</f>
        <v>2021-2022</v>
      </c>
      <c r="F6" s="4192"/>
      <c r="N6" s="214"/>
    </row>
    <row r="7" spans="1:17" ht="12.75" customHeight="1">
      <c r="A7" s="587" t="s">
        <v>681</v>
      </c>
      <c r="B7" s="1447">
        <v>53</v>
      </c>
      <c r="C7" s="1448" t="s">
        <v>893</v>
      </c>
      <c r="D7" s="1448" t="s">
        <v>893</v>
      </c>
      <c r="E7" s="1449" t="s">
        <v>923</v>
      </c>
      <c r="F7" s="4192"/>
      <c r="O7" s="215"/>
      <c r="P7" s="215"/>
      <c r="Q7" s="215"/>
    </row>
    <row r="8" spans="1:17" ht="12.75" customHeight="1">
      <c r="A8" s="1469"/>
      <c r="B8" s="1450" t="s">
        <v>858</v>
      </c>
      <c r="C8" s="1451">
        <v>1</v>
      </c>
      <c r="D8" s="1451">
        <v>2</v>
      </c>
      <c r="E8" s="4189">
        <v>3</v>
      </c>
      <c r="F8" s="4192"/>
      <c r="G8" s="745"/>
      <c r="H8" s="746"/>
      <c r="O8" s="215"/>
      <c r="P8" s="215"/>
      <c r="Q8" s="215"/>
    </row>
    <row r="9" spans="1:17" ht="12.75" customHeight="1">
      <c r="A9" s="1470" t="s">
        <v>1043</v>
      </c>
      <c r="B9" s="1452">
        <v>1</v>
      </c>
      <c r="C9" s="1453">
        <v>16540</v>
      </c>
      <c r="D9" s="1454">
        <f>C17</f>
        <v>16540</v>
      </c>
      <c r="E9" s="4190">
        <f>D17</f>
        <v>0</v>
      </c>
      <c r="F9" s="4192"/>
      <c r="O9" s="215"/>
      <c r="P9" s="215"/>
      <c r="Q9" s="215"/>
    </row>
    <row r="10" spans="1:17" ht="12.75" customHeight="1">
      <c r="A10" s="3974" t="s">
        <v>4940</v>
      </c>
      <c r="B10" s="1455">
        <v>3</v>
      </c>
      <c r="C10" s="1456"/>
      <c r="D10" s="1457"/>
      <c r="E10" s="4195"/>
      <c r="F10" s="4192"/>
      <c r="O10" s="215"/>
      <c r="P10" s="215"/>
      <c r="Q10" s="215"/>
    </row>
    <row r="11" spans="1:17" ht="12.75" customHeight="1">
      <c r="A11" s="2860"/>
      <c r="B11" s="4176"/>
      <c r="C11" s="4176"/>
      <c r="D11" s="4176"/>
      <c r="E11" s="2878"/>
      <c r="F11" s="4192"/>
      <c r="O11" s="215"/>
      <c r="P11" s="215"/>
      <c r="Q11" s="215"/>
    </row>
    <row r="12" spans="1:17" ht="12.75" customHeight="1">
      <c r="A12" s="4177" t="s">
        <v>4767</v>
      </c>
      <c r="B12" s="4178"/>
      <c r="C12" s="4178"/>
      <c r="D12" s="4178"/>
      <c r="E12" s="4179"/>
      <c r="F12" s="4192"/>
      <c r="O12" s="215"/>
      <c r="P12" s="215"/>
      <c r="Q12" s="215"/>
    </row>
    <row r="13" spans="1:17" ht="12.75" customHeight="1">
      <c r="A13" s="2859" t="s">
        <v>931</v>
      </c>
      <c r="B13" s="2892"/>
      <c r="C13" s="2892"/>
      <c r="D13" s="2892"/>
      <c r="E13" s="2878"/>
      <c r="F13" s="4192"/>
      <c r="O13" s="215"/>
      <c r="P13" s="215"/>
      <c r="Q13" s="215"/>
    </row>
    <row r="14" spans="1:17" ht="12.75" customHeight="1">
      <c r="A14" s="1471" t="s">
        <v>59</v>
      </c>
      <c r="B14" s="1452">
        <v>5</v>
      </c>
      <c r="C14" s="2911">
        <f>'C06'!$C$280</f>
        <v>0</v>
      </c>
      <c r="D14" s="1459">
        <f>'C06'!$D$280</f>
        <v>2675</v>
      </c>
      <c r="E14" s="2861"/>
      <c r="F14" s="4192"/>
      <c r="O14" s="215"/>
      <c r="P14" s="215"/>
      <c r="Q14" s="215"/>
    </row>
    <row r="15" spans="1:17" ht="12.75" customHeight="1">
      <c r="A15" s="1985" t="s">
        <v>933</v>
      </c>
      <c r="B15" s="1460">
        <v>170</v>
      </c>
      <c r="C15" s="1458">
        <f>SUM(C9:C14)</f>
        <v>16540</v>
      </c>
      <c r="D15" s="1459">
        <f>SUM(D9:D14)</f>
        <v>19215</v>
      </c>
      <c r="E15" s="2861"/>
      <c r="F15" s="4192"/>
    </row>
    <row r="16" spans="1:17" ht="12.75" customHeight="1">
      <c r="A16" s="1470" t="s">
        <v>934</v>
      </c>
      <c r="B16" s="1460">
        <v>175</v>
      </c>
      <c r="C16" s="1461">
        <f>C245</f>
        <v>0</v>
      </c>
      <c r="D16" s="1454">
        <f>D245</f>
        <v>19215</v>
      </c>
      <c r="E16" s="2910"/>
      <c r="F16" s="4192"/>
      <c r="N16" s="214"/>
    </row>
    <row r="17" spans="1:26" ht="12.75" customHeight="1">
      <c r="A17" s="2896" t="s">
        <v>935</v>
      </c>
      <c r="B17" s="4180">
        <v>190</v>
      </c>
      <c r="C17" s="4181">
        <f>SUM(C15-C16)</f>
        <v>16540</v>
      </c>
      <c r="D17" s="4181">
        <f>SUM(D15-D16)</f>
        <v>0</v>
      </c>
      <c r="E17" s="2862"/>
      <c r="F17" s="4192"/>
      <c r="O17" s="216"/>
      <c r="P17" s="216"/>
      <c r="Q17" s="216"/>
    </row>
    <row r="18" spans="1:26" ht="12.75" customHeight="1">
      <c r="A18" s="4176"/>
      <c r="B18" s="4182"/>
      <c r="C18" s="4183"/>
      <c r="D18" s="4183"/>
      <c r="E18" s="4184"/>
      <c r="F18" s="211"/>
      <c r="O18" s="216"/>
      <c r="P18" s="216"/>
      <c r="Q18" s="216"/>
    </row>
    <row r="19" spans="1:26" s="3788" customFormat="1" ht="12.75" customHeight="1">
      <c r="A19" s="3783" t="str">
        <f>A1</f>
        <v>USD #</v>
      </c>
      <c r="B19" s="4155">
        <f>B1</f>
        <v>237</v>
      </c>
      <c r="C19" s="3784"/>
      <c r="D19" s="6158" t="str">
        <f>D1</f>
        <v>STATE OF KANSAS</v>
      </c>
      <c r="E19" s="6158"/>
      <c r="F19" s="3785"/>
      <c r="G19" s="3786"/>
      <c r="H19" s="3786"/>
      <c r="I19" s="3786"/>
      <c r="J19" s="3786"/>
      <c r="K19" s="3786"/>
      <c r="L19" s="3786"/>
      <c r="M19" s="3786"/>
      <c r="N19" s="3786"/>
      <c r="O19" s="3787"/>
      <c r="P19" s="3787"/>
      <c r="Q19" s="3787"/>
      <c r="R19" s="3786"/>
      <c r="S19" s="3786"/>
      <c r="T19" s="3786"/>
      <c r="U19" s="3786"/>
      <c r="V19" s="3786"/>
      <c r="W19" s="3786"/>
      <c r="X19" s="3786"/>
      <c r="Y19" s="3786"/>
      <c r="Z19" s="3786"/>
    </row>
    <row r="20" spans="1:26" s="1440" customFormat="1" ht="12.75" customHeight="1">
      <c r="A20" s="1472"/>
      <c r="B20" s="1463"/>
      <c r="C20" s="1462"/>
      <c r="D20" s="6159" t="str">
        <f>D2</f>
        <v>Budget Form USD-E</v>
      </c>
      <c r="E20" s="6159"/>
      <c r="F20" s="1438"/>
      <c r="G20" s="745"/>
      <c r="H20" s="745"/>
      <c r="I20" s="745"/>
      <c r="J20" s="745"/>
      <c r="K20" s="745"/>
      <c r="L20" s="745"/>
      <c r="M20" s="745"/>
      <c r="N20" s="745"/>
      <c r="O20" s="1439"/>
      <c r="P20" s="1439"/>
      <c r="Q20" s="1439"/>
      <c r="R20" s="745"/>
      <c r="S20" s="745"/>
      <c r="T20" s="745"/>
      <c r="U20" s="745"/>
      <c r="V20" s="745"/>
      <c r="W20" s="745"/>
      <c r="X20" s="745"/>
      <c r="Y20" s="745"/>
      <c r="Z20" s="745"/>
    </row>
    <row r="21" spans="1:26" s="1440" customFormat="1" ht="12.75" customHeight="1">
      <c r="A21" s="1472"/>
      <c r="B21" s="1463"/>
      <c r="C21" s="1462"/>
      <c r="D21" s="1462"/>
      <c r="E21" s="1464" t="str">
        <f>E3</f>
        <v>2021-2022</v>
      </c>
      <c r="F21" s="1438"/>
      <c r="G21" s="745"/>
      <c r="H21" s="745"/>
      <c r="I21" s="745"/>
      <c r="J21" s="745"/>
      <c r="K21" s="745"/>
      <c r="L21" s="745"/>
      <c r="M21" s="745"/>
      <c r="N21" s="745"/>
      <c r="O21" s="1439"/>
      <c r="P21" s="1439"/>
      <c r="Q21" s="1439"/>
      <c r="R21" s="745"/>
      <c r="S21" s="745"/>
      <c r="T21" s="745"/>
      <c r="U21" s="745"/>
      <c r="V21" s="745"/>
      <c r="W21" s="745"/>
      <c r="X21" s="745"/>
      <c r="Y21" s="745"/>
      <c r="Z21" s="745"/>
    </row>
    <row r="22" spans="1:26" ht="12.75" customHeight="1">
      <c r="A22" s="1441"/>
      <c r="B22" s="1442"/>
      <c r="C22" s="1441"/>
      <c r="D22" s="1441"/>
      <c r="E22" s="1441"/>
      <c r="F22" s="211"/>
      <c r="O22" s="216"/>
      <c r="P22" s="216"/>
      <c r="Q22" s="216"/>
    </row>
    <row r="23" spans="1:26" ht="12.75" customHeight="1">
      <c r="A23" s="1441"/>
      <c r="B23" s="1442"/>
      <c r="C23" s="1444" t="s">
        <v>922</v>
      </c>
      <c r="D23" s="1444" t="s">
        <v>922</v>
      </c>
      <c r="E23" s="1444" t="s">
        <v>922</v>
      </c>
      <c r="F23" s="217"/>
      <c r="O23" s="216"/>
      <c r="P23" s="216"/>
      <c r="Q23" s="216"/>
    </row>
    <row r="24" spans="1:26" ht="12.75" customHeight="1">
      <c r="A24" s="587"/>
      <c r="B24" s="1445" t="s">
        <v>854</v>
      </c>
      <c r="C24" s="1446" t="str">
        <f>C6</f>
        <v>2019-2020</v>
      </c>
      <c r="D24" s="1446" t="str">
        <f>D6</f>
        <v>2020-2021</v>
      </c>
      <c r="E24" s="1446" t="str">
        <f>E6</f>
        <v>2021-2022</v>
      </c>
      <c r="F24" s="4193"/>
      <c r="O24" s="216"/>
      <c r="P24" s="216"/>
      <c r="Q24" s="216"/>
    </row>
    <row r="25" spans="1:26" ht="12.75" customHeight="1">
      <c r="A25" s="587" t="str">
        <f>A7</f>
        <v>CONTINGENCY RESERVE</v>
      </c>
      <c r="B25" s="1447">
        <v>53</v>
      </c>
      <c r="C25" s="1448" t="s">
        <v>893</v>
      </c>
      <c r="D25" s="1448" t="s">
        <v>893</v>
      </c>
      <c r="E25" s="1465" t="s">
        <v>923</v>
      </c>
      <c r="F25" s="4193"/>
    </row>
    <row r="26" spans="1:26" ht="12.75" customHeight="1">
      <c r="A26" s="4175"/>
      <c r="B26" s="1447" t="s">
        <v>858</v>
      </c>
      <c r="C26" s="4185">
        <v>1</v>
      </c>
      <c r="D26" s="4185">
        <v>2</v>
      </c>
      <c r="E26" s="4185">
        <v>3</v>
      </c>
      <c r="F26" s="4193"/>
      <c r="O26" s="216"/>
      <c r="P26" s="216"/>
      <c r="Q26" s="216"/>
    </row>
    <row r="27" spans="1:26" ht="12.75" customHeight="1">
      <c r="A27" s="2860"/>
      <c r="B27" s="4182"/>
      <c r="C27" s="4186"/>
      <c r="D27" s="4186"/>
      <c r="E27" s="4187"/>
      <c r="F27" s="4193"/>
      <c r="O27" s="216"/>
      <c r="P27" s="216"/>
      <c r="Q27" s="216"/>
    </row>
    <row r="28" spans="1:26" ht="12.75" customHeight="1">
      <c r="A28" s="4177" t="s">
        <v>60</v>
      </c>
      <c r="B28" s="4178"/>
      <c r="C28" s="4178"/>
      <c r="D28" s="4178"/>
      <c r="E28" s="4179"/>
      <c r="F28" s="4193"/>
      <c r="O28" s="216"/>
      <c r="P28" s="216"/>
      <c r="Q28" s="216"/>
    </row>
    <row r="29" spans="1:26" ht="12.75" customHeight="1">
      <c r="A29" s="2859" t="s">
        <v>940</v>
      </c>
      <c r="B29" s="2892"/>
      <c r="C29" s="2892"/>
      <c r="D29" s="2892"/>
      <c r="E29" s="2878"/>
      <c r="F29" s="4193"/>
    </row>
    <row r="30" spans="1:26" ht="12.75" customHeight="1">
      <c r="A30" s="2859" t="s">
        <v>941</v>
      </c>
      <c r="B30" s="2892"/>
      <c r="C30" s="2892"/>
      <c r="D30" s="2892"/>
      <c r="E30" s="2878"/>
      <c r="F30" s="4193"/>
    </row>
    <row r="31" spans="1:26" ht="12.75" customHeight="1">
      <c r="A31" s="2865" t="s">
        <v>942</v>
      </c>
      <c r="B31" s="2893">
        <v>210</v>
      </c>
      <c r="C31" s="1466"/>
      <c r="D31" s="1466"/>
      <c r="E31" s="2879"/>
      <c r="F31" s="4193"/>
    </row>
    <row r="32" spans="1:26" ht="12.75" customHeight="1">
      <c r="A32" s="2866" t="s">
        <v>943</v>
      </c>
      <c r="B32" s="2886">
        <v>215</v>
      </c>
      <c r="C32" s="1995"/>
      <c r="D32" s="1995"/>
      <c r="E32" s="2879"/>
      <c r="F32" s="4193"/>
    </row>
    <row r="33" spans="1:6" ht="12.75" customHeight="1">
      <c r="A33" s="2859" t="s">
        <v>944</v>
      </c>
      <c r="B33" s="2892"/>
      <c r="C33" s="2892"/>
      <c r="D33" s="2892"/>
      <c r="E33" s="2879"/>
      <c r="F33" s="4193"/>
    </row>
    <row r="34" spans="1:6" ht="12.75" customHeight="1">
      <c r="A34" s="2865" t="s">
        <v>945</v>
      </c>
      <c r="B34" s="2893">
        <v>220</v>
      </c>
      <c r="C34" s="1466"/>
      <c r="D34" s="1466"/>
      <c r="E34" s="2879"/>
      <c r="F34" s="4193"/>
    </row>
    <row r="35" spans="1:6" ht="12.75" customHeight="1">
      <c r="A35" s="2866" t="s">
        <v>946</v>
      </c>
      <c r="B35" s="2886">
        <v>225</v>
      </c>
      <c r="C35" s="1995"/>
      <c r="D35" s="1995"/>
      <c r="E35" s="2879"/>
      <c r="F35" s="4193"/>
    </row>
    <row r="36" spans="1:6" ht="12.75" customHeight="1">
      <c r="A36" s="2866" t="s">
        <v>947</v>
      </c>
      <c r="B36" s="2886">
        <v>230</v>
      </c>
      <c r="C36" s="1995"/>
      <c r="D36" s="1995"/>
      <c r="E36" s="2879"/>
      <c r="F36" s="4193"/>
    </row>
    <row r="37" spans="1:6" ht="12.75" customHeight="1">
      <c r="A37" s="2860" t="s">
        <v>4818</v>
      </c>
      <c r="B37" s="2893">
        <v>235</v>
      </c>
      <c r="C37" s="2871"/>
      <c r="D37" s="2871"/>
      <c r="E37" s="2879"/>
      <c r="F37" s="4193"/>
    </row>
    <row r="38" spans="1:6" ht="12.75" customHeight="1">
      <c r="A38" s="2867" t="s">
        <v>632</v>
      </c>
      <c r="B38" s="2894">
        <v>237</v>
      </c>
      <c r="C38" s="1995"/>
      <c r="D38" s="1995"/>
      <c r="E38" s="2861"/>
      <c r="F38" s="4193"/>
    </row>
    <row r="39" spans="1:6" ht="12.75" customHeight="1">
      <c r="A39" s="2859" t="s">
        <v>950</v>
      </c>
      <c r="B39" s="2892"/>
      <c r="C39" s="2892"/>
      <c r="D39" s="2892"/>
      <c r="E39" s="2879"/>
      <c r="F39" s="4193"/>
    </row>
    <row r="40" spans="1:6" ht="12.75" customHeight="1">
      <c r="A40" s="2859" t="s">
        <v>951</v>
      </c>
      <c r="B40" s="2892"/>
      <c r="C40" s="2892"/>
      <c r="D40" s="2892"/>
      <c r="E40" s="2879"/>
      <c r="F40" s="4193"/>
    </row>
    <row r="41" spans="1:6" ht="12.75" customHeight="1">
      <c r="A41" s="2865" t="s">
        <v>952</v>
      </c>
      <c r="B41" s="2893">
        <v>240</v>
      </c>
      <c r="C41" s="1466"/>
      <c r="D41" s="1466"/>
      <c r="E41" s="2879"/>
      <c r="F41" s="4193"/>
    </row>
    <row r="42" spans="1:6" ht="12.75" customHeight="1">
      <c r="A42" s="2860" t="s">
        <v>953</v>
      </c>
      <c r="B42" s="2895">
        <v>245</v>
      </c>
      <c r="C42" s="2871"/>
      <c r="D42" s="2871"/>
      <c r="E42" s="2879"/>
      <c r="F42" s="4193"/>
    </row>
    <row r="43" spans="1:6" ht="12.75" customHeight="1">
      <c r="A43" s="2866" t="s">
        <v>682</v>
      </c>
      <c r="B43" s="2886">
        <v>250</v>
      </c>
      <c r="C43" s="1995"/>
      <c r="D43" s="1995"/>
      <c r="E43" s="2879"/>
      <c r="F43" s="4193"/>
    </row>
    <row r="44" spans="1:6" ht="12.75" customHeight="1">
      <c r="A44" s="2866" t="s">
        <v>954</v>
      </c>
      <c r="B44" s="2886">
        <v>255</v>
      </c>
      <c r="C44" s="1995"/>
      <c r="D44" s="1995"/>
      <c r="E44" s="2879"/>
      <c r="F44" s="4193"/>
    </row>
    <row r="45" spans="1:6" ht="12.75" customHeight="1">
      <c r="A45" s="2859" t="s">
        <v>955</v>
      </c>
      <c r="B45" s="2892"/>
      <c r="C45" s="2892"/>
      <c r="D45" s="2892"/>
      <c r="E45" s="2879"/>
      <c r="F45" s="4193"/>
    </row>
    <row r="46" spans="1:6" ht="12.75" customHeight="1">
      <c r="A46" s="2865" t="s">
        <v>956</v>
      </c>
      <c r="B46" s="2893">
        <v>260</v>
      </c>
      <c r="C46" s="1466"/>
      <c r="D46" s="1466"/>
      <c r="E46" s="2879"/>
      <c r="F46" s="4193"/>
    </row>
    <row r="47" spans="1:6" ht="12.75" customHeight="1">
      <c r="A47" s="2859" t="s">
        <v>957</v>
      </c>
      <c r="B47" s="2895">
        <v>265</v>
      </c>
      <c r="C47" s="1995"/>
      <c r="D47" s="1995"/>
      <c r="E47" s="2879"/>
      <c r="F47" s="4193"/>
    </row>
    <row r="48" spans="1:6" ht="12.75" customHeight="1">
      <c r="A48" s="2867" t="s">
        <v>936</v>
      </c>
      <c r="B48" s="2872">
        <v>267</v>
      </c>
      <c r="C48" s="1995"/>
      <c r="D48" s="1995"/>
      <c r="E48" s="2879"/>
      <c r="F48" s="4193"/>
    </row>
    <row r="49" spans="1:6" ht="12.75" customHeight="1">
      <c r="A49" s="2866" t="s">
        <v>958</v>
      </c>
      <c r="B49" s="2886">
        <v>270</v>
      </c>
      <c r="C49" s="1995"/>
      <c r="D49" s="1995"/>
      <c r="E49" s="2879"/>
      <c r="F49" s="4193"/>
    </row>
    <row r="50" spans="1:6" ht="12.75" customHeight="1">
      <c r="A50" s="2865" t="s">
        <v>959</v>
      </c>
      <c r="B50" s="2893">
        <v>275</v>
      </c>
      <c r="C50" s="1466"/>
      <c r="D50" s="1466"/>
      <c r="E50" s="2879"/>
      <c r="F50" s="4193"/>
    </row>
    <row r="51" spans="1:6" ht="12.75" customHeight="1">
      <c r="A51" s="2866" t="s">
        <v>960</v>
      </c>
      <c r="B51" s="2886">
        <v>280</v>
      </c>
      <c r="C51" s="1995"/>
      <c r="D51" s="1995"/>
      <c r="E51" s="2879"/>
      <c r="F51" s="4193"/>
    </row>
    <row r="52" spans="1:6" ht="12.75" customHeight="1">
      <c r="A52" s="2859" t="s">
        <v>961</v>
      </c>
      <c r="B52" s="2892"/>
      <c r="C52" s="2892"/>
      <c r="D52" s="2892"/>
      <c r="E52" s="2879"/>
      <c r="F52" s="4193"/>
    </row>
    <row r="53" spans="1:6" ht="12.75" customHeight="1">
      <c r="A53" s="2859" t="s">
        <v>962</v>
      </c>
      <c r="B53" s="2892"/>
      <c r="C53" s="2892"/>
      <c r="D53" s="2892"/>
      <c r="E53" s="2879"/>
      <c r="F53" s="4193"/>
    </row>
    <row r="54" spans="1:6" ht="12.75" customHeight="1">
      <c r="A54" s="2859" t="s">
        <v>941</v>
      </c>
      <c r="B54" s="2892"/>
      <c r="C54" s="2892"/>
      <c r="D54" s="2892"/>
      <c r="E54" s="2879"/>
      <c r="F54" s="4193"/>
    </row>
    <row r="55" spans="1:6" ht="12.75" customHeight="1">
      <c r="A55" s="2865" t="s">
        <v>942</v>
      </c>
      <c r="B55" s="2893">
        <v>285</v>
      </c>
      <c r="C55" s="1466"/>
      <c r="D55" s="1466"/>
      <c r="E55" s="2879"/>
      <c r="F55" s="4193"/>
    </row>
    <row r="56" spans="1:6" ht="12.75" customHeight="1">
      <c r="A56" s="2866" t="s">
        <v>943</v>
      </c>
      <c r="B56" s="2886">
        <v>290</v>
      </c>
      <c r="C56" s="1995"/>
      <c r="D56" s="1995"/>
      <c r="E56" s="2879"/>
      <c r="F56" s="4193"/>
    </row>
    <row r="57" spans="1:6" ht="12.75" customHeight="1">
      <c r="A57" s="2859" t="s">
        <v>944</v>
      </c>
      <c r="B57" s="2892"/>
      <c r="C57" s="2892"/>
      <c r="D57" s="2892"/>
      <c r="E57" s="2879"/>
      <c r="F57" s="4193"/>
    </row>
    <row r="58" spans="1:6" ht="12.75" customHeight="1">
      <c r="A58" s="2865" t="s">
        <v>945</v>
      </c>
      <c r="B58" s="2893">
        <v>295</v>
      </c>
      <c r="C58" s="1466"/>
      <c r="D58" s="1466"/>
      <c r="E58" s="2879"/>
      <c r="F58" s="4193"/>
    </row>
    <row r="59" spans="1:6" ht="12.75" customHeight="1">
      <c r="A59" s="2865" t="s">
        <v>946</v>
      </c>
      <c r="B59" s="2893">
        <v>300</v>
      </c>
      <c r="C59" s="1466"/>
      <c r="D59" s="1466"/>
      <c r="E59" s="2879"/>
      <c r="F59" s="4193"/>
    </row>
    <row r="60" spans="1:6" ht="12.75" customHeight="1">
      <c r="A60" s="2866" t="s">
        <v>947</v>
      </c>
      <c r="B60" s="2886">
        <v>305</v>
      </c>
      <c r="C60" s="1995"/>
      <c r="D60" s="1995"/>
      <c r="E60" s="2879"/>
      <c r="F60" s="4193"/>
    </row>
    <row r="61" spans="1:6" ht="12.75" customHeight="1">
      <c r="A61" s="2860" t="s">
        <v>4818</v>
      </c>
      <c r="B61" s="2893">
        <v>310</v>
      </c>
      <c r="C61" s="2871"/>
      <c r="D61" s="2871"/>
      <c r="E61" s="2879"/>
      <c r="F61" s="4193"/>
    </row>
    <row r="62" spans="1:6" ht="12.75" customHeight="1">
      <c r="A62" s="2868" t="s">
        <v>632</v>
      </c>
      <c r="B62" s="2894">
        <v>313</v>
      </c>
      <c r="C62" s="2871"/>
      <c r="D62" s="2871"/>
      <c r="E62" s="2879"/>
      <c r="F62" s="4193"/>
    </row>
    <row r="63" spans="1:6" ht="12.75" customHeight="1">
      <c r="A63" s="2866" t="s">
        <v>950</v>
      </c>
      <c r="B63" s="2886">
        <v>315</v>
      </c>
      <c r="C63" s="1995"/>
      <c r="D63" s="1995"/>
      <c r="E63" s="2879"/>
      <c r="F63" s="4193"/>
    </row>
    <row r="64" spans="1:6" ht="12.75" customHeight="1">
      <c r="A64" s="2865" t="s">
        <v>955</v>
      </c>
      <c r="B64" s="2893">
        <v>320</v>
      </c>
      <c r="C64" s="1466"/>
      <c r="D64" s="1466"/>
      <c r="E64" s="2879"/>
      <c r="F64" s="4193"/>
    </row>
    <row r="65" spans="1:6" ht="12.75" customHeight="1">
      <c r="A65" s="2866" t="s">
        <v>959</v>
      </c>
      <c r="B65" s="2886">
        <v>325</v>
      </c>
      <c r="C65" s="1995"/>
      <c r="D65" s="1995"/>
      <c r="E65" s="2891"/>
      <c r="F65" s="4193"/>
    </row>
    <row r="66" spans="1:6" ht="12.75" customHeight="1">
      <c r="A66" s="2866" t="s">
        <v>960</v>
      </c>
      <c r="B66" s="2886">
        <v>330</v>
      </c>
      <c r="C66" s="1995"/>
      <c r="D66" s="1995"/>
      <c r="E66" s="2891"/>
      <c r="F66" s="4193"/>
    </row>
    <row r="67" spans="1:6" ht="12.75" customHeight="1">
      <c r="A67" s="2860" t="s">
        <v>963</v>
      </c>
      <c r="B67" s="2896"/>
      <c r="C67" s="2896"/>
      <c r="D67" s="2896"/>
      <c r="E67" s="2891"/>
      <c r="F67" s="4193"/>
    </row>
    <row r="68" spans="1:6" ht="12.75" customHeight="1">
      <c r="A68" s="2859" t="s">
        <v>941</v>
      </c>
      <c r="B68" s="2892"/>
      <c r="C68" s="2892"/>
      <c r="D68" s="2892"/>
      <c r="E68" s="2879"/>
      <c r="F68" s="4193"/>
    </row>
    <row r="69" spans="1:6" ht="12.75" customHeight="1">
      <c r="A69" s="2865" t="s">
        <v>942</v>
      </c>
      <c r="B69" s="2893">
        <v>335</v>
      </c>
      <c r="C69" s="1466"/>
      <c r="D69" s="1466"/>
      <c r="E69" s="2891"/>
      <c r="F69" s="4193"/>
    </row>
    <row r="70" spans="1:6" ht="12.75" customHeight="1">
      <c r="A70" s="2866" t="s">
        <v>943</v>
      </c>
      <c r="B70" s="2886">
        <v>340</v>
      </c>
      <c r="C70" s="1995"/>
      <c r="D70" s="1995"/>
      <c r="E70" s="2891"/>
      <c r="F70" s="4193"/>
    </row>
    <row r="71" spans="1:6" ht="12.75" customHeight="1">
      <c r="A71" s="2859" t="s">
        <v>944</v>
      </c>
      <c r="B71" s="2892"/>
      <c r="C71" s="2892"/>
      <c r="D71" s="2892"/>
      <c r="E71" s="2879"/>
      <c r="F71" s="4192"/>
    </row>
    <row r="72" spans="1:6" ht="12.75" customHeight="1">
      <c r="A72" s="2865" t="s">
        <v>945</v>
      </c>
      <c r="B72" s="2893">
        <v>345</v>
      </c>
      <c r="C72" s="1466"/>
      <c r="D72" s="1466"/>
      <c r="E72" s="2879"/>
      <c r="F72" s="4192"/>
    </row>
    <row r="73" spans="1:6" ht="12.75" customHeight="1">
      <c r="A73" s="2866" t="s">
        <v>946</v>
      </c>
      <c r="B73" s="2886">
        <v>350</v>
      </c>
      <c r="C73" s="1995"/>
      <c r="D73" s="1995"/>
      <c r="E73" s="2879"/>
      <c r="F73" s="4192"/>
    </row>
    <row r="74" spans="1:6" ht="12.75" customHeight="1">
      <c r="A74" s="2866" t="s">
        <v>947</v>
      </c>
      <c r="B74" s="2886">
        <v>355</v>
      </c>
      <c r="C74" s="1995"/>
      <c r="D74" s="1995"/>
      <c r="E74" s="2879"/>
      <c r="F74" s="4192"/>
    </row>
    <row r="75" spans="1:6" ht="12.75" customHeight="1">
      <c r="A75" s="2860" t="s">
        <v>4818</v>
      </c>
      <c r="B75" s="2895">
        <v>360</v>
      </c>
      <c r="C75" s="2871"/>
      <c r="D75" s="2871"/>
      <c r="E75" s="2879"/>
      <c r="F75" s="4192"/>
    </row>
    <row r="76" spans="1:6" ht="12.75" customHeight="1">
      <c r="A76" s="2868" t="s">
        <v>968</v>
      </c>
      <c r="B76" s="2897">
        <v>363</v>
      </c>
      <c r="C76" s="2871"/>
      <c r="D76" s="2871"/>
      <c r="E76" s="2879"/>
      <c r="F76" s="4192"/>
    </row>
    <row r="77" spans="1:6" ht="12.75" customHeight="1">
      <c r="A77" s="2866" t="s">
        <v>950</v>
      </c>
      <c r="B77" s="2886">
        <v>365</v>
      </c>
      <c r="C77" s="1995"/>
      <c r="D77" s="1995"/>
      <c r="E77" s="2879"/>
      <c r="F77" s="4192"/>
    </row>
    <row r="78" spans="1:6" ht="12.75" customHeight="1">
      <c r="A78" s="2859" t="s">
        <v>955</v>
      </c>
      <c r="B78" s="2892"/>
      <c r="C78" s="2892"/>
      <c r="D78" s="2892"/>
      <c r="E78" s="2879"/>
      <c r="F78" s="4192"/>
    </row>
    <row r="79" spans="1:6" ht="12.75" customHeight="1">
      <c r="A79" s="2859" t="s">
        <v>965</v>
      </c>
      <c r="B79" s="2892"/>
      <c r="C79" s="2892"/>
      <c r="D79" s="2892"/>
      <c r="E79" s="2879"/>
      <c r="F79" s="4192"/>
    </row>
    <row r="80" spans="1:6" ht="12.75" customHeight="1">
      <c r="A80" s="2865" t="s">
        <v>966</v>
      </c>
      <c r="B80" s="2893">
        <v>370</v>
      </c>
      <c r="C80" s="1466"/>
      <c r="D80" s="1466"/>
      <c r="E80" s="2879"/>
      <c r="F80" s="4192"/>
    </row>
    <row r="81" spans="1:6" ht="12.75" customHeight="1">
      <c r="A81" s="2860" t="s">
        <v>691</v>
      </c>
      <c r="B81" s="2895">
        <v>375</v>
      </c>
      <c r="C81" s="2871"/>
      <c r="D81" s="2871"/>
      <c r="E81" s="2879"/>
      <c r="F81" s="4192"/>
    </row>
    <row r="82" spans="1:6" ht="12.75" customHeight="1">
      <c r="A82" s="2866" t="s">
        <v>958</v>
      </c>
      <c r="B82" s="2886">
        <v>380</v>
      </c>
      <c r="C82" s="1995"/>
      <c r="D82" s="1995"/>
      <c r="E82" s="2879"/>
      <c r="F82" s="4192"/>
    </row>
    <row r="83" spans="1:6" ht="12.75" customHeight="1">
      <c r="A83" s="2866" t="s">
        <v>959</v>
      </c>
      <c r="B83" s="2886">
        <v>385</v>
      </c>
      <c r="C83" s="1995"/>
      <c r="D83" s="1995"/>
      <c r="E83" s="2879"/>
      <c r="F83" s="4192"/>
    </row>
    <row r="84" spans="1:6" ht="12.75" customHeight="1">
      <c r="A84" s="2866" t="s">
        <v>960</v>
      </c>
      <c r="B84" s="2886">
        <v>390</v>
      </c>
      <c r="C84" s="1995"/>
      <c r="D84" s="1995"/>
      <c r="E84" s="2879"/>
      <c r="F84" s="4192"/>
    </row>
    <row r="85" spans="1:6" ht="12.75" customHeight="1">
      <c r="A85" s="2859" t="s">
        <v>967</v>
      </c>
      <c r="B85" s="2892"/>
      <c r="C85" s="2892"/>
      <c r="D85" s="2892"/>
      <c r="E85" s="2879"/>
      <c r="F85" s="4192"/>
    </row>
    <row r="86" spans="1:6" ht="12.75" customHeight="1">
      <c r="A86" s="2859" t="s">
        <v>941</v>
      </c>
      <c r="B86" s="2892"/>
      <c r="C86" s="2892"/>
      <c r="D86" s="2892"/>
      <c r="E86" s="2879"/>
      <c r="F86" s="4192"/>
    </row>
    <row r="87" spans="1:6" ht="12.75" customHeight="1">
      <c r="A87" s="2865" t="s">
        <v>942</v>
      </c>
      <c r="B87" s="2893">
        <v>395</v>
      </c>
      <c r="C87" s="1466"/>
      <c r="D87" s="1466"/>
      <c r="E87" s="2879"/>
      <c r="F87" s="4192"/>
    </row>
    <row r="88" spans="1:6" ht="12.75" customHeight="1">
      <c r="A88" s="2866" t="s">
        <v>943</v>
      </c>
      <c r="B88" s="2886">
        <v>400</v>
      </c>
      <c r="C88" s="1995"/>
      <c r="D88" s="1995"/>
      <c r="E88" s="2879"/>
      <c r="F88" s="4192"/>
    </row>
    <row r="89" spans="1:6" ht="12.75" customHeight="1">
      <c r="A89" s="2859" t="s">
        <v>944</v>
      </c>
      <c r="B89" s="2892"/>
      <c r="C89" s="2892"/>
      <c r="D89" s="2892"/>
      <c r="E89" s="2879"/>
      <c r="F89" s="4192"/>
    </row>
    <row r="90" spans="1:6" ht="12.75" customHeight="1">
      <c r="A90" s="2865" t="s">
        <v>945</v>
      </c>
      <c r="B90" s="2893">
        <v>405</v>
      </c>
      <c r="C90" s="1466"/>
      <c r="D90" s="1466"/>
      <c r="E90" s="2879"/>
      <c r="F90" s="4192"/>
    </row>
    <row r="91" spans="1:6" ht="12.75" customHeight="1">
      <c r="A91" s="2866" t="s">
        <v>946</v>
      </c>
      <c r="B91" s="2886">
        <v>410</v>
      </c>
      <c r="C91" s="1995"/>
      <c r="D91" s="1995"/>
      <c r="E91" s="2879"/>
      <c r="F91" s="4192"/>
    </row>
    <row r="92" spans="1:6" ht="12.75" customHeight="1">
      <c r="A92" s="2866" t="s">
        <v>947</v>
      </c>
      <c r="B92" s="2886">
        <v>415</v>
      </c>
      <c r="C92" s="1995"/>
      <c r="D92" s="1995"/>
      <c r="E92" s="2879"/>
      <c r="F92" s="4192"/>
    </row>
    <row r="93" spans="1:6" ht="12.75" customHeight="1">
      <c r="A93" s="2860" t="s">
        <v>4818</v>
      </c>
      <c r="B93" s="2895">
        <v>420</v>
      </c>
      <c r="C93" s="2871"/>
      <c r="D93" s="2871"/>
      <c r="E93" s="2879"/>
      <c r="F93" s="4192"/>
    </row>
    <row r="94" spans="1:6" ht="12.75" customHeight="1">
      <c r="A94" s="2866" t="s">
        <v>968</v>
      </c>
      <c r="B94" s="2886">
        <v>425</v>
      </c>
      <c r="C94" s="1995"/>
      <c r="D94" s="1995"/>
      <c r="E94" s="2879"/>
      <c r="F94" s="4192"/>
    </row>
    <row r="95" spans="1:6" ht="12.75" customHeight="1">
      <c r="A95" s="2859" t="s">
        <v>950</v>
      </c>
      <c r="B95" s="2892"/>
      <c r="C95" s="2892"/>
      <c r="D95" s="2892"/>
      <c r="E95" s="2879"/>
      <c r="F95" s="4192"/>
    </row>
    <row r="96" spans="1:6" ht="12.75" customHeight="1">
      <c r="A96" s="2865" t="s">
        <v>969</v>
      </c>
      <c r="B96" s="2893">
        <v>430</v>
      </c>
      <c r="C96" s="1466"/>
      <c r="D96" s="1466"/>
      <c r="E96" s="2879"/>
      <c r="F96" s="4192"/>
    </row>
    <row r="97" spans="1:6" ht="12.75" customHeight="1">
      <c r="A97" s="2859" t="s">
        <v>5130</v>
      </c>
      <c r="B97" s="2895">
        <v>435</v>
      </c>
      <c r="C97" s="2871"/>
      <c r="D97" s="2871"/>
      <c r="E97" s="2879"/>
      <c r="F97" s="4192"/>
    </row>
    <row r="98" spans="1:6" ht="12.75" customHeight="1">
      <c r="A98" s="2866" t="s">
        <v>954</v>
      </c>
      <c r="B98" s="2886">
        <v>440</v>
      </c>
      <c r="C98" s="1995"/>
      <c r="D98" s="1995"/>
      <c r="E98" s="2879"/>
      <c r="F98" s="4192"/>
    </row>
    <row r="99" spans="1:6" ht="12.75" customHeight="1">
      <c r="A99" s="2866" t="s">
        <v>955</v>
      </c>
      <c r="B99" s="2886">
        <v>445</v>
      </c>
      <c r="C99" s="1995"/>
      <c r="D99" s="1995"/>
      <c r="E99" s="2879"/>
      <c r="F99" s="4192"/>
    </row>
    <row r="100" spans="1:6" ht="12.75" customHeight="1">
      <c r="A100" s="2866" t="s">
        <v>959</v>
      </c>
      <c r="B100" s="2886">
        <v>450</v>
      </c>
      <c r="C100" s="1995"/>
      <c r="D100" s="1995"/>
      <c r="E100" s="2879"/>
      <c r="F100" s="4192"/>
    </row>
    <row r="101" spans="1:6" ht="12.75" customHeight="1">
      <c r="A101" s="2866" t="s">
        <v>960</v>
      </c>
      <c r="B101" s="2886">
        <v>455</v>
      </c>
      <c r="C101" s="1995"/>
      <c r="D101" s="1995"/>
      <c r="E101" s="2879"/>
      <c r="F101" s="4192"/>
    </row>
    <row r="102" spans="1:6" ht="12.75" customHeight="1">
      <c r="A102" s="2859" t="s">
        <v>970</v>
      </c>
      <c r="B102" s="2892"/>
      <c r="C102" s="2892"/>
      <c r="D102" s="2892"/>
      <c r="E102" s="2879"/>
      <c r="F102" s="4192"/>
    </row>
    <row r="103" spans="1:6" ht="12.75" customHeight="1">
      <c r="A103" s="2859" t="s">
        <v>941</v>
      </c>
      <c r="B103" s="2892"/>
      <c r="C103" s="2892"/>
      <c r="D103" s="2892"/>
      <c r="E103" s="2879"/>
      <c r="F103" s="4192"/>
    </row>
    <row r="104" spans="1:6" ht="12.75" customHeight="1">
      <c r="A104" s="2865" t="s">
        <v>942</v>
      </c>
      <c r="B104" s="2893">
        <v>460</v>
      </c>
      <c r="C104" s="1466"/>
      <c r="D104" s="1466"/>
      <c r="E104" s="2879"/>
      <c r="F104" s="4192"/>
    </row>
    <row r="105" spans="1:6" ht="12.75" customHeight="1">
      <c r="A105" s="2866" t="s">
        <v>943</v>
      </c>
      <c r="B105" s="2886">
        <v>465</v>
      </c>
      <c r="C105" s="1995"/>
      <c r="D105" s="1995"/>
      <c r="E105" s="2879"/>
      <c r="F105" s="4192"/>
    </row>
    <row r="106" spans="1:6" ht="12.75" customHeight="1">
      <c r="A106" s="2859" t="s">
        <v>944</v>
      </c>
      <c r="B106" s="2892"/>
      <c r="C106" s="2892"/>
      <c r="D106" s="2892"/>
      <c r="E106" s="2879"/>
      <c r="F106" s="4192"/>
    </row>
    <row r="107" spans="1:6" ht="12.75" customHeight="1">
      <c r="A107" s="2865" t="s">
        <v>945</v>
      </c>
      <c r="B107" s="2893">
        <v>470</v>
      </c>
      <c r="C107" s="1466"/>
      <c r="D107" s="1466"/>
      <c r="E107" s="2879"/>
      <c r="F107" s="4192"/>
    </row>
    <row r="108" spans="1:6" ht="12.75" customHeight="1">
      <c r="A108" s="2866" t="s">
        <v>946</v>
      </c>
      <c r="B108" s="2886">
        <v>475</v>
      </c>
      <c r="C108" s="1995"/>
      <c r="D108" s="1995"/>
      <c r="E108" s="2879"/>
      <c r="F108" s="4192"/>
    </row>
    <row r="109" spans="1:6" ht="12.75" customHeight="1">
      <c r="A109" s="2866" t="s">
        <v>947</v>
      </c>
      <c r="B109" s="2886">
        <v>480</v>
      </c>
      <c r="C109" s="1995"/>
      <c r="D109" s="1995"/>
      <c r="E109" s="2879"/>
      <c r="F109" s="4192"/>
    </row>
    <row r="110" spans="1:6" ht="12.75" customHeight="1">
      <c r="A110" s="2860" t="s">
        <v>4818</v>
      </c>
      <c r="B110" s="2895">
        <v>485</v>
      </c>
      <c r="C110" s="2871"/>
      <c r="D110" s="2871"/>
      <c r="E110" s="2879"/>
      <c r="F110" s="4192"/>
    </row>
    <row r="111" spans="1:6" ht="12.75" customHeight="1">
      <c r="A111" s="2866" t="s">
        <v>968</v>
      </c>
      <c r="B111" s="2886">
        <v>490</v>
      </c>
      <c r="C111" s="1995"/>
      <c r="D111" s="1995"/>
      <c r="E111" s="2861"/>
      <c r="F111" s="4192"/>
    </row>
    <row r="112" spans="1:6" ht="12.75" customHeight="1">
      <c r="A112" s="2860" t="s">
        <v>950</v>
      </c>
      <c r="B112" s="2896"/>
      <c r="C112" s="2896"/>
      <c r="D112" s="2896"/>
      <c r="E112" s="2879"/>
      <c r="F112" s="4193"/>
    </row>
    <row r="113" spans="1:6" ht="12.75" customHeight="1">
      <c r="A113" s="2859" t="s">
        <v>4805</v>
      </c>
      <c r="B113" s="2898">
        <v>495</v>
      </c>
      <c r="C113" s="1466"/>
      <c r="D113" s="1466"/>
      <c r="E113" s="2879"/>
      <c r="F113" s="4193"/>
    </row>
    <row r="114" spans="1:6" ht="12.75" customHeight="1">
      <c r="A114" s="2866" t="s">
        <v>954</v>
      </c>
      <c r="B114" s="2886">
        <v>500</v>
      </c>
      <c r="C114" s="1995"/>
      <c r="D114" s="1995"/>
      <c r="E114" s="2879"/>
      <c r="F114" s="4193"/>
    </row>
    <row r="115" spans="1:6" ht="12.75" customHeight="1">
      <c r="A115" s="2866" t="s">
        <v>955</v>
      </c>
      <c r="B115" s="2886">
        <v>505</v>
      </c>
      <c r="C115" s="1995"/>
      <c r="D115" s="1995"/>
      <c r="E115" s="2879"/>
      <c r="F115" s="4193"/>
    </row>
    <row r="116" spans="1:6" ht="12.75" customHeight="1">
      <c r="A116" s="2866" t="s">
        <v>959</v>
      </c>
      <c r="B116" s="2886">
        <v>510</v>
      </c>
      <c r="C116" s="1995"/>
      <c r="D116" s="1995"/>
      <c r="E116" s="2879"/>
      <c r="F116" s="4193"/>
    </row>
    <row r="117" spans="1:6" ht="12.75" customHeight="1">
      <c r="A117" s="2866" t="s">
        <v>960</v>
      </c>
      <c r="B117" s="2886">
        <v>515</v>
      </c>
      <c r="C117" s="1995"/>
      <c r="D117" s="1995"/>
      <c r="E117" s="2879"/>
      <c r="F117" s="4193"/>
    </row>
    <row r="118" spans="1:6" ht="12.75" customHeight="1">
      <c r="A118" s="2859" t="s">
        <v>1320</v>
      </c>
      <c r="B118" s="2892"/>
      <c r="C118" s="2892"/>
      <c r="D118" s="2892"/>
      <c r="E118" s="2879"/>
      <c r="F118" s="4193"/>
    </row>
    <row r="119" spans="1:6" ht="12.75" customHeight="1">
      <c r="A119" s="2859" t="s">
        <v>941</v>
      </c>
      <c r="B119" s="2892"/>
      <c r="C119" s="2892"/>
      <c r="D119" s="2892"/>
      <c r="E119" s="2879"/>
      <c r="F119" s="4193"/>
    </row>
    <row r="120" spans="1:6" ht="12.75" customHeight="1">
      <c r="A120" s="2865" t="s">
        <v>942</v>
      </c>
      <c r="B120" s="2873">
        <v>625</v>
      </c>
      <c r="C120" s="1466"/>
      <c r="D120" s="1466"/>
      <c r="E120" s="4567"/>
      <c r="F120" s="4193"/>
    </row>
    <row r="121" spans="1:6" ht="12.75" customHeight="1">
      <c r="A121" s="2866" t="s">
        <v>313</v>
      </c>
      <c r="B121" s="1996">
        <v>630</v>
      </c>
      <c r="C121" s="1995"/>
      <c r="D121" s="1995"/>
      <c r="E121" s="4567"/>
      <c r="F121" s="4193"/>
    </row>
    <row r="122" spans="1:6" ht="12.75" customHeight="1">
      <c r="A122" s="2858" t="s">
        <v>944</v>
      </c>
      <c r="B122" s="2891"/>
      <c r="C122" s="2891"/>
      <c r="D122" s="2891"/>
      <c r="E122" s="2891"/>
      <c r="F122" s="4193"/>
    </row>
    <row r="123" spans="1:6" ht="12.75" customHeight="1">
      <c r="A123" s="2865" t="s">
        <v>295</v>
      </c>
      <c r="B123" s="2873">
        <v>635</v>
      </c>
      <c r="C123" s="1466"/>
      <c r="D123" s="1466"/>
      <c r="E123" s="2880"/>
      <c r="F123" s="4193"/>
    </row>
    <row r="124" spans="1:6" ht="12.75" customHeight="1">
      <c r="A124" s="2859" t="s">
        <v>946</v>
      </c>
      <c r="B124" s="2899">
        <v>640</v>
      </c>
      <c r="C124" s="2874"/>
      <c r="D124" s="2874"/>
      <c r="E124" s="2880"/>
      <c r="F124" s="4193"/>
    </row>
    <row r="125" spans="1:6" ht="12.75" customHeight="1">
      <c r="A125" s="2860" t="s">
        <v>947</v>
      </c>
      <c r="B125" s="2900">
        <v>645</v>
      </c>
      <c r="C125" s="2871"/>
      <c r="D125" s="2871"/>
      <c r="E125" s="2880"/>
      <c r="F125" s="4193"/>
    </row>
    <row r="126" spans="1:6" ht="12.75" customHeight="1">
      <c r="A126" s="2860" t="s">
        <v>4818</v>
      </c>
      <c r="B126" s="2900">
        <v>650</v>
      </c>
      <c r="C126" s="2871"/>
      <c r="D126" s="2871"/>
      <c r="E126" s="2880"/>
      <c r="F126" s="4193"/>
    </row>
    <row r="127" spans="1:6" ht="12.75" customHeight="1">
      <c r="A127" s="2860" t="s">
        <v>968</v>
      </c>
      <c r="B127" s="2900">
        <v>655</v>
      </c>
      <c r="C127" s="2871"/>
      <c r="D127" s="2871"/>
      <c r="E127" s="2880"/>
      <c r="F127" s="4193"/>
    </row>
    <row r="128" spans="1:6" ht="12.75" customHeight="1">
      <c r="A128" s="2860" t="s">
        <v>950</v>
      </c>
      <c r="B128" s="2900">
        <v>660</v>
      </c>
      <c r="C128" s="2871"/>
      <c r="D128" s="2871"/>
      <c r="E128" s="2880"/>
      <c r="F128" s="4193"/>
    </row>
    <row r="129" spans="1:6" ht="12.75" customHeight="1">
      <c r="A129" s="2860" t="s">
        <v>955</v>
      </c>
      <c r="B129" s="2900">
        <v>665</v>
      </c>
      <c r="C129" s="2871"/>
      <c r="D129" s="2871"/>
      <c r="E129" s="2880"/>
      <c r="F129" s="4193"/>
    </row>
    <row r="130" spans="1:6" ht="12.75" customHeight="1">
      <c r="A130" s="2860" t="s">
        <v>959</v>
      </c>
      <c r="B130" s="2900">
        <v>670</v>
      </c>
      <c r="C130" s="2871"/>
      <c r="D130" s="2871"/>
      <c r="E130" s="2880"/>
      <c r="F130" s="4193"/>
    </row>
    <row r="131" spans="1:6" ht="12.75" customHeight="1">
      <c r="A131" s="2866" t="s">
        <v>960</v>
      </c>
      <c r="B131" s="1996">
        <v>675</v>
      </c>
      <c r="C131" s="1995"/>
      <c r="D131" s="1995"/>
      <c r="E131" s="2880"/>
      <c r="F131" s="4193"/>
    </row>
    <row r="132" spans="1:6" ht="12.75" customHeight="1">
      <c r="A132" s="2855" t="s">
        <v>971</v>
      </c>
      <c r="B132" s="2901"/>
      <c r="C132" s="2901"/>
      <c r="D132" s="2901"/>
      <c r="E132" s="2881"/>
      <c r="F132" s="4193"/>
    </row>
    <row r="133" spans="1:6" ht="12.75" customHeight="1">
      <c r="A133" s="2855" t="s">
        <v>972</v>
      </c>
      <c r="B133" s="2901"/>
      <c r="C133" s="2901"/>
      <c r="D133" s="2901"/>
      <c r="E133" s="2881"/>
      <c r="F133" s="4193"/>
    </row>
    <row r="134" spans="1:6" ht="12.75" customHeight="1">
      <c r="A134" s="2869" t="s">
        <v>943</v>
      </c>
      <c r="B134" s="2893">
        <v>520</v>
      </c>
      <c r="C134" s="1466"/>
      <c r="D134" s="1466"/>
      <c r="E134" s="2879"/>
      <c r="F134" s="4193"/>
    </row>
    <row r="135" spans="1:6" ht="12.75" customHeight="1">
      <c r="A135" s="2855" t="s">
        <v>973</v>
      </c>
      <c r="B135" s="2901"/>
      <c r="C135" s="2901"/>
      <c r="D135" s="2901"/>
      <c r="E135" s="2881"/>
      <c r="F135" s="4193"/>
    </row>
    <row r="136" spans="1:6" ht="12.75" customHeight="1">
      <c r="A136" s="2869" t="s">
        <v>974</v>
      </c>
      <c r="B136" s="2893">
        <v>525</v>
      </c>
      <c r="C136" s="1466"/>
      <c r="D136" s="1466"/>
      <c r="E136" s="2879"/>
      <c r="F136" s="4193"/>
    </row>
    <row r="137" spans="1:6" ht="12.75" customHeight="1">
      <c r="A137" s="2870" t="s">
        <v>977</v>
      </c>
      <c r="B137" s="2886">
        <v>530</v>
      </c>
      <c r="C137" s="1995"/>
      <c r="D137" s="1995"/>
      <c r="E137" s="2879"/>
      <c r="F137" s="4193"/>
    </row>
    <row r="138" spans="1:6" ht="12.75" customHeight="1">
      <c r="A138" s="2870" t="s">
        <v>978</v>
      </c>
      <c r="B138" s="2886">
        <v>535</v>
      </c>
      <c r="C138" s="1995"/>
      <c r="D138" s="1995"/>
      <c r="E138" s="2879"/>
      <c r="F138" s="4193"/>
    </row>
    <row r="139" spans="1:6" ht="12.75" customHeight="1">
      <c r="A139" s="4588" t="s">
        <v>4818</v>
      </c>
      <c r="B139" s="2886">
        <v>540</v>
      </c>
      <c r="C139" s="1995"/>
      <c r="D139" s="1995"/>
      <c r="E139" s="2879"/>
      <c r="F139" s="4193"/>
    </row>
    <row r="140" spans="1:6" ht="12.75" customHeight="1">
      <c r="A140" s="2907" t="s">
        <v>979</v>
      </c>
      <c r="B140" s="2901"/>
      <c r="C140" s="2901"/>
      <c r="D140" s="2901"/>
      <c r="E140" s="2881"/>
      <c r="F140" s="4193"/>
    </row>
    <row r="141" spans="1:6" ht="12.75" customHeight="1">
      <c r="A141" s="2869" t="s">
        <v>980</v>
      </c>
      <c r="B141" s="2893">
        <v>545</v>
      </c>
      <c r="C141" s="1466"/>
      <c r="D141" s="1466"/>
      <c r="E141" s="2879"/>
      <c r="F141" s="4193"/>
    </row>
    <row r="142" spans="1:6" ht="12.75" customHeight="1">
      <c r="A142" s="2870" t="s">
        <v>981</v>
      </c>
      <c r="B142" s="2886">
        <v>550</v>
      </c>
      <c r="C142" s="1995"/>
      <c r="D142" s="1995"/>
      <c r="E142" s="2879"/>
      <c r="F142" s="4193"/>
    </row>
    <row r="143" spans="1:6" ht="12.75" customHeight="1">
      <c r="A143" s="2870" t="s">
        <v>982</v>
      </c>
      <c r="B143" s="2886">
        <v>555</v>
      </c>
      <c r="C143" s="1995"/>
      <c r="D143" s="1995"/>
      <c r="E143" s="2879"/>
      <c r="F143" s="4193"/>
    </row>
    <row r="144" spans="1:6" ht="12.75" customHeight="1">
      <c r="A144" s="2870" t="s">
        <v>983</v>
      </c>
      <c r="B144" s="2886">
        <v>560</v>
      </c>
      <c r="C144" s="1995"/>
      <c r="D144" s="1995"/>
      <c r="E144" s="2879"/>
      <c r="F144" s="4193"/>
    </row>
    <row r="145" spans="1:6" ht="12.75" customHeight="1">
      <c r="A145" s="2870" t="s">
        <v>984</v>
      </c>
      <c r="B145" s="2886">
        <v>565</v>
      </c>
      <c r="C145" s="1995"/>
      <c r="D145" s="1995"/>
      <c r="E145" s="2879"/>
      <c r="F145" s="4193"/>
    </row>
    <row r="146" spans="1:6" ht="12.75" customHeight="1">
      <c r="A146" s="2870" t="s">
        <v>985</v>
      </c>
      <c r="B146" s="2886">
        <v>570</v>
      </c>
      <c r="C146" s="1995"/>
      <c r="D146" s="1995"/>
      <c r="E146" s="2879"/>
      <c r="F146" s="4193"/>
    </row>
    <row r="147" spans="1:6" ht="12.75" customHeight="1">
      <c r="A147" s="2855" t="s">
        <v>986</v>
      </c>
      <c r="B147" s="2901"/>
      <c r="C147" s="2901"/>
      <c r="D147" s="2901"/>
      <c r="E147" s="2881"/>
      <c r="F147" s="4193"/>
    </row>
    <row r="148" spans="1:6" ht="12.75" customHeight="1">
      <c r="A148" s="2869" t="s">
        <v>987</v>
      </c>
      <c r="B148" s="2893">
        <v>575</v>
      </c>
      <c r="C148" s="1466"/>
      <c r="D148" s="1466"/>
      <c r="E148" s="2879"/>
      <c r="F148" s="4193"/>
    </row>
    <row r="149" spans="1:6" ht="12.75" customHeight="1">
      <c r="A149" s="2870" t="s">
        <v>988</v>
      </c>
      <c r="B149" s="2886">
        <v>580</v>
      </c>
      <c r="C149" s="1995"/>
      <c r="D149" s="1995"/>
      <c r="E149" s="2879"/>
      <c r="F149" s="4193"/>
    </row>
    <row r="150" spans="1:6" ht="12.75" customHeight="1">
      <c r="A150" s="2855" t="s">
        <v>989</v>
      </c>
      <c r="B150" s="2901"/>
      <c r="C150" s="2901"/>
      <c r="D150" s="2901"/>
      <c r="E150" s="2881"/>
      <c r="F150" s="4193"/>
    </row>
    <row r="151" spans="1:6" ht="12.75" customHeight="1">
      <c r="A151" s="2869" t="s">
        <v>990</v>
      </c>
      <c r="B151" s="2893">
        <v>585</v>
      </c>
      <c r="C151" s="1466"/>
      <c r="D151" s="1466"/>
      <c r="E151" s="2879"/>
      <c r="F151" s="4193"/>
    </row>
    <row r="152" spans="1:6" ht="12.75" customHeight="1">
      <c r="A152" s="2855" t="s">
        <v>991</v>
      </c>
      <c r="B152" s="2901"/>
      <c r="C152" s="2901"/>
      <c r="D152" s="2901"/>
      <c r="E152" s="2881"/>
      <c r="F152" s="4193"/>
    </row>
    <row r="153" spans="1:6" ht="12.75" customHeight="1">
      <c r="A153" s="2869" t="s">
        <v>992</v>
      </c>
      <c r="B153" s="2893">
        <v>590</v>
      </c>
      <c r="C153" s="1466"/>
      <c r="D153" s="1466"/>
      <c r="E153" s="2879"/>
      <c r="F153" s="4193"/>
    </row>
    <row r="154" spans="1:6" ht="12.75" customHeight="1">
      <c r="A154" s="2870" t="s">
        <v>993</v>
      </c>
      <c r="B154" s="2886">
        <v>595</v>
      </c>
      <c r="C154" s="1995"/>
      <c r="D154" s="1995"/>
      <c r="E154" s="2879"/>
      <c r="F154" s="4193"/>
    </row>
    <row r="155" spans="1:6" ht="12.75" customHeight="1">
      <c r="A155" s="2870" t="s">
        <v>994</v>
      </c>
      <c r="B155" s="2886">
        <v>600</v>
      </c>
      <c r="C155" s="1995"/>
      <c r="D155" s="1995"/>
      <c r="E155" s="2879"/>
      <c r="F155" s="4193"/>
    </row>
    <row r="156" spans="1:6" ht="12.75" customHeight="1">
      <c r="A156" s="2870" t="s">
        <v>995</v>
      </c>
      <c r="B156" s="2886">
        <v>605</v>
      </c>
      <c r="C156" s="1995"/>
      <c r="D156" s="1995"/>
      <c r="E156" s="2879"/>
      <c r="F156" s="4193"/>
    </row>
    <row r="157" spans="1:6" ht="12.75" customHeight="1">
      <c r="A157" s="2870" t="s">
        <v>996</v>
      </c>
      <c r="B157" s="2886">
        <v>610</v>
      </c>
      <c r="C157" s="1995"/>
      <c r="D157" s="1995">
        <v>19215</v>
      </c>
      <c r="E157" s="2879"/>
      <c r="F157" s="4193"/>
    </row>
    <row r="158" spans="1:6" ht="12.75" customHeight="1">
      <c r="A158" s="2870" t="s">
        <v>997</v>
      </c>
      <c r="B158" s="2886">
        <v>615</v>
      </c>
      <c r="C158" s="1995"/>
      <c r="D158" s="1995"/>
      <c r="E158" s="2879"/>
      <c r="F158" s="4193"/>
    </row>
    <row r="159" spans="1:6" ht="12.75" customHeight="1">
      <c r="A159" s="2870" t="s">
        <v>998</v>
      </c>
      <c r="B159" s="2886">
        <v>620</v>
      </c>
      <c r="C159" s="1995"/>
      <c r="D159" s="1995"/>
      <c r="E159" s="2861"/>
      <c r="F159" s="4193"/>
    </row>
    <row r="160" spans="1:6" ht="12.75" customHeight="1">
      <c r="A160" s="2063" t="s">
        <v>619</v>
      </c>
      <c r="B160" s="2104"/>
      <c r="C160" s="2104"/>
      <c r="D160" s="2104"/>
      <c r="E160" s="2882"/>
      <c r="F160" s="4193"/>
    </row>
    <row r="161" spans="1:6" ht="12.75" customHeight="1">
      <c r="A161" s="2064" t="s">
        <v>686</v>
      </c>
      <c r="B161" s="2105"/>
      <c r="C161" s="2105"/>
      <c r="D161" s="2105"/>
      <c r="E161" s="2882"/>
      <c r="F161" s="4193"/>
    </row>
    <row r="162" spans="1:6" ht="12.75" customHeight="1">
      <c r="A162" s="2064" t="s">
        <v>941</v>
      </c>
      <c r="B162" s="2105"/>
      <c r="C162" s="2105"/>
      <c r="D162" s="2105"/>
      <c r="E162" s="2882"/>
      <c r="F162" s="4193"/>
    </row>
    <row r="163" spans="1:6" ht="12.75" customHeight="1">
      <c r="A163" s="2080" t="s">
        <v>605</v>
      </c>
      <c r="B163" s="2902">
        <v>880</v>
      </c>
      <c r="C163" s="2875"/>
      <c r="D163" s="2875"/>
      <c r="E163" s="2883"/>
      <c r="F163" s="4193"/>
    </row>
    <row r="164" spans="1:6" ht="12.75" customHeight="1">
      <c r="A164" s="2857" t="s">
        <v>944</v>
      </c>
      <c r="B164" s="2903"/>
      <c r="C164" s="2903"/>
      <c r="D164" s="2903"/>
      <c r="E164" s="2884"/>
      <c r="F164" s="4193"/>
    </row>
    <row r="165" spans="1:6" ht="12.75" customHeight="1">
      <c r="A165" s="2081" t="s">
        <v>295</v>
      </c>
      <c r="B165" s="2904">
        <v>882</v>
      </c>
      <c r="C165" s="2885"/>
      <c r="D165" s="2885"/>
      <c r="E165" s="2883"/>
      <c r="F165" s="4193"/>
    </row>
    <row r="166" spans="1:6" ht="12.75" customHeight="1">
      <c r="A166" s="2080" t="s">
        <v>946</v>
      </c>
      <c r="B166" s="2905">
        <v>884</v>
      </c>
      <c r="C166" s="2876"/>
      <c r="D166" s="2876"/>
      <c r="E166" s="2883"/>
      <c r="F166" s="4193"/>
    </row>
    <row r="167" spans="1:6" ht="12.75" customHeight="1">
      <c r="A167" s="2082" t="s">
        <v>947</v>
      </c>
      <c r="B167" s="2888">
        <v>886</v>
      </c>
      <c r="C167" s="2876"/>
      <c r="D167" s="2876"/>
      <c r="E167" s="2883"/>
      <c r="F167" s="4193"/>
    </row>
    <row r="168" spans="1:6" ht="12.75" customHeight="1">
      <c r="A168" s="2082" t="s">
        <v>955</v>
      </c>
      <c r="B168" s="2888">
        <v>888</v>
      </c>
      <c r="C168" s="2876"/>
      <c r="D168" s="2876"/>
      <c r="E168" s="2883"/>
      <c r="F168" s="4193"/>
    </row>
    <row r="169" spans="1:6" ht="12.75" customHeight="1">
      <c r="A169" s="2080" t="s">
        <v>639</v>
      </c>
      <c r="B169" s="2905">
        <v>890</v>
      </c>
      <c r="C169" s="2876"/>
      <c r="D169" s="2876"/>
      <c r="E169" s="2883"/>
      <c r="F169" s="4193"/>
    </row>
    <row r="170" spans="1:6" ht="12.75" customHeight="1">
      <c r="A170" s="2082" t="s">
        <v>960</v>
      </c>
      <c r="B170" s="2888">
        <v>892</v>
      </c>
      <c r="C170" s="2876"/>
      <c r="D170" s="2876"/>
      <c r="E170" s="2883"/>
      <c r="F170" s="4193"/>
    </row>
    <row r="171" spans="1:6" ht="12.75" customHeight="1">
      <c r="A171" s="2064" t="s">
        <v>687</v>
      </c>
      <c r="B171" s="2105"/>
      <c r="C171" s="2105"/>
      <c r="D171" s="2105"/>
      <c r="E171" s="2882"/>
      <c r="F171" s="4193"/>
    </row>
    <row r="172" spans="1:6" ht="12.75" customHeight="1">
      <c r="A172" s="2064" t="s">
        <v>941</v>
      </c>
      <c r="B172" s="2105"/>
      <c r="C172" s="2105"/>
      <c r="D172" s="2105"/>
      <c r="E172" s="2882"/>
      <c r="F172" s="4193"/>
    </row>
    <row r="173" spans="1:6" ht="12.75" customHeight="1">
      <c r="A173" s="2080" t="s">
        <v>605</v>
      </c>
      <c r="B173" s="2905">
        <v>894</v>
      </c>
      <c r="C173" s="2875"/>
      <c r="D173" s="2875"/>
      <c r="E173" s="2883"/>
      <c r="F173" s="4193"/>
    </row>
    <row r="174" spans="1:6" ht="12.75" customHeight="1">
      <c r="A174" s="2064" t="s">
        <v>944</v>
      </c>
      <c r="B174" s="2105"/>
      <c r="C174" s="2105"/>
      <c r="D174" s="2105"/>
      <c r="E174" s="2882"/>
      <c r="F174" s="4193"/>
    </row>
    <row r="175" spans="1:6" ht="12.75" customHeight="1">
      <c r="A175" s="2080" t="s">
        <v>295</v>
      </c>
      <c r="B175" s="2905">
        <v>896</v>
      </c>
      <c r="C175" s="2875"/>
      <c r="D175" s="2875"/>
      <c r="E175" s="2890"/>
      <c r="F175" s="4193"/>
    </row>
    <row r="176" spans="1:6" ht="12.75" customHeight="1">
      <c r="A176" s="2082" t="s">
        <v>946</v>
      </c>
      <c r="B176" s="2888">
        <v>898</v>
      </c>
      <c r="C176" s="2876"/>
      <c r="D176" s="2876"/>
      <c r="E176" s="2883"/>
      <c r="F176" s="4193"/>
    </row>
    <row r="177" spans="1:6" ht="12.75" customHeight="1">
      <c r="A177" s="2080" t="s">
        <v>947</v>
      </c>
      <c r="B177" s="2905">
        <v>900</v>
      </c>
      <c r="C177" s="2876"/>
      <c r="D177" s="2876"/>
      <c r="E177" s="2890"/>
      <c r="F177" s="4193"/>
    </row>
    <row r="178" spans="1:6" ht="12.75" customHeight="1">
      <c r="A178" s="2082" t="s">
        <v>640</v>
      </c>
      <c r="B178" s="2888">
        <v>902</v>
      </c>
      <c r="C178" s="2876"/>
      <c r="D178" s="2876"/>
      <c r="E178" s="2890"/>
      <c r="F178" s="4193"/>
    </row>
    <row r="179" spans="1:6" ht="12.75" customHeight="1">
      <c r="A179" s="2064" t="s">
        <v>950</v>
      </c>
      <c r="B179" s="2105"/>
      <c r="C179" s="2105"/>
      <c r="D179" s="2105"/>
      <c r="E179" s="2882"/>
      <c r="F179" s="4193"/>
    </row>
    <row r="180" spans="1:6" ht="12.75" customHeight="1">
      <c r="A180" s="2080" t="s">
        <v>1031</v>
      </c>
      <c r="B180" s="2905">
        <v>904</v>
      </c>
      <c r="C180" s="2875"/>
      <c r="D180" s="2875"/>
      <c r="E180" s="2890"/>
      <c r="F180" s="4193"/>
    </row>
    <row r="181" spans="1:6" ht="12.75" customHeight="1">
      <c r="A181" s="2082" t="s">
        <v>1032</v>
      </c>
      <c r="B181" s="2888">
        <v>906</v>
      </c>
      <c r="C181" s="2876"/>
      <c r="D181" s="2876"/>
      <c r="E181" s="2890"/>
      <c r="F181" s="4193"/>
    </row>
    <row r="182" spans="1:6" ht="12.75" customHeight="1">
      <c r="A182" s="2082" t="s">
        <v>969</v>
      </c>
      <c r="B182" s="2888">
        <v>908</v>
      </c>
      <c r="C182" s="2876"/>
      <c r="D182" s="2876"/>
      <c r="E182" s="2883"/>
      <c r="F182" s="4193"/>
    </row>
    <row r="183" spans="1:6" ht="12.75" customHeight="1">
      <c r="A183" s="2082" t="s">
        <v>641</v>
      </c>
      <c r="B183" s="2888">
        <v>910</v>
      </c>
      <c r="C183" s="2876"/>
      <c r="D183" s="2876"/>
      <c r="E183" s="2883"/>
      <c r="F183" s="4193"/>
    </row>
    <row r="184" spans="1:6" ht="12.75" customHeight="1">
      <c r="A184" s="2082" t="s">
        <v>642</v>
      </c>
      <c r="B184" s="2888">
        <v>912</v>
      </c>
      <c r="C184" s="2876"/>
      <c r="D184" s="2876"/>
      <c r="E184" s="2883"/>
      <c r="F184" s="4193"/>
    </row>
    <row r="185" spans="1:6" ht="12.75" customHeight="1">
      <c r="A185" s="2082" t="s">
        <v>960</v>
      </c>
      <c r="B185" s="2888">
        <v>914</v>
      </c>
      <c r="C185" s="2876"/>
      <c r="D185" s="2876"/>
      <c r="E185" s="2883"/>
      <c r="F185" s="4193"/>
    </row>
    <row r="186" spans="1:6" ht="12.75" customHeight="1">
      <c r="A186" s="2064" t="s">
        <v>688</v>
      </c>
      <c r="B186" s="2105"/>
      <c r="C186" s="2105"/>
      <c r="D186" s="2105"/>
      <c r="E186" s="2882"/>
      <c r="F186" s="4193"/>
    </row>
    <row r="187" spans="1:6" ht="12.75" customHeight="1">
      <c r="A187" s="2064" t="s">
        <v>941</v>
      </c>
      <c r="B187" s="2105"/>
      <c r="C187" s="2105"/>
      <c r="D187" s="2105"/>
      <c r="E187" s="2882"/>
      <c r="F187" s="4193"/>
    </row>
    <row r="188" spans="1:6" ht="12.75" customHeight="1">
      <c r="A188" s="2080" t="s">
        <v>603</v>
      </c>
      <c r="B188" s="2905">
        <v>916</v>
      </c>
      <c r="C188" s="2875"/>
      <c r="D188" s="2875"/>
      <c r="E188" s="2883"/>
      <c r="F188" s="4193"/>
    </row>
    <row r="189" spans="1:6" ht="12.75" customHeight="1">
      <c r="A189" s="2064" t="s">
        <v>944</v>
      </c>
      <c r="B189" s="2105"/>
      <c r="C189" s="2105"/>
      <c r="D189" s="2105"/>
      <c r="E189" s="2882"/>
      <c r="F189" s="4193"/>
    </row>
    <row r="190" spans="1:6" ht="12.75" customHeight="1">
      <c r="A190" s="2080" t="s">
        <v>295</v>
      </c>
      <c r="B190" s="2905">
        <v>918</v>
      </c>
      <c r="C190" s="2885"/>
      <c r="D190" s="2885"/>
      <c r="E190" s="2883"/>
      <c r="F190" s="4193"/>
    </row>
    <row r="191" spans="1:6" ht="12.75" customHeight="1">
      <c r="A191" s="2080" t="s">
        <v>946</v>
      </c>
      <c r="B191" s="2905">
        <v>920</v>
      </c>
      <c r="C191" s="2876"/>
      <c r="D191" s="2876"/>
      <c r="E191" s="2883"/>
      <c r="F191" s="4193"/>
    </row>
    <row r="192" spans="1:6" ht="12.75" customHeight="1">
      <c r="A192" s="2082" t="s">
        <v>947</v>
      </c>
      <c r="B192" s="2888">
        <v>922</v>
      </c>
      <c r="C192" s="2876"/>
      <c r="D192" s="2876"/>
      <c r="E192" s="2883"/>
      <c r="F192" s="4193"/>
    </row>
    <row r="193" spans="1:6" ht="12.75" customHeight="1">
      <c r="A193" s="4588" t="s">
        <v>4818</v>
      </c>
      <c r="B193" s="2888">
        <v>924</v>
      </c>
      <c r="C193" s="2876"/>
      <c r="D193" s="2876"/>
      <c r="E193" s="2883"/>
      <c r="F193" s="4193"/>
    </row>
    <row r="194" spans="1:6" ht="12.75" customHeight="1">
      <c r="A194" s="2080" t="s">
        <v>968</v>
      </c>
      <c r="B194" s="2905">
        <v>926</v>
      </c>
      <c r="C194" s="2876"/>
      <c r="D194" s="2876"/>
      <c r="E194" s="2883"/>
      <c r="F194" s="4193"/>
    </row>
    <row r="195" spans="1:6" ht="12.75" customHeight="1">
      <c r="A195" s="2082" t="s">
        <v>950</v>
      </c>
      <c r="B195" s="2888">
        <v>928</v>
      </c>
      <c r="C195" s="2876"/>
      <c r="D195" s="2876"/>
      <c r="E195" s="2883"/>
      <c r="F195" s="4193"/>
    </row>
    <row r="196" spans="1:6" ht="12.75" customHeight="1">
      <c r="A196" s="2082" t="s">
        <v>955</v>
      </c>
      <c r="B196" s="2888">
        <v>930</v>
      </c>
      <c r="C196" s="2876"/>
      <c r="D196" s="2876"/>
      <c r="E196" s="2883"/>
      <c r="F196" s="4193"/>
    </row>
    <row r="197" spans="1:6" ht="12.75" customHeight="1">
      <c r="A197" s="2082" t="s">
        <v>639</v>
      </c>
      <c r="B197" s="2888">
        <v>932</v>
      </c>
      <c r="C197" s="2876"/>
      <c r="D197" s="2876"/>
      <c r="E197" s="2883"/>
      <c r="F197" s="4193"/>
    </row>
    <row r="198" spans="1:6" ht="12.75" customHeight="1">
      <c r="A198" s="2082" t="s">
        <v>960</v>
      </c>
      <c r="B198" s="2888">
        <v>934</v>
      </c>
      <c r="C198" s="2876"/>
      <c r="D198" s="2876"/>
      <c r="E198" s="2883"/>
      <c r="F198" s="4193"/>
    </row>
    <row r="199" spans="1:6" ht="12.75" customHeight="1">
      <c r="A199" s="2064" t="s">
        <v>643</v>
      </c>
      <c r="B199" s="2105"/>
      <c r="C199" s="2105"/>
      <c r="D199" s="2105"/>
      <c r="E199" s="2882"/>
      <c r="F199" s="4193"/>
    </row>
    <row r="200" spans="1:6" ht="12.75" customHeight="1">
      <c r="A200" s="2064" t="s">
        <v>941</v>
      </c>
      <c r="B200" s="2105"/>
      <c r="C200" s="2105"/>
      <c r="D200" s="2105"/>
      <c r="E200" s="2882"/>
      <c r="F200" s="4193"/>
    </row>
    <row r="201" spans="1:6" ht="12.75" customHeight="1">
      <c r="A201" s="2080" t="s">
        <v>300</v>
      </c>
      <c r="B201" s="2905">
        <v>936</v>
      </c>
      <c r="C201" s="2875"/>
      <c r="D201" s="2875"/>
      <c r="E201" s="2883"/>
      <c r="F201" s="4193"/>
    </row>
    <row r="202" spans="1:6" ht="12.75" customHeight="1">
      <c r="A202" s="2064" t="s">
        <v>944</v>
      </c>
      <c r="B202" s="2105"/>
      <c r="C202" s="2105"/>
      <c r="D202" s="2105"/>
      <c r="E202" s="2882"/>
      <c r="F202" s="4193"/>
    </row>
    <row r="203" spans="1:6" ht="12.75" customHeight="1">
      <c r="A203" s="2080" t="s">
        <v>295</v>
      </c>
      <c r="B203" s="2905">
        <v>938</v>
      </c>
      <c r="C203" s="2885"/>
      <c r="D203" s="2885"/>
      <c r="E203" s="2883"/>
      <c r="F203" s="4193"/>
    </row>
    <row r="204" spans="1:6" ht="12.75" customHeight="1">
      <c r="A204" s="2080" t="s">
        <v>946</v>
      </c>
      <c r="B204" s="2905">
        <v>940</v>
      </c>
      <c r="C204" s="2876"/>
      <c r="D204" s="2876"/>
      <c r="E204" s="2883"/>
      <c r="F204" s="4193"/>
    </row>
    <row r="205" spans="1:6" ht="12.75" customHeight="1">
      <c r="A205" s="2082" t="s">
        <v>947</v>
      </c>
      <c r="B205" s="2888">
        <v>942</v>
      </c>
      <c r="C205" s="2876"/>
      <c r="D205" s="2876"/>
      <c r="E205" s="2883"/>
      <c r="F205" s="4193"/>
    </row>
    <row r="206" spans="1:6" ht="12.75" customHeight="1">
      <c r="A206" s="2860" t="s">
        <v>4818</v>
      </c>
      <c r="B206" s="2906">
        <v>944</v>
      </c>
      <c r="C206" s="2876"/>
      <c r="D206" s="2876"/>
      <c r="E206" s="2883"/>
      <c r="F206" s="4193"/>
    </row>
    <row r="207" spans="1:6" ht="12.75" customHeight="1">
      <c r="A207" s="2083" t="s">
        <v>968</v>
      </c>
      <c r="B207" s="2887">
        <v>946</v>
      </c>
      <c r="C207" s="2876"/>
      <c r="D207" s="2876"/>
      <c r="E207" s="2883"/>
      <c r="F207" s="4193"/>
    </row>
    <row r="208" spans="1:6" ht="12.75" customHeight="1">
      <c r="A208" s="2083" t="s">
        <v>950</v>
      </c>
      <c r="B208" s="2887">
        <v>948</v>
      </c>
      <c r="C208" s="2876"/>
      <c r="D208" s="2876"/>
      <c r="E208" s="2883"/>
      <c r="F208" s="4193"/>
    </row>
    <row r="209" spans="1:6" ht="12.75" customHeight="1">
      <c r="A209" s="2083" t="s">
        <v>955</v>
      </c>
      <c r="B209" s="2887">
        <v>950</v>
      </c>
      <c r="C209" s="2876"/>
      <c r="D209" s="2876"/>
      <c r="E209" s="2883"/>
      <c r="F209" s="4193"/>
    </row>
    <row r="210" spans="1:6" ht="12.75" customHeight="1">
      <c r="A210" s="2083" t="s">
        <v>639</v>
      </c>
      <c r="B210" s="2887">
        <v>952</v>
      </c>
      <c r="C210" s="2876"/>
      <c r="D210" s="2876"/>
      <c r="E210" s="2883"/>
      <c r="F210" s="4193"/>
    </row>
    <row r="211" spans="1:6" ht="12.75" customHeight="1">
      <c r="A211" s="2083" t="s">
        <v>960</v>
      </c>
      <c r="B211" s="2889">
        <v>954</v>
      </c>
      <c r="C211" s="2876"/>
      <c r="D211" s="2876"/>
      <c r="E211" s="4191"/>
      <c r="F211" s="4193"/>
    </row>
    <row r="212" spans="1:6" ht="12.75" customHeight="1">
      <c r="A212" s="2856" t="s">
        <v>1325</v>
      </c>
      <c r="B212" s="2907"/>
      <c r="C212" s="2907"/>
      <c r="D212" s="2907"/>
      <c r="E212" s="2881"/>
      <c r="F212" s="4193"/>
    </row>
    <row r="213" spans="1:6" ht="12.75" customHeight="1">
      <c r="A213" s="2855" t="s">
        <v>972</v>
      </c>
      <c r="B213" s="2901"/>
      <c r="C213" s="2901"/>
      <c r="D213" s="2901"/>
      <c r="E213" s="2881"/>
      <c r="F213" s="4193"/>
    </row>
    <row r="214" spans="1:6" ht="12.75" customHeight="1">
      <c r="A214" s="2869" t="s">
        <v>999</v>
      </c>
      <c r="B214" s="2894">
        <v>825</v>
      </c>
      <c r="C214" s="2877"/>
      <c r="D214" s="1466"/>
      <c r="E214" s="2879"/>
      <c r="F214" s="4193"/>
    </row>
    <row r="215" spans="1:6" ht="12.75" customHeight="1">
      <c r="A215" s="2870" t="s">
        <v>943</v>
      </c>
      <c r="B215" s="2872">
        <v>830</v>
      </c>
      <c r="C215" s="2877"/>
      <c r="D215" s="1995"/>
      <c r="E215" s="2879"/>
      <c r="F215" s="4193"/>
    </row>
    <row r="216" spans="1:6" ht="12.75" customHeight="1">
      <c r="A216" s="2855" t="s">
        <v>973</v>
      </c>
      <c r="B216" s="2901"/>
      <c r="C216" s="2901"/>
      <c r="D216" s="2901"/>
      <c r="E216" s="2881"/>
      <c r="F216" s="4193"/>
    </row>
    <row r="217" spans="1:6" ht="12.75" customHeight="1">
      <c r="A217" s="2869" t="s">
        <v>1000</v>
      </c>
      <c r="B217" s="2894">
        <v>835</v>
      </c>
      <c r="C217" s="2877"/>
      <c r="D217" s="1466"/>
      <c r="E217" s="2879"/>
      <c r="F217" s="4193"/>
    </row>
    <row r="218" spans="1:6" ht="12.75" customHeight="1">
      <c r="A218" s="2870" t="s">
        <v>977</v>
      </c>
      <c r="B218" s="2872">
        <v>840</v>
      </c>
      <c r="C218" s="2877"/>
      <c r="D218" s="1995"/>
      <c r="E218" s="2879"/>
      <c r="F218" s="4193"/>
    </row>
    <row r="219" spans="1:6" ht="12.75" customHeight="1">
      <c r="A219" s="2870" t="s">
        <v>978</v>
      </c>
      <c r="B219" s="2872">
        <v>845</v>
      </c>
      <c r="C219" s="2877"/>
      <c r="D219" s="1995"/>
      <c r="E219" s="2879"/>
      <c r="F219" s="4193"/>
    </row>
    <row r="220" spans="1:6" ht="12.75" customHeight="1">
      <c r="A220" s="2860" t="s">
        <v>4818</v>
      </c>
      <c r="B220" s="2897">
        <v>850</v>
      </c>
      <c r="C220" s="2877"/>
      <c r="D220" s="2871"/>
      <c r="E220" s="2879"/>
      <c r="F220" s="4193"/>
    </row>
    <row r="221" spans="1:6" ht="12.75" customHeight="1">
      <c r="A221" s="2870" t="s">
        <v>979</v>
      </c>
      <c r="B221" s="2872">
        <v>855</v>
      </c>
      <c r="C221" s="2877"/>
      <c r="D221" s="1995"/>
      <c r="E221" s="2879"/>
      <c r="F221" s="4193"/>
    </row>
    <row r="222" spans="1:6" ht="12.75" customHeight="1">
      <c r="A222" s="2870" t="s">
        <v>986</v>
      </c>
      <c r="B222" s="2872">
        <v>860</v>
      </c>
      <c r="C222" s="2877"/>
      <c r="D222" s="1995"/>
      <c r="E222" s="2879"/>
      <c r="F222" s="4193"/>
    </row>
    <row r="223" spans="1:6" ht="12.75" customHeight="1">
      <c r="A223" s="2870" t="s">
        <v>989</v>
      </c>
      <c r="B223" s="2872">
        <v>865</v>
      </c>
      <c r="C223" s="2877"/>
      <c r="D223" s="1995"/>
      <c r="E223" s="2879"/>
      <c r="F223" s="4194"/>
    </row>
    <row r="224" spans="1:6" ht="12.75" customHeight="1">
      <c r="A224" s="2870" t="s">
        <v>997</v>
      </c>
      <c r="B224" s="2872">
        <v>870</v>
      </c>
      <c r="C224" s="2877"/>
      <c r="D224" s="1995"/>
      <c r="E224" s="2879"/>
      <c r="F224" s="4193"/>
    </row>
    <row r="225" spans="1:8" ht="12.75" customHeight="1">
      <c r="A225" s="2870" t="s">
        <v>998</v>
      </c>
      <c r="B225" s="2872">
        <v>875</v>
      </c>
      <c r="C225" s="2877"/>
      <c r="D225" s="1995"/>
      <c r="E225" s="2879"/>
      <c r="F225" s="4193"/>
    </row>
    <row r="226" spans="1:8" ht="12.75" customHeight="1">
      <c r="A226" s="2870" t="s">
        <v>1001</v>
      </c>
      <c r="B226" s="2886">
        <v>680</v>
      </c>
      <c r="C226" s="1466"/>
      <c r="D226" s="1995"/>
      <c r="E226" s="2879"/>
      <c r="F226" s="4192"/>
      <c r="G226" s="211"/>
      <c r="H226" s="747"/>
    </row>
    <row r="227" spans="1:8" ht="12.75" customHeight="1">
      <c r="A227" s="2855" t="s">
        <v>4575</v>
      </c>
      <c r="B227" s="2901"/>
      <c r="C227" s="2901"/>
      <c r="D227" s="2901"/>
      <c r="E227" s="2881"/>
      <c r="F227" s="4192"/>
    </row>
    <row r="228" spans="1:8" ht="12.75" customHeight="1">
      <c r="A228" s="1474" t="s">
        <v>1004</v>
      </c>
      <c r="B228" s="2893">
        <v>730</v>
      </c>
      <c r="C228" s="1466">
        <v>0</v>
      </c>
      <c r="D228" s="1466">
        <v>0</v>
      </c>
      <c r="E228" s="2861"/>
      <c r="F228" s="4192"/>
      <c r="G228" s="453"/>
    </row>
    <row r="229" spans="1:8" ht="12.75" customHeight="1">
      <c r="A229" s="1473" t="s">
        <v>1005</v>
      </c>
      <c r="B229" s="2886">
        <v>735</v>
      </c>
      <c r="C229" s="1466">
        <v>0</v>
      </c>
      <c r="D229" s="1995">
        <v>0</v>
      </c>
      <c r="E229" s="2861"/>
      <c r="F229" s="4192"/>
      <c r="G229" s="678"/>
    </row>
    <row r="230" spans="1:8" ht="12.75" customHeight="1">
      <c r="A230" s="4196" t="s">
        <v>1006</v>
      </c>
      <c r="B230" s="2895">
        <v>740</v>
      </c>
      <c r="C230" s="2871">
        <v>0</v>
      </c>
      <c r="D230" s="2871">
        <v>0</v>
      </c>
      <c r="E230" s="2861"/>
      <c r="F230" s="4192"/>
    </row>
    <row r="231" spans="1:8" ht="12.75" customHeight="1">
      <c r="A231" s="4197" t="s">
        <v>895</v>
      </c>
      <c r="B231" s="2886">
        <v>745</v>
      </c>
      <c r="C231" s="1995">
        <v>0</v>
      </c>
      <c r="D231" s="1995">
        <v>0</v>
      </c>
      <c r="E231" s="2891"/>
      <c r="F231" s="4192"/>
    </row>
    <row r="232" spans="1:8" ht="12.75" customHeight="1">
      <c r="A232" s="1474" t="s">
        <v>1007</v>
      </c>
      <c r="B232" s="2893">
        <v>750</v>
      </c>
      <c r="C232" s="1466">
        <v>0</v>
      </c>
      <c r="D232" s="1466">
        <v>0</v>
      </c>
      <c r="E232" s="2861"/>
      <c r="F232" s="4192"/>
    </row>
    <row r="233" spans="1:8" ht="12.75" customHeight="1">
      <c r="A233" s="1473" t="s">
        <v>1008</v>
      </c>
      <c r="B233" s="2886">
        <v>757</v>
      </c>
      <c r="C233" s="1466">
        <v>0</v>
      </c>
      <c r="D233" s="1466">
        <v>0</v>
      </c>
      <c r="E233" s="2891"/>
      <c r="F233" s="4192"/>
    </row>
    <row r="234" spans="1:8" ht="12.75" customHeight="1">
      <c r="A234" s="1473" t="s">
        <v>1009</v>
      </c>
      <c r="B234" s="2886">
        <v>760</v>
      </c>
      <c r="C234" s="1995">
        <v>0</v>
      </c>
      <c r="D234" s="1995">
        <v>0</v>
      </c>
      <c r="E234" s="2891"/>
      <c r="F234" s="4192"/>
    </row>
    <row r="235" spans="1:8" ht="12.75" customHeight="1">
      <c r="A235" s="1473" t="s">
        <v>9</v>
      </c>
      <c r="B235" s="2886">
        <v>765</v>
      </c>
      <c r="C235" s="1995">
        <v>0</v>
      </c>
      <c r="D235" s="1995">
        <v>0</v>
      </c>
      <c r="E235" s="2861"/>
      <c r="F235" s="4192"/>
    </row>
    <row r="236" spans="1:8" ht="12.75" customHeight="1">
      <c r="A236" s="1473" t="s">
        <v>1010</v>
      </c>
      <c r="B236" s="2886">
        <v>770</v>
      </c>
      <c r="C236" s="1995">
        <v>0</v>
      </c>
      <c r="D236" s="1995">
        <v>0</v>
      </c>
      <c r="E236" s="2861"/>
      <c r="F236" s="4192"/>
    </row>
    <row r="237" spans="1:8" ht="12.75" customHeight="1">
      <c r="A237" s="1473" t="s">
        <v>1011</v>
      </c>
      <c r="B237" s="2886">
        <v>773</v>
      </c>
      <c r="C237" s="1995">
        <v>0</v>
      </c>
      <c r="D237" s="1995">
        <v>0</v>
      </c>
      <c r="E237" s="2861"/>
      <c r="F237" s="4192"/>
    </row>
    <row r="238" spans="1:8" ht="12.75" customHeight="1">
      <c r="A238" s="1473" t="s">
        <v>1012</v>
      </c>
      <c r="B238" s="2886">
        <v>775</v>
      </c>
      <c r="C238" s="1995">
        <v>0</v>
      </c>
      <c r="D238" s="1995">
        <v>0</v>
      </c>
      <c r="E238" s="2861"/>
      <c r="F238" s="4192"/>
    </row>
    <row r="239" spans="1:8" ht="12.75" customHeight="1">
      <c r="A239" s="1473" t="s">
        <v>1850</v>
      </c>
      <c r="B239" s="2886">
        <v>790</v>
      </c>
      <c r="C239" s="1995">
        <v>0</v>
      </c>
      <c r="D239" s="1466">
        <v>0</v>
      </c>
      <c r="E239" s="2891"/>
      <c r="F239" s="4192"/>
    </row>
    <row r="240" spans="1:8" ht="12.75" customHeight="1">
      <c r="A240" s="1475" t="s">
        <v>86</v>
      </c>
      <c r="B240" s="2908">
        <v>800</v>
      </c>
      <c r="C240" s="1995">
        <v>0</v>
      </c>
      <c r="D240" s="1995">
        <v>0</v>
      </c>
      <c r="E240" s="2891"/>
      <c r="F240" s="4192"/>
    </row>
    <row r="241" spans="1:8" ht="12.75" customHeight="1">
      <c r="A241" s="1475" t="s">
        <v>7</v>
      </c>
      <c r="B241" s="2908">
        <v>805</v>
      </c>
      <c r="C241" s="2871">
        <v>0</v>
      </c>
      <c r="D241" s="2871">
        <v>0</v>
      </c>
      <c r="E241" s="2861"/>
      <c r="F241" s="4192"/>
    </row>
    <row r="242" spans="1:8" ht="12.75" customHeight="1">
      <c r="A242" s="1476" t="s">
        <v>4551</v>
      </c>
      <c r="B242" s="2909">
        <v>810</v>
      </c>
      <c r="C242" s="1995">
        <v>0</v>
      </c>
      <c r="D242" s="1995">
        <v>0</v>
      </c>
      <c r="E242" s="2861"/>
      <c r="F242" s="4192"/>
    </row>
    <row r="243" spans="1:8" ht="12.75" customHeight="1">
      <c r="A243" s="1477" t="s">
        <v>630</v>
      </c>
      <c r="B243" s="2909">
        <v>815</v>
      </c>
      <c r="C243" s="1466">
        <v>0</v>
      </c>
      <c r="D243" s="1995">
        <v>0</v>
      </c>
      <c r="E243" s="2861"/>
      <c r="F243" s="4192"/>
      <c r="G243" s="211"/>
      <c r="H243" s="748"/>
    </row>
    <row r="244" spans="1:8" ht="12.75" customHeight="1">
      <c r="A244" s="1476" t="s">
        <v>1363</v>
      </c>
      <c r="B244" s="2909">
        <v>820</v>
      </c>
      <c r="C244" s="2877">
        <v>0</v>
      </c>
      <c r="D244" s="1466">
        <v>0</v>
      </c>
      <c r="E244" s="2877"/>
      <c r="F244" s="4192"/>
    </row>
    <row r="245" spans="1:8" ht="12.75" customHeight="1">
      <c r="A245" s="1473" t="s">
        <v>5161</v>
      </c>
      <c r="B245" s="2578" t="s">
        <v>4906</v>
      </c>
      <c r="C245" s="1478">
        <f>SUM(C31:C244)</f>
        <v>0</v>
      </c>
      <c r="D245" s="1478">
        <f>SUM(D31:D244)</f>
        <v>19215</v>
      </c>
      <c r="E245" s="1478">
        <f>SUM(E31:E244)</f>
        <v>0</v>
      </c>
      <c r="F245" s="4192"/>
    </row>
    <row r="246" spans="1:8" s="213" customFormat="1" ht="12.75" customHeight="1">
      <c r="A246" s="6101" t="s">
        <v>4911</v>
      </c>
      <c r="B246" s="6101"/>
      <c r="C246" s="6101"/>
      <c r="D246" s="6101"/>
      <c r="E246" s="6101"/>
      <c r="F246" s="211"/>
    </row>
    <row r="247" spans="1:8" s="213" customFormat="1" ht="12.75" customHeight="1">
      <c r="A247" s="2864"/>
      <c r="B247" s="1442"/>
      <c r="C247" s="1441"/>
      <c r="D247" s="1441"/>
      <c r="E247" s="1441"/>
      <c r="F247" s="211"/>
    </row>
    <row r="248" spans="1:8" s="213" customFormat="1" ht="12.75" customHeight="1">
      <c r="A248" s="459"/>
      <c r="B248" s="1442"/>
      <c r="C248" s="1441"/>
      <c r="D248" s="1441"/>
      <c r="E248" s="1441"/>
      <c r="F248" s="211"/>
    </row>
  </sheetData>
  <sheetProtection algorithmName="SHA-512" hashValue="Jt62oLUcBqcTm38mFzMaTwqsQ6VJqHplu0SnKFDOKY7mgI7ObxwTpV6viprAE8SUY9drkobadPzWvm6P6EMJjA==" saltValue="28SIK7wJklwIAbWvEOahvw==" spinCount="100000" sheet="1" objects="1" scenarios="1"/>
  <dataConsolidate/>
  <mergeCells count="5">
    <mergeCell ref="D1:E1"/>
    <mergeCell ref="D2:E2"/>
    <mergeCell ref="D19:E19"/>
    <mergeCell ref="D20:E20"/>
    <mergeCell ref="A246:E246"/>
  </mergeCells>
  <phoneticPr fontId="13" type="noConversion"/>
  <dataValidations count="2">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C58:D66 C10:D10 C41:D44 C46:D51 C114:D117 C69:D70 C72:D77 C80:D84 C87:D88 C90:D94 C96:D101 C104:D105 C134:D134 C107:D111 D113 C113:C114 C31:D32 C136:D139 C141:D146 C148:D149 C151:D151 C214:D215 C153:D159 C203:E211 C188:E188 C201:E201 C190:E198 C228:D244 C173:E173 C165:E170 C163:E163 C34:D38 C123:D131 C120:D121 C55:D56 C217:D226 C175:E178 C180:E185">
      <formula1>0</formula1>
    </dataValidation>
  </dataValidations>
  <hyperlinks>
    <hyperlink ref="G1" location="Contents!F1" display="Return to Contents page"/>
  </hyperlinks>
  <printOptions horizontalCentered="1"/>
  <pageMargins left="0.75" right="0.75" top="0.5" bottom="0.5" header="0.3" footer="0.3"/>
  <pageSetup scale="86" fitToHeight="0" orientation="portrait" blackAndWhite="1" r:id="rId1"/>
  <headerFooter scaleWithDoc="0">
    <oddFooter>&amp;L&amp;"Open Sans Light,Regular"&amp;8&amp;D    &amp;T&amp;C&amp;"Open Sans Light,Regular"&amp;8Page &amp;P&amp;R&amp;"Open Sans Light,Regular"&amp;8&amp;A</oddFooter>
  </headerFooter>
  <rowBreaks count="1" manualBreakCount="1">
    <brk id="121" max="4"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4" tint="0.39997558519241921"/>
  </sheetPr>
  <dimension ref="A1:Z43"/>
  <sheetViews>
    <sheetView showGridLines="0" workbookViewId="0">
      <pane ySplit="8" topLeftCell="A15" activePane="bottomLeft" state="frozen"/>
      <selection activeCell="B22" sqref="B22"/>
      <selection pane="bottomLeft" activeCell="B22" sqref="B22"/>
    </sheetView>
  </sheetViews>
  <sheetFormatPr defaultColWidth="10.6640625" defaultRowHeight="12.75" customHeight="1"/>
  <cols>
    <col min="1" max="1" width="40.6640625" style="220" customWidth="1"/>
    <col min="2" max="2" width="5.6640625" style="1506" customWidth="1"/>
    <col min="3" max="5" width="14.33203125" style="1507" customWidth="1"/>
    <col min="6" max="6" width="2.33203125" style="220" customWidth="1"/>
    <col min="7" max="7" width="21" style="220" customWidth="1"/>
    <col min="8" max="26" width="10.6640625" style="220"/>
    <col min="27" max="16384" width="10.6640625" style="219"/>
  </cols>
  <sheetData>
    <row r="1" spans="1:8" ht="12.75" customHeight="1">
      <c r="A1" s="1482" t="s">
        <v>809</v>
      </c>
      <c r="B1" s="4151">
        <f>OPEN!$B$4</f>
        <v>237</v>
      </c>
      <c r="C1" s="1480"/>
      <c r="D1" s="6160" t="s">
        <v>836</v>
      </c>
      <c r="E1" s="6160"/>
      <c r="F1" s="218"/>
      <c r="G1" s="304" t="s">
        <v>754</v>
      </c>
    </row>
    <row r="2" spans="1:8" ht="12.75" customHeight="1">
      <c r="A2" s="1480"/>
      <c r="B2" s="1481"/>
      <c r="C2" s="1480"/>
      <c r="D2" s="6160" t="s">
        <v>921</v>
      </c>
      <c r="E2" s="6160"/>
      <c r="F2" s="218"/>
      <c r="G2" s="218"/>
    </row>
    <row r="3" spans="1:8" ht="12.75" customHeight="1">
      <c r="A3" s="1480"/>
      <c r="B3" s="1481"/>
      <c r="C3" s="1480"/>
      <c r="D3" s="1480"/>
      <c r="E3" s="1482" t="str">
        <f>OpenData!N2</f>
        <v>2021-2022</v>
      </c>
      <c r="F3" s="218"/>
      <c r="G3" s="218"/>
    </row>
    <row r="4" spans="1:8" ht="12.75" customHeight="1">
      <c r="A4" s="1480"/>
      <c r="B4" s="1481"/>
      <c r="C4" s="1480"/>
      <c r="D4" s="1480"/>
      <c r="E4" s="1480"/>
      <c r="F4" s="218"/>
      <c r="G4" s="218"/>
    </row>
    <row r="5" spans="1:8" ht="12.75" customHeight="1">
      <c r="A5" s="1480"/>
      <c r="B5" s="1481"/>
      <c r="C5" s="1483" t="s">
        <v>922</v>
      </c>
      <c r="D5" s="1483" t="s">
        <v>922</v>
      </c>
      <c r="E5" s="1483" t="s">
        <v>922</v>
      </c>
      <c r="F5" s="218"/>
      <c r="G5" s="218"/>
    </row>
    <row r="6" spans="1:8" ht="12.75" customHeight="1">
      <c r="A6" s="6161" t="s">
        <v>4786</v>
      </c>
      <c r="B6" s="1484" t="s">
        <v>854</v>
      </c>
      <c r="C6" s="1485" t="str">
        <f>OpenData!N4</f>
        <v>2019-2020</v>
      </c>
      <c r="D6" s="1485" t="str">
        <f>OpenData!O4</f>
        <v>2020-2021</v>
      </c>
      <c r="E6" s="1485" t="str">
        <f>E3</f>
        <v>2021-2022</v>
      </c>
      <c r="F6" s="218"/>
      <c r="G6" s="218"/>
    </row>
    <row r="7" spans="1:8" ht="12.75" customHeight="1">
      <c r="A7" s="6161"/>
      <c r="B7" s="1486">
        <v>55</v>
      </c>
      <c r="C7" s="1487" t="s">
        <v>893</v>
      </c>
      <c r="D7" s="1487" t="s">
        <v>893</v>
      </c>
      <c r="E7" s="1465" t="s">
        <v>923</v>
      </c>
      <c r="F7" s="218"/>
      <c r="G7" s="218"/>
    </row>
    <row r="8" spans="1:8" ht="12.75" customHeight="1">
      <c r="A8" s="6162"/>
      <c r="B8" s="1488" t="s">
        <v>858</v>
      </c>
      <c r="C8" s="1489">
        <v>1</v>
      </c>
      <c r="D8" s="1489">
        <v>2</v>
      </c>
      <c r="E8" s="1489">
        <v>3</v>
      </c>
      <c r="F8" s="218"/>
      <c r="G8" s="218"/>
    </row>
    <row r="9" spans="1:8" ht="12.75" customHeight="1">
      <c r="A9" s="1508" t="s">
        <v>1043</v>
      </c>
      <c r="B9" s="1488">
        <v>1</v>
      </c>
      <c r="C9" s="1490">
        <v>72020</v>
      </c>
      <c r="D9" s="1491">
        <f>C42</f>
        <v>77040</v>
      </c>
      <c r="E9" s="1156">
        <f>D42</f>
        <v>76513</v>
      </c>
      <c r="F9" s="218"/>
      <c r="G9" s="218"/>
    </row>
    <row r="10" spans="1:8" ht="12.75" customHeight="1">
      <c r="A10" s="3974" t="s">
        <v>4940</v>
      </c>
      <c r="B10" s="1486">
        <v>3</v>
      </c>
      <c r="C10" s="1492"/>
      <c r="D10" s="1492"/>
      <c r="E10" s="4171"/>
      <c r="F10" s="218"/>
      <c r="G10" s="218"/>
    </row>
    <row r="11" spans="1:8" ht="12.75" customHeight="1">
      <c r="A11" s="2304"/>
      <c r="B11" s="4167"/>
      <c r="C11" s="4167"/>
      <c r="D11" s="4167"/>
      <c r="E11" s="2830"/>
      <c r="F11" s="218"/>
      <c r="G11" s="218"/>
    </row>
    <row r="12" spans="1:8" ht="12.75" customHeight="1">
      <c r="A12" s="4168" t="s">
        <v>4767</v>
      </c>
      <c r="B12" s="4169"/>
      <c r="C12" s="4169"/>
      <c r="D12" s="4169"/>
      <c r="E12" s="4170"/>
      <c r="F12" s="218"/>
      <c r="G12" s="218"/>
    </row>
    <row r="13" spans="1:8" ht="12.75" customHeight="1">
      <c r="A13" s="2302" t="s">
        <v>13</v>
      </c>
      <c r="B13" s="2849"/>
      <c r="C13" s="2849"/>
      <c r="D13" s="2849"/>
      <c r="E13" s="2830"/>
      <c r="F13" s="218"/>
      <c r="G13" s="218"/>
    </row>
    <row r="14" spans="1:8" ht="12.75" customHeight="1">
      <c r="A14" s="2841" t="s">
        <v>332</v>
      </c>
      <c r="B14" s="2834">
        <v>4</v>
      </c>
      <c r="C14" s="2852"/>
      <c r="D14" s="2852"/>
      <c r="E14" s="2832"/>
      <c r="F14" s="218"/>
      <c r="G14" s="218"/>
      <c r="H14" s="749"/>
    </row>
    <row r="15" spans="1:8" ht="12.75" customHeight="1">
      <c r="A15" s="2842" t="s">
        <v>697</v>
      </c>
      <c r="B15" s="2835">
        <v>5</v>
      </c>
      <c r="C15" s="2840"/>
      <c r="D15" s="2840"/>
      <c r="E15" s="2832"/>
      <c r="F15" s="218"/>
      <c r="G15" s="218"/>
    </row>
    <row r="16" spans="1:8" ht="12.75" customHeight="1">
      <c r="A16" s="2843" t="s">
        <v>698</v>
      </c>
      <c r="B16" s="2836">
        <v>10</v>
      </c>
      <c r="C16" s="1998"/>
      <c r="D16" s="1998"/>
      <c r="E16" s="2832"/>
      <c r="F16" s="218"/>
      <c r="G16" s="218"/>
    </row>
    <row r="17" spans="1:7" ht="12.75" customHeight="1">
      <c r="A17" s="2842" t="s">
        <v>121</v>
      </c>
      <c r="B17" s="2837">
        <v>15</v>
      </c>
      <c r="C17" s="2840">
        <v>19420</v>
      </c>
      <c r="D17" s="2840">
        <v>19479</v>
      </c>
      <c r="E17" s="2832"/>
      <c r="F17" s="218"/>
      <c r="G17" s="218"/>
    </row>
    <row r="18" spans="1:7" ht="12.75" customHeight="1">
      <c r="A18" s="2842" t="s">
        <v>699</v>
      </c>
      <c r="B18" s="2837">
        <v>20</v>
      </c>
      <c r="C18" s="2840"/>
      <c r="D18" s="2840"/>
      <c r="E18" s="2832"/>
      <c r="F18" s="218"/>
      <c r="G18" s="218"/>
    </row>
    <row r="19" spans="1:7" ht="12.75" customHeight="1">
      <c r="A19" s="2828" t="s">
        <v>273</v>
      </c>
      <c r="B19" s="2850"/>
      <c r="C19" s="2850"/>
      <c r="D19" s="2850"/>
      <c r="E19" s="2832"/>
      <c r="F19" s="218"/>
      <c r="G19" s="218"/>
    </row>
    <row r="20" spans="1:7" ht="12.75" customHeight="1">
      <c r="A20" s="2844" t="s">
        <v>1138</v>
      </c>
      <c r="B20" s="2837">
        <v>22</v>
      </c>
      <c r="C20" s="2840"/>
      <c r="D20" s="2840"/>
      <c r="E20" s="2832"/>
      <c r="F20" s="218"/>
      <c r="G20" s="218"/>
    </row>
    <row r="21" spans="1:7" ht="12.75" customHeight="1">
      <c r="A21" s="2302" t="s">
        <v>1060</v>
      </c>
      <c r="B21" s="2849"/>
      <c r="C21" s="2849"/>
      <c r="D21" s="2849"/>
      <c r="E21" s="2830"/>
      <c r="F21" s="218"/>
      <c r="G21" s="218"/>
    </row>
    <row r="22" spans="1:7" ht="12.75" customHeight="1">
      <c r="A22" s="2842" t="s">
        <v>1061</v>
      </c>
      <c r="B22" s="2837">
        <v>25</v>
      </c>
      <c r="C22" s="2853">
        <f>'C06'!C281</f>
        <v>0</v>
      </c>
      <c r="D22" s="2853">
        <f>'C06'!D281</f>
        <v>0</v>
      </c>
      <c r="E22" s="2832"/>
      <c r="F22" s="218"/>
      <c r="G22" s="218"/>
    </row>
    <row r="23" spans="1:7" ht="12.75" customHeight="1">
      <c r="A23" s="2842" t="s">
        <v>1062</v>
      </c>
      <c r="B23" s="2837">
        <v>30</v>
      </c>
      <c r="C23" s="2853">
        <f>'C08'!C285</f>
        <v>0</v>
      </c>
      <c r="D23" s="2853">
        <f>'C08'!D285</f>
        <v>0</v>
      </c>
      <c r="E23" s="2832"/>
      <c r="F23" s="218"/>
      <c r="G23" s="218"/>
    </row>
    <row r="24" spans="1:7" ht="12.75" customHeight="1">
      <c r="A24" s="2842" t="s">
        <v>1063</v>
      </c>
      <c r="B24" s="2837">
        <v>35</v>
      </c>
      <c r="C24" s="2853">
        <f>'C053'!C241</f>
        <v>0</v>
      </c>
      <c r="D24" s="2853">
        <f>'C053'!D241</f>
        <v>0</v>
      </c>
      <c r="E24" s="2832"/>
      <c r="F24" s="218"/>
      <c r="G24" s="218"/>
    </row>
    <row r="25" spans="1:7" ht="12.75" customHeight="1">
      <c r="A25" s="2735" t="s">
        <v>680</v>
      </c>
      <c r="B25" s="2838">
        <v>40</v>
      </c>
      <c r="C25" s="2854">
        <f>SUM(C9:C24)</f>
        <v>91440</v>
      </c>
      <c r="D25" s="2854">
        <f>SUM(D9:D24)</f>
        <v>96519</v>
      </c>
      <c r="E25" s="2831"/>
      <c r="F25" s="218"/>
      <c r="G25" s="218"/>
    </row>
    <row r="26" spans="1:7" ht="12.75" customHeight="1">
      <c r="A26" s="2305"/>
      <c r="B26" s="4147"/>
      <c r="C26" s="4147"/>
      <c r="D26" s="4147"/>
      <c r="E26" s="2306"/>
      <c r="F26" s="218"/>
      <c r="G26" s="218"/>
    </row>
    <row r="27" spans="1:7" ht="12.75" customHeight="1">
      <c r="A27" s="4172" t="s">
        <v>60</v>
      </c>
      <c r="B27" s="4173"/>
      <c r="C27" s="4173"/>
      <c r="D27" s="4173"/>
      <c r="E27" s="4174"/>
      <c r="F27" s="218"/>
      <c r="G27" s="218"/>
    </row>
    <row r="28" spans="1:7" ht="12.75" customHeight="1">
      <c r="A28" s="2302" t="s">
        <v>940</v>
      </c>
      <c r="B28" s="2849"/>
      <c r="C28" s="2849"/>
      <c r="D28" s="2849"/>
      <c r="E28" s="2830"/>
      <c r="F28" s="218"/>
      <c r="G28" s="218"/>
    </row>
    <row r="29" spans="1:7" ht="12.75" customHeight="1">
      <c r="A29" s="2303" t="s">
        <v>955</v>
      </c>
      <c r="B29" s="2851"/>
      <c r="C29" s="2851"/>
      <c r="D29" s="2851"/>
      <c r="E29" s="2833"/>
      <c r="F29" s="218"/>
      <c r="G29" s="218"/>
    </row>
    <row r="30" spans="1:7" ht="12.75" customHeight="1">
      <c r="A30" s="2842" t="s">
        <v>957</v>
      </c>
      <c r="B30" s="2837">
        <v>75</v>
      </c>
      <c r="C30" s="2840">
        <v>14400</v>
      </c>
      <c r="D30" s="2840">
        <v>19906</v>
      </c>
      <c r="E30" s="2832"/>
      <c r="F30" s="218"/>
      <c r="G30" s="218"/>
    </row>
    <row r="31" spans="1:7" ht="12.75" customHeight="1">
      <c r="A31" s="2842" t="s">
        <v>705</v>
      </c>
      <c r="B31" s="2837">
        <v>80</v>
      </c>
      <c r="C31" s="2840"/>
      <c r="D31" s="2840"/>
      <c r="E31" s="2832"/>
      <c r="F31" s="218"/>
      <c r="G31" s="218"/>
    </row>
    <row r="32" spans="1:7" ht="12.75" customHeight="1">
      <c r="A32" s="2843" t="s">
        <v>706</v>
      </c>
      <c r="B32" s="2839">
        <v>85</v>
      </c>
      <c r="C32" s="2847"/>
      <c r="D32" s="1998">
        <v>100</v>
      </c>
      <c r="E32" s="2832"/>
      <c r="F32" s="218"/>
      <c r="G32" s="218"/>
    </row>
    <row r="33" spans="1:8" ht="12.75" customHeight="1">
      <c r="A33" s="2842" t="s">
        <v>707</v>
      </c>
      <c r="B33" s="2837">
        <v>90</v>
      </c>
      <c r="C33" s="2846"/>
      <c r="D33" s="2840"/>
      <c r="E33" s="2832"/>
      <c r="F33" s="218"/>
      <c r="G33" s="218"/>
    </row>
    <row r="34" spans="1:8" ht="12.75" customHeight="1">
      <c r="A34" s="2845" t="s">
        <v>238</v>
      </c>
      <c r="B34" s="1997">
        <v>93</v>
      </c>
      <c r="C34" s="2847"/>
      <c r="D34" s="1998"/>
      <c r="E34" s="2832"/>
      <c r="F34" s="218"/>
      <c r="G34" s="218"/>
    </row>
    <row r="35" spans="1:8" ht="12.75" customHeight="1">
      <c r="A35" s="2302" t="s">
        <v>700</v>
      </c>
      <c r="B35" s="2849"/>
      <c r="C35" s="2848"/>
      <c r="D35" s="2849"/>
      <c r="E35" s="2830"/>
      <c r="F35" s="218"/>
      <c r="G35" s="218"/>
    </row>
    <row r="36" spans="1:8" ht="12.75" customHeight="1">
      <c r="A36" s="2302" t="s">
        <v>701</v>
      </c>
      <c r="B36" s="2849"/>
      <c r="C36" s="2849"/>
      <c r="D36" s="2849"/>
      <c r="E36" s="2830"/>
      <c r="F36" s="218"/>
      <c r="G36" s="218"/>
    </row>
    <row r="37" spans="1:8" ht="12.75" customHeight="1">
      <c r="A37" s="2842" t="s">
        <v>702</v>
      </c>
      <c r="B37" s="2837">
        <v>95</v>
      </c>
      <c r="C37" s="2846"/>
      <c r="D37" s="2840"/>
      <c r="E37" s="2832"/>
      <c r="F37" s="218"/>
      <c r="G37" s="218"/>
    </row>
    <row r="38" spans="1:8" ht="12.75" customHeight="1">
      <c r="A38" s="1510" t="s">
        <v>703</v>
      </c>
      <c r="B38" s="1496">
        <v>100</v>
      </c>
      <c r="C38" s="1497"/>
      <c r="D38" s="1497"/>
      <c r="E38" s="2829"/>
      <c r="F38" s="218"/>
      <c r="G38" s="218"/>
    </row>
    <row r="39" spans="1:8" ht="12.75" customHeight="1">
      <c r="A39" s="1508" t="s">
        <v>704</v>
      </c>
      <c r="B39" s="1494">
        <v>105</v>
      </c>
      <c r="C39" s="1493"/>
      <c r="D39" s="1498"/>
      <c r="E39" s="2829"/>
      <c r="F39" s="218"/>
      <c r="G39" s="218"/>
    </row>
    <row r="40" spans="1:8" ht="12.75" customHeight="1">
      <c r="A40" s="1509" t="s">
        <v>555</v>
      </c>
      <c r="B40" s="1495">
        <v>110</v>
      </c>
      <c r="C40" s="1499"/>
      <c r="D40" s="1500"/>
      <c r="E40" s="2831"/>
      <c r="F40" s="218"/>
      <c r="G40" s="218"/>
      <c r="H40" s="750"/>
    </row>
    <row r="41" spans="1:8" ht="12.75" customHeight="1">
      <c r="A41" s="1511" t="s">
        <v>666</v>
      </c>
      <c r="B41" s="1501">
        <v>175</v>
      </c>
      <c r="C41" s="1502">
        <f>SUM(C30:C40)</f>
        <v>14400</v>
      </c>
      <c r="D41" s="1502">
        <f>SUM(D30:D40)</f>
        <v>20006</v>
      </c>
      <c r="E41" s="4626"/>
      <c r="F41" s="218"/>
      <c r="G41" s="218"/>
    </row>
    <row r="42" spans="1:8" ht="12.75" customHeight="1">
      <c r="A42" s="1508" t="s">
        <v>247</v>
      </c>
      <c r="B42" s="1494">
        <v>190</v>
      </c>
      <c r="C42" s="1491">
        <f>SUM(C25-C41)</f>
        <v>77040</v>
      </c>
      <c r="D42" s="1491">
        <f>SUM(D25-D41)</f>
        <v>76513</v>
      </c>
      <c r="E42" s="4625"/>
      <c r="F42" s="218"/>
      <c r="G42" s="453"/>
    </row>
    <row r="43" spans="1:8" ht="12.75" customHeight="1">
      <c r="A43" s="221"/>
      <c r="B43" s="1503"/>
      <c r="C43" s="1504"/>
      <c r="D43" s="1504"/>
      <c r="E43" s="1505"/>
      <c r="F43" s="218"/>
      <c r="G43" s="704"/>
    </row>
  </sheetData>
  <sheetProtection algorithmName="SHA-512" hashValue="l7/B6AqyhCwb/YT307+zWbTlvVA0LHrSlZJYZ3hUlcHK0c5zb88hTTWFFwVf0xB8QIQgxvyh9cP3GnTlSEbnlw==" saltValue="YfGN+G/oCwBtPx8M6KUOQg==" spinCount="100000" sheet="1" objects="1" scenarios="1"/>
  <mergeCells count="3">
    <mergeCell ref="D1:E1"/>
    <mergeCell ref="D2:E2"/>
    <mergeCell ref="A6:A8"/>
  </mergeCells>
  <phoneticPr fontId="13" type="noConversion"/>
  <dataValidations count="2">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C20:D20 C30:D34 C37:D40 C22:D24 C15:D18 C10:D10">
      <formula1>0</formula1>
    </dataValidation>
  </dataValidations>
  <hyperlinks>
    <hyperlink ref="G1" location="Contents!F1" display="Return to Contents page"/>
  </hyperlinks>
  <printOptions horizontalCentered="1"/>
  <pageMargins left="0.75" right="0.75" top="0.5" bottom="0.5" header="0.3" footer="0.3"/>
  <pageSetup scale="86" fitToHeight="0" orientation="portrait" blackAndWhite="1" r:id="rId1"/>
  <headerFooter scaleWithDoc="0">
    <oddFooter>&amp;L&amp;"Open Sans Light,Regular"&amp;8&amp;D    &amp;T&amp;C&amp;"Open Sans Light,Regular"&amp;8Page &amp;P&amp;R&amp;"Open Sans Light,Regular"&amp;8&amp;A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4" tint="0.39997558519241921"/>
  </sheetPr>
  <dimension ref="A1:F58"/>
  <sheetViews>
    <sheetView showGridLines="0" zoomScaleNormal="100" zoomScaleSheetLayoutView="100" workbookViewId="0">
      <pane ySplit="8" topLeftCell="A9" activePane="bottomLeft" state="frozen"/>
      <selection activeCell="B22" sqref="B22"/>
      <selection pane="bottomLeft" activeCell="A22" sqref="A22:E22"/>
    </sheetView>
  </sheetViews>
  <sheetFormatPr defaultColWidth="9.109375" defaultRowHeight="12.75" customHeight="1"/>
  <cols>
    <col min="1" max="1" width="40.6640625" style="282" customWidth="1"/>
    <col min="2" max="2" width="5.6640625" style="282" customWidth="1"/>
    <col min="3" max="5" width="14.33203125" style="282" customWidth="1"/>
    <col min="6" max="6" width="21" style="282" customWidth="1"/>
    <col min="7" max="16384" width="9.109375" style="282"/>
  </cols>
  <sheetData>
    <row r="1" spans="1:6" ht="12.75" customHeight="1">
      <c r="A1" s="945" t="s">
        <v>809</v>
      </c>
      <c r="B1" s="397">
        <f>OPEN!B4</f>
        <v>237</v>
      </c>
      <c r="C1" s="2769"/>
      <c r="D1" s="6163" t="s">
        <v>836</v>
      </c>
      <c r="E1" s="6163"/>
      <c r="F1" s="304" t="s">
        <v>754</v>
      </c>
    </row>
    <row r="2" spans="1:6" ht="12.75" customHeight="1">
      <c r="A2" s="395"/>
      <c r="B2" s="396"/>
      <c r="C2" s="395"/>
      <c r="D2" s="6163" t="s">
        <v>921</v>
      </c>
      <c r="E2" s="6163"/>
    </row>
    <row r="3" spans="1:6" ht="12.75" customHeight="1">
      <c r="A3" s="395"/>
      <c r="B3" s="396"/>
      <c r="C3" s="395"/>
      <c r="D3" s="395"/>
      <c r="E3" s="398" t="str">
        <f>OpenData!P4</f>
        <v>2021-2022</v>
      </c>
    </row>
    <row r="4" spans="1:6" ht="12.75" customHeight="1">
      <c r="A4" s="395"/>
      <c r="B4" s="396"/>
      <c r="C4" s="395"/>
      <c r="D4" s="395"/>
      <c r="E4" s="395"/>
    </row>
    <row r="5" spans="1:6" ht="12.75" customHeight="1">
      <c r="A5" s="399"/>
      <c r="B5" s="396"/>
      <c r="C5" s="400" t="s">
        <v>922</v>
      </c>
      <c r="D5" s="400" t="s">
        <v>922</v>
      </c>
      <c r="E5" s="400" t="s">
        <v>922</v>
      </c>
    </row>
    <row r="6" spans="1:6" ht="12.75" customHeight="1">
      <c r="A6" s="395"/>
      <c r="B6" s="401" t="s">
        <v>854</v>
      </c>
      <c r="C6" s="402" t="str">
        <f>OpenData!N4</f>
        <v>2019-2020</v>
      </c>
      <c r="D6" s="402" t="str">
        <f>OpenData!O4</f>
        <v>2020-2021</v>
      </c>
      <c r="E6" s="402" t="str">
        <f>E3</f>
        <v>2021-2022</v>
      </c>
    </row>
    <row r="7" spans="1:6" ht="12.75" customHeight="1">
      <c r="A7" s="403" t="s">
        <v>1111</v>
      </c>
      <c r="B7" s="404">
        <v>56</v>
      </c>
      <c r="C7" s="405" t="s">
        <v>893</v>
      </c>
      <c r="D7" s="405" t="s">
        <v>893</v>
      </c>
      <c r="E7" s="405" t="s">
        <v>923</v>
      </c>
    </row>
    <row r="8" spans="1:6" ht="12.75" customHeight="1">
      <c r="A8" s="406"/>
      <c r="B8" s="407" t="s">
        <v>858</v>
      </c>
      <c r="C8" s="409">
        <v>1</v>
      </c>
      <c r="D8" s="408">
        <v>2</v>
      </c>
      <c r="E8" s="408">
        <v>3</v>
      </c>
    </row>
    <row r="9" spans="1:6" ht="12.75" customHeight="1">
      <c r="A9" s="410" t="s">
        <v>924</v>
      </c>
      <c r="B9" s="411">
        <v>1</v>
      </c>
      <c r="C9" s="446">
        <v>21712</v>
      </c>
      <c r="D9" s="445">
        <f>C21</f>
        <v>32544</v>
      </c>
      <c r="E9" s="463">
        <f>D21</f>
        <v>55791</v>
      </c>
    </row>
    <row r="10" spans="1:6" ht="12.75" customHeight="1">
      <c r="A10" s="3974" t="s">
        <v>4940</v>
      </c>
      <c r="B10" s="1983">
        <v>3</v>
      </c>
      <c r="C10" s="1984"/>
      <c r="D10" s="4157"/>
      <c r="E10" s="2779"/>
    </row>
    <row r="11" spans="1:6" s="898" customFormat="1" ht="12.75" customHeight="1">
      <c r="A11" s="2773"/>
      <c r="B11" s="4158"/>
      <c r="C11" s="4158"/>
      <c r="D11" s="4158"/>
      <c r="E11" s="2778"/>
    </row>
    <row r="12" spans="1:6" ht="12.75" customHeight="1">
      <c r="A12" s="4159" t="s">
        <v>4767</v>
      </c>
      <c r="B12" s="4160"/>
      <c r="C12" s="4160"/>
      <c r="D12" s="4160"/>
      <c r="E12" s="4161"/>
    </row>
    <row r="13" spans="1:6" ht="12.75" customHeight="1">
      <c r="A13" s="2777" t="s">
        <v>926</v>
      </c>
      <c r="B13" s="2791"/>
      <c r="C13" s="2791"/>
      <c r="D13" s="2791"/>
      <c r="E13" s="2789"/>
    </row>
    <row r="14" spans="1:6" ht="12.75" customHeight="1">
      <c r="A14" s="2780" t="s">
        <v>1112</v>
      </c>
      <c r="B14" s="2792">
        <v>50</v>
      </c>
      <c r="C14" s="2784">
        <v>28032</v>
      </c>
      <c r="D14" s="2784">
        <v>21298</v>
      </c>
      <c r="E14" s="2790"/>
    </row>
    <row r="15" spans="1:6" ht="12.75" customHeight="1">
      <c r="A15" s="2781" t="s">
        <v>4489</v>
      </c>
      <c r="B15" s="2793">
        <v>15</v>
      </c>
      <c r="C15" s="2796"/>
      <c r="D15" s="2785"/>
      <c r="E15" s="2790"/>
    </row>
    <row r="16" spans="1:6" ht="12.75" customHeight="1">
      <c r="A16" s="3812" t="s">
        <v>4994</v>
      </c>
      <c r="B16" s="2793">
        <v>55</v>
      </c>
      <c r="C16" s="1999"/>
      <c r="D16" s="2786">
        <v>8380</v>
      </c>
      <c r="E16" s="2790"/>
    </row>
    <row r="17" spans="1:5" ht="12.75" customHeight="1">
      <c r="A17" s="2772" t="s">
        <v>927</v>
      </c>
      <c r="B17" s="2794"/>
      <c r="C17" s="2794"/>
      <c r="D17" s="2794"/>
      <c r="E17" s="2778"/>
    </row>
    <row r="18" spans="1:5" ht="12.75" customHeight="1">
      <c r="A18" s="2782" t="s">
        <v>928</v>
      </c>
      <c r="B18" s="2795">
        <v>60</v>
      </c>
      <c r="C18" s="2797">
        <v>24193</v>
      </c>
      <c r="D18" s="2787">
        <v>10517</v>
      </c>
      <c r="E18" s="2790"/>
    </row>
    <row r="19" spans="1:5" ht="12.75" customHeight="1">
      <c r="A19" s="2783" t="s">
        <v>933</v>
      </c>
      <c r="B19" s="2795">
        <v>170</v>
      </c>
      <c r="C19" s="2788">
        <f>SUM(C9:C18)</f>
        <v>73937</v>
      </c>
      <c r="D19" s="2798">
        <f>SUM(D9:D18)</f>
        <v>72739</v>
      </c>
      <c r="E19" s="2790"/>
    </row>
    <row r="20" spans="1:5" ht="12.75" customHeight="1">
      <c r="A20" s="410" t="s">
        <v>934</v>
      </c>
      <c r="B20" s="411">
        <v>175</v>
      </c>
      <c r="C20" s="444">
        <f>C56</f>
        <v>41393</v>
      </c>
      <c r="D20" s="412">
        <f>D56</f>
        <v>16948</v>
      </c>
      <c r="E20" s="2775"/>
    </row>
    <row r="21" spans="1:5" ht="12.75" customHeight="1">
      <c r="A21" s="410" t="s">
        <v>935</v>
      </c>
      <c r="B21" s="411">
        <v>190</v>
      </c>
      <c r="C21" s="444">
        <f>C19-C20</f>
        <v>32544</v>
      </c>
      <c r="D21" s="412">
        <f>D19-D20</f>
        <v>55791</v>
      </c>
      <c r="E21" s="2425" t="s">
        <v>4905</v>
      </c>
    </row>
    <row r="22" spans="1:5" ht="111" customHeight="1">
      <c r="A22" s="6164" t="s">
        <v>4791</v>
      </c>
      <c r="B22" s="6164"/>
      <c r="C22" s="6164"/>
      <c r="D22" s="6164"/>
      <c r="E22" s="6164"/>
    </row>
    <row r="23" spans="1:5" s="898" customFormat="1" ht="13.2">
      <c r="A23" s="4156"/>
      <c r="B23" s="4156"/>
      <c r="C23" s="4156"/>
      <c r="D23" s="4156"/>
      <c r="E23" s="4156"/>
    </row>
    <row r="24" spans="1:5" ht="12.75" customHeight="1">
      <c r="A24" s="1479" t="str">
        <f>A1</f>
        <v>USD #</v>
      </c>
      <c r="B24" s="4154">
        <f>B1</f>
        <v>237</v>
      </c>
      <c r="C24" s="669"/>
      <c r="D24" s="6165" t="str">
        <f>D1</f>
        <v>STATE OF KANSAS</v>
      </c>
      <c r="E24" s="6165"/>
    </row>
    <row r="25" spans="1:5" ht="12.75" customHeight="1">
      <c r="A25" s="397"/>
      <c r="B25" s="396"/>
      <c r="C25" s="395"/>
      <c r="D25" s="6165" t="str">
        <f>D2</f>
        <v>Budget Form USD-E</v>
      </c>
      <c r="E25" s="6165"/>
    </row>
    <row r="26" spans="1:5" ht="12.75" customHeight="1">
      <c r="A26" s="669"/>
      <c r="B26" s="669"/>
      <c r="C26" s="669"/>
      <c r="D26" s="669"/>
      <c r="E26" s="897" t="str">
        <f>E3</f>
        <v>2021-2022</v>
      </c>
    </row>
    <row r="27" spans="1:5" ht="12.75" customHeight="1">
      <c r="A27" s="396"/>
      <c r="B27" s="396"/>
      <c r="C27" s="400"/>
      <c r="D27" s="400"/>
      <c r="E27" s="400"/>
    </row>
    <row r="28" spans="1:5" ht="12.75" customHeight="1">
      <c r="A28" s="395"/>
      <c r="B28" s="396"/>
      <c r="C28" s="400" t="s">
        <v>922</v>
      </c>
      <c r="D28" s="400" t="s">
        <v>922</v>
      </c>
      <c r="E28" s="400" t="s">
        <v>922</v>
      </c>
    </row>
    <row r="29" spans="1:5" ht="12.75" customHeight="1">
      <c r="A29" s="395"/>
      <c r="B29" s="401" t="s">
        <v>854</v>
      </c>
      <c r="C29" s="402" t="str">
        <f>C6</f>
        <v>2019-2020</v>
      </c>
      <c r="D29" s="402" t="str">
        <f>D6</f>
        <v>2020-2021</v>
      </c>
      <c r="E29" s="402" t="str">
        <f>E6</f>
        <v>2021-2022</v>
      </c>
    </row>
    <row r="30" spans="1:5" ht="12.75" customHeight="1">
      <c r="A30" s="403" t="str">
        <f>A7</f>
        <v>ACTIVITY FUND</v>
      </c>
      <c r="B30" s="404">
        <v>56</v>
      </c>
      <c r="C30" s="405" t="s">
        <v>893</v>
      </c>
      <c r="D30" s="405" t="s">
        <v>893</v>
      </c>
      <c r="E30" s="405" t="s">
        <v>923</v>
      </c>
    </row>
    <row r="31" spans="1:5" ht="12.75" customHeight="1">
      <c r="A31" s="395"/>
      <c r="B31" s="404" t="s">
        <v>858</v>
      </c>
      <c r="C31" s="409">
        <v>1</v>
      </c>
      <c r="D31" s="409">
        <v>2</v>
      </c>
      <c r="E31" s="409">
        <v>3</v>
      </c>
    </row>
    <row r="32" spans="1:5" s="898" customFormat="1" ht="12.75" customHeight="1">
      <c r="A32" s="2770"/>
      <c r="B32" s="4162"/>
      <c r="C32" s="4162"/>
      <c r="D32" s="4162"/>
      <c r="E32" s="2771"/>
    </row>
    <row r="33" spans="1:5" s="898" customFormat="1" ht="12.75" customHeight="1">
      <c r="A33" s="4163" t="s">
        <v>60</v>
      </c>
      <c r="B33" s="4164"/>
      <c r="C33" s="4164"/>
      <c r="D33" s="4164"/>
      <c r="E33" s="4165"/>
    </row>
    <row r="34" spans="1:5" ht="12.75" customHeight="1">
      <c r="A34" s="2768" t="s">
        <v>940</v>
      </c>
      <c r="B34" s="2812"/>
      <c r="C34" s="2812"/>
      <c r="D34" s="2812"/>
      <c r="E34" s="2807"/>
    </row>
    <row r="35" spans="1:5" ht="12.75" customHeight="1">
      <c r="A35" s="2768" t="s">
        <v>941</v>
      </c>
      <c r="B35" s="2812"/>
      <c r="C35" s="2812"/>
      <c r="D35" s="2812"/>
      <c r="E35" s="2807"/>
    </row>
    <row r="36" spans="1:5" ht="12.75" customHeight="1">
      <c r="A36" s="2800" t="s">
        <v>942</v>
      </c>
      <c r="B36" s="2813">
        <v>210</v>
      </c>
      <c r="C36" s="2820"/>
      <c r="D36" s="2825"/>
      <c r="E36" s="2808"/>
    </row>
    <row r="37" spans="1:5" ht="12.75" customHeight="1">
      <c r="A37" s="2801" t="s">
        <v>943</v>
      </c>
      <c r="B37" s="2814">
        <v>215</v>
      </c>
      <c r="C37" s="2821"/>
      <c r="D37" s="2826"/>
      <c r="E37" s="2808"/>
    </row>
    <row r="38" spans="1:5" ht="12.75" customHeight="1">
      <c r="A38" s="2768" t="s">
        <v>944</v>
      </c>
      <c r="B38" s="2812"/>
      <c r="C38" s="2812"/>
      <c r="D38" s="2812"/>
      <c r="E38" s="2807"/>
    </row>
    <row r="39" spans="1:5" ht="12.75" customHeight="1">
      <c r="A39" s="2800" t="s">
        <v>945</v>
      </c>
      <c r="B39" s="2813">
        <v>220</v>
      </c>
      <c r="C39" s="2820"/>
      <c r="D39" s="2825"/>
      <c r="E39" s="2808"/>
    </row>
    <row r="40" spans="1:5" ht="12.75" customHeight="1">
      <c r="A40" s="2801" t="s">
        <v>946</v>
      </c>
      <c r="B40" s="2814">
        <v>225</v>
      </c>
      <c r="C40" s="2821"/>
      <c r="D40" s="2826"/>
      <c r="E40" s="2808"/>
    </row>
    <row r="41" spans="1:5" ht="12.75" customHeight="1">
      <c r="A41" s="2801" t="s">
        <v>947</v>
      </c>
      <c r="B41" s="2814">
        <v>230</v>
      </c>
      <c r="C41" s="2821">
        <v>17988</v>
      </c>
      <c r="D41" s="2826"/>
      <c r="E41" s="2808"/>
    </row>
    <row r="42" spans="1:5" ht="12.75" customHeight="1">
      <c r="A42" s="2802" t="s">
        <v>46</v>
      </c>
      <c r="B42" s="2813">
        <v>232</v>
      </c>
      <c r="C42" s="2821">
        <v>11013</v>
      </c>
      <c r="D42" s="2825">
        <v>1615</v>
      </c>
      <c r="E42" s="2808"/>
    </row>
    <row r="43" spans="1:5" ht="12.75" customHeight="1">
      <c r="A43" s="2800" t="s">
        <v>955</v>
      </c>
      <c r="B43" s="2813">
        <v>235</v>
      </c>
      <c r="C43" s="2821">
        <v>12392</v>
      </c>
      <c r="D43" s="2825">
        <v>15333</v>
      </c>
      <c r="E43" s="2808"/>
    </row>
    <row r="44" spans="1:5" ht="12.75" customHeight="1">
      <c r="A44" s="2800" t="s">
        <v>959</v>
      </c>
      <c r="B44" s="2813">
        <v>240</v>
      </c>
      <c r="C44" s="2821"/>
      <c r="D44" s="2825"/>
      <c r="E44" s="2808"/>
    </row>
    <row r="45" spans="1:5" ht="12.75" customHeight="1">
      <c r="A45" s="2801" t="s">
        <v>960</v>
      </c>
      <c r="B45" s="2814">
        <v>245</v>
      </c>
      <c r="C45" s="2821"/>
      <c r="D45" s="2826"/>
      <c r="E45" s="2808"/>
    </row>
    <row r="46" spans="1:5" ht="12.75" customHeight="1">
      <c r="A46" s="2307" t="s">
        <v>619</v>
      </c>
      <c r="B46" s="2815"/>
      <c r="C46" s="2815"/>
      <c r="D46" s="2815"/>
      <c r="E46" s="2809"/>
    </row>
    <row r="47" spans="1:5" ht="12.75" customHeight="1">
      <c r="A47" s="2307" t="s">
        <v>941</v>
      </c>
      <c r="B47" s="2815"/>
      <c r="C47" s="2815"/>
      <c r="D47" s="2815"/>
      <c r="E47" s="2809"/>
    </row>
    <row r="48" spans="1:5" ht="12.75" customHeight="1">
      <c r="A48" s="2803" t="s">
        <v>605</v>
      </c>
      <c r="B48" s="2816">
        <v>250</v>
      </c>
      <c r="C48" s="2822"/>
      <c r="D48" s="2827"/>
      <c r="E48" s="2810"/>
    </row>
    <row r="49" spans="1:5" ht="12.75" customHeight="1">
      <c r="A49" s="2767" t="s">
        <v>944</v>
      </c>
      <c r="B49" s="2817"/>
      <c r="C49" s="2817"/>
      <c r="D49" s="2817"/>
      <c r="E49" s="2811"/>
    </row>
    <row r="50" spans="1:5" ht="12.75" customHeight="1">
      <c r="A50" s="2804" t="s">
        <v>295</v>
      </c>
      <c r="B50" s="2818">
        <v>255</v>
      </c>
      <c r="C50" s="2823"/>
      <c r="D50" s="2796"/>
      <c r="E50" s="2810"/>
    </row>
    <row r="51" spans="1:5" ht="12.75" customHeight="1">
      <c r="A51" s="2803" t="s">
        <v>946</v>
      </c>
      <c r="B51" s="2816">
        <v>260</v>
      </c>
      <c r="C51" s="2824"/>
      <c r="D51" s="2785"/>
      <c r="E51" s="2810"/>
    </row>
    <row r="52" spans="1:5" ht="12.75" customHeight="1">
      <c r="A52" s="2805" t="s">
        <v>947</v>
      </c>
      <c r="B52" s="2819">
        <v>265</v>
      </c>
      <c r="C52" s="2806"/>
      <c r="D52" s="2785"/>
      <c r="E52" s="2810"/>
    </row>
    <row r="53" spans="1:5" ht="12.75" customHeight="1">
      <c r="A53" s="415" t="s">
        <v>955</v>
      </c>
      <c r="B53" s="416">
        <v>270</v>
      </c>
      <c r="C53" s="447"/>
      <c r="D53" s="455"/>
      <c r="E53" s="2776"/>
    </row>
    <row r="54" spans="1:5" ht="12.75" customHeight="1">
      <c r="A54" s="413" t="s">
        <v>639</v>
      </c>
      <c r="B54" s="414">
        <v>275</v>
      </c>
      <c r="C54" s="447"/>
      <c r="D54" s="455"/>
      <c r="E54" s="2776"/>
    </row>
    <row r="55" spans="1:5" ht="12.75" customHeight="1">
      <c r="A55" s="415" t="s">
        <v>960</v>
      </c>
      <c r="B55" s="416">
        <v>280</v>
      </c>
      <c r="C55" s="447"/>
      <c r="D55" s="455"/>
      <c r="E55" s="2799"/>
    </row>
    <row r="56" spans="1:5" ht="12.75" customHeight="1">
      <c r="A56" s="2863" t="s">
        <v>5153</v>
      </c>
      <c r="B56" s="2578" t="s">
        <v>4906</v>
      </c>
      <c r="C56" s="751">
        <f>SUM(C36:C55)</f>
        <v>41393</v>
      </c>
      <c r="D56" s="751">
        <f>SUM(D36:D55)</f>
        <v>16948</v>
      </c>
      <c r="E56" s="2774" t="s">
        <v>4905</v>
      </c>
    </row>
    <row r="57" spans="1:5" ht="12.75" customHeight="1">
      <c r="A57" s="4166" t="s">
        <v>4911</v>
      </c>
      <c r="B57" s="3789"/>
      <c r="C57" s="3789"/>
      <c r="D57" s="3789"/>
      <c r="E57" s="3789"/>
    </row>
    <row r="58" spans="1:5" ht="12.75" customHeight="1">
      <c r="A58" s="2864"/>
    </row>
  </sheetData>
  <sheetProtection algorithmName="SHA-512" hashValue="Z1yK8pu0ACtdWXPBrGshuIPlo4lmbnAE+u5FjNHcrDxOBmKT7TkAxwtpV+O9NdPExEtUID7Zb33vRB7GRotJhg==" saltValue="j4Ryu4op7nd9mGV425rOQA==" spinCount="100000" sheet="1" objects="1" scenarios="1"/>
  <mergeCells count="5">
    <mergeCell ref="D1:E1"/>
    <mergeCell ref="D2:E2"/>
    <mergeCell ref="A22:E22"/>
    <mergeCell ref="D24:E24"/>
    <mergeCell ref="D25:E25"/>
  </mergeCells>
  <dataValidations count="2">
    <dataValidation type="whole" operator="greaterThanOrEqual" showInputMessage="1" showErrorMessage="1" errorTitle="Invalid beginning cash balance" error="Please enter a number or press the delete key or enter zero." sqref="C9:D9">
      <formula1>-1000000000</formula1>
    </dataValidation>
    <dataValidation type="whole" operator="greaterThanOrEqual" showInputMessage="1" showErrorMessage="1" errorTitle="Invalid Data Entry" error="Please enter a positive number or press the delete key or enter zero." sqref="C18:D18 C39:E45 C50:E55 C48:E48 C36:E37 C14:D16 C10:D10">
      <formula1>0</formula1>
    </dataValidation>
  </dataValidations>
  <hyperlinks>
    <hyperlink ref="F1" location="Contents!F1" display="Return to Contents page"/>
  </hyperlinks>
  <printOptions horizontalCentered="1"/>
  <pageMargins left="0.75" right="0.75" top="0.5" bottom="0.5" header="0.3" footer="0.3"/>
  <pageSetup scale="86" fitToHeight="0" orientation="portrait" blackAndWhite="1" r:id="rId1"/>
  <headerFooter scaleWithDoc="0">
    <oddFooter>&amp;L&amp;"Open Sans Light,Regular"&amp;8&amp;D    &amp;T&amp;C&amp;"Open Sans Light,Regular"&amp;8Page &amp;P&amp;R&amp;"Open Sans Light,Regular"&amp;8&amp;A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6" tint="-0.249977111117893"/>
    <pageSetUpPr fitToPage="1"/>
  </sheetPr>
  <dimension ref="A1:Z30"/>
  <sheetViews>
    <sheetView showGridLines="0" topLeftCell="A7" zoomScaleNormal="100" workbookViewId="0">
      <selection activeCell="E17" sqref="E17"/>
    </sheetView>
  </sheetViews>
  <sheetFormatPr defaultColWidth="9.109375" defaultRowHeight="14.85" customHeight="1"/>
  <cols>
    <col min="1" max="1" width="6.88671875" style="459" customWidth="1"/>
    <col min="2" max="2" width="37.6640625" style="459" customWidth="1"/>
    <col min="3" max="3" width="20" style="459" customWidth="1"/>
    <col min="4" max="4" width="7.88671875" style="5010" customWidth="1"/>
    <col min="5" max="5" width="23" style="459" customWidth="1"/>
    <col min="6" max="6" width="1.88671875" style="459" customWidth="1"/>
    <col min="7" max="7" width="22.109375" style="459" customWidth="1"/>
    <col min="8" max="26" width="9.109375" style="459"/>
    <col min="27" max="16384" width="9.109375" style="4667"/>
  </cols>
  <sheetData>
    <row r="1" spans="1:8" ht="14.85" customHeight="1">
      <c r="A1" s="5005" t="s">
        <v>1727</v>
      </c>
      <c r="D1" s="5006"/>
      <c r="E1" s="5007" t="str">
        <f>"USD #"&amp;OPEN!B4</f>
        <v>USD #237</v>
      </c>
      <c r="F1" s="5008"/>
      <c r="G1" s="5009" t="s">
        <v>1270</v>
      </c>
    </row>
    <row r="2" spans="1:8" ht="14.85" customHeight="1">
      <c r="A2" s="459" t="s">
        <v>4950</v>
      </c>
      <c r="E2" s="5011">
        <f>OpenData!N3</f>
        <v>44348</v>
      </c>
    </row>
    <row r="3" spans="1:8" ht="14.85" customHeight="1">
      <c r="A3" s="5012"/>
    </row>
    <row r="5" spans="1:8" ht="14.85" customHeight="1">
      <c r="A5" s="5949" t="s">
        <v>1729</v>
      </c>
      <c r="B5" s="5949"/>
      <c r="C5" s="5949"/>
      <c r="D5" s="5949"/>
      <c r="E5" s="5949"/>
    </row>
    <row r="6" spans="1:8" ht="14.85" customHeight="1">
      <c r="A6" s="5949" t="str">
        <f>OpenData!P4 &amp; " Estimated State Foundation Aid"</f>
        <v>2021-2022 Estimated State Foundation Aid</v>
      </c>
      <c r="B6" s="5949"/>
      <c r="C6" s="5949"/>
      <c r="D6" s="5949"/>
      <c r="E6" s="5949"/>
    </row>
    <row r="10" spans="1:8" ht="14.85" customHeight="1">
      <c r="A10" s="459" t="str">
        <f>"1.  " &amp; OpenData!P14 &amp; " General Fund Budget (Form 150, Line 17)"</f>
        <v>1.  2021-22 General Fund Budget (Form 150, Line 17)</v>
      </c>
      <c r="D10" s="5013" t="s">
        <v>907</v>
      </c>
      <c r="E10" s="5014">
        <f>'F150'!J51</f>
        <v>3938451</v>
      </c>
      <c r="H10" s="453"/>
    </row>
    <row r="12" spans="1:8" ht="14.85" customHeight="1">
      <c r="A12" s="459" t="s">
        <v>1728</v>
      </c>
      <c r="E12" s="4526"/>
    </row>
    <row r="13" spans="1:8" ht="18" customHeight="1">
      <c r="B13" s="459" t="str">
        <f>"a.  6-30-" &amp; OpenData!Q5 &amp; " Unencumbered Cash Balance (General Fund)"</f>
        <v>a.  6-30-2021 Unencumbered Cash Balance (General Fund)</v>
      </c>
      <c r="D13" s="5013" t="s">
        <v>907</v>
      </c>
      <c r="E13" s="5015">
        <f>'C06'!E8</f>
        <v>0</v>
      </c>
    </row>
    <row r="14" spans="1:8" ht="18" customHeight="1">
      <c r="B14" s="459" t="str">
        <f>"b.  " &amp; OpenData!P14 &amp; " Pupil Tuition (General Fund Only)"</f>
        <v>b.  2021-22 Pupil Tuition (General Fund Only)</v>
      </c>
      <c r="D14" s="5013" t="s">
        <v>907</v>
      </c>
      <c r="E14" s="5016">
        <f>SUM('C06'!E14:E16)</f>
        <v>0</v>
      </c>
    </row>
    <row r="15" spans="1:8" ht="18" customHeight="1">
      <c r="B15" s="459" t="str">
        <f>"c.  " &amp; OpenData!P14 &amp; " Miscellaneous Revenue/Tax Collections (General Fund)"</f>
        <v>c.  2021-22 Miscellaneous Revenue/Tax Collections (General Fund)</v>
      </c>
      <c r="D15" s="5013" t="s">
        <v>907</v>
      </c>
      <c r="E15" s="5016">
        <f>'C06'!E23</f>
        <v>0</v>
      </c>
    </row>
    <row r="16" spans="1:8" ht="18" customHeight="1">
      <c r="B16" s="459" t="str">
        <f>"d.  " &amp; OpenData!P14 &amp; " Mineral Production Tax (General Fund)"</f>
        <v>d.  2021-22 Mineral Production Tax (General Fund)</v>
      </c>
      <c r="D16" s="5013" t="s">
        <v>907</v>
      </c>
      <c r="E16" s="5017">
        <f>'C06'!E26</f>
        <v>0</v>
      </c>
      <c r="H16" s="453"/>
    </row>
    <row r="17" spans="1:8" ht="18" customHeight="1">
      <c r="B17" s="459" t="str">
        <f>"e.  " &amp; OpenData!P14 &amp; " Special Education State Aid"</f>
        <v>e.  2021-22 Special Education State Aid</v>
      </c>
      <c r="D17" s="5013" t="s">
        <v>907</v>
      </c>
      <c r="E17" s="5016">
        <f>'C06'!E27</f>
        <v>606957</v>
      </c>
    </row>
    <row r="18" spans="1:8" ht="18" customHeight="1">
      <c r="B18" s="459" t="str">
        <f>"f.   " &amp; OpenData!P14 &amp; " Federal Impact Aid"</f>
        <v>f.   2021-22 Federal Impact Aid</v>
      </c>
      <c r="D18" s="5013" t="s">
        <v>907</v>
      </c>
      <c r="E18" s="5016">
        <f>'C06'!E29</f>
        <v>0</v>
      </c>
    </row>
    <row r="19" spans="1:8" ht="14.85" customHeight="1">
      <c r="E19" s="4526"/>
    </row>
    <row r="20" spans="1:8" ht="14.85" customHeight="1">
      <c r="A20" s="459" t="s">
        <v>5190</v>
      </c>
      <c r="D20" s="5013" t="s">
        <v>907</v>
      </c>
      <c r="E20" s="5017">
        <f>SUM(E16:E18)</f>
        <v>606957</v>
      </c>
    </row>
    <row r="22" spans="1:8" ht="14.85" customHeight="1">
      <c r="A22" s="459" t="str">
        <f>"4.  " &amp; OpenData!P14 &amp; " Estimated State Foundation Aid (Line 1 - Line 3; if negative, insert 0)"</f>
        <v>4.  2021-22 Estimated State Foundation Aid (Line 1 - Line 3; if negative, insert 0)</v>
      </c>
      <c r="D22" s="5013" t="s">
        <v>907</v>
      </c>
      <c r="E22" s="5014">
        <f>IF(E10-E20&lt;0,0,E10-E20)</f>
        <v>3331494</v>
      </c>
      <c r="G22" s="453"/>
      <c r="H22" s="453"/>
    </row>
    <row r="23" spans="1:8" ht="14.85" customHeight="1">
      <c r="D23" s="5013"/>
      <c r="E23" s="5018"/>
      <c r="G23" s="660"/>
    </row>
    <row r="24" spans="1:8" ht="14.85" customHeight="1">
      <c r="D24" s="5013"/>
      <c r="E24" s="5018"/>
      <c r="G24" s="660"/>
    </row>
    <row r="26" spans="1:8" ht="14.85" customHeight="1">
      <c r="A26" s="459" t="str">
        <f>"*Only deduct 70% of the estimated " &amp; OpenData!P14 &amp; " P.L. 382 receipts.  The 30% portion not deducted may be treated"</f>
        <v>*Only deduct 70% of the estimated 2021-22 P.L. 382 receipts.  The 30% portion not deducted may be treated</v>
      </c>
    </row>
    <row r="27" spans="1:8" ht="14.85" customHeight="1">
      <c r="A27" s="459" t="s">
        <v>4464</v>
      </c>
    </row>
    <row r="28" spans="1:8" ht="14.85" customHeight="1">
      <c r="A28" s="459" t="s">
        <v>4465</v>
      </c>
    </row>
    <row r="30" spans="1:8" ht="14.85" customHeight="1">
      <c r="H30" s="453"/>
    </row>
  </sheetData>
  <sheetProtection algorithmName="SHA-512" hashValue="81L4yoHR8/HP7mSVRrq6Qioon2bEmzioesBIC/LAWDeaJ3lfbUYd1d4TQApAOYALF34jteCz/+7+L0+p/vSVsQ==" saltValue="CZTlw+Z8wsL+0eEqFvxERA==" spinCount="100000" sheet="1" objects="1" scenarios="1"/>
  <mergeCells count="2">
    <mergeCell ref="A5:E5"/>
    <mergeCell ref="A6:E6"/>
  </mergeCells>
  <hyperlinks>
    <hyperlink ref="G1" location="Contents!A1" display="Return to Contents Page"/>
  </hyperlinks>
  <printOptions horizontalCentered="1"/>
  <pageMargins left="0.75" right="0.75" top="0.5" bottom="0.5" header="0.3" footer="0.3"/>
  <pageSetup scale="95" fitToHeight="0" orientation="portrait" blackAndWhite="1" r:id="rId1"/>
  <headerFooter scaleWithDoc="0">
    <oddFooter>&amp;L&amp;"Open Sans Light,Regular"&amp;8&amp;D   &amp;T&amp;C&amp;"Open Sans Light,Regular"&amp;8Page &amp;P&amp;R&amp;"Open Sans Light,Regular"&amp;8Form 148</odd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theme="4" tint="0.39997558519241921"/>
  </sheetPr>
  <dimension ref="A1:AA70"/>
  <sheetViews>
    <sheetView showGridLines="0" zoomScaleNormal="100" zoomScaleSheetLayoutView="100" workbookViewId="0">
      <pane ySplit="8" topLeftCell="A27" activePane="bottomLeft" state="frozen"/>
      <selection activeCell="B22" sqref="B22"/>
      <selection pane="bottomLeft" activeCell="B22" sqref="B22"/>
    </sheetView>
  </sheetViews>
  <sheetFormatPr defaultColWidth="10.6640625" defaultRowHeight="12.75" customHeight="1"/>
  <cols>
    <col min="1" max="1" width="40.6640625" style="224" customWidth="1"/>
    <col min="2" max="2" width="5.6640625" style="1673" customWidth="1"/>
    <col min="3" max="6" width="14.33203125" style="1674" customWidth="1"/>
    <col min="7" max="7" width="4" style="224" bestFit="1" customWidth="1"/>
    <col min="8" max="8" width="19.44140625" style="224" customWidth="1"/>
    <col min="9" max="9" width="81.33203125" style="224" customWidth="1"/>
    <col min="10" max="14" width="10.6640625" style="224"/>
    <col min="15" max="15" width="12.44140625" style="224" customWidth="1"/>
    <col min="16" max="26" width="10.6640625" style="224"/>
    <col min="27" max="16384" width="10.6640625" style="223"/>
  </cols>
  <sheetData>
    <row r="1" spans="1:27" ht="12.75" customHeight="1">
      <c r="A1" s="1655" t="s">
        <v>809</v>
      </c>
      <c r="B1" s="4092">
        <f>OPEN!$B$4</f>
        <v>237</v>
      </c>
      <c r="C1" s="1653"/>
      <c r="D1" s="1653"/>
      <c r="E1" s="6170" t="s">
        <v>836</v>
      </c>
      <c r="F1" s="6170"/>
      <c r="H1" s="6171" t="s">
        <v>754</v>
      </c>
      <c r="I1" s="6171"/>
      <c r="AA1" s="880"/>
    </row>
    <row r="2" spans="1:27" ht="12.75" customHeight="1">
      <c r="A2" s="1653"/>
      <c r="B2" s="1654"/>
      <c r="C2" s="1653"/>
      <c r="D2" s="1653"/>
      <c r="E2" s="6170" t="s">
        <v>921</v>
      </c>
      <c r="F2" s="6170"/>
    </row>
    <row r="3" spans="1:27" ht="12.75" customHeight="1">
      <c r="A3" s="1653"/>
      <c r="B3" s="1654"/>
      <c r="C3" s="1653"/>
      <c r="D3" s="1653"/>
      <c r="E3" s="1653"/>
      <c r="F3" s="1655" t="str">
        <f>OpenData!N2</f>
        <v>2021-2022</v>
      </c>
    </row>
    <row r="4" spans="1:27" ht="12.75" customHeight="1">
      <c r="A4" s="1653"/>
      <c r="B4" s="1654"/>
      <c r="C4" s="1653"/>
      <c r="D4" s="1653"/>
      <c r="E4" s="1653"/>
      <c r="F4" s="1653"/>
    </row>
    <row r="5" spans="1:27" ht="12.75" customHeight="1">
      <c r="A5" s="1653"/>
      <c r="B5" s="1654"/>
      <c r="C5" s="1656" t="s">
        <v>922</v>
      </c>
      <c r="D5" s="1656" t="s">
        <v>922</v>
      </c>
      <c r="E5" s="1656" t="s">
        <v>922</v>
      </c>
      <c r="F5" s="1656" t="s">
        <v>5</v>
      </c>
    </row>
    <row r="6" spans="1:27" ht="12.75" customHeight="1">
      <c r="A6" s="1675" t="s">
        <v>4794</v>
      </c>
      <c r="B6" s="1657" t="s">
        <v>854</v>
      </c>
      <c r="C6" s="1658" t="str">
        <f>OpenData!N4</f>
        <v>2019-2020</v>
      </c>
      <c r="D6" s="1658" t="str">
        <f>OpenData!O4</f>
        <v>2020-2021</v>
      </c>
      <c r="E6" s="1658" t="str">
        <f>OpenData!P4</f>
        <v>2021-2022</v>
      </c>
      <c r="F6" s="1658" t="s">
        <v>663</v>
      </c>
    </row>
    <row r="7" spans="1:27" ht="12.75" customHeight="1">
      <c r="A7" s="4141" t="str">
        <f>IF(B1=113,"(USD 441)","")</f>
        <v/>
      </c>
      <c r="B7" s="1659">
        <v>62</v>
      </c>
      <c r="C7" s="1660" t="s">
        <v>893</v>
      </c>
      <c r="D7" s="1660" t="s">
        <v>893</v>
      </c>
      <c r="E7" s="1660" t="s">
        <v>923</v>
      </c>
      <c r="F7" s="1660" t="s">
        <v>11</v>
      </c>
    </row>
    <row r="8" spans="1:27" ht="12.75" customHeight="1">
      <c r="A8" s="3908"/>
      <c r="B8" s="2746" t="s">
        <v>858</v>
      </c>
      <c r="C8" s="3909">
        <v>1</v>
      </c>
      <c r="D8" s="3909">
        <v>2</v>
      </c>
      <c r="E8" s="3909">
        <v>3</v>
      </c>
      <c r="F8" s="3909">
        <v>4</v>
      </c>
    </row>
    <row r="9" spans="1:27" ht="12.75" customHeight="1">
      <c r="A9" s="4142" t="s">
        <v>924</v>
      </c>
      <c r="B9" s="1659">
        <v>1</v>
      </c>
      <c r="C9" s="1661"/>
      <c r="D9" s="1662">
        <f>C55</f>
        <v>0</v>
      </c>
      <c r="E9" s="1662">
        <f>D55</f>
        <v>0</v>
      </c>
      <c r="F9" s="1663">
        <f>E9</f>
        <v>0</v>
      </c>
    </row>
    <row r="10" spans="1:27" ht="12.75" customHeight="1">
      <c r="A10" s="2720"/>
      <c r="B10" s="4143"/>
      <c r="C10" s="4143"/>
      <c r="D10" s="4143"/>
      <c r="E10" s="4143"/>
      <c r="F10" s="2721"/>
    </row>
    <row r="11" spans="1:27" s="1652" customFormat="1" ht="12.75" customHeight="1">
      <c r="A11" s="4144" t="s">
        <v>4767</v>
      </c>
      <c r="B11" s="4145"/>
      <c r="C11" s="4145"/>
      <c r="D11" s="4145"/>
      <c r="E11" s="4145"/>
      <c r="F11" s="4146"/>
      <c r="G11" s="1651"/>
      <c r="H11" s="1651"/>
      <c r="I11" s="1651"/>
      <c r="J11" s="1651"/>
      <c r="K11" s="1651"/>
      <c r="L11" s="1651"/>
      <c r="M11" s="1651"/>
      <c r="N11" s="1651"/>
      <c r="O11" s="1651"/>
      <c r="P11" s="1651"/>
      <c r="Q11" s="1651"/>
      <c r="R11" s="1651"/>
      <c r="S11" s="1651"/>
      <c r="T11" s="1651"/>
      <c r="U11" s="1651"/>
      <c r="V11" s="1651"/>
      <c r="W11" s="1651"/>
      <c r="X11" s="1651"/>
      <c r="Y11" s="1651"/>
      <c r="Z11" s="1651"/>
    </row>
    <row r="12" spans="1:27" ht="12.75" customHeight="1">
      <c r="A12" s="2722" t="s">
        <v>708</v>
      </c>
      <c r="B12" s="2745"/>
      <c r="C12" s="2745"/>
      <c r="D12" s="2745"/>
      <c r="E12" s="2745"/>
      <c r="F12" s="2723"/>
    </row>
    <row r="13" spans="1:27" ht="12.75" customHeight="1">
      <c r="A13" s="2722" t="s">
        <v>709</v>
      </c>
      <c r="B13" s="2745"/>
      <c r="C13" s="2745"/>
      <c r="D13" s="2745"/>
      <c r="E13" s="2745"/>
      <c r="F13" s="2723"/>
    </row>
    <row r="14" spans="1:27" ht="12.75" customHeight="1">
      <c r="A14" s="2728" t="str">
        <f>OpenData!N8</f>
        <v xml:space="preserve">    2018 $</v>
      </c>
      <c r="B14" s="2746">
        <v>5</v>
      </c>
      <c r="C14" s="2176"/>
      <c r="D14" s="2181"/>
      <c r="E14" s="2181"/>
      <c r="F14" s="2740"/>
    </row>
    <row r="15" spans="1:27" ht="12.75" customHeight="1">
      <c r="A15" s="2728" t="str">
        <f>OpenData!N9</f>
        <v xml:space="preserve">    2019 $</v>
      </c>
      <c r="B15" s="2747">
        <v>10</v>
      </c>
      <c r="C15" s="2756"/>
      <c r="D15" s="2176"/>
      <c r="E15" s="2181"/>
      <c r="F15" s="2740"/>
    </row>
    <row r="16" spans="1:27" ht="12.75" customHeight="1">
      <c r="A16" s="2728" t="str">
        <f>OpenData!N10</f>
        <v xml:space="preserve">    2020 $</v>
      </c>
      <c r="B16" s="2746">
        <v>15</v>
      </c>
      <c r="C16" s="1663"/>
      <c r="D16" s="2724">
        <f>IF('C04'!E17&lt;0,0,'C04'!E17)</f>
        <v>0</v>
      </c>
      <c r="E16" s="2180">
        <f>'F110'!K33</f>
        <v>0</v>
      </c>
      <c r="F16" s="2727">
        <f>E16</f>
        <v>0</v>
      </c>
    </row>
    <row r="17" spans="1:6" ht="12.75" customHeight="1">
      <c r="A17" s="2729" t="str">
        <f>OpenData!N11</f>
        <v xml:space="preserve">    2021 $</v>
      </c>
      <c r="B17" s="2747">
        <v>20</v>
      </c>
      <c r="C17" s="2181"/>
      <c r="D17" s="1663"/>
      <c r="E17" s="2724">
        <f>'C04'!L17</f>
        <v>0</v>
      </c>
      <c r="F17" s="2725"/>
    </row>
    <row r="18" spans="1:6" ht="12.75" customHeight="1">
      <c r="A18" s="2729" t="s">
        <v>710</v>
      </c>
      <c r="B18" s="2747">
        <v>25</v>
      </c>
      <c r="C18" s="2176"/>
      <c r="D18" s="2176"/>
      <c r="E18" s="2180">
        <f>0.667*F18</f>
        <v>0</v>
      </c>
      <c r="F18" s="2727">
        <f>'F110'!K37</f>
        <v>0</v>
      </c>
    </row>
    <row r="19" spans="1:6" ht="12.75" customHeight="1">
      <c r="A19" s="2729" t="s">
        <v>332</v>
      </c>
      <c r="B19" s="2747">
        <v>30</v>
      </c>
      <c r="C19" s="2756"/>
      <c r="D19" s="2756"/>
      <c r="E19" s="2176"/>
      <c r="F19" s="2725">
        <f>E19</f>
        <v>0</v>
      </c>
    </row>
    <row r="20" spans="1:6" ht="12.75" customHeight="1">
      <c r="A20" s="2728" t="s">
        <v>711</v>
      </c>
      <c r="B20" s="2746">
        <v>35</v>
      </c>
      <c r="C20" s="1663"/>
      <c r="D20" s="1663"/>
      <c r="E20" s="1663"/>
      <c r="F20" s="2738"/>
    </row>
    <row r="21" spans="1:6" ht="12.75" customHeight="1">
      <c r="A21" s="2729" t="s">
        <v>712</v>
      </c>
      <c r="B21" s="2747">
        <v>40</v>
      </c>
      <c r="C21" s="2176"/>
      <c r="D21" s="2176"/>
      <c r="E21" s="2176"/>
      <c r="F21" s="2725">
        <f>E21</f>
        <v>0</v>
      </c>
    </row>
    <row r="22" spans="1:6" ht="12.75" customHeight="1">
      <c r="A22" s="2308" t="s">
        <v>711</v>
      </c>
      <c r="B22" s="2748">
        <v>45</v>
      </c>
      <c r="C22" s="1663"/>
      <c r="D22" s="1663"/>
      <c r="E22" s="1663"/>
      <c r="F22" s="2741"/>
    </row>
    <row r="23" spans="1:6" ht="12.75" customHeight="1">
      <c r="A23" s="2720" t="s">
        <v>713</v>
      </c>
      <c r="B23" s="2744"/>
      <c r="C23" s="2745"/>
      <c r="D23" s="2745"/>
      <c r="E23" s="2745"/>
      <c r="F23" s="2721"/>
    </row>
    <row r="24" spans="1:6" ht="12.75" customHeight="1">
      <c r="A24" s="2728" t="s">
        <v>242</v>
      </c>
      <c r="B24" s="2746">
        <v>55</v>
      </c>
      <c r="C24" s="2176"/>
      <c r="D24" s="2176"/>
      <c r="E24" s="2180">
        <f>IF(ISERROR('F194'!H79+'F194'!H22+'F194'!$P$79+'F194'!$P$22),0,('F194'!H79+'F194'!H22+'F194'!$P$79+'F194'!$P$22))</f>
        <v>0</v>
      </c>
      <c r="F24" s="2727">
        <f>E24</f>
        <v>0</v>
      </c>
    </row>
    <row r="25" spans="1:6" ht="12.75" customHeight="1">
      <c r="A25" s="2730" t="s">
        <v>711</v>
      </c>
      <c r="B25" s="2737">
        <v>60</v>
      </c>
      <c r="C25" s="1663"/>
      <c r="D25" s="1663"/>
      <c r="E25" s="1663"/>
      <c r="F25" s="2726">
        <f>F24*0.5</f>
        <v>0</v>
      </c>
    </row>
    <row r="26" spans="1:6" ht="12.75" customHeight="1">
      <c r="A26" s="2730" t="s">
        <v>23</v>
      </c>
      <c r="B26" s="2737">
        <v>65</v>
      </c>
      <c r="C26" s="2176"/>
      <c r="D26" s="2176"/>
      <c r="E26" s="2180">
        <f>IF(ISERROR('F194'!$L$79+'F194'!$L$22),0,('F194'!$L$79+'F194'!$L$22))</f>
        <v>0</v>
      </c>
      <c r="F26" s="2726">
        <f>E26</f>
        <v>0</v>
      </c>
    </row>
    <row r="27" spans="1:6" ht="12.75" customHeight="1">
      <c r="A27" s="2730" t="s">
        <v>24</v>
      </c>
      <c r="B27" s="2737">
        <v>66</v>
      </c>
      <c r="C27" s="1663"/>
      <c r="D27" s="1663"/>
      <c r="E27" s="1663"/>
      <c r="F27" s="2726">
        <f>F26*0.5</f>
        <v>0</v>
      </c>
    </row>
    <row r="28" spans="1:6" ht="12.75" customHeight="1">
      <c r="A28" s="2731" t="s">
        <v>1374</v>
      </c>
      <c r="B28" s="2749">
        <v>67</v>
      </c>
      <c r="C28" s="2757"/>
      <c r="D28" s="2757"/>
      <c r="E28" s="2180">
        <f>IF(ISERROR('F194'!R79+'F194'!R22),0,('F194'!R79+'F194'!R22))</f>
        <v>0</v>
      </c>
      <c r="F28" s="2726">
        <f>E28</f>
        <v>0</v>
      </c>
    </row>
    <row r="29" spans="1:6" ht="12.75" customHeight="1">
      <c r="A29" s="2731" t="s">
        <v>24</v>
      </c>
      <c r="B29" s="2749">
        <v>68</v>
      </c>
      <c r="C29" s="1663"/>
      <c r="D29" s="1663"/>
      <c r="E29" s="1663"/>
      <c r="F29" s="2726">
        <f>F28*0.5</f>
        <v>0</v>
      </c>
    </row>
    <row r="30" spans="1:6" ht="12.75" customHeight="1">
      <c r="A30" s="2730" t="s">
        <v>1388</v>
      </c>
      <c r="B30" s="2737">
        <v>70</v>
      </c>
      <c r="C30" s="2179"/>
      <c r="D30" s="2179"/>
      <c r="E30" s="2180">
        <f>IF(ISERROR('F194'!N79+'F194'!N22),0,('F194'!N79+'F194'!N22))</f>
        <v>0</v>
      </c>
      <c r="F30" s="2725">
        <f>E30</f>
        <v>0</v>
      </c>
    </row>
    <row r="31" spans="1:6" ht="12.75" customHeight="1">
      <c r="A31" s="2311" t="s">
        <v>711</v>
      </c>
      <c r="B31" s="2750">
        <v>72</v>
      </c>
      <c r="C31" s="1663"/>
      <c r="D31" s="1663"/>
      <c r="E31" s="1663"/>
      <c r="F31" s="2726">
        <f>F30*0.5</f>
        <v>0</v>
      </c>
    </row>
    <row r="32" spans="1:6" ht="12.75" customHeight="1">
      <c r="A32" s="2309" t="s">
        <v>755</v>
      </c>
      <c r="B32" s="2751"/>
      <c r="C32" s="2759"/>
      <c r="D32" s="2759"/>
      <c r="E32" s="2759"/>
      <c r="F32" s="2310"/>
    </row>
    <row r="33" spans="1:9" ht="12.75" customHeight="1">
      <c r="A33" s="2732" t="s">
        <v>1373</v>
      </c>
      <c r="B33" s="2752">
        <v>76</v>
      </c>
      <c r="C33" s="2758"/>
      <c r="D33" s="2758"/>
      <c r="E33" s="2180">
        <f>'F242'!$I$21</f>
        <v>0</v>
      </c>
      <c r="F33" s="2727">
        <f>E33</f>
        <v>0</v>
      </c>
      <c r="H33" s="752"/>
      <c r="I33" s="753"/>
    </row>
    <row r="34" spans="1:9" ht="12.75" customHeight="1">
      <c r="A34" s="2730" t="s">
        <v>756</v>
      </c>
      <c r="B34" s="2749">
        <v>77</v>
      </c>
      <c r="C34" s="1663"/>
      <c r="D34" s="1663"/>
      <c r="E34" s="1663"/>
      <c r="F34" s="2739"/>
      <c r="I34" s="753"/>
    </row>
    <row r="35" spans="1:9" ht="12.75" customHeight="1">
      <c r="A35" s="2731" t="s">
        <v>3085</v>
      </c>
      <c r="B35" s="2749">
        <v>78</v>
      </c>
      <c r="C35" s="2757"/>
      <c r="D35" s="2757"/>
      <c r="E35" s="2180">
        <f>'F242'!$I$42</f>
        <v>0</v>
      </c>
      <c r="F35" s="2725">
        <f>E35</f>
        <v>0</v>
      </c>
      <c r="H35" s="752"/>
    </row>
    <row r="36" spans="1:9" ht="12.75" customHeight="1">
      <c r="A36" s="2731" t="s">
        <v>756</v>
      </c>
      <c r="B36" s="2749">
        <v>79</v>
      </c>
      <c r="C36" s="1663"/>
      <c r="D36" s="1663"/>
      <c r="E36" s="1663"/>
      <c r="F36" s="2742"/>
      <c r="H36" s="752"/>
    </row>
    <row r="37" spans="1:9" ht="12.75" customHeight="1">
      <c r="A37" s="2733" t="s">
        <v>3086</v>
      </c>
      <c r="B37" s="2752">
        <v>83</v>
      </c>
      <c r="C37" s="2757"/>
      <c r="D37" s="2757"/>
      <c r="E37" s="2180">
        <f>'F242'!I64</f>
        <v>0</v>
      </c>
      <c r="F37" s="2727">
        <f>E37</f>
        <v>0</v>
      </c>
      <c r="H37" s="752"/>
    </row>
    <row r="38" spans="1:9" ht="12.75" customHeight="1">
      <c r="A38" s="2734" t="s">
        <v>756</v>
      </c>
      <c r="B38" s="2753">
        <v>84</v>
      </c>
      <c r="C38" s="1663"/>
      <c r="D38" s="1663"/>
      <c r="E38" s="1663"/>
      <c r="F38" s="2743"/>
      <c r="H38" s="752"/>
    </row>
    <row r="39" spans="1:9" ht="12.75" customHeight="1">
      <c r="A39" s="2309" t="s">
        <v>1075</v>
      </c>
      <c r="B39" s="2751"/>
      <c r="C39" s="2759"/>
      <c r="D39" s="2759"/>
      <c r="E39" s="2759"/>
      <c r="F39" s="2310"/>
      <c r="I39" s="752"/>
    </row>
    <row r="40" spans="1:9" ht="12.75" customHeight="1">
      <c r="A40" s="2732" t="s">
        <v>1076</v>
      </c>
      <c r="B40" s="2754">
        <v>80</v>
      </c>
      <c r="C40" s="2757"/>
      <c r="D40" s="2176"/>
      <c r="E40" s="2180">
        <f>'F242'!$I$15+'F242'!$I$36</f>
        <v>0</v>
      </c>
      <c r="F40" s="2727">
        <f>E40</f>
        <v>0</v>
      </c>
    </row>
    <row r="41" spans="1:9" ht="12.75" customHeight="1">
      <c r="A41" s="2732" t="s">
        <v>756</v>
      </c>
      <c r="B41" s="2754">
        <v>81</v>
      </c>
      <c r="C41" s="2181"/>
      <c r="D41" s="2181"/>
      <c r="E41" s="2181"/>
      <c r="F41" s="2738"/>
    </row>
    <row r="42" spans="1:9" ht="12.75" customHeight="1">
      <c r="A42" s="2735" t="s">
        <v>42</v>
      </c>
      <c r="B42" s="2755">
        <v>82</v>
      </c>
      <c r="C42" s="2181">
        <f>SUM(C9:C41)</f>
        <v>0</v>
      </c>
      <c r="D42" s="2181">
        <f>SUM(D9:D41)</f>
        <v>0</v>
      </c>
      <c r="E42" s="2181">
        <f>SUM(E9:E41)</f>
        <v>0</v>
      </c>
      <c r="F42" s="2740">
        <f>SUM(F9:F41)</f>
        <v>0</v>
      </c>
    </row>
    <row r="43" spans="1:9" ht="12.75" customHeight="1">
      <c r="A43" s="2305"/>
      <c r="B43" s="4147"/>
      <c r="C43" s="4147"/>
      <c r="D43" s="4147"/>
      <c r="E43" s="4147"/>
      <c r="F43" s="2306"/>
    </row>
    <row r="44" spans="1:9" ht="12.75" customHeight="1">
      <c r="A44" s="4148" t="s">
        <v>60</v>
      </c>
      <c r="B44" s="4149"/>
      <c r="C44" s="4149"/>
      <c r="D44" s="4149"/>
      <c r="E44" s="4149"/>
      <c r="F44" s="4150"/>
    </row>
    <row r="45" spans="1:9" ht="12.75" customHeight="1">
      <c r="A45" s="2760" t="s">
        <v>757</v>
      </c>
      <c r="B45" s="2759"/>
      <c r="C45" s="2759"/>
      <c r="D45" s="2759"/>
      <c r="E45" s="2759"/>
      <c r="F45" s="2761"/>
    </row>
    <row r="46" spans="1:9" ht="12.75" customHeight="1">
      <c r="A46" s="2732" t="s">
        <v>26</v>
      </c>
      <c r="B46" s="2175">
        <v>85</v>
      </c>
      <c r="C46" s="2738"/>
      <c r="D46" s="2177"/>
      <c r="E46" s="2762">
        <f>'C05'!I42-'C063'!E46</f>
        <v>0</v>
      </c>
      <c r="F46" s="2727"/>
    </row>
    <row r="47" spans="1:9" ht="12.75" customHeight="1">
      <c r="A47" s="2732" t="s">
        <v>1393</v>
      </c>
      <c r="B47" s="2175">
        <v>90</v>
      </c>
      <c r="C47" s="2739"/>
      <c r="D47" s="1664"/>
      <c r="E47" s="2179"/>
      <c r="F47" s="2724"/>
    </row>
    <row r="48" spans="1:9" ht="12.75" customHeight="1">
      <c r="A48" s="2730" t="s">
        <v>27</v>
      </c>
      <c r="B48" s="2737">
        <v>95</v>
      </c>
      <c r="C48" s="2739"/>
      <c r="D48" s="2178"/>
      <c r="E48" s="2763">
        <f>'C05'!J42-'C063'!E48</f>
        <v>0</v>
      </c>
      <c r="F48" s="2725"/>
    </row>
    <row r="49" spans="1:16" ht="12.75" customHeight="1">
      <c r="A49" s="2736" t="s">
        <v>758</v>
      </c>
      <c r="B49" s="2737">
        <v>100</v>
      </c>
      <c r="C49" s="2725">
        <f>SUM(C44:C48)</f>
        <v>0</v>
      </c>
      <c r="D49" s="1665">
        <f>SUM(D44:D48)</f>
        <v>0</v>
      </c>
      <c r="E49" s="2180">
        <f>SUM(E44:E48)</f>
        <v>0</v>
      </c>
      <c r="F49" s="2181">
        <f>E49</f>
        <v>0</v>
      </c>
    </row>
    <row r="50" spans="1:16" ht="12.75" customHeight="1">
      <c r="A50" s="2730" t="s">
        <v>28</v>
      </c>
      <c r="B50" s="2737">
        <v>105</v>
      </c>
      <c r="C50" s="3910"/>
      <c r="D50" s="3910"/>
      <c r="E50" s="3911"/>
      <c r="F50" s="2764">
        <f>'C05'!K42-'C063'!F50</f>
        <v>0</v>
      </c>
    </row>
    <row r="51" spans="1:16" ht="12.75" customHeight="1">
      <c r="A51" s="2730" t="s">
        <v>1395</v>
      </c>
      <c r="B51" s="2737">
        <v>110</v>
      </c>
      <c r="C51" s="3910"/>
      <c r="D51" s="3910"/>
      <c r="E51" s="3911"/>
      <c r="F51" s="2765"/>
    </row>
    <row r="52" spans="1:16" ht="12.75" customHeight="1">
      <c r="A52" s="2730" t="s">
        <v>29</v>
      </c>
      <c r="B52" s="2737">
        <v>115</v>
      </c>
      <c r="C52" s="3910"/>
      <c r="D52" s="3910"/>
      <c r="E52" s="3911"/>
      <c r="F52" s="2766">
        <f>'C05'!L42-'C063'!F52</f>
        <v>0</v>
      </c>
    </row>
    <row r="53" spans="1:16" ht="12.75" customHeight="1">
      <c r="A53" s="2730" t="s">
        <v>759</v>
      </c>
      <c r="B53" s="2737">
        <v>120</v>
      </c>
      <c r="C53" s="3910"/>
      <c r="D53" s="3910"/>
      <c r="E53" s="3911"/>
      <c r="F53" s="2176"/>
      <c r="G53" s="1678" t="s">
        <v>4796</v>
      </c>
      <c r="H53" s="6169" t="s">
        <v>5120</v>
      </c>
      <c r="I53" s="6169"/>
    </row>
    <row r="54" spans="1:16" ht="12.75" customHeight="1">
      <c r="A54" s="2730" t="s">
        <v>760</v>
      </c>
      <c r="B54" s="2737">
        <v>185</v>
      </c>
      <c r="C54" s="4618"/>
      <c r="D54" s="3910"/>
      <c r="E54" s="3911"/>
      <c r="F54" s="1665">
        <f>SUM(F49:F53)</f>
        <v>0</v>
      </c>
      <c r="H54" s="6169"/>
      <c r="I54" s="6169"/>
    </row>
    <row r="55" spans="1:16" ht="12.75" customHeight="1">
      <c r="A55" s="2730" t="s">
        <v>761</v>
      </c>
      <c r="B55" s="2737">
        <v>190</v>
      </c>
      <c r="C55" s="2727">
        <f>SUM(C42-C49)</f>
        <v>0</v>
      </c>
      <c r="D55" s="1666">
        <f>SUM(D42-D49)</f>
        <v>0</v>
      </c>
      <c r="E55" s="1666">
        <f>SUM(E42-E49)</f>
        <v>0</v>
      </c>
      <c r="F55" s="3810" t="s">
        <v>4905</v>
      </c>
    </row>
    <row r="56" spans="1:16" ht="12.75" customHeight="1">
      <c r="A56" s="3792"/>
      <c r="B56" s="1667">
        <v>195</v>
      </c>
      <c r="C56" s="1668" t="s">
        <v>1080</v>
      </c>
      <c r="D56" s="1669"/>
      <c r="E56" s="1670"/>
      <c r="F56" s="2180">
        <f>SUM(F54-F42)</f>
        <v>0</v>
      </c>
    </row>
    <row r="57" spans="1:16" ht="12.75" customHeight="1">
      <c r="A57" s="3793"/>
      <c r="B57" s="1667">
        <v>200</v>
      </c>
      <c r="C57" s="1668" t="s">
        <v>668</v>
      </c>
      <c r="D57" s="1669"/>
      <c r="E57" s="1670"/>
      <c r="F57" s="1665">
        <f>F56*'C01'!$E$97/100</f>
        <v>0</v>
      </c>
      <c r="G57" s="1677" t="s">
        <v>4796</v>
      </c>
      <c r="H57" s="6168" t="str">
        <f>IF(OPEN!A125="","Enter Delinquent Tax Rate in cell A125 on Open tab","")</f>
        <v/>
      </c>
      <c r="I57" s="6168"/>
      <c r="O57" s="754"/>
      <c r="P57" s="282"/>
    </row>
    <row r="58" spans="1:16" ht="12.75" customHeight="1">
      <c r="A58" s="3793"/>
      <c r="B58" s="1667">
        <v>205</v>
      </c>
      <c r="C58" s="1668" t="str">
        <f>OpenData!N6</f>
        <v>Amount of 2021 Tax to be Levied</v>
      </c>
      <c r="D58" s="1669"/>
      <c r="E58" s="1671"/>
      <c r="F58" s="1665">
        <f>SUM(F56+F57)</f>
        <v>0</v>
      </c>
      <c r="G58" s="1676" t="s">
        <v>4796</v>
      </c>
      <c r="H58" s="1976" t="s">
        <v>4801</v>
      </c>
      <c r="I58" s="1977">
        <f>IF(ISERROR(F58/OpenData!N44*1000),"Check the following:",F58/OpenData!N44*1000)</f>
        <v>0</v>
      </c>
      <c r="O58" s="222" t="s">
        <v>4795</v>
      </c>
      <c r="P58" s="282"/>
    </row>
    <row r="59" spans="1:16" ht="12.75" customHeight="1">
      <c r="A59" s="6166" t="s">
        <v>5129</v>
      </c>
      <c r="B59" s="6166"/>
      <c r="C59" s="6166"/>
      <c r="D59" s="6166"/>
      <c r="E59" s="6166"/>
      <c r="F59" s="6166"/>
      <c r="H59" s="223"/>
      <c r="I59" s="1979" t="str">
        <f>IF(B1&lt;&gt;113,OpenData!N40,OpenData!N41)</f>
        <v/>
      </c>
    </row>
    <row r="60" spans="1:16" ht="12.75" customHeight="1">
      <c r="A60" s="6167" t="s">
        <v>4909</v>
      </c>
      <c r="B60" s="6167"/>
      <c r="C60" s="6167"/>
      <c r="D60" s="6167"/>
      <c r="E60" s="6167"/>
      <c r="F60" s="6167"/>
      <c r="I60" s="1978" t="str">
        <f>IF(OPEN!A15="","- Fill in "&amp;OPEN!B15&amp;"- cell A15 on Open tab.","")</f>
        <v/>
      </c>
    </row>
    <row r="61" spans="1:16" ht="12.75" customHeight="1">
      <c r="A61" s="222"/>
      <c r="B61" s="1656"/>
      <c r="C61" s="1653"/>
      <c r="D61" s="1653"/>
      <c r="E61" s="1653"/>
      <c r="F61" s="1653"/>
      <c r="H61" s="350"/>
    </row>
    <row r="62" spans="1:16" ht="12.75" customHeight="1">
      <c r="A62" s="222"/>
      <c r="B62" s="1656"/>
      <c r="C62" s="1653"/>
      <c r="D62" s="1653"/>
      <c r="E62" s="1653"/>
      <c r="F62" s="1653"/>
    </row>
    <row r="63" spans="1:16" ht="12.75" customHeight="1">
      <c r="A63" s="222"/>
      <c r="B63" s="1656"/>
      <c r="C63" s="1653"/>
      <c r="D63" s="1653"/>
      <c r="E63" s="1653"/>
      <c r="F63" s="1653"/>
    </row>
    <row r="64" spans="1:16" ht="12.75" customHeight="1">
      <c r="A64" s="225"/>
      <c r="B64" s="1672"/>
      <c r="C64" s="1672"/>
      <c r="D64" s="1672"/>
      <c r="E64" s="1672"/>
      <c r="F64" s="1672"/>
    </row>
    <row r="65" spans="1:6" ht="12.75" customHeight="1">
      <c r="A65" s="222"/>
      <c r="B65" s="1656"/>
      <c r="C65" s="1653"/>
      <c r="D65" s="1653"/>
      <c r="E65" s="1653"/>
      <c r="F65" s="1653"/>
    </row>
    <row r="66" spans="1:6" ht="12.75" customHeight="1">
      <c r="A66" s="222"/>
      <c r="B66" s="1656"/>
      <c r="C66" s="1653"/>
      <c r="D66" s="1653"/>
      <c r="E66" s="1653"/>
      <c r="F66" s="1653"/>
    </row>
    <row r="67" spans="1:6" ht="12.75" customHeight="1">
      <c r="A67" s="222"/>
      <c r="B67" s="1656"/>
      <c r="C67" s="1653"/>
      <c r="D67" s="1653"/>
      <c r="E67" s="1653"/>
      <c r="F67" s="1653"/>
    </row>
    <row r="68" spans="1:6" ht="12.75" customHeight="1">
      <c r="A68" s="222"/>
      <c r="B68" s="1656"/>
      <c r="C68" s="1653"/>
      <c r="D68" s="1653"/>
      <c r="E68" s="1653"/>
      <c r="F68" s="1653"/>
    </row>
    <row r="69" spans="1:6" ht="12.75" customHeight="1">
      <c r="A69" s="222"/>
      <c r="B69" s="1656"/>
      <c r="C69" s="1653"/>
      <c r="D69" s="1653"/>
      <c r="E69" s="1653"/>
      <c r="F69" s="1653"/>
    </row>
    <row r="70" spans="1:6" ht="12.75" customHeight="1">
      <c r="A70" s="222"/>
      <c r="B70" s="1656"/>
      <c r="C70" s="1653"/>
      <c r="D70" s="1653"/>
      <c r="E70" s="1653"/>
      <c r="F70" s="1653"/>
    </row>
  </sheetData>
  <sheetProtection algorithmName="SHA-512" hashValue="lkmJuJEbKnPMYhuHmcPDvnnvHUZHMYS+Au71xZwNyIWaYDTFPaS4ygdyiaBRFz2Zy84IYUNcY7gVVbxR0AEUNg==" saltValue="Kp5LI+8UyAlLjHXFG8fS2Q==" spinCount="100000" sheet="1" objects="1" scenarios="1"/>
  <mergeCells count="7">
    <mergeCell ref="A59:F59"/>
    <mergeCell ref="A60:F60"/>
    <mergeCell ref="H57:I57"/>
    <mergeCell ref="H53:I54"/>
    <mergeCell ref="E1:F1"/>
    <mergeCell ref="E2:F2"/>
    <mergeCell ref="H1:I1"/>
  </mergeCells>
  <phoneticPr fontId="13" type="noConversion"/>
  <conditionalFormatting sqref="G57:H57">
    <cfRule type="expression" dxfId="16" priority="3">
      <formula>$H$57&lt;&gt;""</formula>
    </cfRule>
  </conditionalFormatting>
  <conditionalFormatting sqref="I60">
    <cfRule type="expression" dxfId="15" priority="2">
      <formula>$I$60&lt;&gt;""</formula>
    </cfRule>
  </conditionalFormatting>
  <dataValidations count="4">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C14 C15:D15 C18:D18 C19:E19 F20 C21:E21 C24:D24 C26:D30 C33:D33 F22 C46:E48 F50 F52:F53">
      <formula1>0</formula1>
    </dataValidation>
    <dataValidation type="whole" operator="greaterThanOrEqual" showInputMessage="1" showErrorMessage="1" errorTitle="Invalid Data Entry" error="Please enter a positive whole number or press the delete key or enter zero." sqref="D40">
      <formula1>0</formula1>
    </dataValidation>
    <dataValidation type="whole" operator="greaterThanOrEqual" allowBlank="1" showInputMessage="1" showErrorMessage="1" errorTitle="Invalid Data Entry" error="Please enter a positive number or press the delete key or enter zero." sqref="C35:D35 C37:D37">
      <formula1>0</formula1>
    </dataValidation>
  </dataValidations>
  <hyperlinks>
    <hyperlink ref="H1" location="Contents!F1" display="Return to Contents page"/>
  </hyperlinks>
  <printOptions horizontalCentered="1"/>
  <pageMargins left="0.75" right="0.75" top="0.5" bottom="0.5" header="0.3" footer="0.3"/>
  <pageSetup scale="81" fitToHeight="0" orientation="portrait" blackAndWhite="1" r:id="rId1"/>
  <headerFooter scaleWithDoc="0">
    <oddFooter>&amp;L&amp;"Open Sans Light,Regular"&amp;8&amp;D    &amp;T&amp;C&amp;"Open Sans Light,Regular"&amp;8Page &amp;P&amp;R&amp;"Open Sans Light,Regular"&amp;8&amp;A</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6F743AC7-7C55-4A98-9329-BEB272C8D4EB}">
            <xm:f>OR(ISERROR(F58/OpenData!N44*1000),$I$60&lt;&gt;"")</xm:f>
            <x14:dxf>
              <font>
                <color rgb="FFB7312C"/>
              </font>
              <fill>
                <patternFill>
                  <bgColor rgb="FFFFA3B9"/>
                </patternFill>
              </fill>
            </x14:dxf>
          </x14:cfRule>
          <xm:sqref>I58</xm:sqref>
        </x14:conditionalFormatting>
        <x14:conditionalFormatting xmlns:xm="http://schemas.microsoft.com/office/excel/2006/main">
          <x14:cfRule type="expression" priority="1" id="{1DBC30E2-C6B0-451F-8E66-B2913B2A8333}">
            <xm:f>ISERROR(F58/OpenData!N46*1000)</xm:f>
            <x14:dxf>
              <font>
                <color rgb="FFB7312C"/>
              </font>
            </x14:dxf>
          </x14:cfRule>
          <xm:sqref>I59</xm:sqref>
        </x14:conditionalFormatting>
      </x14:conditionalFormatting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theme="4" tint="0.39997558519241921"/>
  </sheetPr>
  <dimension ref="A1:Z70"/>
  <sheetViews>
    <sheetView showGridLines="0" zoomScaleNormal="100" zoomScaleSheetLayoutView="120" workbookViewId="0">
      <pane ySplit="8" topLeftCell="A9" activePane="bottomLeft" state="frozen"/>
      <selection activeCell="B22" sqref="B22"/>
      <selection pane="bottomLeft" activeCell="B22" sqref="B22"/>
    </sheetView>
  </sheetViews>
  <sheetFormatPr defaultColWidth="10.6640625" defaultRowHeight="12.75" customHeight="1"/>
  <cols>
    <col min="1" max="1" width="40.6640625" style="228" customWidth="1"/>
    <col min="2" max="2" width="5.6640625" style="1699" customWidth="1"/>
    <col min="3" max="6" width="14.33203125" style="1700" customWidth="1"/>
    <col min="7" max="7" width="3.109375" style="228" customWidth="1"/>
    <col min="8" max="8" width="19.44140625" style="228" customWidth="1"/>
    <col min="9" max="9" width="75.109375" style="228" bestFit="1" customWidth="1"/>
    <col min="10" max="26" width="10.6640625" style="228"/>
    <col min="27" max="16384" width="10.6640625" style="227"/>
  </cols>
  <sheetData>
    <row r="1" spans="1:9" ht="12.75" customHeight="1">
      <c r="A1" s="1681" t="s">
        <v>809</v>
      </c>
      <c r="B1" s="4096">
        <f>OPEN!$B$4</f>
        <v>237</v>
      </c>
      <c r="C1" s="1679"/>
      <c r="D1" s="1679"/>
      <c r="E1" s="6172" t="s">
        <v>836</v>
      </c>
      <c r="F1" s="6172"/>
      <c r="H1" s="6171" t="s">
        <v>754</v>
      </c>
      <c r="I1" s="6171"/>
    </row>
    <row r="2" spans="1:9" ht="12.75" customHeight="1">
      <c r="A2" s="1679"/>
      <c r="B2" s="1680"/>
      <c r="C2" s="1679"/>
      <c r="D2" s="1679"/>
      <c r="E2" s="6172" t="s">
        <v>921</v>
      </c>
      <c r="F2" s="6172"/>
    </row>
    <row r="3" spans="1:9" ht="12.75" customHeight="1">
      <c r="A3" s="1679"/>
      <c r="B3" s="1680"/>
      <c r="C3" s="1679"/>
      <c r="D3" s="1679"/>
      <c r="E3" s="1679"/>
      <c r="F3" s="1681" t="str">
        <f>OpenData!N2</f>
        <v>2021-2022</v>
      </c>
    </row>
    <row r="4" spans="1:9" ht="12.75" customHeight="1">
      <c r="A4" s="6173" t="s">
        <v>4792</v>
      </c>
      <c r="B4" s="6173"/>
      <c r="C4" s="6173"/>
      <c r="D4" s="6173"/>
      <c r="E4" s="6173"/>
      <c r="F4" s="6173"/>
    </row>
    <row r="5" spans="1:9" ht="12.75" customHeight="1">
      <c r="A5" s="1679"/>
      <c r="B5" s="1680"/>
      <c r="C5" s="1682" t="s">
        <v>922</v>
      </c>
      <c r="D5" s="1682" t="s">
        <v>922</v>
      </c>
      <c r="E5" s="1682" t="s">
        <v>922</v>
      </c>
      <c r="F5" s="1682" t="s">
        <v>5</v>
      </c>
    </row>
    <row r="6" spans="1:9" ht="12.75" customHeight="1">
      <c r="A6" s="1703" t="s">
        <v>4797</v>
      </c>
      <c r="B6" s="1683" t="s">
        <v>854</v>
      </c>
      <c r="C6" s="1684" t="str">
        <f>OpenData!N4</f>
        <v>2019-2020</v>
      </c>
      <c r="D6" s="1684" t="str">
        <f>OpenData!O4</f>
        <v>2020-2021</v>
      </c>
      <c r="E6" s="1684" t="str">
        <f>OpenData!P4</f>
        <v>2021-2022</v>
      </c>
      <c r="F6" s="1684" t="s">
        <v>663</v>
      </c>
    </row>
    <row r="7" spans="1:9" ht="12.75" customHeight="1">
      <c r="A7" s="228" t="str">
        <f>IF(B1=113,"(USD 488)","")</f>
        <v/>
      </c>
      <c r="B7" s="1685">
        <v>63</v>
      </c>
      <c r="C7" s="1686" t="s">
        <v>893</v>
      </c>
      <c r="D7" s="1686" t="s">
        <v>893</v>
      </c>
      <c r="E7" s="1686" t="s">
        <v>923</v>
      </c>
      <c r="F7" s="1686" t="s">
        <v>11</v>
      </c>
    </row>
    <row r="8" spans="1:9" ht="12.75" customHeight="1">
      <c r="A8" s="4132"/>
      <c r="B8" s="2707" t="s">
        <v>858</v>
      </c>
      <c r="C8" s="3907">
        <v>1</v>
      </c>
      <c r="D8" s="3907">
        <v>2</v>
      </c>
      <c r="E8" s="3907">
        <v>3</v>
      </c>
      <c r="F8" s="3907">
        <v>4</v>
      </c>
    </row>
    <row r="9" spans="1:9" ht="12.75" customHeight="1">
      <c r="A9" s="1704" t="s">
        <v>1043</v>
      </c>
      <c r="B9" s="1685">
        <v>1</v>
      </c>
      <c r="C9" s="1687"/>
      <c r="D9" s="1688">
        <f>C55</f>
        <v>0</v>
      </c>
      <c r="E9" s="1688">
        <f>D55</f>
        <v>0</v>
      </c>
      <c r="F9" s="1688">
        <f>E9</f>
        <v>0</v>
      </c>
    </row>
    <row r="10" spans="1:9" ht="12.75" customHeight="1">
      <c r="A10" s="2683"/>
      <c r="B10" s="4133"/>
      <c r="C10" s="4133"/>
      <c r="D10" s="4133"/>
      <c r="E10" s="4133"/>
      <c r="F10" s="2684"/>
    </row>
    <row r="11" spans="1:9" ht="12.75" customHeight="1">
      <c r="A11" s="4134" t="s">
        <v>4767</v>
      </c>
      <c r="B11" s="4135"/>
      <c r="C11" s="4135"/>
      <c r="D11" s="4135"/>
      <c r="E11" s="4135"/>
      <c r="F11" s="4136"/>
    </row>
    <row r="12" spans="1:9" ht="12.75" customHeight="1">
      <c r="A12" s="2312" t="s">
        <v>13</v>
      </c>
      <c r="B12" s="2706"/>
      <c r="C12" s="2706"/>
      <c r="D12" s="2706"/>
      <c r="E12" s="2706"/>
      <c r="F12" s="2313"/>
    </row>
    <row r="13" spans="1:9" ht="12.75" customHeight="1">
      <c r="A13" s="2312" t="s">
        <v>14</v>
      </c>
      <c r="B13" s="2706"/>
      <c r="C13" s="2706"/>
      <c r="D13" s="2706"/>
      <c r="E13" s="2706"/>
      <c r="F13" s="2313"/>
    </row>
    <row r="14" spans="1:9" ht="12.75" customHeight="1">
      <c r="A14" s="2686" t="str">
        <f>OpenData!N8</f>
        <v xml:space="preserve">    2018 $</v>
      </c>
      <c r="B14" s="2707">
        <v>5</v>
      </c>
      <c r="C14" s="2695"/>
      <c r="D14" s="2697"/>
      <c r="E14" s="2697"/>
      <c r="F14" s="2703"/>
    </row>
    <row r="15" spans="1:9" ht="12.75" customHeight="1">
      <c r="A15" s="2686" t="str">
        <f>OpenData!N9</f>
        <v xml:space="preserve">    2019 $</v>
      </c>
      <c r="B15" s="2708">
        <v>10</v>
      </c>
      <c r="C15" s="2696"/>
      <c r="D15" s="2695"/>
      <c r="E15" s="2697"/>
      <c r="F15" s="2703"/>
    </row>
    <row r="16" spans="1:9" ht="12.75" customHeight="1">
      <c r="A16" s="2686" t="str">
        <f>OpenData!N10</f>
        <v xml:space="preserve">    2020 $</v>
      </c>
      <c r="B16" s="2707">
        <v>15</v>
      </c>
      <c r="C16" s="2024"/>
      <c r="D16" s="2685">
        <f>'C04'!E18</f>
        <v>0</v>
      </c>
      <c r="E16" s="2698">
        <f>'F110'!K81</f>
        <v>0</v>
      </c>
      <c r="F16" s="2704">
        <f>E16</f>
        <v>0</v>
      </c>
    </row>
    <row r="17" spans="1:8" ht="12.75" customHeight="1">
      <c r="A17" s="2687" t="str">
        <f>OpenData!N11</f>
        <v xml:space="preserve">    2021 $</v>
      </c>
      <c r="B17" s="2708">
        <v>20</v>
      </c>
      <c r="C17" s="2697"/>
      <c r="D17" s="2697"/>
      <c r="E17" s="2685">
        <f>'C04'!L18</f>
        <v>0</v>
      </c>
      <c r="F17" s="2702"/>
    </row>
    <row r="18" spans="1:8" ht="12.75" customHeight="1">
      <c r="A18" s="2687" t="s">
        <v>763</v>
      </c>
      <c r="B18" s="2708">
        <v>25</v>
      </c>
      <c r="C18" s="2695"/>
      <c r="D18" s="2695"/>
      <c r="E18" s="2698">
        <f>0.667*F18</f>
        <v>0</v>
      </c>
      <c r="F18" s="2704">
        <f>'F110'!K85</f>
        <v>0</v>
      </c>
      <c r="H18" s="753"/>
    </row>
    <row r="19" spans="1:8" ht="12.75" customHeight="1">
      <c r="A19" s="2687" t="s">
        <v>332</v>
      </c>
      <c r="B19" s="2708">
        <v>30</v>
      </c>
      <c r="C19" s="2696"/>
      <c r="D19" s="2696"/>
      <c r="E19" s="2695"/>
      <c r="F19" s="2701">
        <f>E19</f>
        <v>0</v>
      </c>
    </row>
    <row r="20" spans="1:8" ht="12.75" customHeight="1">
      <c r="A20" s="2686" t="s">
        <v>22</v>
      </c>
      <c r="B20" s="2707">
        <v>35</v>
      </c>
      <c r="C20" s="2024"/>
      <c r="D20" s="2024"/>
      <c r="E20" s="2024"/>
      <c r="F20" s="2699"/>
    </row>
    <row r="21" spans="1:8" ht="12.75" customHeight="1">
      <c r="A21" s="2687" t="s">
        <v>18</v>
      </c>
      <c r="B21" s="2708">
        <v>40</v>
      </c>
      <c r="C21" s="2695"/>
      <c r="D21" s="2695"/>
      <c r="E21" s="2695"/>
      <c r="F21" s="2702">
        <f>E21</f>
        <v>0</v>
      </c>
    </row>
    <row r="22" spans="1:8" ht="12.75" customHeight="1">
      <c r="A22" s="2686" t="s">
        <v>22</v>
      </c>
      <c r="B22" s="2707">
        <v>45</v>
      </c>
      <c r="C22" s="2024"/>
      <c r="D22" s="2024"/>
      <c r="E22" s="2024"/>
      <c r="F22" s="2700"/>
    </row>
    <row r="23" spans="1:8" ht="12.75" customHeight="1">
      <c r="A23" s="2312" t="s">
        <v>21</v>
      </c>
      <c r="B23" s="2706"/>
      <c r="C23" s="2706"/>
      <c r="D23" s="2706"/>
      <c r="E23" s="2706"/>
      <c r="F23" s="2313"/>
    </row>
    <row r="24" spans="1:8" ht="12.75" customHeight="1">
      <c r="A24" s="2686" t="s">
        <v>242</v>
      </c>
      <c r="B24" s="2707">
        <v>55</v>
      </c>
      <c r="C24" s="2695"/>
      <c r="D24" s="2695"/>
      <c r="E24" s="2698">
        <f>IF(ISERROR('F194'!H80+'F194'!H23+'F194'!$P$80+'F194'!$P$23),0,('F194'!H80+'F194'!H23+'F194'!$P$80+'F194'!$P$23))</f>
        <v>0</v>
      </c>
      <c r="F24" s="2704">
        <f>E24</f>
        <v>0</v>
      </c>
    </row>
    <row r="25" spans="1:8" ht="12.75" customHeight="1">
      <c r="A25" s="2688" t="s">
        <v>22</v>
      </c>
      <c r="B25" s="2709">
        <v>60</v>
      </c>
      <c r="C25" s="2024"/>
      <c r="D25" s="2024"/>
      <c r="E25" s="2024"/>
      <c r="F25" s="2702">
        <f>F24*0.5</f>
        <v>0</v>
      </c>
    </row>
    <row r="26" spans="1:8" ht="12.75" customHeight="1">
      <c r="A26" s="2688" t="s">
        <v>23</v>
      </c>
      <c r="B26" s="2709">
        <v>65</v>
      </c>
      <c r="C26" s="2695"/>
      <c r="D26" s="2695"/>
      <c r="E26" s="2698">
        <f>IF(ISERROR('F194'!$L$80+'F194'!$L$23),0,('F194'!$L$80+'F194'!$L$23))</f>
        <v>0</v>
      </c>
      <c r="F26" s="2702">
        <f>E26</f>
        <v>0</v>
      </c>
    </row>
    <row r="27" spans="1:8" ht="12.75" customHeight="1">
      <c r="A27" s="2688" t="s">
        <v>24</v>
      </c>
      <c r="B27" s="2709">
        <v>66</v>
      </c>
      <c r="C27" s="2024"/>
      <c r="D27" s="2024"/>
      <c r="E27" s="2024"/>
      <c r="F27" s="2702">
        <f>F26*0.5</f>
        <v>0</v>
      </c>
    </row>
    <row r="28" spans="1:8" ht="12.75" customHeight="1">
      <c r="A28" s="2689" t="s">
        <v>1374</v>
      </c>
      <c r="B28" s="2710">
        <v>67</v>
      </c>
      <c r="C28" s="2717"/>
      <c r="D28" s="2717"/>
      <c r="E28" s="2698">
        <f>IF(ISERROR('F194'!R80+'F194'!R23),0,('F194'!R80+'F194'!R23))</f>
        <v>0</v>
      </c>
      <c r="F28" s="2702">
        <f>E28</f>
        <v>0</v>
      </c>
    </row>
    <row r="29" spans="1:8" ht="12.75" customHeight="1">
      <c r="A29" s="2689" t="s">
        <v>24</v>
      </c>
      <c r="B29" s="2710">
        <v>68</v>
      </c>
      <c r="C29" s="2024"/>
      <c r="D29" s="2024"/>
      <c r="E29" s="2024"/>
      <c r="F29" s="2702">
        <f>F28*0.5</f>
        <v>0</v>
      </c>
    </row>
    <row r="30" spans="1:8" ht="12.75" customHeight="1">
      <c r="A30" s="2688" t="s">
        <v>1387</v>
      </c>
      <c r="B30" s="2709">
        <v>70</v>
      </c>
      <c r="C30" s="2718"/>
      <c r="D30" s="2718"/>
      <c r="E30" s="2698">
        <f>IF(ISERROR('F194'!N80+'F194'!N23),0,('F194'!N80+'F194'!N23))</f>
        <v>0</v>
      </c>
      <c r="F30" s="2701">
        <f>E30</f>
        <v>0</v>
      </c>
    </row>
    <row r="31" spans="1:8" ht="12.75" customHeight="1">
      <c r="A31" s="2688" t="s">
        <v>22</v>
      </c>
      <c r="B31" s="2710">
        <v>72</v>
      </c>
      <c r="C31" s="2024"/>
      <c r="D31" s="2024"/>
      <c r="E31" s="2024"/>
      <c r="F31" s="2701">
        <f>F30*0.5</f>
        <v>0</v>
      </c>
    </row>
    <row r="32" spans="1:8" ht="12.75" customHeight="1">
      <c r="A32" s="2314" t="s">
        <v>25</v>
      </c>
      <c r="B32" s="2711"/>
      <c r="C32" s="2711"/>
      <c r="D32" s="2711"/>
      <c r="E32" s="2711"/>
      <c r="F32" s="2315"/>
    </row>
    <row r="33" spans="1:9" ht="12.75" customHeight="1">
      <c r="A33" s="2690" t="s">
        <v>1373</v>
      </c>
      <c r="B33" s="2712">
        <v>76</v>
      </c>
      <c r="C33" s="2719"/>
      <c r="D33" s="2719"/>
      <c r="E33" s="2698">
        <f>F242A!$I$21</f>
        <v>0</v>
      </c>
      <c r="F33" s="2704">
        <f>E33</f>
        <v>0</v>
      </c>
      <c r="H33" s="753"/>
      <c r="I33" s="753"/>
    </row>
    <row r="34" spans="1:9" ht="12.75" customHeight="1">
      <c r="A34" s="2688" t="s">
        <v>4910</v>
      </c>
      <c r="B34" s="2710">
        <v>77</v>
      </c>
      <c r="C34" s="2024"/>
      <c r="D34" s="2024"/>
      <c r="E34" s="2024"/>
      <c r="F34" s="2700"/>
      <c r="I34" s="753"/>
    </row>
    <row r="35" spans="1:9" ht="12.75" customHeight="1">
      <c r="A35" s="2689" t="s">
        <v>3087</v>
      </c>
      <c r="B35" s="2710">
        <v>78</v>
      </c>
      <c r="C35" s="2717"/>
      <c r="D35" s="2717"/>
      <c r="E35" s="2698">
        <f>F242A!$I$42</f>
        <v>0</v>
      </c>
      <c r="F35" s="2704">
        <f>E35</f>
        <v>0</v>
      </c>
      <c r="H35" s="753"/>
    </row>
    <row r="36" spans="1:9" ht="12.75" customHeight="1">
      <c r="A36" s="2691" t="s">
        <v>4910</v>
      </c>
      <c r="B36" s="2713">
        <v>79</v>
      </c>
      <c r="C36" s="2024"/>
      <c r="D36" s="2024"/>
      <c r="E36" s="2024"/>
      <c r="F36" s="2705"/>
      <c r="H36" s="753"/>
      <c r="I36" s="752"/>
    </row>
    <row r="37" spans="1:9" ht="12.75" customHeight="1">
      <c r="A37" s="2689" t="s">
        <v>3088</v>
      </c>
      <c r="B37" s="2710">
        <v>83</v>
      </c>
      <c r="C37" s="2717"/>
      <c r="D37" s="2717"/>
      <c r="E37" s="2698">
        <f>F242A!I63</f>
        <v>0</v>
      </c>
      <c r="F37" s="2704">
        <f>E37</f>
        <v>0</v>
      </c>
      <c r="H37" s="753"/>
      <c r="I37" s="752"/>
    </row>
    <row r="38" spans="1:9" ht="12.75" customHeight="1">
      <c r="A38" s="2691" t="s">
        <v>4910</v>
      </c>
      <c r="B38" s="2713">
        <v>84</v>
      </c>
      <c r="C38" s="2697"/>
      <c r="D38" s="2697"/>
      <c r="E38" s="2697"/>
      <c r="F38" s="2705"/>
      <c r="H38" s="753"/>
      <c r="I38" s="752"/>
    </row>
    <row r="39" spans="1:9" ht="12.75" customHeight="1">
      <c r="A39" s="2314" t="s">
        <v>1075</v>
      </c>
      <c r="B39" s="2711"/>
      <c r="C39" s="2711"/>
      <c r="D39" s="2711"/>
      <c r="E39" s="2711"/>
      <c r="F39" s="2315"/>
    </row>
    <row r="40" spans="1:9" ht="12.75" customHeight="1">
      <c r="A40" s="2690" t="s">
        <v>1077</v>
      </c>
      <c r="B40" s="2714">
        <v>80</v>
      </c>
      <c r="C40" s="2717"/>
      <c r="D40" s="2695"/>
      <c r="E40" s="2698">
        <f>F242A!$I$15+F242A!$I$36</f>
        <v>0</v>
      </c>
      <c r="F40" s="2704">
        <f>E40</f>
        <v>0</v>
      </c>
    </row>
    <row r="41" spans="1:9" ht="12.75" customHeight="1">
      <c r="A41" s="2690" t="s">
        <v>756</v>
      </c>
      <c r="B41" s="2714">
        <v>81</v>
      </c>
      <c r="C41" s="2697"/>
      <c r="D41" s="2697"/>
      <c r="E41" s="2697"/>
      <c r="F41" s="2699"/>
    </row>
    <row r="42" spans="1:9" ht="12.75" customHeight="1">
      <c r="A42" s="2692" t="s">
        <v>42</v>
      </c>
      <c r="B42" s="2715">
        <v>82</v>
      </c>
      <c r="C42" s="2697">
        <f>SUM(C9:C41)</f>
        <v>0</v>
      </c>
      <c r="D42" s="2697">
        <f>SUM(D9:D41)</f>
        <v>0</v>
      </c>
      <c r="E42" s="2697">
        <f>SUM(E9:E41)</f>
        <v>0</v>
      </c>
      <c r="F42" s="2703">
        <f>SUM(F9:F41)</f>
        <v>0</v>
      </c>
    </row>
    <row r="43" spans="1:9" ht="12.75" customHeight="1">
      <c r="A43" s="2316"/>
      <c r="B43" s="4137"/>
      <c r="C43" s="4137"/>
      <c r="D43" s="4137"/>
      <c r="E43" s="4137"/>
      <c r="F43" s="2317"/>
    </row>
    <row r="44" spans="1:9" ht="12.75" customHeight="1">
      <c r="A44" s="4138" t="s">
        <v>60</v>
      </c>
      <c r="B44" s="4139"/>
      <c r="C44" s="4139"/>
      <c r="D44" s="4139"/>
      <c r="E44" s="4139"/>
      <c r="F44" s="4140"/>
    </row>
    <row r="45" spans="1:9" ht="12.75" customHeight="1">
      <c r="A45" s="2314" t="s">
        <v>764</v>
      </c>
      <c r="B45" s="2711"/>
      <c r="C45" s="2711"/>
      <c r="D45" s="2315"/>
      <c r="E45" s="2315"/>
      <c r="F45" s="2315"/>
    </row>
    <row r="46" spans="1:9" ht="12.75" customHeight="1">
      <c r="A46" s="2690" t="s">
        <v>30</v>
      </c>
      <c r="B46" s="2716">
        <v>85</v>
      </c>
      <c r="C46" s="2695"/>
      <c r="D46" s="2699"/>
      <c r="E46" s="2699"/>
      <c r="F46" s="2703"/>
    </row>
    <row r="47" spans="1:9" ht="12.75" customHeight="1">
      <c r="A47" s="1706" t="s">
        <v>1394</v>
      </c>
      <c r="B47" s="2694">
        <v>90</v>
      </c>
      <c r="C47" s="2696"/>
      <c r="D47" s="2700"/>
      <c r="E47" s="2700"/>
      <c r="F47" s="2703"/>
    </row>
    <row r="48" spans="1:9" ht="12.75" customHeight="1">
      <c r="A48" s="1705" t="s">
        <v>31</v>
      </c>
      <c r="B48" s="2693">
        <v>95</v>
      </c>
      <c r="C48" s="2696"/>
      <c r="D48" s="2700"/>
      <c r="E48" s="1690"/>
      <c r="F48" s="1688"/>
    </row>
    <row r="49" spans="1:9" ht="12.75" customHeight="1">
      <c r="A49" s="1707" t="s">
        <v>666</v>
      </c>
      <c r="B49" s="2693">
        <v>100</v>
      </c>
      <c r="C49" s="2685">
        <f>SUM(C44:C48)</f>
        <v>0</v>
      </c>
      <c r="D49" s="2701">
        <f>SUM(D44:D48)</f>
        <v>0</v>
      </c>
      <c r="E49" s="1689">
        <f>SUM(E44:E48)</f>
        <v>0</v>
      </c>
      <c r="F49" s="1691">
        <f>E49</f>
        <v>0</v>
      </c>
    </row>
    <row r="50" spans="1:9" ht="12.75" customHeight="1">
      <c r="A50" s="1705" t="s">
        <v>1396</v>
      </c>
      <c r="B50" s="2709">
        <v>105</v>
      </c>
      <c r="C50" s="3910"/>
      <c r="D50" s="3910"/>
      <c r="E50" s="3911"/>
      <c r="F50" s="1690"/>
    </row>
    <row r="51" spans="1:9" ht="12.75" customHeight="1">
      <c r="A51" s="1705" t="s">
        <v>1395</v>
      </c>
      <c r="B51" s="2709">
        <v>110</v>
      </c>
      <c r="C51" s="3910"/>
      <c r="D51" s="3910"/>
      <c r="E51" s="3911"/>
      <c r="F51" s="1690"/>
    </row>
    <row r="52" spans="1:9" ht="12.75" customHeight="1">
      <c r="A52" s="1705" t="s">
        <v>1397</v>
      </c>
      <c r="B52" s="2709">
        <v>115</v>
      </c>
      <c r="C52" s="3910"/>
      <c r="D52" s="3910"/>
      <c r="E52" s="3911"/>
      <c r="F52" s="1690"/>
    </row>
    <row r="53" spans="1:9" ht="12.75" customHeight="1">
      <c r="A53" s="1705" t="s">
        <v>765</v>
      </c>
      <c r="B53" s="2709">
        <v>120</v>
      </c>
      <c r="C53" s="3910"/>
      <c r="D53" s="3910"/>
      <c r="E53" s="3911"/>
      <c r="F53" s="1690"/>
    </row>
    <row r="54" spans="1:9" ht="12.75" customHeight="1">
      <c r="A54" s="1705" t="s">
        <v>667</v>
      </c>
      <c r="B54" s="2709">
        <v>185</v>
      </c>
      <c r="C54" s="4618"/>
      <c r="D54" s="3910"/>
      <c r="E54" s="3911"/>
      <c r="F54" s="1689">
        <f>SUM(F49:F53)</f>
        <v>0</v>
      </c>
    </row>
    <row r="55" spans="1:9" ht="12.75" customHeight="1">
      <c r="A55" s="1705" t="s">
        <v>247</v>
      </c>
      <c r="B55" s="1692">
        <v>190</v>
      </c>
      <c r="C55" s="1693">
        <f>SUM(C42-C49)</f>
        <v>0</v>
      </c>
      <c r="D55" s="1693">
        <f>SUM(D42-D49)</f>
        <v>0</v>
      </c>
      <c r="E55" s="1694">
        <f>SUM(E42-E49)</f>
        <v>0</v>
      </c>
      <c r="F55" s="3810" t="s">
        <v>4905</v>
      </c>
    </row>
    <row r="56" spans="1:9" ht="12.75" customHeight="1">
      <c r="A56" s="3790"/>
      <c r="B56" s="1692">
        <v>195</v>
      </c>
      <c r="C56" s="1695" t="s">
        <v>1080</v>
      </c>
      <c r="D56" s="1696"/>
      <c r="E56" s="1697"/>
      <c r="F56" s="2698">
        <f>SUM(F54-F42)</f>
        <v>0</v>
      </c>
    </row>
    <row r="57" spans="1:9" ht="12.75" customHeight="1">
      <c r="A57" s="3791"/>
      <c r="B57" s="1692">
        <v>200</v>
      </c>
      <c r="C57" s="1695" t="s">
        <v>668</v>
      </c>
      <c r="D57" s="1696"/>
      <c r="E57" s="1697"/>
      <c r="F57" s="1689">
        <f>F56*'C01'!$E$97/100</f>
        <v>0</v>
      </c>
      <c r="G57" s="1974" t="s">
        <v>4796</v>
      </c>
      <c r="H57" s="6168" t="str">
        <f>IF(OPEN!A125="","Enter Delinquent Tax Rate in cell A125 on Open tab","")</f>
        <v/>
      </c>
      <c r="I57" s="6168"/>
    </row>
    <row r="58" spans="1:9" ht="12.75" customHeight="1">
      <c r="A58" s="3791"/>
      <c r="B58" s="1692">
        <v>205</v>
      </c>
      <c r="C58" s="1695" t="str">
        <f>OpenData!N6</f>
        <v>Amount of 2021 Tax to be Levied</v>
      </c>
      <c r="D58" s="1696"/>
      <c r="E58" s="1698"/>
      <c r="F58" s="1689">
        <f>SUM(F56:F57)</f>
        <v>0</v>
      </c>
      <c r="G58" s="1975" t="s">
        <v>4796</v>
      </c>
      <c r="H58" s="1976" t="s">
        <v>4802</v>
      </c>
      <c r="I58" s="1980" t="str">
        <f>IF(ISERROR(F58/OpenData!N46*1000),"Check the following:",F58/OpenData!N46*1000)</f>
        <v>Check the following:</v>
      </c>
    </row>
    <row r="59" spans="1:9" ht="12.75" customHeight="1">
      <c r="A59" s="6166" t="s">
        <v>5129</v>
      </c>
      <c r="B59" s="6166"/>
      <c r="C59" s="6166"/>
      <c r="D59" s="6166"/>
      <c r="E59" s="6166"/>
      <c r="F59" s="6166"/>
      <c r="H59" s="351"/>
      <c r="I59" s="1981" t="str">
        <f>IF(B1=113,OpenData!R41,OpenData!R40)</f>
        <v>- Fill in Assessed Valuation for Bond &amp; Interest #2 on the Open tab (cell A18)</v>
      </c>
    </row>
    <row r="60" spans="1:9" ht="12.75" customHeight="1">
      <c r="A60" s="6166" t="s">
        <v>4909</v>
      </c>
      <c r="B60" s="6166"/>
      <c r="C60" s="6166"/>
      <c r="D60" s="6166"/>
      <c r="E60" s="6166"/>
      <c r="F60" s="6166"/>
      <c r="I60" s="1982" t="str">
        <f>IF(OPEN!A15="","- Fill in "&amp;OPEN!B15&amp;"- cell A15 on Open tab.","")</f>
        <v/>
      </c>
    </row>
    <row r="61" spans="1:9" ht="12.75" customHeight="1">
      <c r="A61" s="226"/>
      <c r="B61" s="1701" t="s">
        <v>1013</v>
      </c>
      <c r="C61" s="1679"/>
      <c r="D61" s="1679"/>
      <c r="E61" s="1679"/>
      <c r="F61" s="1679"/>
    </row>
    <row r="62" spans="1:9" ht="12.75" customHeight="1">
      <c r="A62" s="226"/>
      <c r="B62" s="1682"/>
      <c r="C62" s="1679"/>
      <c r="D62" s="1679"/>
      <c r="E62" s="1679"/>
      <c r="F62" s="1679"/>
    </row>
    <row r="63" spans="1:9" ht="12.75" customHeight="1">
      <c r="A63" s="226"/>
      <c r="B63" s="1682"/>
      <c r="C63" s="1679"/>
      <c r="D63" s="1679"/>
      <c r="E63" s="1679"/>
      <c r="F63" s="1679"/>
    </row>
    <row r="64" spans="1:9" ht="12.75" customHeight="1">
      <c r="A64" s="229"/>
      <c r="B64" s="1702"/>
      <c r="C64" s="1702"/>
      <c r="D64" s="1702"/>
      <c r="E64" s="1702"/>
      <c r="F64" s="1702"/>
    </row>
    <row r="65" spans="1:6" ht="12.75" customHeight="1">
      <c r="A65" s="226"/>
      <c r="B65" s="1682"/>
      <c r="C65" s="1679"/>
      <c r="D65" s="1679"/>
      <c r="E65" s="1679"/>
      <c r="F65" s="1679"/>
    </row>
    <row r="66" spans="1:6" ht="12.75" customHeight="1">
      <c r="A66" s="226"/>
      <c r="B66" s="1682"/>
      <c r="C66" s="1679"/>
      <c r="D66" s="1679"/>
      <c r="E66" s="1679"/>
      <c r="F66" s="1679"/>
    </row>
    <row r="67" spans="1:6" ht="12.75" customHeight="1">
      <c r="A67" s="226"/>
      <c r="B67" s="1682"/>
      <c r="C67" s="1679"/>
      <c r="D67" s="1679"/>
      <c r="E67" s="1679"/>
      <c r="F67" s="1679"/>
    </row>
    <row r="68" spans="1:6" ht="12.75" customHeight="1">
      <c r="A68" s="226"/>
      <c r="B68" s="1682"/>
      <c r="C68" s="1679"/>
      <c r="D68" s="1679"/>
      <c r="E68" s="1679"/>
      <c r="F68" s="1679"/>
    </row>
    <row r="69" spans="1:6" ht="12.75" customHeight="1">
      <c r="A69" s="226"/>
      <c r="B69" s="1682"/>
      <c r="C69" s="1679"/>
      <c r="D69" s="1679"/>
      <c r="E69" s="1679"/>
      <c r="F69" s="1679"/>
    </row>
    <row r="70" spans="1:6" ht="12.75" customHeight="1">
      <c r="A70" s="226"/>
      <c r="B70" s="1682"/>
      <c r="C70" s="1679"/>
      <c r="D70" s="1679"/>
      <c r="E70" s="1679"/>
      <c r="F70" s="1679"/>
    </row>
  </sheetData>
  <sheetProtection algorithmName="SHA-512" hashValue="J/kY21W4PRbrCHIMHXY/i6+CaaEMDgEliKUF2mPGFUS6Vw3cbnZNwSAHo4iUuv1+1EF4wuUyn29flg5pZ6Ee5w==" saltValue="WlvhMoPrOid0S6wfkKGMQA==" spinCount="100000" sheet="1" objects="1" scenarios="1"/>
  <mergeCells count="7">
    <mergeCell ref="A59:F59"/>
    <mergeCell ref="A60:F60"/>
    <mergeCell ref="H57:I57"/>
    <mergeCell ref="H1:I1"/>
    <mergeCell ref="E1:F1"/>
    <mergeCell ref="E2:F2"/>
    <mergeCell ref="A4:F4"/>
  </mergeCells>
  <phoneticPr fontId="13" type="noConversion"/>
  <conditionalFormatting sqref="H57">
    <cfRule type="expression" dxfId="12" priority="4">
      <formula>$H$57&lt;&gt;""</formula>
    </cfRule>
  </conditionalFormatting>
  <conditionalFormatting sqref="G57">
    <cfRule type="expression" dxfId="11" priority="3">
      <formula>$H$57&lt;&gt;""</formula>
    </cfRule>
  </conditionalFormatting>
  <dataValidations count="4">
    <dataValidation type="whole" operator="greaterThanOrEqual" allowBlank="1"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C14 C15:D15 C18:D18 C19:E19 F20 F22 C21:E21 C24:D26 C30:D30 F50:F53 C33:D33 C46:E48 F34 F40:F41">
      <formula1>0</formula1>
    </dataValidation>
    <dataValidation type="whole" operator="greaterThanOrEqual" showInputMessage="1" showErrorMessage="1" errorTitle="Invalid Data Entry" error="Please enter a positive whole number or press the delete key or enter zero." sqref="D40">
      <formula1>0</formula1>
    </dataValidation>
    <dataValidation type="whole" operator="greaterThanOrEqual" allowBlank="1" showInputMessage="1" showErrorMessage="1" errorTitle="Invalid Data Entry" error="Please enter a positive number or press the delete key or enter zero." sqref="C28 C35:D35 C37:D37">
      <formula1>0</formula1>
    </dataValidation>
  </dataValidations>
  <hyperlinks>
    <hyperlink ref="H1" location="Contents!F1" display="Return to Contents page"/>
  </hyperlinks>
  <printOptions horizontalCentered="1"/>
  <pageMargins left="0.75" right="0.75" top="0.5" bottom="0.5" header="0.3" footer="0.3"/>
  <pageSetup scale="81" fitToHeight="0" orientation="portrait" blackAndWhite="1" r:id="rId1"/>
  <headerFooter scaleWithDoc="0">
    <oddFooter>&amp;L&amp;"Open Sans Light,Regular"&amp;8&amp;D    &amp;T&amp;C&amp;"Open Sans Light,Regular"&amp;8Page &amp;P&amp;R&amp;"Open Sans Light,Regular"&amp;8&amp;A</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844EF1E8-0F5C-4309-8862-4E758594BFC5}">
            <xm:f>OR(ISERROR(F58/OpenData!N46*1000),$I$60&lt;&gt;"")</xm:f>
            <x14:dxf>
              <font>
                <color rgb="FFB7312C"/>
              </font>
              <fill>
                <patternFill>
                  <bgColor rgb="FFF7DEDD"/>
                </patternFill>
              </fill>
            </x14:dxf>
          </x14:cfRule>
          <xm:sqref>I58</xm:sqref>
        </x14:conditionalFormatting>
        <x14:conditionalFormatting xmlns:xm="http://schemas.microsoft.com/office/excel/2006/main">
          <x14:cfRule type="expression" priority="1" id="{CB24A69E-78E1-489F-B52A-B8BFEC98E84F}">
            <xm:f>ISERROR(F58/OpenData!N48*1000)</xm:f>
            <x14:dxf>
              <font>
                <color rgb="FFB7312C"/>
              </font>
            </x14:dxf>
          </x14:cfRule>
          <xm:sqref>I59</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4" tint="0.39997558519241921"/>
  </sheetPr>
  <dimension ref="A1:Z49"/>
  <sheetViews>
    <sheetView showGridLines="0" zoomScaleNormal="100" zoomScaleSheetLayoutView="100" workbookViewId="0">
      <pane ySplit="8" topLeftCell="A9" activePane="bottomLeft" state="frozen"/>
      <selection activeCell="B22" sqref="B22"/>
      <selection pane="bottomLeft" activeCell="B22" sqref="B22"/>
    </sheetView>
  </sheetViews>
  <sheetFormatPr defaultColWidth="10.6640625" defaultRowHeight="12.75" customHeight="1"/>
  <cols>
    <col min="1" max="1" width="40.6640625" style="232" customWidth="1"/>
    <col min="2" max="2" width="5.6640625" style="1734" customWidth="1"/>
    <col min="3" max="6" width="14.33203125" style="1735" customWidth="1"/>
    <col min="7" max="7" width="2.44140625" style="232" customWidth="1"/>
    <col min="8" max="8" width="21" style="232" customWidth="1"/>
    <col min="9" max="26" width="10.6640625" style="232"/>
    <col min="27" max="16384" width="10.6640625" style="231"/>
  </cols>
  <sheetData>
    <row r="1" spans="1:10" ht="12.75" customHeight="1">
      <c r="A1" s="1736" t="s">
        <v>809</v>
      </c>
      <c r="B1" s="4095">
        <f>OPEN!$B$4</f>
        <v>237</v>
      </c>
      <c r="C1" s="1708"/>
      <c r="D1" s="1708"/>
      <c r="E1" s="6174" t="s">
        <v>836</v>
      </c>
      <c r="F1" s="6174"/>
      <c r="H1" s="304" t="s">
        <v>754</v>
      </c>
    </row>
    <row r="2" spans="1:10" ht="12.75" customHeight="1">
      <c r="A2" s="1708"/>
      <c r="B2" s="1709"/>
      <c r="C2" s="1708"/>
      <c r="D2" s="1708"/>
      <c r="E2" s="6174" t="s">
        <v>921</v>
      </c>
      <c r="F2" s="6174"/>
    </row>
    <row r="3" spans="1:10" ht="12.75" customHeight="1">
      <c r="A3" s="1708"/>
      <c r="B3" s="1709"/>
      <c r="C3" s="1708"/>
      <c r="D3" s="1708"/>
      <c r="E3" s="1708"/>
      <c r="F3" s="1710" t="str">
        <f>OpenData!N2</f>
        <v>2021-2022</v>
      </c>
    </row>
    <row r="4" spans="1:10" ht="12.75" customHeight="1">
      <c r="A4" s="1708"/>
      <c r="B4" s="1709"/>
      <c r="C4" s="1708"/>
      <c r="D4" s="1708"/>
      <c r="E4" s="1708"/>
      <c r="F4" s="1708"/>
    </row>
    <row r="5" spans="1:10" ht="12.75" customHeight="1">
      <c r="A5" s="1708"/>
      <c r="B5" s="1709"/>
      <c r="C5" s="1711" t="s">
        <v>922</v>
      </c>
      <c r="D5" s="1711" t="s">
        <v>922</v>
      </c>
      <c r="E5" s="1711" t="s">
        <v>922</v>
      </c>
      <c r="F5" s="1711" t="s">
        <v>5</v>
      </c>
    </row>
    <row r="6" spans="1:10" ht="12.75" customHeight="1">
      <c r="A6" s="1737"/>
      <c r="B6" s="1712" t="s">
        <v>854</v>
      </c>
      <c r="C6" s="1713" t="str">
        <f>OpenData!N4</f>
        <v>2019-2020</v>
      </c>
      <c r="D6" s="1713" t="str">
        <f>OpenData!O4</f>
        <v>2020-2021</v>
      </c>
      <c r="E6" s="1713" t="str">
        <f>OpenData!P4</f>
        <v>2021-2022</v>
      </c>
      <c r="F6" s="1713" t="s">
        <v>663</v>
      </c>
    </row>
    <row r="7" spans="1:10" ht="12.75" customHeight="1">
      <c r="A7" s="1737" t="s">
        <v>766</v>
      </c>
      <c r="B7" s="1714">
        <v>66</v>
      </c>
      <c r="C7" s="1715" t="s">
        <v>893</v>
      </c>
      <c r="D7" s="1715" t="s">
        <v>893</v>
      </c>
      <c r="E7" s="1715" t="s">
        <v>923</v>
      </c>
      <c r="F7" s="1715" t="s">
        <v>11</v>
      </c>
    </row>
    <row r="8" spans="1:10" ht="12.75" customHeight="1">
      <c r="A8" s="1738"/>
      <c r="B8" s="1716" t="s">
        <v>858</v>
      </c>
      <c r="C8" s="1717">
        <v>1</v>
      </c>
      <c r="D8" s="1717">
        <v>2</v>
      </c>
      <c r="E8" s="1717">
        <v>3</v>
      </c>
      <c r="F8" s="1717">
        <v>4</v>
      </c>
    </row>
    <row r="9" spans="1:10" ht="12.75" customHeight="1">
      <c r="A9" s="1739" t="s">
        <v>1043</v>
      </c>
      <c r="B9" s="1714">
        <v>1</v>
      </c>
      <c r="C9" s="1718"/>
      <c r="D9" s="1719">
        <f>C40</f>
        <v>0</v>
      </c>
      <c r="E9" s="1719">
        <f>D40</f>
        <v>0</v>
      </c>
      <c r="F9" s="1720">
        <f>E9</f>
        <v>0</v>
      </c>
    </row>
    <row r="10" spans="1:10" ht="12.75" customHeight="1">
      <c r="A10" s="2318"/>
      <c r="B10" s="4124"/>
      <c r="C10" s="4124"/>
      <c r="D10" s="4124"/>
      <c r="E10" s="4124"/>
      <c r="F10" s="2319"/>
    </row>
    <row r="11" spans="1:10" ht="12.75" customHeight="1">
      <c r="A11" s="4125" t="s">
        <v>4767</v>
      </c>
      <c r="B11" s="4126"/>
      <c r="C11" s="4126"/>
      <c r="D11" s="4126"/>
      <c r="E11" s="4126"/>
      <c r="F11" s="4127"/>
    </row>
    <row r="12" spans="1:10" ht="12.75" customHeight="1">
      <c r="A12" s="2321" t="s">
        <v>13</v>
      </c>
      <c r="B12" s="2673"/>
      <c r="C12" s="2673"/>
      <c r="D12" s="2673"/>
      <c r="E12" s="2673"/>
      <c r="F12" s="2655"/>
    </row>
    <row r="13" spans="1:10" ht="12.75" customHeight="1">
      <c r="A13" s="2321" t="s">
        <v>14</v>
      </c>
      <c r="B13" s="2673"/>
      <c r="C13" s="2673"/>
      <c r="D13" s="2673"/>
      <c r="E13" s="2673"/>
      <c r="F13" s="2655"/>
    </row>
    <row r="14" spans="1:10" ht="12.75" customHeight="1">
      <c r="A14" s="2657" t="str">
        <f>OpenData!N8</f>
        <v xml:space="preserve">    2018 $</v>
      </c>
      <c r="B14" s="2674">
        <v>5</v>
      </c>
      <c r="C14" s="2667"/>
      <c r="D14" s="2665"/>
      <c r="E14" s="2665"/>
      <c r="F14" s="1725"/>
    </row>
    <row r="15" spans="1:10" ht="12.75" customHeight="1">
      <c r="A15" s="2657" t="str">
        <f>OpenData!N9</f>
        <v xml:space="preserve">    2019 $</v>
      </c>
      <c r="B15" s="2675">
        <v>10</v>
      </c>
      <c r="C15" s="2681"/>
      <c r="D15" s="2667"/>
      <c r="E15" s="2665"/>
      <c r="F15" s="1725"/>
    </row>
    <row r="16" spans="1:10" ht="12.75" customHeight="1">
      <c r="A16" s="2657" t="str">
        <f>OpenData!N10</f>
        <v xml:space="preserve">    2020 $</v>
      </c>
      <c r="B16" s="2674">
        <v>15</v>
      </c>
      <c r="C16" s="1720"/>
      <c r="D16" s="2666">
        <f>'C04'!E20</f>
        <v>0</v>
      </c>
      <c r="E16" s="2666">
        <f>'F110'!E130</f>
        <v>0</v>
      </c>
      <c r="F16" s="2670">
        <f>E16</f>
        <v>0</v>
      </c>
      <c r="J16" s="2652"/>
    </row>
    <row r="17" spans="1:6" ht="12.75" customHeight="1">
      <c r="A17" s="2658" t="str">
        <f>OpenData!N11</f>
        <v xml:space="preserve">    2021 $</v>
      </c>
      <c r="B17" s="2675">
        <v>20</v>
      </c>
      <c r="C17" s="2665"/>
      <c r="D17" s="1720"/>
      <c r="E17" s="2656">
        <f>'C04'!L20</f>
        <v>0</v>
      </c>
      <c r="F17" s="2672"/>
    </row>
    <row r="18" spans="1:6" ht="12.75" customHeight="1">
      <c r="A18" s="2658" t="s">
        <v>763</v>
      </c>
      <c r="B18" s="2675">
        <v>25</v>
      </c>
      <c r="C18" s="2667"/>
      <c r="D18" s="2667"/>
      <c r="E18" s="2666">
        <f>0.667*F18</f>
        <v>0</v>
      </c>
      <c r="F18" s="2670">
        <f>'F110'!E134</f>
        <v>0</v>
      </c>
    </row>
    <row r="19" spans="1:6" ht="12.75" customHeight="1">
      <c r="A19" s="2658" t="s">
        <v>18</v>
      </c>
      <c r="B19" s="2675">
        <v>30</v>
      </c>
      <c r="C19" s="2681"/>
      <c r="D19" s="2681"/>
      <c r="E19" s="2667"/>
      <c r="F19" s="2671">
        <f>E19</f>
        <v>0</v>
      </c>
    </row>
    <row r="20" spans="1:6" ht="12.75" customHeight="1">
      <c r="A20" s="2657" t="s">
        <v>22</v>
      </c>
      <c r="B20" s="2674">
        <v>35</v>
      </c>
      <c r="C20" s="1720"/>
      <c r="D20" s="1720"/>
      <c r="E20" s="1720"/>
      <c r="F20" s="2669"/>
    </row>
    <row r="21" spans="1:6" ht="12.75" customHeight="1">
      <c r="A21" s="2320" t="s">
        <v>21</v>
      </c>
      <c r="B21" s="2676"/>
      <c r="C21" s="1720"/>
      <c r="D21" s="1720"/>
      <c r="E21" s="1720"/>
      <c r="F21" s="2671"/>
    </row>
    <row r="22" spans="1:6" ht="12.75" customHeight="1">
      <c r="A22" s="2657" t="s">
        <v>242</v>
      </c>
      <c r="B22" s="2674">
        <v>45</v>
      </c>
      <c r="C22" s="2667"/>
      <c r="D22" s="2667"/>
      <c r="E22" s="2666">
        <f>IF(ISERROR('F194'!H84+'F194'!H27+'F194'!$P$84+'F194'!$P$27),0,('F194'!H84+'F194'!H27+'F194'!$P$84+'F194'!$P$27))</f>
        <v>0</v>
      </c>
      <c r="F22" s="2670">
        <f>E22</f>
        <v>0</v>
      </c>
    </row>
    <row r="23" spans="1:6" ht="12.75" customHeight="1">
      <c r="A23" s="2658" t="s">
        <v>22</v>
      </c>
      <c r="B23" s="2675">
        <v>50</v>
      </c>
      <c r="C23" s="1720"/>
      <c r="D23" s="1720"/>
      <c r="E23" s="1720"/>
      <c r="F23" s="2671">
        <f>F22*0.5</f>
        <v>0</v>
      </c>
    </row>
    <row r="24" spans="1:6" ht="12.75" customHeight="1">
      <c r="A24" s="2657" t="s">
        <v>23</v>
      </c>
      <c r="B24" s="2674">
        <v>55</v>
      </c>
      <c r="C24" s="2667"/>
      <c r="D24" s="2667"/>
      <c r="E24" s="2666">
        <f>IF(ISERROR('F194'!$L$84+'F194'!$L$27),0,('F194'!$L$84+'F194'!$L$27))</f>
        <v>0</v>
      </c>
      <c r="F24" s="2671">
        <f>E24</f>
        <v>0</v>
      </c>
    </row>
    <row r="25" spans="1:6" ht="12.75" customHeight="1">
      <c r="A25" s="2657" t="s">
        <v>24</v>
      </c>
      <c r="B25" s="2674">
        <v>56</v>
      </c>
      <c r="C25" s="1720"/>
      <c r="D25" s="1720"/>
      <c r="E25" s="1720"/>
      <c r="F25" s="2671">
        <f>F24*0.5</f>
        <v>0</v>
      </c>
    </row>
    <row r="26" spans="1:6" ht="12.75" customHeight="1">
      <c r="A26" s="2659" t="s">
        <v>1374</v>
      </c>
      <c r="B26" s="2677">
        <v>57</v>
      </c>
      <c r="C26" s="2682"/>
      <c r="D26" s="2682"/>
      <c r="E26" s="2666">
        <f>IF(ISERROR('F194'!R84+'F194'!R27),0,('F194'!R84+'F194'!R27))</f>
        <v>0</v>
      </c>
      <c r="F26" s="2671">
        <f>E26</f>
        <v>0</v>
      </c>
    </row>
    <row r="27" spans="1:6" ht="12.75" customHeight="1">
      <c r="A27" s="2659" t="s">
        <v>24</v>
      </c>
      <c r="B27" s="2677">
        <v>58</v>
      </c>
      <c r="C27" s="1720"/>
      <c r="D27" s="1720"/>
      <c r="E27" s="1720"/>
      <c r="F27" s="2671">
        <f>F26*0.5</f>
        <v>0</v>
      </c>
    </row>
    <row r="28" spans="1:6" ht="12.75" customHeight="1">
      <c r="A28" s="2657" t="s">
        <v>1387</v>
      </c>
      <c r="B28" s="2674">
        <v>60</v>
      </c>
      <c r="C28" s="2664"/>
      <c r="D28" s="2664"/>
      <c r="E28" s="2666">
        <f>IF(ISERROR('F194'!N84+'F194'!N27),0,('F194'!N84+'F194'!N27))</f>
        <v>0</v>
      </c>
      <c r="F28" s="2671">
        <f>E28</f>
        <v>0</v>
      </c>
    </row>
    <row r="29" spans="1:6" ht="12.75" customHeight="1">
      <c r="A29" s="2660" t="s">
        <v>22</v>
      </c>
      <c r="B29" s="2678">
        <v>65</v>
      </c>
      <c r="C29" s="2668"/>
      <c r="D29" s="2668"/>
      <c r="E29" s="2668"/>
      <c r="F29" s="2671">
        <f>F28*0.5</f>
        <v>0</v>
      </c>
    </row>
    <row r="30" spans="1:6" ht="12.75" customHeight="1">
      <c r="A30" s="2661" t="s">
        <v>42</v>
      </c>
      <c r="B30" s="2679">
        <v>70</v>
      </c>
      <c r="C30" s="2665">
        <f>SUM(C9:C29)</f>
        <v>0</v>
      </c>
      <c r="D30" s="2665">
        <f>SUM(D9:D29)</f>
        <v>0</v>
      </c>
      <c r="E30" s="2665">
        <f>SUM(E9:E29)</f>
        <v>0</v>
      </c>
      <c r="F30" s="1725">
        <f>SUM(F9:F29)</f>
        <v>0</v>
      </c>
    </row>
    <row r="31" spans="1:6" ht="12.75" customHeight="1">
      <c r="A31" s="2653"/>
      <c r="B31" s="4128"/>
      <c r="C31" s="4128"/>
      <c r="D31" s="4128"/>
      <c r="E31" s="4128"/>
      <c r="F31" s="2654"/>
    </row>
    <row r="32" spans="1:6" ht="12.75" customHeight="1">
      <c r="A32" s="4129" t="s">
        <v>60</v>
      </c>
      <c r="B32" s="4130"/>
      <c r="C32" s="4130"/>
      <c r="D32" s="4130"/>
      <c r="E32" s="4130"/>
      <c r="F32" s="4131"/>
    </row>
    <row r="33" spans="1:9" ht="12.75" customHeight="1">
      <c r="A33" s="2662" t="s">
        <v>764</v>
      </c>
      <c r="B33" s="2680"/>
      <c r="C33" s="2665"/>
      <c r="D33" s="2665"/>
      <c r="E33" s="2665"/>
      <c r="F33" s="1725"/>
    </row>
    <row r="34" spans="1:9" ht="12.75" customHeight="1">
      <c r="A34" s="1741" t="s">
        <v>30</v>
      </c>
      <c r="B34" s="2663">
        <v>75</v>
      </c>
      <c r="C34" s="2664"/>
      <c r="D34" s="2664"/>
      <c r="E34" s="2669"/>
      <c r="F34" s="1719"/>
    </row>
    <row r="35" spans="1:9" ht="12.75" customHeight="1">
      <c r="A35" s="1741" t="s">
        <v>31</v>
      </c>
      <c r="B35" s="1726">
        <v>80</v>
      </c>
      <c r="C35" s="1721"/>
      <c r="D35" s="1721"/>
      <c r="E35" s="1721"/>
      <c r="F35" s="1719"/>
    </row>
    <row r="36" spans="1:9" ht="12.75" customHeight="1">
      <c r="A36" s="1742" t="s">
        <v>666</v>
      </c>
      <c r="B36" s="1727">
        <v>85</v>
      </c>
      <c r="C36" s="1723">
        <f>SUM(C32:C35)</f>
        <v>0</v>
      </c>
      <c r="D36" s="1723">
        <f>SUM(D32:D35)</f>
        <v>0</v>
      </c>
      <c r="E36" s="1723">
        <f>SUM(E32:E35)</f>
        <v>0</v>
      </c>
      <c r="F36" s="1722">
        <f>E36</f>
        <v>0</v>
      </c>
    </row>
    <row r="37" spans="1:9" ht="12.75" customHeight="1">
      <c r="A37" s="1741" t="s">
        <v>32</v>
      </c>
      <c r="B37" s="1726">
        <v>90</v>
      </c>
      <c r="C37" s="3910"/>
      <c r="D37" s="3910"/>
      <c r="E37" s="3911"/>
      <c r="F37" s="1721"/>
    </row>
    <row r="38" spans="1:9" ht="12.75" customHeight="1">
      <c r="A38" s="1740" t="s">
        <v>33</v>
      </c>
      <c r="B38" s="1724">
        <v>95</v>
      </c>
      <c r="C38" s="3910"/>
      <c r="D38" s="3910"/>
      <c r="E38" s="3911"/>
      <c r="F38" s="1721"/>
    </row>
    <row r="39" spans="1:9" ht="12.75" customHeight="1">
      <c r="A39" s="1741" t="s">
        <v>667</v>
      </c>
      <c r="B39" s="1728">
        <v>185</v>
      </c>
      <c r="C39" s="4618"/>
      <c r="D39" s="3910"/>
      <c r="E39" s="3911"/>
      <c r="F39" s="1723">
        <f>SUM(F36:F38)</f>
        <v>0</v>
      </c>
    </row>
    <row r="40" spans="1:9" ht="12.75" customHeight="1">
      <c r="A40" s="1740" t="s">
        <v>247</v>
      </c>
      <c r="B40" s="1724">
        <v>190</v>
      </c>
      <c r="C40" s="1722">
        <f>SUM(C30-C36)</f>
        <v>0</v>
      </c>
      <c r="D40" s="1722">
        <f>SUM(D30-D36)</f>
        <v>0</v>
      </c>
      <c r="E40" s="1722">
        <f>SUM(E30-E36)</f>
        <v>0</v>
      </c>
      <c r="F40" s="3810" t="s">
        <v>4905</v>
      </c>
    </row>
    <row r="41" spans="1:9" ht="12.75" customHeight="1">
      <c r="A41" s="233"/>
      <c r="B41" s="1727">
        <v>195</v>
      </c>
      <c r="C41" s="1729" t="s">
        <v>673</v>
      </c>
      <c r="D41" s="1730"/>
      <c r="E41" s="1731"/>
      <c r="F41" s="2666">
        <f>SUM(F39-F30)</f>
        <v>0</v>
      </c>
    </row>
    <row r="42" spans="1:9" ht="12.75" customHeight="1">
      <c r="A42" s="234"/>
      <c r="B42" s="1724">
        <v>200</v>
      </c>
      <c r="C42" s="1729" t="s">
        <v>668</v>
      </c>
      <c r="D42" s="1730"/>
      <c r="E42" s="1731"/>
      <c r="F42" s="1723">
        <f>F41*'C01'!$E$97/100</f>
        <v>0</v>
      </c>
    </row>
    <row r="43" spans="1:9" ht="12.75" customHeight="1">
      <c r="A43" s="234"/>
      <c r="B43" s="1724">
        <v>205</v>
      </c>
      <c r="C43" s="1729" t="str">
        <f>OpenData!N6</f>
        <v>Amount of 2021 Tax to be Levied</v>
      </c>
      <c r="D43" s="1730"/>
      <c r="E43" s="1731"/>
      <c r="F43" s="1723">
        <f>SUM(F41+F42)</f>
        <v>0</v>
      </c>
      <c r="H43" s="352" t="s">
        <v>324</v>
      </c>
      <c r="I43" s="357">
        <f>IF(ISERROR(F43/OPEN!A15*1000),"Check errors below",F43/OPEN!A15*1000)</f>
        <v>0</v>
      </c>
    </row>
    <row r="44" spans="1:9" ht="12.75" customHeight="1">
      <c r="A44" s="234"/>
      <c r="B44" s="1732"/>
      <c r="C44" s="1708"/>
      <c r="D44" s="1708"/>
      <c r="E44" s="1708"/>
      <c r="F44" s="1708"/>
      <c r="H44" s="353" t="str">
        <f>OpenData!N40</f>
        <v/>
      </c>
      <c r="I44" s="230"/>
    </row>
    <row r="45" spans="1:9" ht="12.75" customHeight="1">
      <c r="A45" s="234"/>
      <c r="B45" s="1733"/>
      <c r="C45" s="1708"/>
      <c r="D45" s="1708"/>
      <c r="E45" s="1708"/>
      <c r="F45" s="1708"/>
    </row>
    <row r="46" spans="1:9" ht="12.75" customHeight="1">
      <c r="A46" s="230"/>
      <c r="B46" s="1711"/>
      <c r="C46" s="1708"/>
      <c r="D46" s="1708"/>
      <c r="E46" s="1708"/>
      <c r="F46" s="1708"/>
    </row>
    <row r="47" spans="1:9" ht="12.75" customHeight="1">
      <c r="A47" s="230"/>
      <c r="B47" s="1711"/>
      <c r="C47" s="1708"/>
      <c r="D47" s="1708"/>
      <c r="E47" s="1708"/>
      <c r="F47" s="1708"/>
    </row>
    <row r="48" spans="1:9" ht="12.75" customHeight="1">
      <c r="A48" s="230"/>
      <c r="B48" s="1711"/>
      <c r="C48" s="1708"/>
      <c r="D48" s="1708"/>
      <c r="E48" s="1708"/>
      <c r="F48" s="1708"/>
    </row>
    <row r="49" spans="1:6" ht="12.75" customHeight="1">
      <c r="A49" s="230"/>
      <c r="B49" s="1711"/>
      <c r="C49" s="1708"/>
      <c r="D49" s="1708"/>
      <c r="E49" s="1708"/>
      <c r="F49" s="1708"/>
    </row>
  </sheetData>
  <sheetProtection algorithmName="SHA-512" hashValue="XamLk5EJsy2EZ+1IR0OtSewtbwFFdnIPdICiE4V2+d8FL3gOye8dWyhz7HvlVgQ+j7VsItE6b1Kb67m02xo7eg==" saltValue="uNxiwDQNq3MMHg3mppS65A==" spinCount="100000" sheet="1" objects="1" scenarios="1"/>
  <mergeCells count="2">
    <mergeCell ref="E1:F1"/>
    <mergeCell ref="E2:F2"/>
  </mergeCells>
  <phoneticPr fontId="13" type="noConversion"/>
  <dataValidations count="3">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C14 C15:D15 C18:D18 C19:E19 F20 C22:D22 C24:D24 C28:D28 C34:E35 F37:F38">
      <formula1>0</formula1>
    </dataValidation>
    <dataValidation type="whole" operator="greaterThanOrEqual" allowBlank="1" showInputMessage="1" showErrorMessage="1" errorTitle="Invalid Data Entry" error="Please enter a positive number or press the delete key or enter zero." sqref="C26">
      <formula1>0</formula1>
    </dataValidation>
  </dataValidations>
  <hyperlinks>
    <hyperlink ref="H1" location="Contents!F1" display="Return to Contents page"/>
  </hyperlinks>
  <printOptions horizontalCentered="1"/>
  <pageMargins left="0.75" right="0.75" top="0.5" bottom="0.5" header="0.3" footer="0.3"/>
  <pageSetup scale="81" fitToHeight="0" orientation="portrait" blackAndWhite="1" r:id="rId1"/>
  <headerFooter scaleWithDoc="0">
    <oddFooter>&amp;L&amp;"Open Sans Light,Regular"&amp;8&amp;D    &amp;T&amp;C&amp;"Open Sans Light,Regular"&amp;8Page &amp;P&amp;R&amp;"Open Sans Light,Regular"&amp;8&amp;A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4" tint="0.39997558519241921"/>
  </sheetPr>
  <dimension ref="A1:Z47"/>
  <sheetViews>
    <sheetView showGridLines="0" zoomScaleNormal="100" zoomScaleSheetLayoutView="100" workbookViewId="0">
      <pane ySplit="8" topLeftCell="A9" activePane="bottomLeft" state="frozen"/>
      <selection activeCell="B22" sqref="B22"/>
      <selection pane="bottomLeft" activeCell="B22" sqref="B22"/>
    </sheetView>
  </sheetViews>
  <sheetFormatPr defaultColWidth="10.6640625" defaultRowHeight="12.75" customHeight="1"/>
  <cols>
    <col min="1" max="1" width="40.6640625" style="237" customWidth="1"/>
    <col min="2" max="2" width="5.6640625" style="1761" customWidth="1"/>
    <col min="3" max="6" width="14.33203125" style="1762" customWidth="1"/>
    <col min="7" max="7" width="3.109375" style="237" customWidth="1"/>
    <col min="8" max="8" width="20.88671875" style="237" customWidth="1"/>
    <col min="9" max="26" width="10.6640625" style="237"/>
    <col min="27" max="16384" width="10.6640625" style="236"/>
  </cols>
  <sheetData>
    <row r="1" spans="1:8" ht="12.75" customHeight="1">
      <c r="A1" s="1745" t="s">
        <v>809</v>
      </c>
      <c r="B1" s="4094">
        <f>OPEN!$B$4</f>
        <v>237</v>
      </c>
      <c r="C1" s="1743"/>
      <c r="D1" s="1743"/>
      <c r="E1" s="6175" t="s">
        <v>836</v>
      </c>
      <c r="F1" s="6175"/>
      <c r="H1" s="304" t="s">
        <v>754</v>
      </c>
    </row>
    <row r="2" spans="1:8" ht="12.75" customHeight="1">
      <c r="A2" s="1743"/>
      <c r="B2" s="1744"/>
      <c r="C2" s="1743"/>
      <c r="D2" s="1743"/>
      <c r="E2" s="6175" t="s">
        <v>921</v>
      </c>
      <c r="F2" s="6175"/>
      <c r="H2" s="304"/>
    </row>
    <row r="3" spans="1:8" ht="12.75" customHeight="1">
      <c r="A3" s="1743"/>
      <c r="B3" s="1744"/>
      <c r="C3" s="1743"/>
      <c r="D3" s="1743"/>
      <c r="E3" s="1743"/>
      <c r="F3" s="1745" t="str">
        <f>OpenData!N2</f>
        <v>2021-2022</v>
      </c>
    </row>
    <row r="4" spans="1:8" ht="12.75" customHeight="1">
      <c r="A4" s="1743"/>
      <c r="B4" s="1744"/>
      <c r="C4" s="1743"/>
      <c r="D4" s="1743"/>
      <c r="E4" s="1743"/>
      <c r="F4" s="1743"/>
    </row>
    <row r="5" spans="1:8" ht="12.75" customHeight="1">
      <c r="A5" s="1743"/>
      <c r="B5" s="1744"/>
      <c r="C5" s="1746" t="s">
        <v>922</v>
      </c>
      <c r="D5" s="1746" t="s">
        <v>922</v>
      </c>
      <c r="E5" s="1746" t="s">
        <v>922</v>
      </c>
      <c r="F5" s="1746" t="s">
        <v>5</v>
      </c>
    </row>
    <row r="6" spans="1:8" ht="12.75" customHeight="1">
      <c r="A6" s="1763"/>
      <c r="B6" s="1747" t="s">
        <v>854</v>
      </c>
      <c r="C6" s="1748" t="str">
        <f>OpenData!N4</f>
        <v>2019-2020</v>
      </c>
      <c r="D6" s="1748" t="str">
        <f>OpenData!O4</f>
        <v>2020-2021</v>
      </c>
      <c r="E6" s="1748" t="str">
        <f>OpenData!P4</f>
        <v>2021-2022</v>
      </c>
      <c r="F6" s="1748" t="s">
        <v>663</v>
      </c>
    </row>
    <row r="7" spans="1:8" ht="12.75" customHeight="1">
      <c r="A7" s="1763" t="s">
        <v>767</v>
      </c>
      <c r="B7" s="1749">
        <v>67</v>
      </c>
      <c r="C7" s="1750" t="s">
        <v>893</v>
      </c>
      <c r="D7" s="1750" t="s">
        <v>893</v>
      </c>
      <c r="E7" s="1750" t="s">
        <v>923</v>
      </c>
      <c r="F7" s="1750" t="s">
        <v>11</v>
      </c>
    </row>
    <row r="8" spans="1:8" ht="12.75" customHeight="1">
      <c r="A8" s="1764"/>
      <c r="B8" s="1751" t="s">
        <v>858</v>
      </c>
      <c r="C8" s="1752">
        <v>1</v>
      </c>
      <c r="D8" s="1752">
        <v>2</v>
      </c>
      <c r="E8" s="1752">
        <v>3</v>
      </c>
      <c r="F8" s="1752">
        <v>4</v>
      </c>
    </row>
    <row r="9" spans="1:8" ht="12.75" customHeight="1">
      <c r="A9" s="4111" t="s">
        <v>1043</v>
      </c>
      <c r="B9" s="4112">
        <v>1</v>
      </c>
      <c r="C9" s="4113"/>
      <c r="D9" s="1753">
        <f>C38</f>
        <v>0</v>
      </c>
      <c r="E9" s="1753">
        <f>D38</f>
        <v>0</v>
      </c>
      <c r="F9" s="1753">
        <f>E9</f>
        <v>0</v>
      </c>
    </row>
    <row r="10" spans="1:8" ht="12.75" customHeight="1">
      <c r="A10" s="2324"/>
      <c r="B10" s="4114"/>
      <c r="C10" s="4114"/>
      <c r="D10" s="4114"/>
      <c r="E10" s="4114"/>
      <c r="F10" s="4115"/>
    </row>
    <row r="11" spans="1:8" ht="12.75" customHeight="1">
      <c r="A11" s="4116" t="s">
        <v>4767</v>
      </c>
      <c r="B11" s="4117"/>
      <c r="C11" s="4117"/>
      <c r="D11" s="4117"/>
      <c r="E11" s="4117"/>
      <c r="F11" s="4118"/>
    </row>
    <row r="12" spans="1:8" ht="12.75" customHeight="1">
      <c r="A12" s="2322" t="s">
        <v>13</v>
      </c>
      <c r="B12" s="2648"/>
      <c r="C12" s="2648"/>
      <c r="D12" s="2648"/>
      <c r="E12" s="2648"/>
      <c r="F12" s="2648"/>
    </row>
    <row r="13" spans="1:8" ht="12.75" customHeight="1">
      <c r="A13" s="2322" t="s">
        <v>14</v>
      </c>
      <c r="B13" s="2648"/>
      <c r="C13" s="2648"/>
      <c r="D13" s="2648"/>
      <c r="E13" s="2648"/>
      <c r="F13" s="2648"/>
    </row>
    <row r="14" spans="1:8" ht="12.75" customHeight="1">
      <c r="A14" s="2642" t="str">
        <f>OpenData!N8</f>
        <v xml:space="preserve">    2018 $</v>
      </c>
      <c r="B14" s="2627">
        <v>5</v>
      </c>
      <c r="C14" s="2635"/>
      <c r="D14" s="2634"/>
      <c r="E14" s="2634"/>
      <c r="F14" s="2634"/>
    </row>
    <row r="15" spans="1:8" ht="12.75" customHeight="1">
      <c r="A15" s="2642" t="str">
        <f>OpenData!N9</f>
        <v xml:space="preserve">    2019 $</v>
      </c>
      <c r="B15" s="2628">
        <v>10</v>
      </c>
      <c r="C15" s="2638"/>
      <c r="D15" s="2635"/>
      <c r="E15" s="2634"/>
      <c r="F15" s="2634"/>
    </row>
    <row r="16" spans="1:8" ht="12.75" customHeight="1">
      <c r="A16" s="2642" t="str">
        <f>OpenData!N10</f>
        <v xml:space="preserve">    2020 $</v>
      </c>
      <c r="B16" s="2627">
        <v>15</v>
      </c>
      <c r="C16" s="1753"/>
      <c r="D16" s="2636">
        <f>'C04'!E15</f>
        <v>0</v>
      </c>
      <c r="E16" s="2636">
        <f>'F110'!G130</f>
        <v>0</v>
      </c>
      <c r="F16" s="2636">
        <f>E16</f>
        <v>0</v>
      </c>
    </row>
    <row r="17" spans="1:6" ht="12.75" customHeight="1">
      <c r="A17" s="2643" t="str">
        <f>OpenData!N11</f>
        <v xml:space="preserve">    2021 $</v>
      </c>
      <c r="B17" s="2628">
        <v>20</v>
      </c>
      <c r="C17" s="2634"/>
      <c r="D17" s="1753"/>
      <c r="E17" s="2637">
        <f>'C04'!L15</f>
        <v>0</v>
      </c>
      <c r="F17" s="1753"/>
    </row>
    <row r="18" spans="1:6" ht="12.75" customHeight="1">
      <c r="A18" s="2643" t="s">
        <v>1377</v>
      </c>
      <c r="B18" s="2628">
        <v>25</v>
      </c>
      <c r="C18" s="2635"/>
      <c r="D18" s="2635"/>
      <c r="E18" s="2636">
        <f>0.667*F18</f>
        <v>0</v>
      </c>
      <c r="F18" s="2636">
        <f>'F110'!G134</f>
        <v>0</v>
      </c>
    </row>
    <row r="19" spans="1:6" ht="12.75" customHeight="1">
      <c r="A19" s="2643" t="s">
        <v>18</v>
      </c>
      <c r="B19" s="2628">
        <v>30</v>
      </c>
      <c r="C19" s="2638"/>
      <c r="D19" s="2638"/>
      <c r="E19" s="2635"/>
      <c r="F19" s="2637">
        <f>E19</f>
        <v>0</v>
      </c>
    </row>
    <row r="20" spans="1:6" ht="12.75" customHeight="1">
      <c r="A20" s="2642" t="s">
        <v>22</v>
      </c>
      <c r="B20" s="2627">
        <v>35</v>
      </c>
      <c r="C20" s="1753"/>
      <c r="D20" s="1753"/>
      <c r="E20" s="1753"/>
      <c r="F20" s="2635"/>
    </row>
    <row r="21" spans="1:6" ht="12.75" customHeight="1">
      <c r="A21" s="2322" t="s">
        <v>21</v>
      </c>
      <c r="B21" s="2648"/>
      <c r="C21" s="2648"/>
      <c r="D21" s="2648"/>
      <c r="E21" s="2648"/>
      <c r="F21" s="2648"/>
    </row>
    <row r="22" spans="1:6" ht="12.75" customHeight="1">
      <c r="A22" s="2642" t="s">
        <v>241</v>
      </c>
      <c r="B22" s="2627">
        <v>45</v>
      </c>
      <c r="C22" s="2635"/>
      <c r="D22" s="2635"/>
      <c r="E22" s="2636">
        <f>IF(ISERROR('F194'!H78+'F194'!H21+'F194'!$P$78+'F194'!$P$21),0,('F194'!H78+'F194'!H21+'F194'!$P$78+'F194'!$P$21))</f>
        <v>0</v>
      </c>
      <c r="F22" s="2636">
        <f>E22</f>
        <v>0</v>
      </c>
    </row>
    <row r="23" spans="1:6" ht="12.75" customHeight="1">
      <c r="A23" s="2643" t="s">
        <v>22</v>
      </c>
      <c r="B23" s="2628">
        <v>50</v>
      </c>
      <c r="C23" s="1753"/>
      <c r="D23" s="1753"/>
      <c r="E23" s="1753"/>
      <c r="F23" s="2637">
        <f>F22*0.5</f>
        <v>0</v>
      </c>
    </row>
    <row r="24" spans="1:6" ht="12.75" customHeight="1">
      <c r="A24" s="2642" t="s">
        <v>23</v>
      </c>
      <c r="B24" s="2627">
        <v>55</v>
      </c>
      <c r="C24" s="2635"/>
      <c r="D24" s="2635"/>
      <c r="E24" s="2636">
        <f>IF(ISERROR('F194'!$L$78+'F194'!$L$21),0,('F194'!$L$78+'F194'!$L$21))</f>
        <v>0</v>
      </c>
      <c r="F24" s="2636">
        <f>E24</f>
        <v>0</v>
      </c>
    </row>
    <row r="25" spans="1:6" ht="12.75" customHeight="1">
      <c r="A25" s="2642" t="s">
        <v>24</v>
      </c>
      <c r="B25" s="2627">
        <v>56</v>
      </c>
      <c r="C25" s="1753"/>
      <c r="D25" s="1753"/>
      <c r="E25" s="1753"/>
      <c r="F25" s="2636">
        <f>F24*0.5</f>
        <v>0</v>
      </c>
    </row>
    <row r="26" spans="1:6" ht="12.75" customHeight="1">
      <c r="A26" s="2644" t="s">
        <v>1374</v>
      </c>
      <c r="B26" s="2629">
        <v>57</v>
      </c>
      <c r="C26" s="2639"/>
      <c r="D26" s="2639"/>
      <c r="E26" s="2636">
        <f>IF(ISERROR('F194'!R78+'F194'!R21),0,('F194'!R78+'F194'!R21))</f>
        <v>0</v>
      </c>
      <c r="F26" s="2636">
        <f>E26</f>
        <v>0</v>
      </c>
    </row>
    <row r="27" spans="1:6" ht="12.75" customHeight="1">
      <c r="A27" s="2644" t="s">
        <v>24</v>
      </c>
      <c r="B27" s="2629">
        <v>58</v>
      </c>
      <c r="C27" s="1753"/>
      <c r="D27" s="1753"/>
      <c r="E27" s="1753"/>
      <c r="F27" s="2636">
        <f>F26*0.5</f>
        <v>0</v>
      </c>
    </row>
    <row r="28" spans="1:6" ht="12.75" customHeight="1">
      <c r="A28" s="2642" t="s">
        <v>1387</v>
      </c>
      <c r="B28" s="2627">
        <v>60</v>
      </c>
      <c r="C28" s="2633"/>
      <c r="D28" s="2633"/>
      <c r="E28" s="2636">
        <f>IF(ISERROR('F194'!N78+'F194'!N21),0,('F194'!N78+'F194'!N21))</f>
        <v>0</v>
      </c>
      <c r="F28" s="2636">
        <f>E28</f>
        <v>0</v>
      </c>
    </row>
    <row r="29" spans="1:6" ht="12.75" customHeight="1">
      <c r="A29" s="2645" t="s">
        <v>22</v>
      </c>
      <c r="B29" s="2000">
        <v>65</v>
      </c>
      <c r="C29" s="2649"/>
      <c r="D29" s="2649"/>
      <c r="E29" s="2649"/>
      <c r="F29" s="2637">
        <f>F28*0.5</f>
        <v>0</v>
      </c>
    </row>
    <row r="30" spans="1:6" ht="12.75" customHeight="1">
      <c r="A30" s="2646" t="s">
        <v>42</v>
      </c>
      <c r="B30" s="2630">
        <v>70</v>
      </c>
      <c r="C30" s="2634">
        <f>SUM(C9:C29)</f>
        <v>0</v>
      </c>
      <c r="D30" s="2634">
        <f>SUM(D9:D29)</f>
        <v>0</v>
      </c>
      <c r="E30" s="2634">
        <f>SUM(E9:E29)</f>
        <v>0</v>
      </c>
      <c r="F30" s="2634">
        <f>SUM(F9:F29)</f>
        <v>0</v>
      </c>
    </row>
    <row r="31" spans="1:6" ht="12.75" customHeight="1">
      <c r="A31" s="2625"/>
      <c r="B31" s="4119"/>
      <c r="C31" s="4119"/>
      <c r="D31" s="4119"/>
      <c r="E31" s="4119"/>
      <c r="F31" s="4120"/>
    </row>
    <row r="32" spans="1:6" ht="12.75" customHeight="1">
      <c r="A32" s="4121" t="s">
        <v>60</v>
      </c>
      <c r="B32" s="4122"/>
      <c r="C32" s="4122"/>
      <c r="D32" s="4122"/>
      <c r="E32" s="4122"/>
      <c r="F32" s="4123"/>
    </row>
    <row r="33" spans="1:9" ht="12.75" customHeight="1">
      <c r="A33" s="2650" t="s">
        <v>768</v>
      </c>
      <c r="B33" s="2651"/>
      <c r="C33" s="2651"/>
      <c r="D33" s="2651"/>
      <c r="E33" s="2651"/>
      <c r="F33" s="2651"/>
    </row>
    <row r="34" spans="1:9" ht="12.75" customHeight="1">
      <c r="A34" s="2647" t="s">
        <v>114</v>
      </c>
      <c r="B34" s="2631">
        <v>75</v>
      </c>
      <c r="C34" s="2633"/>
      <c r="D34" s="2633"/>
      <c r="E34" s="2633"/>
      <c r="F34" s="2634"/>
    </row>
    <row r="35" spans="1:9" ht="12.75" customHeight="1">
      <c r="A35" s="2323" t="s">
        <v>666</v>
      </c>
      <c r="B35" s="2632">
        <v>175</v>
      </c>
      <c r="C35" s="2637">
        <f>SUM(C32:C34)</f>
        <v>0</v>
      </c>
      <c r="D35" s="2637">
        <f>SUM(D32:D34)</f>
        <v>0</v>
      </c>
      <c r="E35" s="2637">
        <f>SUM(E32:E34)</f>
        <v>0</v>
      </c>
      <c r="F35" s="2637">
        <f>E35</f>
        <v>0</v>
      </c>
    </row>
    <row r="36" spans="1:9" ht="12.75" customHeight="1">
      <c r="A36" s="2645" t="s">
        <v>22</v>
      </c>
      <c r="B36" s="2000">
        <v>180</v>
      </c>
      <c r="C36" s="3910"/>
      <c r="D36" s="3910"/>
      <c r="E36" s="3911"/>
      <c r="F36" s="2633"/>
    </row>
    <row r="37" spans="1:9" ht="12.75" customHeight="1">
      <c r="A37" s="2647" t="s">
        <v>667</v>
      </c>
      <c r="B37" s="2631">
        <v>185</v>
      </c>
      <c r="C37" s="4618"/>
      <c r="D37" s="3910"/>
      <c r="E37" s="3911"/>
      <c r="F37" s="2637">
        <f>SUM(F35:F36)</f>
        <v>0</v>
      </c>
    </row>
    <row r="38" spans="1:9" ht="12.75" customHeight="1">
      <c r="A38" s="2645" t="s">
        <v>247</v>
      </c>
      <c r="B38" s="2000">
        <v>190</v>
      </c>
      <c r="C38" s="2640">
        <f>SUM(C30-C35)</f>
        <v>0</v>
      </c>
      <c r="D38" s="2640">
        <f>SUM(D30-D35)</f>
        <v>0</v>
      </c>
      <c r="E38" s="2641">
        <f>SUM(E30-E35)</f>
        <v>0</v>
      </c>
      <c r="F38" s="3810" t="s">
        <v>4905</v>
      </c>
    </row>
    <row r="39" spans="1:9" ht="12.75" customHeight="1">
      <c r="A39" s="238"/>
      <c r="B39" s="2631">
        <v>195</v>
      </c>
      <c r="C39" s="2626" t="s">
        <v>673</v>
      </c>
      <c r="D39" s="1755"/>
      <c r="E39" s="1756"/>
      <c r="F39" s="2636">
        <f>SUM(F37-F30)</f>
        <v>0</v>
      </c>
    </row>
    <row r="40" spans="1:9" ht="12.75" customHeight="1">
      <c r="A40" s="239"/>
      <c r="B40" s="2000">
        <v>200</v>
      </c>
      <c r="C40" s="2626" t="s">
        <v>668</v>
      </c>
      <c r="D40" s="1755"/>
      <c r="E40" s="1757"/>
      <c r="F40" s="1754">
        <f>F39*'C01'!$E$97/100</f>
        <v>0</v>
      </c>
    </row>
    <row r="41" spans="1:9" ht="12.75" customHeight="1">
      <c r="A41" s="238"/>
      <c r="B41" s="2000">
        <v>205</v>
      </c>
      <c r="C41" s="2626" t="str">
        <f>OpenData!N6</f>
        <v>Amount of 2021 Tax to be Levied</v>
      </c>
      <c r="D41" s="1755"/>
      <c r="E41" s="1758"/>
      <c r="F41" s="1754">
        <f>SUM(F39:F40)</f>
        <v>0</v>
      </c>
      <c r="H41" s="354" t="s">
        <v>325</v>
      </c>
      <c r="I41" s="356">
        <f>IF(ISERROR(F41/OPEN!A15*1000),"Check errors below",F41/OPEN!A15*1000)</f>
        <v>0</v>
      </c>
    </row>
    <row r="42" spans="1:9" ht="12.75" customHeight="1">
      <c r="A42" s="239"/>
      <c r="B42" s="1759"/>
      <c r="C42" s="1743"/>
      <c r="D42" s="1743"/>
      <c r="E42" s="1743"/>
      <c r="F42" s="1743"/>
      <c r="H42" s="355" t="str">
        <f>OpenData!N40</f>
        <v/>
      </c>
      <c r="I42" s="235"/>
    </row>
    <row r="43" spans="1:9" ht="12.75" customHeight="1">
      <c r="A43" s="239"/>
      <c r="B43" s="1760"/>
      <c r="C43" s="1743"/>
      <c r="D43" s="1743"/>
      <c r="E43" s="1743"/>
      <c r="F43" s="1743"/>
    </row>
    <row r="44" spans="1:9" ht="12.75" customHeight="1">
      <c r="A44" s="239"/>
      <c r="B44" s="1760"/>
      <c r="C44" s="1743"/>
      <c r="D44" s="1743"/>
      <c r="E44" s="1743"/>
      <c r="F44" s="1743"/>
    </row>
    <row r="45" spans="1:9" ht="12.75" customHeight="1">
      <c r="A45" s="239"/>
      <c r="B45" s="1760"/>
      <c r="C45" s="1743"/>
      <c r="D45" s="1743"/>
      <c r="E45" s="1743"/>
      <c r="F45" s="1743"/>
    </row>
    <row r="46" spans="1:9" ht="12.75" customHeight="1">
      <c r="A46" s="235"/>
      <c r="B46" s="1746"/>
      <c r="C46" s="1743"/>
      <c r="D46" s="1743"/>
      <c r="E46" s="1743"/>
      <c r="F46" s="1743"/>
    </row>
    <row r="47" spans="1:9" ht="12.75" customHeight="1">
      <c r="A47" s="235"/>
      <c r="B47" s="1746"/>
      <c r="C47" s="1743"/>
      <c r="D47" s="1743"/>
      <c r="E47" s="1743"/>
      <c r="F47" s="1743"/>
    </row>
  </sheetData>
  <sheetProtection algorithmName="SHA-512" hashValue="f9w6oRCEhxvlh+euot7pNmf9gTcW4hQhheUGCz2x/iGjpcohlteDBTASZJpFbXbLdNM6QvFQzDM/QYWargp5hg==" saltValue="eyunYyAAYOiuh0PhUHh9dQ==" spinCount="100000" sheet="1" objects="1" scenarios="1"/>
  <mergeCells count="2">
    <mergeCell ref="E1:F1"/>
    <mergeCell ref="E2:F2"/>
  </mergeCells>
  <phoneticPr fontId="13" type="noConversion"/>
  <dataValidations count="3">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C14 C15:D15 C18:D18 C19:E19 F20 C22:D22 C24:D24 C28:D28 C34:F34 F36">
      <formula1>0</formula1>
    </dataValidation>
    <dataValidation type="whole" operator="greaterThanOrEqual" allowBlank="1" showInputMessage="1" showErrorMessage="1" errorTitle="Invalid Data Entry" error="Please enter a positive number or press the delete key or enter zero." sqref="C26">
      <formula1>0</formula1>
    </dataValidation>
  </dataValidations>
  <hyperlinks>
    <hyperlink ref="H1" location="Contents!F1" display="Return to Contents page"/>
  </hyperlinks>
  <printOptions horizontalCentered="1"/>
  <pageMargins left="0.75" right="0.75" top="0.5" bottom="0.5" header="0.3" footer="0.3"/>
  <pageSetup scale="81" fitToHeight="0" orientation="portrait" blackAndWhite="1" r:id="rId1"/>
  <headerFooter scaleWithDoc="0">
    <oddFooter>&amp;L&amp;"Open Sans Light,Regular"&amp;8&amp;D    &amp;T&amp;C&amp;"Open Sans Light,Regular"&amp;8Page &amp;P&amp;R&amp;"Open Sans Light,Regular"&amp;8&amp;A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4" tint="0.39997558519241921"/>
  </sheetPr>
  <dimension ref="A1:Z51"/>
  <sheetViews>
    <sheetView showGridLines="0" zoomScaleNormal="100" zoomScaleSheetLayoutView="100" workbookViewId="0">
      <pane ySplit="8" topLeftCell="A9" activePane="bottomLeft" state="frozen"/>
      <selection activeCell="B22" sqref="B22"/>
      <selection pane="bottomLeft" activeCell="B22" sqref="B22"/>
    </sheetView>
  </sheetViews>
  <sheetFormatPr defaultColWidth="10.6640625" defaultRowHeight="12.75" customHeight="1"/>
  <cols>
    <col min="1" max="1" width="40.6640625" style="242" customWidth="1"/>
    <col min="2" max="2" width="5.6640625" style="1788" customWidth="1"/>
    <col min="3" max="6" width="14.33203125" style="1789" customWidth="1"/>
    <col min="7" max="7" width="3" style="242" customWidth="1"/>
    <col min="8" max="8" width="21" style="242" customWidth="1"/>
    <col min="9" max="26" width="10.6640625" style="242"/>
    <col min="27" max="16384" width="10.6640625" style="241"/>
  </cols>
  <sheetData>
    <row r="1" spans="1:8" ht="12.75" customHeight="1">
      <c r="A1" s="1767" t="s">
        <v>809</v>
      </c>
      <c r="B1" s="4093">
        <f>OPEN!$B$4</f>
        <v>237</v>
      </c>
      <c r="C1" s="1765"/>
      <c r="D1" s="1765"/>
      <c r="E1" s="6176" t="s">
        <v>836</v>
      </c>
      <c r="F1" s="6176"/>
      <c r="H1" s="304" t="s">
        <v>754</v>
      </c>
    </row>
    <row r="2" spans="1:8" ht="12.75" customHeight="1">
      <c r="A2" s="1765"/>
      <c r="B2" s="1766"/>
      <c r="C2" s="1765"/>
      <c r="D2" s="1765"/>
      <c r="E2" s="6176" t="s">
        <v>921</v>
      </c>
      <c r="F2" s="6176"/>
    </row>
    <row r="3" spans="1:8" ht="12.75" customHeight="1">
      <c r="A3" s="1765"/>
      <c r="B3" s="1766"/>
      <c r="C3" s="1765"/>
      <c r="D3" s="1765"/>
      <c r="E3" s="1765"/>
      <c r="F3" s="1767" t="str">
        <f>OpenData!N2</f>
        <v>2021-2022</v>
      </c>
    </row>
    <row r="4" spans="1:8" ht="12.75" customHeight="1">
      <c r="A4" s="1765"/>
      <c r="B4" s="1766"/>
      <c r="C4" s="1765"/>
      <c r="D4" s="1765"/>
      <c r="E4" s="1765"/>
      <c r="F4" s="1765"/>
    </row>
    <row r="5" spans="1:8" ht="12.75" customHeight="1">
      <c r="A5" s="1765"/>
      <c r="B5" s="1766"/>
      <c r="C5" s="1768" t="s">
        <v>922</v>
      </c>
      <c r="D5" s="1768" t="s">
        <v>922</v>
      </c>
      <c r="E5" s="1768" t="s">
        <v>922</v>
      </c>
      <c r="F5" s="1768" t="s">
        <v>5</v>
      </c>
    </row>
    <row r="6" spans="1:8" ht="12.75" customHeight="1">
      <c r="A6" s="1790" t="s">
        <v>4908</v>
      </c>
      <c r="B6" s="1769" t="s">
        <v>854</v>
      </c>
      <c r="C6" s="1770" t="str">
        <f>OpenData!N4</f>
        <v>2019-2020</v>
      </c>
      <c r="D6" s="1770" t="str">
        <f>OpenData!O4</f>
        <v>2020-2021</v>
      </c>
      <c r="E6" s="1770" t="str">
        <f>OpenData!P4</f>
        <v>2021-2022</v>
      </c>
      <c r="F6" s="1770" t="s">
        <v>663</v>
      </c>
    </row>
    <row r="7" spans="1:8" ht="12.75" customHeight="1">
      <c r="A7" s="4108" t="s">
        <v>4907</v>
      </c>
      <c r="B7" s="1771">
        <v>68</v>
      </c>
      <c r="C7" s="1772" t="s">
        <v>893</v>
      </c>
      <c r="D7" s="1772" t="s">
        <v>893</v>
      </c>
      <c r="E7" s="1772" t="s">
        <v>923</v>
      </c>
      <c r="F7" s="1772" t="s">
        <v>11</v>
      </c>
    </row>
    <row r="8" spans="1:8" ht="12.75" customHeight="1">
      <c r="A8" s="4110"/>
      <c r="B8" s="4107" t="s">
        <v>858</v>
      </c>
      <c r="C8" s="1773">
        <v>1</v>
      </c>
      <c r="D8" s="1773">
        <v>2</v>
      </c>
      <c r="E8" s="1773">
        <v>3</v>
      </c>
      <c r="F8" s="1773">
        <v>4</v>
      </c>
    </row>
    <row r="9" spans="1:8" ht="12.75" customHeight="1">
      <c r="A9" s="4109" t="s">
        <v>924</v>
      </c>
      <c r="B9" s="4097">
        <v>1</v>
      </c>
      <c r="C9" s="4098"/>
      <c r="D9" s="1775">
        <f>C41</f>
        <v>0</v>
      </c>
      <c r="E9" s="1775">
        <f>D41</f>
        <v>0</v>
      </c>
      <c r="F9" s="1775">
        <f>E9</f>
        <v>0</v>
      </c>
    </row>
    <row r="10" spans="1:8" ht="12.75" customHeight="1">
      <c r="A10" s="2586"/>
      <c r="B10" s="4099"/>
      <c r="C10" s="4099"/>
      <c r="D10" s="4099"/>
      <c r="E10" s="4099"/>
      <c r="F10" s="2587"/>
    </row>
    <row r="11" spans="1:8" ht="12.75" customHeight="1">
      <c r="A11" s="4100" t="s">
        <v>4767</v>
      </c>
      <c r="B11" s="4101"/>
      <c r="C11" s="4101"/>
      <c r="D11" s="4101"/>
      <c r="E11" s="4101"/>
      <c r="F11" s="4102"/>
    </row>
    <row r="12" spans="1:8" ht="12.75" customHeight="1">
      <c r="A12" s="2325" t="s">
        <v>708</v>
      </c>
      <c r="B12" s="2607"/>
      <c r="C12" s="2607"/>
      <c r="D12" s="2607"/>
      <c r="E12" s="2607"/>
      <c r="F12" s="2588"/>
    </row>
    <row r="13" spans="1:8" ht="12.75" customHeight="1">
      <c r="A13" s="2325" t="s">
        <v>709</v>
      </c>
      <c r="B13" s="2607"/>
      <c r="C13" s="2607"/>
      <c r="D13" s="2607"/>
      <c r="E13" s="2607"/>
      <c r="F13" s="2588"/>
    </row>
    <row r="14" spans="1:8" ht="12.75" customHeight="1">
      <c r="A14" s="2589" t="str">
        <f>OpenData!N8</f>
        <v xml:space="preserve">    2018 $</v>
      </c>
      <c r="B14" s="2608">
        <v>5</v>
      </c>
      <c r="C14" s="2596"/>
      <c r="D14" s="2600"/>
      <c r="E14" s="2600"/>
      <c r="F14" s="2605"/>
    </row>
    <row r="15" spans="1:8" ht="12.75" customHeight="1">
      <c r="A15" s="2589" t="str">
        <f>OpenData!N9</f>
        <v xml:space="preserve">    2019 $</v>
      </c>
      <c r="B15" s="2609">
        <v>10</v>
      </c>
      <c r="C15" s="2599"/>
      <c r="D15" s="2596"/>
      <c r="E15" s="2600"/>
      <c r="F15" s="2605"/>
    </row>
    <row r="16" spans="1:8" ht="12.75" customHeight="1">
      <c r="A16" s="2589" t="str">
        <f>OpenData!N10</f>
        <v xml:space="preserve">    2020 $</v>
      </c>
      <c r="B16" s="2608">
        <v>15</v>
      </c>
      <c r="C16" s="1775"/>
      <c r="D16" s="2598">
        <f>'C04'!E19</f>
        <v>0</v>
      </c>
      <c r="E16" s="2597">
        <f>'F110'!I130</f>
        <v>0</v>
      </c>
      <c r="F16" s="2602">
        <f>E16</f>
        <v>0</v>
      </c>
    </row>
    <row r="17" spans="1:6" ht="12.75" customHeight="1">
      <c r="A17" s="2590" t="str">
        <f>OpenData!N11</f>
        <v xml:space="preserve">    2021 $</v>
      </c>
      <c r="B17" s="2609">
        <v>20</v>
      </c>
      <c r="C17" s="2600"/>
      <c r="D17" s="2600"/>
      <c r="E17" s="2598">
        <f>'C04'!L19</f>
        <v>0</v>
      </c>
      <c r="F17" s="2606"/>
    </row>
    <row r="18" spans="1:6" ht="12.75" customHeight="1">
      <c r="A18" s="2590" t="s">
        <v>710</v>
      </c>
      <c r="B18" s="2609">
        <v>25</v>
      </c>
      <c r="C18" s="2596"/>
      <c r="D18" s="2596"/>
      <c r="E18" s="2597">
        <f>0.667*F18</f>
        <v>0</v>
      </c>
      <c r="F18" s="2602">
        <f>'F110'!I134</f>
        <v>0</v>
      </c>
    </row>
    <row r="19" spans="1:6" ht="12.75" customHeight="1">
      <c r="A19" s="2590" t="s">
        <v>332</v>
      </c>
      <c r="B19" s="2609">
        <v>30</v>
      </c>
      <c r="C19" s="2596"/>
      <c r="D19" s="2618"/>
      <c r="E19" s="2599"/>
      <c r="F19" s="2604"/>
    </row>
    <row r="20" spans="1:6" ht="12.75" customHeight="1">
      <c r="A20" s="2590" t="s">
        <v>712</v>
      </c>
      <c r="B20" s="2609">
        <v>40</v>
      </c>
      <c r="C20" s="2596"/>
      <c r="D20" s="2596"/>
      <c r="E20" s="2596"/>
      <c r="F20" s="2606">
        <f>E20</f>
        <v>0</v>
      </c>
    </row>
    <row r="21" spans="1:6" ht="12.75" customHeight="1">
      <c r="A21" s="2589" t="s">
        <v>711</v>
      </c>
      <c r="B21" s="2608">
        <v>45</v>
      </c>
      <c r="C21" s="1775"/>
      <c r="D21" s="1775"/>
      <c r="E21" s="1775"/>
      <c r="F21" s="2604"/>
    </row>
    <row r="22" spans="1:6" ht="12.75" customHeight="1">
      <c r="A22" s="2325" t="s">
        <v>713</v>
      </c>
      <c r="B22" s="2607"/>
      <c r="C22" s="2607"/>
      <c r="D22" s="2607"/>
      <c r="E22" s="2607"/>
      <c r="F22" s="2588"/>
    </row>
    <row r="23" spans="1:6" ht="12.75" customHeight="1">
      <c r="A23" s="2589" t="s">
        <v>1049</v>
      </c>
      <c r="B23" s="2608">
        <v>55</v>
      </c>
      <c r="C23" s="2596"/>
      <c r="D23" s="2596"/>
      <c r="E23" s="2597">
        <f>IF(ISERROR('F194'!$H$81+'F194'!H24+'F194'!$P$81+'F194'!$P$24),0,('F194'!H81+'F194'!H24+'F194'!$P$81+'F194'!$P$24))</f>
        <v>0</v>
      </c>
      <c r="F23" s="2602">
        <f>E23</f>
        <v>0</v>
      </c>
    </row>
    <row r="24" spans="1:6" ht="12.75" customHeight="1">
      <c r="A24" s="2591" t="s">
        <v>711</v>
      </c>
      <c r="B24" s="2610">
        <v>60</v>
      </c>
      <c r="C24" s="2622"/>
      <c r="D24" s="2622"/>
      <c r="E24" s="2622"/>
      <c r="F24" s="2603">
        <f>F23*0.5</f>
        <v>0</v>
      </c>
    </row>
    <row r="25" spans="1:6" ht="12.75" customHeight="1">
      <c r="A25" s="2591" t="s">
        <v>23</v>
      </c>
      <c r="B25" s="2610">
        <v>65</v>
      </c>
      <c r="C25" s="2615"/>
      <c r="D25" s="2596"/>
      <c r="E25" s="2597">
        <f>IF(ISERROR('F194'!$L$81+'F194'!$L$24),0,('F194'!$L$81+'F194'!$L$24))</f>
        <v>0</v>
      </c>
      <c r="F25" s="2605">
        <f>E25</f>
        <v>0</v>
      </c>
    </row>
    <row r="26" spans="1:6" ht="12.75" customHeight="1">
      <c r="A26" s="2591" t="s">
        <v>24</v>
      </c>
      <c r="B26" s="2610">
        <v>66</v>
      </c>
      <c r="C26" s="2622"/>
      <c r="D26" s="2623"/>
      <c r="E26" s="2623"/>
      <c r="F26" s="2606">
        <f>F25*0.5</f>
        <v>0</v>
      </c>
    </row>
    <row r="27" spans="1:6" ht="12.75" customHeight="1">
      <c r="A27" s="2592" t="s">
        <v>1374</v>
      </c>
      <c r="B27" s="2611">
        <v>67</v>
      </c>
      <c r="C27" s="2616"/>
      <c r="D27" s="2616"/>
      <c r="E27" s="2597">
        <f>IF(ISERROR('F194'!R81+'F194'!R24),0,('F194'!R81+'F194'!R24))</f>
        <v>0</v>
      </c>
      <c r="F27" s="2606">
        <f>E27</f>
        <v>0</v>
      </c>
    </row>
    <row r="28" spans="1:6" ht="12.75" customHeight="1">
      <c r="A28" s="2592" t="s">
        <v>24</v>
      </c>
      <c r="B28" s="2611">
        <v>68</v>
      </c>
      <c r="C28" s="2622"/>
      <c r="D28" s="2623"/>
      <c r="E28" s="2623"/>
      <c r="F28" s="2606">
        <f>F27*0.5</f>
        <v>0</v>
      </c>
    </row>
    <row r="29" spans="1:6" ht="12.75" customHeight="1">
      <c r="A29" s="2591" t="s">
        <v>1388</v>
      </c>
      <c r="B29" s="2610">
        <v>70</v>
      </c>
      <c r="C29" s="2617"/>
      <c r="D29" s="2617"/>
      <c r="E29" s="2597">
        <f>IF(ISERROR('F194'!N81+'F194'!N24),0,('F194'!N81+'F194'!N24))</f>
        <v>0</v>
      </c>
      <c r="F29" s="2603">
        <f>E29</f>
        <v>0</v>
      </c>
    </row>
    <row r="30" spans="1:6" ht="12.75" customHeight="1">
      <c r="A30" s="2593" t="s">
        <v>711</v>
      </c>
      <c r="B30" s="2612">
        <v>75</v>
      </c>
      <c r="C30" s="1775"/>
      <c r="D30" s="1775"/>
      <c r="E30" s="1775"/>
      <c r="F30" s="2603">
        <f>F29*0.5</f>
        <v>0</v>
      </c>
    </row>
    <row r="31" spans="1:6" ht="12.75" customHeight="1">
      <c r="A31" s="2594" t="s">
        <v>42</v>
      </c>
      <c r="B31" s="2613">
        <v>80</v>
      </c>
      <c r="C31" s="2600">
        <f>SUM(C9:C30)</f>
        <v>0</v>
      </c>
      <c r="D31" s="2600">
        <f>SUM(D9:D30)</f>
        <v>0</v>
      </c>
      <c r="E31" s="2600">
        <f>SUM(E9:E30)</f>
        <v>0</v>
      </c>
      <c r="F31" s="2605">
        <f>SUM(F9:F30)</f>
        <v>0</v>
      </c>
    </row>
    <row r="32" spans="1:6" ht="12.75" customHeight="1">
      <c r="A32" s="2326"/>
      <c r="B32" s="4103"/>
      <c r="C32" s="4103"/>
      <c r="D32" s="4103"/>
      <c r="E32" s="4103"/>
      <c r="F32" s="2327"/>
    </row>
    <row r="33" spans="1:9" ht="12.75" customHeight="1">
      <c r="A33" s="4104" t="s">
        <v>60</v>
      </c>
      <c r="B33" s="4105"/>
      <c r="C33" s="4105"/>
      <c r="D33" s="4105"/>
      <c r="E33" s="4105"/>
      <c r="F33" s="4106"/>
    </row>
    <row r="34" spans="1:9" ht="12.75" customHeight="1">
      <c r="A34" s="2619" t="s">
        <v>757</v>
      </c>
      <c r="B34" s="2620"/>
      <c r="C34" s="2620"/>
      <c r="D34" s="2620"/>
      <c r="E34" s="2620"/>
      <c r="F34" s="2621"/>
    </row>
    <row r="35" spans="1:9" ht="12.75" customHeight="1">
      <c r="A35" s="2595" t="s">
        <v>26</v>
      </c>
      <c r="B35" s="2614">
        <v>85</v>
      </c>
      <c r="C35" s="2596"/>
      <c r="D35" s="2601"/>
      <c r="E35" s="1776"/>
      <c r="F35" s="1774"/>
    </row>
    <row r="36" spans="1:9" ht="12.75" customHeight="1">
      <c r="A36" s="1791" t="s">
        <v>27</v>
      </c>
      <c r="B36" s="1780">
        <v>90</v>
      </c>
      <c r="C36" s="1777"/>
      <c r="D36" s="1777"/>
      <c r="E36" s="1777"/>
      <c r="F36" s="1774"/>
    </row>
    <row r="37" spans="1:9" ht="12.75" customHeight="1">
      <c r="A37" s="1793" t="s">
        <v>758</v>
      </c>
      <c r="B37" s="1782">
        <v>95</v>
      </c>
      <c r="C37" s="1778">
        <f>SUM(C33:C36)</f>
        <v>0</v>
      </c>
      <c r="D37" s="1778">
        <f>SUM(D33:D36)</f>
        <v>0</v>
      </c>
      <c r="E37" s="1778">
        <f>SUM(E33:E36)</f>
        <v>0</v>
      </c>
      <c r="F37" s="1779">
        <f>E37</f>
        <v>0</v>
      </c>
    </row>
    <row r="38" spans="1:9" ht="12.75" customHeight="1">
      <c r="A38" s="1792" t="s">
        <v>34</v>
      </c>
      <c r="B38" s="1781">
        <v>100</v>
      </c>
      <c r="C38" s="3910"/>
      <c r="D38" s="3910"/>
      <c r="E38" s="3911"/>
      <c r="F38" s="1777"/>
    </row>
    <row r="39" spans="1:9" ht="12.75" customHeight="1">
      <c r="A39" s="1791" t="s">
        <v>35</v>
      </c>
      <c r="B39" s="1780">
        <v>105</v>
      </c>
      <c r="C39" s="3910"/>
      <c r="D39" s="3910"/>
      <c r="E39" s="3911"/>
      <c r="F39" s="1777"/>
    </row>
    <row r="40" spans="1:9" ht="12.75" customHeight="1">
      <c r="A40" s="1791" t="s">
        <v>760</v>
      </c>
      <c r="B40" s="1782">
        <v>185</v>
      </c>
      <c r="C40" s="4618"/>
      <c r="D40" s="3910"/>
      <c r="E40" s="3911"/>
      <c r="F40" s="1778">
        <f>SUM(F37:F39)</f>
        <v>0</v>
      </c>
    </row>
    <row r="41" spans="1:9" ht="12.75" customHeight="1">
      <c r="A41" s="1791" t="s">
        <v>761</v>
      </c>
      <c r="B41" s="1780">
        <v>190</v>
      </c>
      <c r="C41" s="1779">
        <f>SUM(C31-C37)</f>
        <v>0</v>
      </c>
      <c r="D41" s="1779">
        <f>SUM(D31-D37)</f>
        <v>0</v>
      </c>
      <c r="E41" s="1779">
        <f>SUM(E31-E37)</f>
        <v>0</v>
      </c>
      <c r="F41" s="3810" t="s">
        <v>4905</v>
      </c>
    </row>
    <row r="42" spans="1:9" ht="12.75" customHeight="1">
      <c r="A42" s="6177"/>
      <c r="B42" s="1780">
        <v>195</v>
      </c>
      <c r="C42" s="1783" t="s">
        <v>762</v>
      </c>
      <c r="D42" s="1784"/>
      <c r="E42" s="1785"/>
      <c r="F42" s="2597">
        <f>SUM(F40-F31)</f>
        <v>0</v>
      </c>
    </row>
    <row r="43" spans="1:9" ht="12.75" customHeight="1">
      <c r="A43" s="6178"/>
      <c r="B43" s="1780">
        <v>200</v>
      </c>
      <c r="C43" s="1783" t="s">
        <v>668</v>
      </c>
      <c r="D43" s="1784"/>
      <c r="E43" s="1785"/>
      <c r="F43" s="1778">
        <f>F42*'C01'!$E$97/100</f>
        <v>0</v>
      </c>
    </row>
    <row r="44" spans="1:9" ht="12.75" customHeight="1">
      <c r="A44" s="6178"/>
      <c r="B44" s="1780">
        <v>205</v>
      </c>
      <c r="C44" s="1783" t="str">
        <f>OpenData!N6</f>
        <v>Amount of 2021 Tax to be Levied</v>
      </c>
      <c r="D44" s="1784"/>
      <c r="E44" s="1786"/>
      <c r="F44" s="1778">
        <f>SUM(F42:F43)</f>
        <v>0</v>
      </c>
      <c r="H44" s="358" t="s">
        <v>326</v>
      </c>
      <c r="I44" s="359">
        <f>IF(ISERROR(F44/OPEN!A15*1000),"Check errors below",F44/OPEN!A15*1000)</f>
        <v>0</v>
      </c>
    </row>
    <row r="45" spans="1:9" ht="12.75" customHeight="1">
      <c r="A45" s="6179" t="s">
        <v>5128</v>
      </c>
      <c r="B45" s="6179"/>
      <c r="C45" s="6179"/>
      <c r="D45" s="6179"/>
      <c r="E45" s="6179"/>
      <c r="F45" s="6179"/>
      <c r="H45" s="360" t="str">
        <f>OpenData!N40</f>
        <v/>
      </c>
      <c r="I45" s="240"/>
    </row>
    <row r="46" spans="1:9" ht="12.75" customHeight="1">
      <c r="A46" s="2624"/>
      <c r="B46" s="1787"/>
      <c r="C46" s="1765"/>
      <c r="D46" s="1765"/>
      <c r="E46" s="1765"/>
      <c r="F46" s="1765"/>
    </row>
    <row r="47" spans="1:9" ht="12.75" customHeight="1">
      <c r="A47" s="2624"/>
      <c r="B47" s="1768"/>
      <c r="C47" s="1765"/>
      <c r="D47" s="1765"/>
      <c r="E47" s="1765"/>
      <c r="F47" s="1765"/>
    </row>
    <row r="48" spans="1:9" ht="12.75" customHeight="1">
      <c r="A48" s="240"/>
      <c r="B48" s="1768"/>
      <c r="C48" s="1765"/>
      <c r="D48" s="1765"/>
      <c r="E48" s="1765"/>
      <c r="F48" s="1765"/>
    </row>
    <row r="49" spans="1:6" ht="12.75" customHeight="1">
      <c r="A49" s="240"/>
      <c r="B49" s="1768"/>
      <c r="C49" s="1765"/>
      <c r="D49" s="1765"/>
      <c r="E49" s="1765"/>
      <c r="F49" s="1765"/>
    </row>
    <row r="50" spans="1:6" ht="12.75" customHeight="1">
      <c r="A50" s="240"/>
      <c r="B50" s="1768"/>
      <c r="C50" s="1765"/>
      <c r="D50" s="1765"/>
      <c r="E50" s="1765"/>
      <c r="F50" s="1765"/>
    </row>
    <row r="51" spans="1:6" ht="12.75" customHeight="1">
      <c r="A51" s="240"/>
      <c r="B51" s="1768"/>
      <c r="C51" s="1765"/>
      <c r="D51" s="1765"/>
      <c r="E51" s="1765"/>
      <c r="F51" s="1765"/>
    </row>
  </sheetData>
  <sheetProtection algorithmName="SHA-512" hashValue="HXoBZ6z+SCpuwRG6IieGqayzXzB89LP6xwO2fejqAeKrtszQddtPLCDlC5Te2an1fwmTw0U2UHt+814HOpZ2vg==" saltValue="fYJJQZqvoQ02Qe8uusP0Fw==" spinCount="100000" sheet="1" objects="1" scenarios="1"/>
  <mergeCells count="4">
    <mergeCell ref="E1:F1"/>
    <mergeCell ref="E2:F2"/>
    <mergeCell ref="A42:A44"/>
    <mergeCell ref="A45:F45"/>
  </mergeCells>
  <phoneticPr fontId="13" type="noConversion"/>
  <dataValidations count="3">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C14 C15:D15 F38:F39 C35:E36 F21 C20:E20 C23:D23 C18:D18 D19:F19">
      <formula1>0</formula1>
    </dataValidation>
    <dataValidation type="whole" operator="greaterThanOrEqual" allowBlank="1" showInputMessage="1" showErrorMessage="1" errorTitle="Invalid Data Entry" error="Please enter a positive number or press the delete key or enter zero." sqref="C27">
      <formula1>0</formula1>
    </dataValidation>
  </dataValidations>
  <hyperlinks>
    <hyperlink ref="H1" location="Contents!F1" display="Return to Contents page"/>
  </hyperlinks>
  <printOptions horizontalCentered="1"/>
  <pageMargins left="0.75" right="0.75" top="0.5" bottom="0.5" header="0.3" footer="0.3"/>
  <pageSetup scale="81" fitToHeight="0" orientation="portrait" blackAndWhite="1" r:id="rId1"/>
  <headerFooter scaleWithDoc="0">
    <oddFooter>&amp;L&amp;"Open Sans Light,Regular"&amp;8&amp;D    &amp;T&amp;C&amp;"Open Sans Light,Regular"&amp;8Page &amp;P&amp;R&amp;"Open Sans Light,Regular"&amp;8&amp;A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4" tint="0.39997558519241921"/>
  </sheetPr>
  <dimension ref="A1:Z238"/>
  <sheetViews>
    <sheetView showGridLines="0" zoomScaleNormal="100" zoomScaleSheetLayoutView="100" workbookViewId="0">
      <pane ySplit="8" topLeftCell="A9" activePane="bottomLeft" state="frozen"/>
      <selection activeCell="B22" sqref="B22"/>
      <selection pane="bottomLeft" activeCell="B22" sqref="B22"/>
    </sheetView>
  </sheetViews>
  <sheetFormatPr defaultColWidth="10.6640625" defaultRowHeight="12.75" customHeight="1"/>
  <cols>
    <col min="1" max="1" width="40.6640625" style="245" customWidth="1"/>
    <col min="2" max="2" width="5.6640625" style="1814" customWidth="1"/>
    <col min="3" max="5" width="14.33203125" style="1815" customWidth="1"/>
    <col min="6" max="6" width="3.44140625" style="245" customWidth="1"/>
    <col min="7" max="7" width="21.109375" style="245" customWidth="1"/>
    <col min="8" max="26" width="10.6640625" style="245"/>
    <col min="27" max="16384" width="10.6640625" style="244"/>
  </cols>
  <sheetData>
    <row r="1" spans="1:17" ht="12.75" customHeight="1">
      <c r="A1" s="1796" t="s">
        <v>809</v>
      </c>
      <c r="B1" s="4073">
        <f>OPEN!$B$4</f>
        <v>237</v>
      </c>
      <c r="C1" s="1794"/>
      <c r="D1" s="6180" t="s">
        <v>836</v>
      </c>
      <c r="E1" s="6180"/>
      <c r="F1" s="243"/>
      <c r="G1" s="304" t="s">
        <v>754</v>
      </c>
    </row>
    <row r="2" spans="1:17" ht="12.75" customHeight="1">
      <c r="A2" s="1794"/>
      <c r="B2" s="1795"/>
      <c r="C2" s="1794"/>
      <c r="D2" s="6180" t="s">
        <v>921</v>
      </c>
      <c r="E2" s="6180"/>
      <c r="F2" s="243"/>
      <c r="G2" s="243"/>
    </row>
    <row r="3" spans="1:17" ht="12.75" customHeight="1">
      <c r="A3" s="1794"/>
      <c r="B3" s="1795"/>
      <c r="C3" s="1794"/>
      <c r="D3" s="1794"/>
      <c r="E3" s="1796" t="str">
        <f>OpenData!N2</f>
        <v>2021-2022</v>
      </c>
      <c r="F3" s="243"/>
      <c r="G3" s="243"/>
    </row>
    <row r="4" spans="1:17" ht="12.75" customHeight="1">
      <c r="A4" s="1794"/>
      <c r="B4" s="1795"/>
      <c r="C4" s="1794"/>
      <c r="D4" s="1794"/>
      <c r="E4" s="1794"/>
      <c r="F4" s="243"/>
      <c r="G4" s="243"/>
    </row>
    <row r="5" spans="1:17" ht="12.75" customHeight="1">
      <c r="A5" s="1794"/>
      <c r="B5" s="1795"/>
      <c r="C5" s="1797" t="s">
        <v>922</v>
      </c>
      <c r="D5" s="1797" t="s">
        <v>922</v>
      </c>
      <c r="E5" s="1797" t="s">
        <v>922</v>
      </c>
      <c r="F5" s="243"/>
      <c r="G5" s="243"/>
    </row>
    <row r="6" spans="1:17" ht="12.75" customHeight="1">
      <c r="A6" s="1816" t="s">
        <v>4798</v>
      </c>
      <c r="B6" s="1798" t="s">
        <v>854</v>
      </c>
      <c r="C6" s="1799" t="str">
        <f>OpenData!N4</f>
        <v>2019-2020</v>
      </c>
      <c r="D6" s="1799" t="str">
        <f>OpenData!O4</f>
        <v>2020-2021</v>
      </c>
      <c r="E6" s="1799" t="str">
        <f>OpenData!P4</f>
        <v>2021-2022</v>
      </c>
      <c r="F6" s="243"/>
      <c r="G6" s="243"/>
      <c r="N6" s="246"/>
    </row>
    <row r="7" spans="1:17" ht="12.75" customHeight="1">
      <c r="A7" s="1797" t="s">
        <v>4799</v>
      </c>
      <c r="B7" s="1800">
        <v>78</v>
      </c>
      <c r="C7" s="1801" t="s">
        <v>893</v>
      </c>
      <c r="D7" s="1801" t="s">
        <v>893</v>
      </c>
      <c r="E7" s="1801" t="s">
        <v>923</v>
      </c>
      <c r="F7" s="243"/>
      <c r="G7" s="243"/>
      <c r="O7" s="247"/>
      <c r="P7" s="247"/>
      <c r="Q7" s="247"/>
    </row>
    <row r="8" spans="1:17" ht="12.75" customHeight="1">
      <c r="B8" s="1800" t="s">
        <v>858</v>
      </c>
      <c r="C8" s="1822">
        <v>1</v>
      </c>
      <c r="D8" s="1822">
        <v>2</v>
      </c>
      <c r="E8" s="1822">
        <v>3</v>
      </c>
      <c r="F8" s="243"/>
      <c r="G8" s="243"/>
      <c r="O8" s="247"/>
      <c r="P8" s="247"/>
      <c r="Q8" s="247"/>
    </row>
    <row r="9" spans="1:17" ht="12.75" customHeight="1">
      <c r="A9" s="1823" t="s">
        <v>1043</v>
      </c>
      <c r="B9" s="1824">
        <v>1</v>
      </c>
      <c r="C9" s="1825"/>
      <c r="D9" s="1826">
        <f>C25</f>
        <v>0</v>
      </c>
      <c r="E9" s="2536">
        <f>D25</f>
        <v>0</v>
      </c>
      <c r="F9" s="243"/>
      <c r="G9" s="243"/>
      <c r="O9" s="247"/>
      <c r="P9" s="247"/>
      <c r="Q9" s="247"/>
    </row>
    <row r="10" spans="1:17" ht="12.75" customHeight="1">
      <c r="A10" s="3974" t="s">
        <v>4940</v>
      </c>
      <c r="B10" s="4079">
        <v>3</v>
      </c>
      <c r="C10" s="2579"/>
      <c r="D10" s="4091"/>
      <c r="E10" s="2536"/>
      <c r="F10" s="243"/>
      <c r="G10" s="243"/>
      <c r="O10" s="247"/>
      <c r="P10" s="247"/>
      <c r="Q10" s="247"/>
    </row>
    <row r="11" spans="1:17" ht="12.75" customHeight="1">
      <c r="A11" s="2328"/>
      <c r="B11" s="4080"/>
      <c r="C11" s="4080"/>
      <c r="D11" s="4080"/>
      <c r="E11" s="2537"/>
      <c r="F11" s="243"/>
      <c r="G11" s="243"/>
      <c r="O11" s="247"/>
      <c r="P11" s="247"/>
      <c r="Q11" s="247"/>
    </row>
    <row r="12" spans="1:17" ht="12.75" customHeight="1">
      <c r="A12" s="4081" t="s">
        <v>4767</v>
      </c>
      <c r="B12" s="4082"/>
      <c r="C12" s="4082"/>
      <c r="D12" s="4082"/>
      <c r="E12" s="4083"/>
      <c r="F12" s="243"/>
      <c r="G12" s="243"/>
      <c r="O12" s="247"/>
      <c r="P12" s="247"/>
      <c r="Q12" s="247"/>
    </row>
    <row r="13" spans="1:17" ht="12.75" customHeight="1">
      <c r="A13" s="2538" t="s">
        <v>13</v>
      </c>
      <c r="B13" s="2548"/>
      <c r="C13" s="2548"/>
      <c r="D13" s="2548"/>
      <c r="E13" s="2537"/>
      <c r="F13" s="243"/>
      <c r="G13" s="243"/>
      <c r="O13" s="247"/>
      <c r="P13" s="247"/>
      <c r="Q13" s="247"/>
    </row>
    <row r="14" spans="1:17" ht="25.5" customHeight="1">
      <c r="A14" s="4566" t="s">
        <v>5196</v>
      </c>
      <c r="B14" s="2543">
        <v>5</v>
      </c>
      <c r="C14" s="2549"/>
      <c r="D14" s="2549"/>
      <c r="E14" s="2539"/>
      <c r="F14" s="243"/>
      <c r="G14" s="243"/>
    </row>
    <row r="15" spans="1:17" ht="12.75" customHeight="1">
      <c r="A15" s="2546" t="s">
        <v>71</v>
      </c>
      <c r="B15" s="2544">
        <v>15</v>
      </c>
      <c r="C15" s="1825"/>
      <c r="D15" s="1825"/>
      <c r="E15" s="2540"/>
      <c r="F15" s="243"/>
      <c r="G15" s="243"/>
      <c r="N15" s="246"/>
    </row>
    <row r="16" spans="1:17" ht="12.75" customHeight="1">
      <c r="A16" s="2545" t="s">
        <v>18</v>
      </c>
      <c r="B16" s="2543">
        <v>25</v>
      </c>
      <c r="C16" s="2549"/>
      <c r="D16" s="2549"/>
      <c r="E16" s="2542"/>
      <c r="F16" s="243"/>
      <c r="G16" s="243"/>
      <c r="O16" s="248"/>
      <c r="P16" s="248"/>
      <c r="Q16" s="248"/>
    </row>
    <row r="17" spans="1:26" ht="12.75" customHeight="1">
      <c r="A17" s="2328" t="s">
        <v>25</v>
      </c>
      <c r="B17" s="2547"/>
      <c r="C17" s="2547"/>
      <c r="D17" s="2547"/>
      <c r="E17" s="2329"/>
      <c r="F17" s="243"/>
      <c r="G17" s="243"/>
      <c r="O17" s="248"/>
      <c r="P17" s="248"/>
      <c r="Q17" s="248"/>
    </row>
    <row r="18" spans="1:26" ht="12.75" customHeight="1">
      <c r="A18" s="2545" t="s">
        <v>283</v>
      </c>
      <c r="B18" s="2543">
        <v>45</v>
      </c>
      <c r="C18" s="2549"/>
      <c r="D18" s="2549"/>
      <c r="E18" s="2539"/>
      <c r="F18" s="243"/>
      <c r="G18" s="243"/>
      <c r="O18" s="248"/>
      <c r="P18" s="248"/>
      <c r="Q18" s="248"/>
    </row>
    <row r="19" spans="1:26" ht="12.75" customHeight="1">
      <c r="A19" s="2328" t="s">
        <v>37</v>
      </c>
      <c r="B19" s="2547"/>
      <c r="C19" s="2547"/>
      <c r="D19" s="2547"/>
      <c r="E19" s="2329"/>
      <c r="F19" s="243"/>
      <c r="G19" s="243"/>
      <c r="O19" s="248"/>
      <c r="P19" s="248"/>
      <c r="Q19" s="248"/>
    </row>
    <row r="20" spans="1:26" ht="12.75" customHeight="1">
      <c r="A20" s="2585" t="s">
        <v>4793</v>
      </c>
      <c r="B20" s="2543">
        <v>55</v>
      </c>
      <c r="C20" s="2541"/>
      <c r="D20" s="2549"/>
      <c r="E20" s="2539"/>
      <c r="F20" s="243"/>
      <c r="G20" s="243"/>
      <c r="O20" s="248"/>
      <c r="P20" s="248"/>
      <c r="Q20" s="248"/>
    </row>
    <row r="21" spans="1:26" ht="12.75" customHeight="1">
      <c r="A21" s="1817" t="s">
        <v>615</v>
      </c>
      <c r="B21" s="1802">
        <v>60</v>
      </c>
      <c r="C21" s="1804"/>
      <c r="D21" s="1805"/>
      <c r="E21" s="1804"/>
      <c r="F21" s="243"/>
      <c r="G21" s="243"/>
    </row>
    <row r="22" spans="1:26" ht="12.75" customHeight="1">
      <c r="A22" s="1817" t="s">
        <v>616</v>
      </c>
      <c r="B22" s="1802">
        <v>65</v>
      </c>
      <c r="C22" s="1804"/>
      <c r="D22" s="1805"/>
      <c r="E22" s="1804"/>
      <c r="F22" s="243"/>
      <c r="G22" s="243"/>
    </row>
    <row r="23" spans="1:26" ht="12.75" customHeight="1">
      <c r="A23" s="1819" t="s">
        <v>42</v>
      </c>
      <c r="B23" s="1807">
        <v>170</v>
      </c>
      <c r="C23" s="1803">
        <f>SUM(C9:C22)</f>
        <v>0</v>
      </c>
      <c r="D23" s="1808">
        <f>SUM(D9:D22)</f>
        <v>0</v>
      </c>
      <c r="E23" s="1803">
        <f>SUM(E9:E22)</f>
        <v>0</v>
      </c>
      <c r="F23" s="243"/>
      <c r="G23" s="243"/>
    </row>
    <row r="24" spans="1:26" ht="12.75" customHeight="1">
      <c r="A24" s="1817" t="s">
        <v>43</v>
      </c>
      <c r="B24" s="1806">
        <v>175</v>
      </c>
      <c r="C24" s="1803">
        <f>C230</f>
        <v>0</v>
      </c>
      <c r="D24" s="1808">
        <f>D230</f>
        <v>0</v>
      </c>
      <c r="E24" s="1803">
        <f>IF(E230&lt;=E23,E230,"ERROR")</f>
        <v>0</v>
      </c>
      <c r="F24" s="243"/>
      <c r="G24" s="331" t="str">
        <f>IF(E24="ERROR","Expenditures must be less than or equal to the Resources Available","")</f>
        <v/>
      </c>
      <c r="H24" s="755"/>
    </row>
    <row r="25" spans="1:26" ht="12.75" customHeight="1">
      <c r="A25" s="1818" t="s">
        <v>247</v>
      </c>
      <c r="B25" s="1806">
        <v>190</v>
      </c>
      <c r="C25" s="1803">
        <f>SUM(C23-C24)</f>
        <v>0</v>
      </c>
      <c r="D25" s="1808">
        <f>SUM(D23-D24)</f>
        <v>0</v>
      </c>
      <c r="E25" s="1809">
        <f>IF(ISERROR(E23-E24),"NEGATIVE",E23-E24)</f>
        <v>0</v>
      </c>
      <c r="F25" s="243"/>
      <c r="G25" s="756"/>
      <c r="H25" s="755"/>
    </row>
    <row r="26" spans="1:26" ht="12.75" customHeight="1">
      <c r="A26" s="6181" t="s">
        <v>5127</v>
      </c>
      <c r="B26" s="6181"/>
      <c r="C26" s="6181"/>
      <c r="D26" s="6181"/>
      <c r="E26" s="6181"/>
      <c r="F26" s="243"/>
      <c r="G26" s="243"/>
    </row>
    <row r="27" spans="1:26" ht="12.75" customHeight="1">
      <c r="A27" s="1810"/>
      <c r="B27" s="1810"/>
      <c r="C27" s="1810"/>
      <c r="D27" s="1810"/>
      <c r="E27" s="1810"/>
      <c r="F27" s="243"/>
      <c r="G27" s="243"/>
    </row>
    <row r="28" spans="1:26" s="3799" customFormat="1" ht="12.75" customHeight="1">
      <c r="A28" s="3795" t="str">
        <f>A1</f>
        <v>USD #</v>
      </c>
      <c r="B28" s="4072">
        <f>B1</f>
        <v>237</v>
      </c>
      <c r="C28" s="3796"/>
      <c r="D28" s="6183" t="str">
        <f>D1</f>
        <v>STATE OF KANSAS</v>
      </c>
      <c r="E28" s="6183"/>
      <c r="F28" s="3797"/>
      <c r="G28" s="3797"/>
      <c r="H28" s="3798"/>
      <c r="I28" s="3798"/>
      <c r="J28" s="3798"/>
      <c r="K28" s="3798"/>
      <c r="L28" s="3798"/>
      <c r="M28" s="3798"/>
      <c r="N28" s="3798"/>
      <c r="O28" s="3798"/>
      <c r="P28" s="3798"/>
      <c r="Q28" s="3798"/>
      <c r="R28" s="3798"/>
      <c r="S28" s="3798"/>
      <c r="T28" s="3798"/>
      <c r="U28" s="3798"/>
      <c r="V28" s="3798"/>
      <c r="W28" s="3798"/>
      <c r="X28" s="3798"/>
      <c r="Y28" s="3798"/>
      <c r="Z28" s="3798"/>
    </row>
    <row r="29" spans="1:26" ht="12.75" customHeight="1">
      <c r="A29" s="1810"/>
      <c r="B29" s="1810"/>
      <c r="C29" s="1810"/>
      <c r="D29" s="6182" t="str">
        <f>D2</f>
        <v>Budget Form USD-E</v>
      </c>
      <c r="E29" s="6182"/>
      <c r="F29" s="243"/>
      <c r="G29" s="243"/>
    </row>
    <row r="30" spans="1:26" ht="12.75" customHeight="1">
      <c r="A30" s="1820"/>
      <c r="B30" s="1811"/>
      <c r="C30" s="1811"/>
      <c r="D30" s="1811"/>
      <c r="E30" s="1812" t="str">
        <f>E3</f>
        <v>2021-2022</v>
      </c>
      <c r="F30" s="243"/>
      <c r="G30" s="243"/>
    </row>
    <row r="31" spans="1:26" ht="12.75" customHeight="1">
      <c r="A31" s="1820"/>
      <c r="B31" s="1811"/>
      <c r="C31" s="1811"/>
      <c r="D31" s="1811"/>
      <c r="E31" s="1811"/>
      <c r="F31" s="243"/>
      <c r="G31" s="243"/>
    </row>
    <row r="32" spans="1:26" ht="12.75" customHeight="1">
      <c r="A32" s="1797"/>
      <c r="B32" s="1795"/>
      <c r="C32" s="1797" t="s">
        <v>922</v>
      </c>
      <c r="D32" s="1797" t="s">
        <v>922</v>
      </c>
      <c r="E32" s="1797" t="s">
        <v>922</v>
      </c>
      <c r="F32" s="243"/>
      <c r="G32" s="243"/>
    </row>
    <row r="33" spans="1:26" ht="12.75" customHeight="1">
      <c r="A33" s="1816" t="str">
        <f>A6</f>
        <v>SPECIAL EDUCATION COOP</v>
      </c>
      <c r="B33" s="1798" t="s">
        <v>854</v>
      </c>
      <c r="C33" s="1799" t="str">
        <f>C6</f>
        <v>2019-2020</v>
      </c>
      <c r="D33" s="1799" t="str">
        <f>D6</f>
        <v>2020-2021</v>
      </c>
      <c r="E33" s="1799" t="str">
        <f>E6</f>
        <v>2021-2022</v>
      </c>
      <c r="F33" s="243"/>
      <c r="G33" s="243"/>
    </row>
    <row r="34" spans="1:26" ht="12.75" customHeight="1">
      <c r="A34" s="1797" t="str">
        <f>A7</f>
        <v>(sponsoring district only)</v>
      </c>
      <c r="B34" s="1800">
        <v>78</v>
      </c>
      <c r="C34" s="1801" t="s">
        <v>893</v>
      </c>
      <c r="D34" s="1801" t="s">
        <v>893</v>
      </c>
      <c r="E34" s="1801" t="s">
        <v>923</v>
      </c>
      <c r="F34" s="243"/>
      <c r="G34" s="243"/>
    </row>
    <row r="35" spans="1:26" ht="12.75" customHeight="1">
      <c r="A35" s="1821"/>
      <c r="B35" s="1800" t="s">
        <v>858</v>
      </c>
      <c r="C35" s="1822">
        <v>1</v>
      </c>
      <c r="D35" s="1822">
        <v>2</v>
      </c>
      <c r="E35" s="1822">
        <v>3</v>
      </c>
      <c r="F35" s="243"/>
      <c r="G35" s="243"/>
    </row>
    <row r="36" spans="1:26" ht="12.75" customHeight="1">
      <c r="A36" s="4084"/>
      <c r="B36" s="4085"/>
      <c r="C36" s="4086"/>
      <c r="D36" s="4086"/>
      <c r="E36" s="4087"/>
      <c r="F36" s="243"/>
      <c r="G36" s="243"/>
    </row>
    <row r="37" spans="1:26" s="2552" customFormat="1" ht="12.75" customHeight="1">
      <c r="A37" s="4088" t="s">
        <v>60</v>
      </c>
      <c r="B37" s="4089"/>
      <c r="C37" s="4089"/>
      <c r="D37" s="4089"/>
      <c r="E37" s="4090"/>
      <c r="F37" s="2550"/>
      <c r="G37" s="2550"/>
      <c r="H37" s="2551"/>
      <c r="I37" s="2551"/>
      <c r="J37" s="2551"/>
      <c r="K37" s="2551"/>
      <c r="L37" s="2551"/>
      <c r="M37" s="2551"/>
      <c r="N37" s="2551"/>
      <c r="O37" s="2551"/>
      <c r="P37" s="2551"/>
      <c r="Q37" s="2551"/>
      <c r="R37" s="2551"/>
      <c r="S37" s="2551"/>
      <c r="T37" s="2551"/>
      <c r="U37" s="2551"/>
      <c r="V37" s="2551"/>
      <c r="W37" s="2551"/>
      <c r="X37" s="2551"/>
      <c r="Y37" s="2551"/>
      <c r="Z37" s="2551"/>
    </row>
    <row r="38" spans="1:26" ht="12.75" customHeight="1">
      <c r="A38" s="2538" t="s">
        <v>61</v>
      </c>
      <c r="B38" s="2548"/>
      <c r="C38" s="2548"/>
      <c r="D38" s="2548"/>
      <c r="E38" s="2548"/>
      <c r="F38" s="243"/>
      <c r="G38" s="243"/>
    </row>
    <row r="39" spans="1:26" ht="12.75" customHeight="1">
      <c r="A39" s="2553" t="s">
        <v>972</v>
      </c>
      <c r="B39" s="2564"/>
      <c r="C39" s="2564"/>
      <c r="D39" s="2564"/>
      <c r="E39" s="2564"/>
      <c r="F39" s="243"/>
      <c r="G39" s="243"/>
    </row>
    <row r="40" spans="1:26" ht="12.75" customHeight="1">
      <c r="A40" s="2557" t="s">
        <v>999</v>
      </c>
      <c r="B40" s="2565">
        <v>210</v>
      </c>
      <c r="C40" s="2549"/>
      <c r="D40" s="2549"/>
      <c r="E40" s="2549"/>
      <c r="F40" s="243"/>
      <c r="G40" s="243"/>
    </row>
    <row r="41" spans="1:26" ht="12.75" customHeight="1">
      <c r="A41" s="2557" t="s">
        <v>943</v>
      </c>
      <c r="B41" s="2565">
        <v>215</v>
      </c>
      <c r="C41" s="2549"/>
      <c r="D41" s="2549"/>
      <c r="E41" s="2549"/>
      <c r="F41" s="243"/>
      <c r="G41" s="243"/>
    </row>
    <row r="42" spans="1:26" ht="12.75" customHeight="1">
      <c r="A42" s="2554" t="s">
        <v>973</v>
      </c>
      <c r="B42" s="2566"/>
      <c r="C42" s="2566"/>
      <c r="D42" s="2566"/>
      <c r="E42" s="2566"/>
      <c r="F42" s="243"/>
      <c r="G42" s="243"/>
    </row>
    <row r="43" spans="1:26" ht="12.75" customHeight="1">
      <c r="A43" s="2557" t="s">
        <v>974</v>
      </c>
      <c r="B43" s="2565">
        <v>220</v>
      </c>
      <c r="C43" s="2549"/>
      <c r="D43" s="2549"/>
      <c r="E43" s="2549"/>
      <c r="F43" s="243"/>
      <c r="G43" s="243"/>
    </row>
    <row r="44" spans="1:26" ht="12.75" customHeight="1">
      <c r="A44" s="2557" t="s">
        <v>977</v>
      </c>
      <c r="B44" s="2565">
        <v>225</v>
      </c>
      <c r="C44" s="2549"/>
      <c r="D44" s="2549"/>
      <c r="E44" s="2549"/>
      <c r="F44" s="243"/>
      <c r="G44" s="243"/>
    </row>
    <row r="45" spans="1:26" ht="12.75" customHeight="1">
      <c r="A45" s="2558" t="s">
        <v>978</v>
      </c>
      <c r="B45" s="2567">
        <v>230</v>
      </c>
      <c r="C45" s="1825"/>
      <c r="D45" s="1825"/>
      <c r="E45" s="1825"/>
      <c r="F45" s="243"/>
      <c r="G45" s="243"/>
    </row>
    <row r="46" spans="1:26" ht="12.75" customHeight="1">
      <c r="A46" s="2330" t="s">
        <v>4818</v>
      </c>
      <c r="B46" s="2568">
        <v>235</v>
      </c>
      <c r="C46" s="2579"/>
      <c r="D46" s="2579"/>
      <c r="E46" s="2579"/>
      <c r="F46" s="243"/>
      <c r="G46" s="243"/>
    </row>
    <row r="47" spans="1:26" ht="12.75" customHeight="1">
      <c r="A47" s="2559" t="s">
        <v>632</v>
      </c>
      <c r="B47" s="2569">
        <v>237</v>
      </c>
      <c r="C47" s="2579"/>
      <c r="D47" s="2579"/>
      <c r="E47" s="2579"/>
      <c r="F47" s="243"/>
      <c r="G47" s="243"/>
    </row>
    <row r="48" spans="1:26" ht="12.75" customHeight="1">
      <c r="A48" s="2554" t="s">
        <v>986</v>
      </c>
      <c r="B48" s="2566"/>
      <c r="C48" s="2566"/>
      <c r="D48" s="2566"/>
      <c r="E48" s="2566"/>
      <c r="F48" s="243"/>
      <c r="G48" s="243"/>
    </row>
    <row r="49" spans="1:7" ht="12.75" customHeight="1">
      <c r="A49" s="2553" t="s">
        <v>62</v>
      </c>
      <c r="B49" s="2564"/>
      <c r="C49" s="2564"/>
      <c r="D49" s="2564"/>
      <c r="E49" s="2564"/>
      <c r="F49" s="243"/>
      <c r="G49" s="243"/>
    </row>
    <row r="50" spans="1:7" ht="12.75" customHeight="1">
      <c r="A50" s="2557" t="s">
        <v>74</v>
      </c>
      <c r="B50" s="2565">
        <v>240</v>
      </c>
      <c r="C50" s="2549"/>
      <c r="D50" s="2549"/>
      <c r="E50" s="2549"/>
      <c r="F50" s="243"/>
      <c r="G50" s="243"/>
    </row>
    <row r="51" spans="1:7" ht="12.75" customHeight="1">
      <c r="A51" s="2558" t="s">
        <v>75</v>
      </c>
      <c r="B51" s="2567">
        <v>245</v>
      </c>
      <c r="C51" s="1825"/>
      <c r="D51" s="1825"/>
      <c r="E51" s="1825"/>
      <c r="F51" s="243"/>
      <c r="G51" s="243"/>
    </row>
    <row r="52" spans="1:7" ht="12.75" customHeight="1">
      <c r="A52" s="2558" t="s">
        <v>988</v>
      </c>
      <c r="B52" s="2567">
        <v>250</v>
      </c>
      <c r="C52" s="1825"/>
      <c r="D52" s="1825"/>
      <c r="E52" s="1825"/>
      <c r="F52" s="243"/>
      <c r="G52" s="243"/>
    </row>
    <row r="53" spans="1:7" ht="12.75" customHeight="1">
      <c r="A53" s="2554" t="s">
        <v>989</v>
      </c>
      <c r="B53" s="2566"/>
      <c r="C53" s="2566"/>
      <c r="D53" s="2566"/>
      <c r="E53" s="2566"/>
      <c r="F53" s="243"/>
      <c r="G53" s="243"/>
    </row>
    <row r="54" spans="1:7" ht="12.75" customHeight="1">
      <c r="A54" s="2557" t="s">
        <v>769</v>
      </c>
      <c r="B54" s="2565">
        <v>255</v>
      </c>
      <c r="C54" s="2549"/>
      <c r="D54" s="2549"/>
      <c r="E54" s="2549"/>
      <c r="F54" s="243"/>
      <c r="G54" s="243"/>
    </row>
    <row r="55" spans="1:7" ht="12.75" customHeight="1">
      <c r="A55" s="2558" t="s">
        <v>64</v>
      </c>
      <c r="B55" s="2567">
        <v>260</v>
      </c>
      <c r="C55" s="1825"/>
      <c r="D55" s="1825"/>
      <c r="E55" s="1825"/>
      <c r="F55" s="243"/>
      <c r="G55" s="243"/>
    </row>
    <row r="56" spans="1:7" ht="12.75" customHeight="1">
      <c r="A56" s="2560" t="s">
        <v>936</v>
      </c>
      <c r="B56" s="2570">
        <v>263</v>
      </c>
      <c r="C56" s="2549"/>
      <c r="D56" s="2549"/>
      <c r="E56" s="2549"/>
      <c r="F56" s="243"/>
      <c r="G56" s="243"/>
    </row>
    <row r="57" spans="1:7" ht="12.75" customHeight="1">
      <c r="A57" s="2557" t="s">
        <v>996</v>
      </c>
      <c r="B57" s="2565">
        <v>265</v>
      </c>
      <c r="C57" s="2549"/>
      <c r="D57" s="2549"/>
      <c r="E57" s="2549"/>
      <c r="F57" s="243"/>
      <c r="G57" s="243"/>
    </row>
    <row r="58" spans="1:7" ht="12.75" customHeight="1">
      <c r="A58" s="2558" t="s">
        <v>997</v>
      </c>
      <c r="B58" s="2567">
        <v>270</v>
      </c>
      <c r="C58" s="1825"/>
      <c r="D58" s="1825"/>
      <c r="E58" s="1825"/>
      <c r="F58" s="243"/>
      <c r="G58" s="243"/>
    </row>
    <row r="59" spans="1:7" ht="12.75" customHeight="1">
      <c r="A59" s="2558" t="s">
        <v>998</v>
      </c>
      <c r="B59" s="2567">
        <v>275</v>
      </c>
      <c r="C59" s="1825"/>
      <c r="D59" s="1825"/>
      <c r="E59" s="1825"/>
      <c r="F59" s="243"/>
      <c r="G59" s="243"/>
    </row>
    <row r="60" spans="1:7" ht="12.75" customHeight="1">
      <c r="A60" s="2554" t="s">
        <v>65</v>
      </c>
      <c r="B60" s="2566"/>
      <c r="C60" s="2566"/>
      <c r="D60" s="2566"/>
      <c r="E60" s="2566"/>
      <c r="F60" s="243"/>
      <c r="G60" s="243"/>
    </row>
    <row r="61" spans="1:7" ht="12.75" customHeight="1">
      <c r="A61" s="2553" t="s">
        <v>66</v>
      </c>
      <c r="B61" s="2564"/>
      <c r="C61" s="2564"/>
      <c r="D61" s="2564"/>
      <c r="E61" s="2564"/>
      <c r="F61" s="243"/>
      <c r="G61" s="243"/>
    </row>
    <row r="62" spans="1:7" ht="12.75" customHeight="1">
      <c r="A62" s="2553" t="s">
        <v>972</v>
      </c>
      <c r="B62" s="2564"/>
      <c r="C62" s="2564"/>
      <c r="D62" s="2564"/>
      <c r="E62" s="2564"/>
      <c r="F62" s="243"/>
      <c r="G62" s="243"/>
    </row>
    <row r="63" spans="1:7" ht="12.75" customHeight="1">
      <c r="A63" s="2557" t="s">
        <v>999</v>
      </c>
      <c r="B63" s="2565">
        <v>280</v>
      </c>
      <c r="C63" s="2549"/>
      <c r="D63" s="2549"/>
      <c r="E63" s="2549"/>
      <c r="F63" s="243"/>
      <c r="G63" s="243"/>
    </row>
    <row r="64" spans="1:7" ht="12.75" customHeight="1">
      <c r="A64" s="2558" t="s">
        <v>943</v>
      </c>
      <c r="B64" s="2567">
        <v>285</v>
      </c>
      <c r="C64" s="1825"/>
      <c r="D64" s="1825"/>
      <c r="E64" s="1825"/>
      <c r="F64" s="243"/>
      <c r="G64" s="243"/>
    </row>
    <row r="65" spans="1:7" ht="12.75" customHeight="1">
      <c r="A65" s="2554" t="s">
        <v>973</v>
      </c>
      <c r="B65" s="2566"/>
      <c r="C65" s="2566"/>
      <c r="D65" s="2566"/>
      <c r="E65" s="2566"/>
      <c r="F65" s="243"/>
      <c r="G65" s="243"/>
    </row>
    <row r="66" spans="1:7" ht="12.75" customHeight="1">
      <c r="A66" s="2557" t="s">
        <v>974</v>
      </c>
      <c r="B66" s="2565">
        <v>290</v>
      </c>
      <c r="C66" s="2549"/>
      <c r="D66" s="2549"/>
      <c r="E66" s="2549"/>
      <c r="F66" s="243"/>
      <c r="G66" s="243"/>
    </row>
    <row r="67" spans="1:7" ht="12.75" customHeight="1">
      <c r="A67" s="2558" t="s">
        <v>977</v>
      </c>
      <c r="B67" s="2567">
        <v>295</v>
      </c>
      <c r="C67" s="1825"/>
      <c r="D67" s="1825"/>
      <c r="E67" s="1825"/>
      <c r="F67" s="243"/>
      <c r="G67" s="243"/>
    </row>
    <row r="68" spans="1:7" ht="12.75" customHeight="1">
      <c r="A68" s="2558" t="s">
        <v>978</v>
      </c>
      <c r="B68" s="2567">
        <v>300</v>
      </c>
      <c r="C68" s="1825"/>
      <c r="D68" s="1825"/>
      <c r="E68" s="1825"/>
      <c r="F68" s="243"/>
      <c r="G68" s="243"/>
    </row>
    <row r="69" spans="1:7" ht="12.75" customHeight="1">
      <c r="A69" s="2330" t="s">
        <v>4818</v>
      </c>
      <c r="B69" s="2567">
        <v>305</v>
      </c>
      <c r="C69" s="1825"/>
      <c r="D69" s="1825"/>
      <c r="E69" s="1825"/>
      <c r="F69" s="243"/>
      <c r="G69" s="243"/>
    </row>
    <row r="70" spans="1:7" ht="12.75" customHeight="1">
      <c r="A70" s="2561" t="s">
        <v>632</v>
      </c>
      <c r="B70" s="2571">
        <v>307</v>
      </c>
      <c r="C70" s="1825"/>
      <c r="D70" s="1825"/>
      <c r="E70" s="1825"/>
      <c r="F70" s="243"/>
      <c r="G70" s="243"/>
    </row>
    <row r="71" spans="1:7" ht="12.75" customHeight="1">
      <c r="A71" s="2546" t="s">
        <v>986</v>
      </c>
      <c r="B71" s="2544">
        <v>310</v>
      </c>
      <c r="C71" s="1825"/>
      <c r="D71" s="1825"/>
      <c r="E71" s="1825"/>
      <c r="F71" s="243"/>
      <c r="G71" s="243"/>
    </row>
    <row r="72" spans="1:7" ht="12.75" customHeight="1">
      <c r="A72" s="2546" t="s">
        <v>989</v>
      </c>
      <c r="B72" s="2544">
        <v>315</v>
      </c>
      <c r="C72" s="1825"/>
      <c r="D72" s="1825"/>
      <c r="E72" s="1825"/>
      <c r="F72" s="243"/>
      <c r="G72" s="243"/>
    </row>
    <row r="73" spans="1:7" ht="12.75" customHeight="1">
      <c r="A73" s="2557" t="s">
        <v>997</v>
      </c>
      <c r="B73" s="2565">
        <v>320</v>
      </c>
      <c r="C73" s="2549"/>
      <c r="D73" s="2549"/>
      <c r="E73" s="2549"/>
      <c r="F73" s="243"/>
      <c r="G73" s="243"/>
    </row>
    <row r="74" spans="1:7" ht="12.75" customHeight="1">
      <c r="A74" s="2558" t="s">
        <v>998</v>
      </c>
      <c r="B74" s="2567">
        <v>325</v>
      </c>
      <c r="C74" s="1825"/>
      <c r="D74" s="1825"/>
      <c r="E74" s="1825"/>
      <c r="F74" s="243"/>
      <c r="G74" s="243"/>
    </row>
    <row r="75" spans="1:7" ht="12.75" customHeight="1">
      <c r="A75" s="2554" t="s">
        <v>256</v>
      </c>
      <c r="B75" s="2566"/>
      <c r="C75" s="2566"/>
      <c r="D75" s="2566"/>
      <c r="E75" s="2566"/>
      <c r="F75" s="243"/>
      <c r="G75" s="243"/>
    </row>
    <row r="76" spans="1:7" ht="12.75" customHeight="1">
      <c r="A76" s="2553" t="s">
        <v>972</v>
      </c>
      <c r="B76" s="2564"/>
      <c r="C76" s="2564"/>
      <c r="D76" s="2564"/>
      <c r="E76" s="2564"/>
      <c r="F76" s="243"/>
      <c r="G76" s="243"/>
    </row>
    <row r="77" spans="1:7" ht="12.75" customHeight="1">
      <c r="A77" s="2557" t="s">
        <v>999</v>
      </c>
      <c r="B77" s="2565">
        <v>330</v>
      </c>
      <c r="C77" s="2549"/>
      <c r="D77" s="2549"/>
      <c r="E77" s="2549"/>
      <c r="F77" s="243"/>
      <c r="G77" s="243"/>
    </row>
    <row r="78" spans="1:7" ht="12.75" customHeight="1">
      <c r="A78" s="2558" t="s">
        <v>943</v>
      </c>
      <c r="B78" s="2567">
        <v>335</v>
      </c>
      <c r="C78" s="1825"/>
      <c r="D78" s="1825"/>
      <c r="E78" s="1825"/>
      <c r="F78" s="243"/>
      <c r="G78" s="243"/>
    </row>
    <row r="79" spans="1:7" ht="12.75" customHeight="1">
      <c r="A79" s="2554" t="s">
        <v>973</v>
      </c>
      <c r="B79" s="2566"/>
      <c r="C79" s="2566"/>
      <c r="D79" s="2566"/>
      <c r="E79" s="2566"/>
      <c r="F79" s="243"/>
      <c r="G79" s="243"/>
    </row>
    <row r="80" spans="1:7" ht="12.75" customHeight="1">
      <c r="A80" s="2557" t="s">
        <v>974</v>
      </c>
      <c r="B80" s="2565">
        <v>340</v>
      </c>
      <c r="C80" s="2549"/>
      <c r="D80" s="2549"/>
      <c r="E80" s="2549"/>
      <c r="F80" s="243"/>
      <c r="G80" s="243"/>
    </row>
    <row r="81" spans="1:7" ht="12.75" customHeight="1">
      <c r="A81" s="2558" t="s">
        <v>977</v>
      </c>
      <c r="B81" s="2567">
        <v>345</v>
      </c>
      <c r="C81" s="1825"/>
      <c r="D81" s="1825"/>
      <c r="E81" s="1825"/>
      <c r="F81" s="243"/>
      <c r="G81" s="243"/>
    </row>
    <row r="82" spans="1:7" ht="12.75" customHeight="1">
      <c r="A82" s="2558" t="s">
        <v>978</v>
      </c>
      <c r="B82" s="2567">
        <v>350</v>
      </c>
      <c r="C82" s="1825"/>
      <c r="D82" s="1825"/>
      <c r="E82" s="1825"/>
      <c r="F82" s="243"/>
      <c r="G82" s="243"/>
    </row>
    <row r="83" spans="1:7" ht="12.75" customHeight="1">
      <c r="A83" s="2330" t="s">
        <v>4818</v>
      </c>
      <c r="B83" s="2567">
        <v>355</v>
      </c>
      <c r="C83" s="1825"/>
      <c r="D83" s="1825"/>
      <c r="E83" s="1825"/>
      <c r="F83" s="243"/>
      <c r="G83" s="243"/>
    </row>
    <row r="84" spans="1:7" ht="12.75" customHeight="1">
      <c r="A84" s="2561" t="s">
        <v>979</v>
      </c>
      <c r="B84" s="2571">
        <v>357</v>
      </c>
      <c r="C84" s="1825"/>
      <c r="D84" s="1825"/>
      <c r="E84" s="1825"/>
      <c r="F84" s="243"/>
      <c r="G84" s="243"/>
    </row>
    <row r="85" spans="1:7" ht="12.75" customHeight="1">
      <c r="A85" s="2558" t="s">
        <v>986</v>
      </c>
      <c r="B85" s="2567">
        <v>360</v>
      </c>
      <c r="C85" s="1825"/>
      <c r="D85" s="1825"/>
      <c r="E85" s="1825"/>
      <c r="F85" s="243"/>
      <c r="G85" s="243"/>
    </row>
    <row r="86" spans="1:7" ht="12.75" customHeight="1">
      <c r="A86" s="2554" t="s">
        <v>989</v>
      </c>
      <c r="B86" s="2566"/>
      <c r="C86" s="2566"/>
      <c r="D86" s="2566"/>
      <c r="E86" s="2566"/>
      <c r="F86" s="243"/>
      <c r="G86" s="243"/>
    </row>
    <row r="87" spans="1:7" ht="12.75" customHeight="1">
      <c r="A87" s="2331" t="s">
        <v>770</v>
      </c>
      <c r="B87" s="2572">
        <v>365</v>
      </c>
      <c r="C87" s="2580"/>
      <c r="D87" s="2580"/>
      <c r="E87" s="2580"/>
      <c r="F87" s="243"/>
      <c r="G87" s="243"/>
    </row>
    <row r="88" spans="1:7" ht="12.75" customHeight="1">
      <c r="A88" s="2330" t="s">
        <v>693</v>
      </c>
      <c r="B88" s="2568">
        <v>370</v>
      </c>
      <c r="C88" s="2579"/>
      <c r="D88" s="2579"/>
      <c r="E88" s="2579"/>
      <c r="F88" s="243"/>
      <c r="G88" s="243"/>
    </row>
    <row r="89" spans="1:7" ht="12.75" customHeight="1">
      <c r="A89" s="2558" t="s">
        <v>996</v>
      </c>
      <c r="B89" s="2567">
        <v>375</v>
      </c>
      <c r="C89" s="1825"/>
      <c r="D89" s="1825"/>
      <c r="E89" s="1825"/>
      <c r="F89" s="243"/>
      <c r="G89" s="243"/>
    </row>
    <row r="90" spans="1:7" ht="12.75" customHeight="1">
      <c r="A90" s="2558" t="s">
        <v>997</v>
      </c>
      <c r="B90" s="2567">
        <v>380</v>
      </c>
      <c r="C90" s="1825"/>
      <c r="D90" s="1825"/>
      <c r="E90" s="1825"/>
      <c r="F90" s="243"/>
      <c r="G90" s="243"/>
    </row>
    <row r="91" spans="1:7" ht="12.75" customHeight="1">
      <c r="A91" s="2558" t="s">
        <v>998</v>
      </c>
      <c r="B91" s="2567">
        <v>385</v>
      </c>
      <c r="C91" s="1825"/>
      <c r="D91" s="1825"/>
      <c r="E91" s="1825"/>
      <c r="F91" s="243"/>
      <c r="G91" s="243"/>
    </row>
    <row r="92" spans="1:7" ht="12.75" customHeight="1">
      <c r="A92" s="2554" t="s">
        <v>68</v>
      </c>
      <c r="B92" s="2566"/>
      <c r="C92" s="2566"/>
      <c r="D92" s="2566"/>
      <c r="E92" s="2566"/>
      <c r="F92" s="243"/>
      <c r="G92" s="243"/>
    </row>
    <row r="93" spans="1:7" ht="12.75" customHeight="1">
      <c r="A93" s="2553" t="s">
        <v>618</v>
      </c>
      <c r="B93" s="2564"/>
      <c r="C93" s="2564"/>
      <c r="D93" s="2564"/>
      <c r="E93" s="2564"/>
      <c r="F93" s="243"/>
      <c r="G93" s="243"/>
    </row>
    <row r="94" spans="1:7" ht="12.75" customHeight="1">
      <c r="A94" s="2553" t="s">
        <v>972</v>
      </c>
      <c r="B94" s="2564"/>
      <c r="C94" s="2564"/>
      <c r="D94" s="2564"/>
      <c r="E94" s="2564"/>
      <c r="F94" s="243"/>
      <c r="G94" s="243"/>
    </row>
    <row r="95" spans="1:7" ht="12.75" customHeight="1">
      <c r="A95" s="2557" t="s">
        <v>999</v>
      </c>
      <c r="B95" s="2565">
        <v>390</v>
      </c>
      <c r="C95" s="2549"/>
      <c r="D95" s="2549"/>
      <c r="E95" s="2549"/>
      <c r="F95" s="243"/>
      <c r="G95" s="243"/>
    </row>
    <row r="96" spans="1:7" ht="12.75" customHeight="1">
      <c r="A96" s="2558" t="s">
        <v>943</v>
      </c>
      <c r="B96" s="2567">
        <v>395</v>
      </c>
      <c r="C96" s="1825"/>
      <c r="D96" s="1825"/>
      <c r="E96" s="1825"/>
      <c r="F96" s="243"/>
      <c r="G96" s="243"/>
    </row>
    <row r="97" spans="1:7" ht="12.75" customHeight="1">
      <c r="A97" s="2554" t="s">
        <v>973</v>
      </c>
      <c r="B97" s="2566"/>
      <c r="C97" s="2566"/>
      <c r="D97" s="2566"/>
      <c r="E97" s="2566"/>
      <c r="F97" s="243"/>
      <c r="G97" s="243"/>
    </row>
    <row r="98" spans="1:7" ht="12.75" customHeight="1">
      <c r="A98" s="2557" t="s">
        <v>974</v>
      </c>
      <c r="B98" s="2565">
        <v>400</v>
      </c>
      <c r="C98" s="2549"/>
      <c r="D98" s="2549"/>
      <c r="E98" s="2549"/>
      <c r="F98" s="243"/>
      <c r="G98" s="243"/>
    </row>
    <row r="99" spans="1:7" ht="12.75" customHeight="1">
      <c r="A99" s="2558" t="s">
        <v>977</v>
      </c>
      <c r="B99" s="2567">
        <v>405</v>
      </c>
      <c r="C99" s="1825"/>
      <c r="D99" s="1825"/>
      <c r="E99" s="1825"/>
      <c r="F99" s="243"/>
      <c r="G99" s="243"/>
    </row>
    <row r="100" spans="1:7" ht="12.75" customHeight="1">
      <c r="A100" s="2558" t="s">
        <v>978</v>
      </c>
      <c r="B100" s="2567">
        <v>410</v>
      </c>
      <c r="C100" s="1825"/>
      <c r="D100" s="1825"/>
      <c r="E100" s="1825"/>
      <c r="F100" s="243"/>
      <c r="G100" s="243"/>
    </row>
    <row r="101" spans="1:7" ht="12.75" customHeight="1">
      <c r="A101" s="2330" t="s">
        <v>4818</v>
      </c>
      <c r="B101" s="2567">
        <v>415</v>
      </c>
      <c r="C101" s="1825"/>
      <c r="D101" s="1825"/>
      <c r="E101" s="1825"/>
      <c r="F101" s="243"/>
      <c r="G101" s="243"/>
    </row>
    <row r="102" spans="1:7" ht="12.75" customHeight="1">
      <c r="A102" s="2558" t="s">
        <v>979</v>
      </c>
      <c r="B102" s="2567">
        <v>420</v>
      </c>
      <c r="C102" s="1825"/>
      <c r="D102" s="1825"/>
      <c r="E102" s="1825"/>
      <c r="F102" s="243"/>
      <c r="G102" s="243"/>
    </row>
    <row r="103" spans="1:7" ht="12.75" customHeight="1">
      <c r="A103" s="2558" t="s">
        <v>986</v>
      </c>
      <c r="B103" s="2567">
        <v>425</v>
      </c>
      <c r="C103" s="1825"/>
      <c r="D103" s="1825"/>
      <c r="E103" s="1825"/>
      <c r="F103" s="243"/>
      <c r="G103" s="243"/>
    </row>
    <row r="104" spans="1:7" ht="12.75" customHeight="1">
      <c r="A104" s="2558" t="s">
        <v>989</v>
      </c>
      <c r="B104" s="2567">
        <v>430</v>
      </c>
      <c r="C104" s="1825"/>
      <c r="D104" s="1825"/>
      <c r="E104" s="1825"/>
      <c r="F104" s="243"/>
      <c r="G104" s="243"/>
    </row>
    <row r="105" spans="1:7" ht="12.75" customHeight="1">
      <c r="A105" s="2558" t="s">
        <v>997</v>
      </c>
      <c r="B105" s="2567">
        <v>435</v>
      </c>
      <c r="C105" s="1825"/>
      <c r="D105" s="1825"/>
      <c r="E105" s="1825"/>
      <c r="F105" s="243"/>
      <c r="G105" s="243"/>
    </row>
    <row r="106" spans="1:7" ht="12.75" customHeight="1">
      <c r="A106" s="2558" t="s">
        <v>998</v>
      </c>
      <c r="B106" s="2567">
        <v>440</v>
      </c>
      <c r="C106" s="1825"/>
      <c r="D106" s="1825"/>
      <c r="E106" s="1825"/>
      <c r="F106" s="243"/>
      <c r="G106" s="243"/>
    </row>
    <row r="107" spans="1:7" ht="12.75" customHeight="1">
      <c r="A107" s="2554" t="s">
        <v>77</v>
      </c>
      <c r="B107" s="2566"/>
      <c r="C107" s="2566"/>
      <c r="D107" s="2566"/>
      <c r="E107" s="2566"/>
      <c r="F107" s="243"/>
      <c r="G107" s="243"/>
    </row>
    <row r="108" spans="1:7" ht="12.75" customHeight="1">
      <c r="A108" s="2553" t="s">
        <v>972</v>
      </c>
      <c r="B108" s="2564"/>
      <c r="C108" s="2564"/>
      <c r="D108" s="2564"/>
      <c r="E108" s="2564"/>
      <c r="F108" s="243"/>
      <c r="G108" s="243"/>
    </row>
    <row r="109" spans="1:7" ht="12.75" customHeight="1">
      <c r="A109" s="2557" t="s">
        <v>999</v>
      </c>
      <c r="B109" s="2565">
        <v>445</v>
      </c>
      <c r="C109" s="2549"/>
      <c r="D109" s="2549"/>
      <c r="E109" s="2549"/>
      <c r="F109" s="243"/>
      <c r="G109" s="243"/>
    </row>
    <row r="110" spans="1:7" ht="12.75" customHeight="1">
      <c r="A110" s="2558" t="s">
        <v>943</v>
      </c>
      <c r="B110" s="2567">
        <v>450</v>
      </c>
      <c r="C110" s="1825"/>
      <c r="D110" s="1825"/>
      <c r="E110" s="1825"/>
      <c r="F110" s="243"/>
      <c r="G110" s="243"/>
    </row>
    <row r="111" spans="1:7" ht="12.75" customHeight="1">
      <c r="A111" s="2554" t="s">
        <v>973</v>
      </c>
      <c r="B111" s="2566"/>
      <c r="C111" s="2566"/>
      <c r="D111" s="2566"/>
      <c r="E111" s="2566"/>
      <c r="F111" s="243"/>
      <c r="G111" s="243"/>
    </row>
    <row r="112" spans="1:7" ht="12.75" customHeight="1">
      <c r="A112" s="2557" t="s">
        <v>974</v>
      </c>
      <c r="B112" s="2565">
        <v>455</v>
      </c>
      <c r="C112" s="2549"/>
      <c r="D112" s="2549"/>
      <c r="E112" s="2549"/>
      <c r="F112" s="243"/>
      <c r="G112" s="243"/>
    </row>
    <row r="113" spans="1:7" ht="12.75" customHeight="1">
      <c r="A113" s="2558" t="s">
        <v>977</v>
      </c>
      <c r="B113" s="2567">
        <v>460</v>
      </c>
      <c r="C113" s="1825"/>
      <c r="D113" s="1825"/>
      <c r="E113" s="1825"/>
      <c r="F113" s="243"/>
      <c r="G113" s="243"/>
    </row>
    <row r="114" spans="1:7" ht="12.75" customHeight="1">
      <c r="A114" s="2558" t="s">
        <v>978</v>
      </c>
      <c r="B114" s="2567">
        <v>465</v>
      </c>
      <c r="C114" s="1825"/>
      <c r="D114" s="1825"/>
      <c r="E114" s="1825"/>
      <c r="F114" s="243"/>
      <c r="G114" s="243"/>
    </row>
    <row r="115" spans="1:7" ht="12.75" customHeight="1">
      <c r="A115" s="2330" t="s">
        <v>4818</v>
      </c>
      <c r="B115" s="2567">
        <v>470</v>
      </c>
      <c r="C115" s="1825"/>
      <c r="D115" s="1825"/>
      <c r="E115" s="1825"/>
      <c r="F115" s="243"/>
      <c r="G115" s="243"/>
    </row>
    <row r="116" spans="1:7" ht="12.75" customHeight="1">
      <c r="A116" s="2558" t="s">
        <v>986</v>
      </c>
      <c r="B116" s="2567">
        <v>475</v>
      </c>
      <c r="C116" s="1825"/>
      <c r="D116" s="1825"/>
      <c r="E116" s="1825"/>
      <c r="F116" s="243"/>
      <c r="G116" s="243"/>
    </row>
    <row r="117" spans="1:7" ht="12.75" customHeight="1">
      <c r="A117" s="2558" t="s">
        <v>989</v>
      </c>
      <c r="B117" s="2567">
        <v>480</v>
      </c>
      <c r="C117" s="1825"/>
      <c r="D117" s="1825"/>
      <c r="E117" s="1825"/>
      <c r="F117" s="243"/>
      <c r="G117" s="243"/>
    </row>
    <row r="118" spans="1:7" ht="12.75" customHeight="1">
      <c r="A118" s="2558" t="s">
        <v>997</v>
      </c>
      <c r="B118" s="2567">
        <v>485</v>
      </c>
      <c r="C118" s="1825"/>
      <c r="D118" s="1825"/>
      <c r="E118" s="1825"/>
      <c r="F118" s="243"/>
      <c r="G118" s="243"/>
    </row>
    <row r="119" spans="1:7" ht="12.75" customHeight="1">
      <c r="A119" s="2558" t="s">
        <v>998</v>
      </c>
      <c r="B119" s="2567">
        <v>490</v>
      </c>
      <c r="C119" s="1825"/>
      <c r="D119" s="1825"/>
      <c r="E119" s="1825"/>
      <c r="F119" s="243"/>
      <c r="G119" s="243"/>
    </row>
    <row r="120" spans="1:7" ht="12.75" customHeight="1">
      <c r="A120" s="2555" t="s">
        <v>1320</v>
      </c>
      <c r="B120" s="2573"/>
      <c r="C120" s="2573"/>
      <c r="D120" s="2573"/>
      <c r="E120" s="2573"/>
      <c r="F120" s="243"/>
      <c r="G120" s="243"/>
    </row>
    <row r="121" spans="1:7" ht="12.75" customHeight="1">
      <c r="A121" s="2556" t="s">
        <v>941</v>
      </c>
      <c r="B121" s="2574"/>
      <c r="C121" s="2574"/>
      <c r="D121" s="2574"/>
      <c r="E121" s="2574"/>
      <c r="F121" s="243"/>
      <c r="G121" s="243"/>
    </row>
    <row r="122" spans="1:7" ht="12.75" customHeight="1">
      <c r="A122" s="2562" t="s">
        <v>942</v>
      </c>
      <c r="B122" s="2575">
        <v>795</v>
      </c>
      <c r="C122" s="2581"/>
      <c r="D122" s="2581"/>
      <c r="E122" s="2581"/>
      <c r="F122" s="243"/>
      <c r="G122" s="243"/>
    </row>
    <row r="123" spans="1:7" ht="12.75" customHeight="1">
      <c r="A123" s="2562" t="s">
        <v>313</v>
      </c>
      <c r="B123" s="2575">
        <v>800</v>
      </c>
      <c r="C123" s="2581"/>
      <c r="D123" s="2581"/>
      <c r="E123" s="2581"/>
      <c r="F123" s="243"/>
      <c r="G123" s="243"/>
    </row>
    <row r="124" spans="1:7" ht="12.75" customHeight="1">
      <c r="A124" s="2555" t="s">
        <v>944</v>
      </c>
      <c r="B124" s="2573"/>
      <c r="C124" s="2573"/>
      <c r="D124" s="2573"/>
      <c r="E124" s="2573"/>
      <c r="F124" s="243"/>
      <c r="G124" s="243"/>
    </row>
    <row r="125" spans="1:7" ht="12.75" customHeight="1">
      <c r="A125" s="2562" t="s">
        <v>295</v>
      </c>
      <c r="B125" s="2575">
        <v>805</v>
      </c>
      <c r="C125" s="2581"/>
      <c r="D125" s="2581"/>
      <c r="E125" s="2581"/>
      <c r="F125" s="243"/>
      <c r="G125" s="243"/>
    </row>
    <row r="126" spans="1:7" ht="12.75" customHeight="1">
      <c r="A126" s="2563" t="s">
        <v>946</v>
      </c>
      <c r="B126" s="2576">
        <v>810</v>
      </c>
      <c r="C126" s="2023"/>
      <c r="D126" s="2023"/>
      <c r="E126" s="2023"/>
      <c r="F126" s="243"/>
      <c r="G126" s="243"/>
    </row>
    <row r="127" spans="1:7" ht="12.75" customHeight="1">
      <c r="A127" s="2563" t="s">
        <v>947</v>
      </c>
      <c r="B127" s="2576">
        <v>815</v>
      </c>
      <c r="C127" s="2023"/>
      <c r="D127" s="2023"/>
      <c r="E127" s="2023"/>
      <c r="F127" s="243"/>
      <c r="G127" s="243"/>
    </row>
    <row r="128" spans="1:7" ht="12.75" customHeight="1">
      <c r="A128" s="2330" t="s">
        <v>4818</v>
      </c>
      <c r="B128" s="2577">
        <v>820</v>
      </c>
      <c r="C128" s="2582"/>
      <c r="D128" s="2582"/>
      <c r="E128" s="2582"/>
      <c r="F128" s="243"/>
      <c r="G128" s="243"/>
    </row>
    <row r="129" spans="1:7" ht="12.75" customHeight="1">
      <c r="A129" s="2563" t="s">
        <v>968</v>
      </c>
      <c r="B129" s="2576">
        <v>825</v>
      </c>
      <c r="C129" s="2023"/>
      <c r="D129" s="2023"/>
      <c r="E129" s="2023"/>
      <c r="F129" s="243"/>
      <c r="G129" s="243"/>
    </row>
    <row r="130" spans="1:7" ht="12.75" customHeight="1">
      <c r="A130" s="2563" t="s">
        <v>950</v>
      </c>
      <c r="B130" s="2576">
        <v>830</v>
      </c>
      <c r="C130" s="2023"/>
      <c r="D130" s="2023"/>
      <c r="E130" s="2023"/>
      <c r="F130" s="243"/>
      <c r="G130" s="243"/>
    </row>
    <row r="131" spans="1:7" ht="12.75" customHeight="1">
      <c r="A131" s="2563" t="s">
        <v>955</v>
      </c>
      <c r="B131" s="2576">
        <v>835</v>
      </c>
      <c r="C131" s="2023"/>
      <c r="D131" s="2023"/>
      <c r="E131" s="2023"/>
      <c r="F131" s="243"/>
      <c r="G131" s="243"/>
    </row>
    <row r="132" spans="1:7" ht="12.75" customHeight="1">
      <c r="A132" s="2563" t="s">
        <v>959</v>
      </c>
      <c r="B132" s="2576">
        <v>840</v>
      </c>
      <c r="C132" s="2023"/>
      <c r="D132" s="2023"/>
      <c r="E132" s="2023"/>
      <c r="F132" s="243"/>
      <c r="G132" s="243"/>
    </row>
    <row r="133" spans="1:7" ht="12.75" customHeight="1">
      <c r="A133" s="2563" t="s">
        <v>960</v>
      </c>
      <c r="B133" s="2576">
        <v>845</v>
      </c>
      <c r="C133" s="2023"/>
      <c r="D133" s="2023"/>
      <c r="E133" s="2023"/>
      <c r="F133" s="243"/>
      <c r="G133" s="243"/>
    </row>
    <row r="134" spans="1:7" ht="12.75" customHeight="1">
      <c r="A134" s="2554" t="s">
        <v>284</v>
      </c>
      <c r="B134" s="2566"/>
      <c r="C134" s="2566"/>
      <c r="D134" s="2566"/>
      <c r="E134" s="2566"/>
      <c r="F134" s="243"/>
      <c r="G134" s="243"/>
    </row>
    <row r="135" spans="1:7" ht="12.75" customHeight="1">
      <c r="A135" s="2553" t="s">
        <v>941</v>
      </c>
      <c r="B135" s="2564"/>
      <c r="C135" s="2564"/>
      <c r="D135" s="2564"/>
      <c r="E135" s="2564"/>
      <c r="F135" s="243"/>
      <c r="G135" s="243"/>
    </row>
    <row r="136" spans="1:7" ht="12.75" customHeight="1">
      <c r="A136" s="2557" t="s">
        <v>45</v>
      </c>
      <c r="B136" s="2565">
        <v>495</v>
      </c>
      <c r="C136" s="2549"/>
      <c r="D136" s="2549"/>
      <c r="E136" s="2549"/>
      <c r="F136" s="243"/>
      <c r="G136" s="243"/>
    </row>
    <row r="137" spans="1:7" ht="12.75" customHeight="1">
      <c r="A137" s="2554" t="s">
        <v>944</v>
      </c>
      <c r="B137" s="2566"/>
      <c r="C137" s="2566"/>
      <c r="D137" s="2566"/>
      <c r="E137" s="2566"/>
      <c r="F137" s="243"/>
      <c r="G137" s="243"/>
    </row>
    <row r="138" spans="1:7" ht="12.75" customHeight="1">
      <c r="A138" s="2557" t="s">
        <v>945</v>
      </c>
      <c r="B138" s="2565">
        <v>500</v>
      </c>
      <c r="C138" s="2549"/>
      <c r="D138" s="2549"/>
      <c r="E138" s="2549"/>
      <c r="F138" s="243"/>
      <c r="G138" s="243"/>
    </row>
    <row r="139" spans="1:7" ht="12.75" customHeight="1">
      <c r="A139" s="2558" t="s">
        <v>946</v>
      </c>
      <c r="B139" s="2567">
        <v>505</v>
      </c>
      <c r="C139" s="1825"/>
      <c r="D139" s="1825"/>
      <c r="E139" s="1825"/>
      <c r="F139" s="243"/>
      <c r="G139" s="243"/>
    </row>
    <row r="140" spans="1:7" ht="12.75" customHeight="1">
      <c r="A140" s="2558" t="s">
        <v>947</v>
      </c>
      <c r="B140" s="2567">
        <v>510</v>
      </c>
      <c r="C140" s="1825"/>
      <c r="D140" s="1825"/>
      <c r="E140" s="1825"/>
      <c r="F140" s="243"/>
      <c r="G140" s="243"/>
    </row>
    <row r="141" spans="1:7" ht="12.75" customHeight="1">
      <c r="A141" s="2330" t="s">
        <v>4818</v>
      </c>
      <c r="B141" s="2568">
        <v>515</v>
      </c>
      <c r="C141" s="2579"/>
      <c r="D141" s="2579"/>
      <c r="E141" s="2579"/>
      <c r="F141" s="243"/>
      <c r="G141" s="243"/>
    </row>
    <row r="142" spans="1:7" ht="12.75" customHeight="1">
      <c r="A142" s="2554" t="s">
        <v>968</v>
      </c>
      <c r="B142" s="2566"/>
      <c r="C142" s="2566"/>
      <c r="D142" s="2566"/>
      <c r="E142" s="2566"/>
      <c r="F142" s="243"/>
      <c r="G142" s="243"/>
    </row>
    <row r="143" spans="1:7" ht="12.75" customHeight="1">
      <c r="A143" s="2557" t="s">
        <v>286</v>
      </c>
      <c r="B143" s="2565">
        <v>520</v>
      </c>
      <c r="C143" s="2549"/>
      <c r="D143" s="2549"/>
      <c r="E143" s="2549"/>
      <c r="F143" s="243"/>
      <c r="G143" s="243"/>
    </row>
    <row r="144" spans="1:7" ht="12.75" customHeight="1">
      <c r="A144" s="2558" t="s">
        <v>606</v>
      </c>
      <c r="B144" s="2567">
        <v>525</v>
      </c>
      <c r="C144" s="1825"/>
      <c r="D144" s="1825"/>
      <c r="E144" s="1825"/>
      <c r="F144" s="243"/>
      <c r="G144" s="243"/>
    </row>
    <row r="145" spans="1:7" ht="12.75" customHeight="1">
      <c r="A145" s="2558" t="s">
        <v>607</v>
      </c>
      <c r="B145" s="2567">
        <v>530</v>
      </c>
      <c r="C145" s="1825"/>
      <c r="D145" s="1825"/>
      <c r="E145" s="1825"/>
      <c r="F145" s="243"/>
      <c r="G145" s="243"/>
    </row>
    <row r="146" spans="1:7" ht="12.75" customHeight="1">
      <c r="A146" s="2558" t="s">
        <v>608</v>
      </c>
      <c r="B146" s="2567">
        <v>535</v>
      </c>
      <c r="C146" s="1825"/>
      <c r="D146" s="1825"/>
      <c r="E146" s="1825"/>
      <c r="F146" s="243"/>
      <c r="G146" s="243"/>
    </row>
    <row r="147" spans="1:7" ht="12.75" customHeight="1">
      <c r="A147" s="2558" t="s">
        <v>287</v>
      </c>
      <c r="B147" s="2567">
        <v>540</v>
      </c>
      <c r="C147" s="1825"/>
      <c r="D147" s="1825"/>
      <c r="E147" s="1825"/>
      <c r="F147" s="243"/>
      <c r="G147" s="243"/>
    </row>
    <row r="148" spans="1:7" ht="12.75" customHeight="1">
      <c r="A148" s="2558" t="s">
        <v>950</v>
      </c>
      <c r="B148" s="2567">
        <v>545</v>
      </c>
      <c r="C148" s="1825"/>
      <c r="D148" s="1825"/>
      <c r="E148" s="1825"/>
      <c r="F148" s="243"/>
      <c r="G148" s="243"/>
    </row>
    <row r="149" spans="1:7" ht="12.75" customHeight="1">
      <c r="A149" s="2554" t="s">
        <v>955</v>
      </c>
      <c r="B149" s="2566"/>
      <c r="C149" s="2566"/>
      <c r="D149" s="2566"/>
      <c r="E149" s="2566"/>
      <c r="F149" s="243"/>
      <c r="G149" s="243"/>
    </row>
    <row r="150" spans="1:7" ht="12.75" customHeight="1">
      <c r="A150" s="2557" t="s">
        <v>288</v>
      </c>
      <c r="B150" s="2565">
        <v>550</v>
      </c>
      <c r="C150" s="2549"/>
      <c r="D150" s="2549"/>
      <c r="E150" s="2549"/>
      <c r="F150" s="243"/>
      <c r="G150" s="243"/>
    </row>
    <row r="151" spans="1:7" ht="12.75" customHeight="1">
      <c r="A151" s="2554" t="s">
        <v>289</v>
      </c>
      <c r="B151" s="2566"/>
      <c r="C151" s="2566"/>
      <c r="D151" s="2566"/>
      <c r="E151" s="2566"/>
      <c r="F151" s="243"/>
      <c r="G151" s="243"/>
    </row>
    <row r="152" spans="1:7" ht="12.75" customHeight="1">
      <c r="A152" s="2557" t="s">
        <v>290</v>
      </c>
      <c r="B152" s="2565">
        <v>555</v>
      </c>
      <c r="C152" s="2549"/>
      <c r="D152" s="2549"/>
      <c r="E152" s="2549"/>
      <c r="F152" s="243"/>
      <c r="G152" s="243"/>
    </row>
    <row r="153" spans="1:7" ht="12.75" customHeight="1">
      <c r="A153" s="2558" t="s">
        <v>291</v>
      </c>
      <c r="B153" s="2567">
        <v>560</v>
      </c>
      <c r="C153" s="1825"/>
      <c r="D153" s="1825"/>
      <c r="E153" s="1825"/>
      <c r="F153" s="243"/>
      <c r="G153" s="243"/>
    </row>
    <row r="154" spans="1:7" ht="12.75" customHeight="1">
      <c r="A154" s="2558" t="s">
        <v>51</v>
      </c>
      <c r="B154" s="2567">
        <v>565</v>
      </c>
      <c r="C154" s="1825"/>
      <c r="D154" s="1825"/>
      <c r="E154" s="1825"/>
      <c r="F154" s="243"/>
      <c r="G154" s="243"/>
    </row>
    <row r="155" spans="1:7" ht="12.75" customHeight="1">
      <c r="A155" s="2558" t="s">
        <v>292</v>
      </c>
      <c r="B155" s="2567">
        <v>570</v>
      </c>
      <c r="C155" s="1825"/>
      <c r="D155" s="1825"/>
      <c r="E155" s="1825"/>
      <c r="F155" s="243"/>
      <c r="G155" s="243"/>
    </row>
    <row r="156" spans="1:7" ht="12.75" customHeight="1">
      <c r="A156" s="2558" t="s">
        <v>958</v>
      </c>
      <c r="B156" s="2567">
        <v>575</v>
      </c>
      <c r="C156" s="1825"/>
      <c r="D156" s="1825"/>
      <c r="E156" s="1825"/>
      <c r="F156" s="243"/>
      <c r="G156" s="243"/>
    </row>
    <row r="157" spans="1:7" ht="12.75" customHeight="1">
      <c r="A157" s="2558" t="s">
        <v>959</v>
      </c>
      <c r="B157" s="2567">
        <v>580</v>
      </c>
      <c r="C157" s="1825"/>
      <c r="D157" s="1825"/>
      <c r="E157" s="1825"/>
      <c r="F157" s="243"/>
      <c r="G157" s="243"/>
    </row>
    <row r="158" spans="1:7" ht="12.75" customHeight="1">
      <c r="A158" s="2558" t="s">
        <v>960</v>
      </c>
      <c r="B158" s="2567">
        <v>585</v>
      </c>
      <c r="C158" s="1825"/>
      <c r="D158" s="1825"/>
      <c r="E158" s="1825"/>
      <c r="F158" s="243"/>
      <c r="G158" s="243"/>
    </row>
    <row r="159" spans="1:7" ht="12.75" customHeight="1">
      <c r="A159" s="2554" t="s">
        <v>619</v>
      </c>
      <c r="B159" s="2566"/>
      <c r="C159" s="2566"/>
      <c r="D159" s="2566"/>
      <c r="E159" s="2566"/>
      <c r="F159" s="243"/>
      <c r="G159" s="243"/>
    </row>
    <row r="160" spans="1:7" ht="12.75" customHeight="1">
      <c r="A160" s="2553" t="s">
        <v>686</v>
      </c>
      <c r="B160" s="2564"/>
      <c r="C160" s="2564"/>
      <c r="D160" s="2564"/>
      <c r="E160" s="2564"/>
      <c r="F160" s="243"/>
      <c r="G160" s="243"/>
    </row>
    <row r="161" spans="1:7" ht="12.75" customHeight="1">
      <c r="A161" s="2553" t="s">
        <v>941</v>
      </c>
      <c r="B161" s="2564"/>
      <c r="C161" s="2564"/>
      <c r="D161" s="2564"/>
      <c r="E161" s="2564"/>
      <c r="F161" s="243"/>
      <c r="G161" s="243"/>
    </row>
    <row r="162" spans="1:7" ht="12.75" customHeight="1">
      <c r="A162" s="2557" t="s">
        <v>300</v>
      </c>
      <c r="B162" s="2565">
        <v>590</v>
      </c>
      <c r="C162" s="2549"/>
      <c r="D162" s="2549"/>
      <c r="E162" s="2549"/>
      <c r="F162" s="243"/>
      <c r="G162" s="243"/>
    </row>
    <row r="163" spans="1:7" ht="12.75" customHeight="1">
      <c r="A163" s="2554" t="s">
        <v>944</v>
      </c>
      <c r="B163" s="2566"/>
      <c r="C163" s="2566"/>
      <c r="D163" s="2566"/>
      <c r="E163" s="2566"/>
      <c r="F163" s="243"/>
      <c r="G163" s="243"/>
    </row>
    <row r="164" spans="1:7" ht="12.75" customHeight="1">
      <c r="A164" s="2557" t="s">
        <v>295</v>
      </c>
      <c r="B164" s="2565">
        <v>595</v>
      </c>
      <c r="C164" s="2549"/>
      <c r="D164" s="2549"/>
      <c r="E164" s="2549"/>
      <c r="F164" s="243"/>
      <c r="G164" s="243"/>
    </row>
    <row r="165" spans="1:7" ht="12.75" customHeight="1">
      <c r="A165" s="2558" t="s">
        <v>946</v>
      </c>
      <c r="B165" s="2567">
        <v>600</v>
      </c>
      <c r="C165" s="1825"/>
      <c r="D165" s="1825"/>
      <c r="E165" s="1825"/>
      <c r="F165" s="243"/>
      <c r="G165" s="243"/>
    </row>
    <row r="166" spans="1:7" ht="12.75" customHeight="1">
      <c r="A166" s="2558" t="s">
        <v>947</v>
      </c>
      <c r="B166" s="2567">
        <v>605</v>
      </c>
      <c r="C166" s="1825"/>
      <c r="D166" s="1825"/>
      <c r="E166" s="1825"/>
      <c r="F166" s="243"/>
      <c r="G166" s="243"/>
    </row>
    <row r="167" spans="1:7" ht="12.75" customHeight="1">
      <c r="A167" s="2558" t="s">
        <v>968</v>
      </c>
      <c r="B167" s="2567">
        <v>610</v>
      </c>
      <c r="C167" s="1825"/>
      <c r="D167" s="1825"/>
      <c r="E167" s="1825"/>
      <c r="F167" s="243"/>
      <c r="G167" s="243"/>
    </row>
    <row r="168" spans="1:7" ht="12.75" customHeight="1">
      <c r="A168" s="2558" t="s">
        <v>955</v>
      </c>
      <c r="B168" s="2567">
        <v>615</v>
      </c>
      <c r="C168" s="1825"/>
      <c r="D168" s="1825"/>
      <c r="E168" s="1825"/>
      <c r="F168" s="243"/>
      <c r="G168" s="243"/>
    </row>
    <row r="169" spans="1:7" ht="12.75" customHeight="1">
      <c r="A169" s="2558" t="s">
        <v>959</v>
      </c>
      <c r="B169" s="2567">
        <v>620</v>
      </c>
      <c r="C169" s="1825"/>
      <c r="D169" s="1825"/>
      <c r="E169" s="1825"/>
      <c r="F169" s="243"/>
      <c r="G169" s="243"/>
    </row>
    <row r="170" spans="1:7" ht="12.75" customHeight="1">
      <c r="A170" s="2558" t="s">
        <v>960</v>
      </c>
      <c r="B170" s="2567">
        <v>625</v>
      </c>
      <c r="C170" s="1825"/>
      <c r="D170" s="1825"/>
      <c r="E170" s="1825"/>
      <c r="F170" s="243"/>
      <c r="G170" s="243"/>
    </row>
    <row r="171" spans="1:7" ht="12.75" customHeight="1">
      <c r="A171" s="2554" t="s">
        <v>687</v>
      </c>
      <c r="B171" s="2566"/>
      <c r="C171" s="2566"/>
      <c r="D171" s="2566"/>
      <c r="E171" s="2566"/>
      <c r="F171" s="243"/>
      <c r="G171" s="243"/>
    </row>
    <row r="172" spans="1:7" ht="12.75" customHeight="1">
      <c r="A172" s="2553" t="s">
        <v>941</v>
      </c>
      <c r="B172" s="2564"/>
      <c r="C172" s="2564"/>
      <c r="D172" s="2564"/>
      <c r="E172" s="2564"/>
      <c r="F172" s="243"/>
      <c r="G172" s="243"/>
    </row>
    <row r="173" spans="1:7" ht="12.75" customHeight="1">
      <c r="A173" s="2557" t="s">
        <v>603</v>
      </c>
      <c r="B173" s="2565">
        <v>630</v>
      </c>
      <c r="C173" s="2549"/>
      <c r="D173" s="2549"/>
      <c r="E173" s="2549"/>
      <c r="F173" s="243"/>
      <c r="G173" s="243"/>
    </row>
    <row r="174" spans="1:7" ht="12.75" customHeight="1">
      <c r="A174" s="2554" t="s">
        <v>944</v>
      </c>
      <c r="B174" s="2566"/>
      <c r="C174" s="2566"/>
      <c r="D174" s="2566"/>
      <c r="E174" s="2566"/>
      <c r="F174" s="243"/>
      <c r="G174" s="243"/>
    </row>
    <row r="175" spans="1:7" ht="12.75" customHeight="1">
      <c r="A175" s="2557" t="s">
        <v>295</v>
      </c>
      <c r="B175" s="2565">
        <v>635</v>
      </c>
      <c r="C175" s="2549"/>
      <c r="D175" s="2549"/>
      <c r="E175" s="2549"/>
      <c r="F175" s="243"/>
      <c r="G175" s="243"/>
    </row>
    <row r="176" spans="1:7" ht="12.75" customHeight="1">
      <c r="A176" s="2558" t="s">
        <v>946</v>
      </c>
      <c r="B176" s="2567">
        <v>640</v>
      </c>
      <c r="C176" s="1825"/>
      <c r="D176" s="1825"/>
      <c r="E176" s="1825"/>
      <c r="F176" s="243"/>
      <c r="G176" s="243"/>
    </row>
    <row r="177" spans="1:7" ht="12.75" customHeight="1">
      <c r="A177" s="2558" t="s">
        <v>947</v>
      </c>
      <c r="B177" s="2567">
        <v>645</v>
      </c>
      <c r="C177" s="1825"/>
      <c r="D177" s="1825"/>
      <c r="E177" s="1825"/>
      <c r="F177" s="243"/>
      <c r="G177" s="243"/>
    </row>
    <row r="178" spans="1:7" ht="12.75" customHeight="1">
      <c r="A178" s="2554" t="s">
        <v>968</v>
      </c>
      <c r="B178" s="2566"/>
      <c r="C178" s="2566"/>
      <c r="D178" s="2566"/>
      <c r="E178" s="2566"/>
      <c r="F178" s="243"/>
      <c r="G178" s="243"/>
    </row>
    <row r="179" spans="1:7" ht="12.75" customHeight="1">
      <c r="A179" s="2557" t="s">
        <v>620</v>
      </c>
      <c r="B179" s="2565">
        <v>650</v>
      </c>
      <c r="C179" s="2549"/>
      <c r="D179" s="2549"/>
      <c r="E179" s="2549"/>
      <c r="F179" s="243"/>
      <c r="G179" s="243"/>
    </row>
    <row r="180" spans="1:7" ht="12.75" customHeight="1">
      <c r="A180" s="2558" t="s">
        <v>287</v>
      </c>
      <c r="B180" s="2567">
        <v>655</v>
      </c>
      <c r="C180" s="1825"/>
      <c r="D180" s="1825"/>
      <c r="E180" s="1825"/>
      <c r="F180" s="243"/>
      <c r="G180" s="243"/>
    </row>
    <row r="181" spans="1:7" ht="12.75" customHeight="1">
      <c r="A181" s="2554" t="s">
        <v>950</v>
      </c>
      <c r="B181" s="2566"/>
      <c r="C181" s="2566"/>
      <c r="D181" s="2566"/>
      <c r="E181" s="2566"/>
      <c r="F181" s="243"/>
      <c r="G181" s="243"/>
    </row>
    <row r="182" spans="1:7" ht="12.75" customHeight="1">
      <c r="A182" s="2557" t="s">
        <v>1031</v>
      </c>
      <c r="B182" s="2565">
        <v>660</v>
      </c>
      <c r="C182" s="2549"/>
      <c r="D182" s="2549"/>
      <c r="E182" s="2549"/>
      <c r="F182" s="243"/>
      <c r="G182" s="243"/>
    </row>
    <row r="183" spans="1:7" ht="12.75" customHeight="1">
      <c r="A183" s="2558" t="s">
        <v>1032</v>
      </c>
      <c r="B183" s="2567">
        <v>665</v>
      </c>
      <c r="C183" s="1825"/>
      <c r="D183" s="1825"/>
      <c r="E183" s="1825"/>
      <c r="F183" s="243"/>
      <c r="G183" s="243"/>
    </row>
    <row r="184" spans="1:7" ht="12.75" customHeight="1">
      <c r="A184" s="2558" t="s">
        <v>969</v>
      </c>
      <c r="B184" s="2567">
        <v>670</v>
      </c>
      <c r="C184" s="1825"/>
      <c r="D184" s="1825"/>
      <c r="E184" s="1825"/>
      <c r="F184" s="243"/>
      <c r="G184" s="243"/>
    </row>
    <row r="185" spans="1:7" ht="12.75" customHeight="1">
      <c r="A185" s="2558" t="s">
        <v>1039</v>
      </c>
      <c r="B185" s="2567">
        <v>675</v>
      </c>
      <c r="C185" s="1825"/>
      <c r="D185" s="1825"/>
      <c r="E185" s="1825"/>
      <c r="F185" s="243"/>
      <c r="G185" s="243"/>
    </row>
    <row r="186" spans="1:7" ht="12.75" customHeight="1">
      <c r="A186" s="2554" t="s">
        <v>955</v>
      </c>
      <c r="B186" s="2566"/>
      <c r="C186" s="2566"/>
      <c r="D186" s="2566"/>
      <c r="E186" s="2566"/>
      <c r="F186" s="243"/>
      <c r="G186" s="243"/>
    </row>
    <row r="187" spans="1:7" ht="12.75" customHeight="1">
      <c r="A187" s="2557" t="s">
        <v>621</v>
      </c>
      <c r="B187" s="2565">
        <v>680</v>
      </c>
      <c r="C187" s="2549"/>
      <c r="D187" s="2549"/>
      <c r="E187" s="2549"/>
      <c r="F187" s="243"/>
      <c r="G187" s="243"/>
    </row>
    <row r="188" spans="1:7" ht="12.75" customHeight="1">
      <c r="A188" s="2558" t="s">
        <v>958</v>
      </c>
      <c r="B188" s="2567">
        <v>685</v>
      </c>
      <c r="C188" s="1825"/>
      <c r="D188" s="1825"/>
      <c r="E188" s="1825"/>
      <c r="F188" s="243"/>
      <c r="G188" s="243"/>
    </row>
    <row r="189" spans="1:7" ht="12.75" customHeight="1">
      <c r="A189" s="2558" t="s">
        <v>622</v>
      </c>
      <c r="B189" s="2567">
        <v>690</v>
      </c>
      <c r="C189" s="1825"/>
      <c r="D189" s="1825"/>
      <c r="E189" s="1825"/>
      <c r="F189" s="243"/>
      <c r="G189" s="243"/>
    </row>
    <row r="190" spans="1:7" ht="12.75" customHeight="1">
      <c r="A190" s="2558" t="s">
        <v>960</v>
      </c>
      <c r="B190" s="2567">
        <v>695</v>
      </c>
      <c r="C190" s="1825"/>
      <c r="D190" s="1825"/>
      <c r="E190" s="1825"/>
      <c r="F190" s="243"/>
      <c r="G190" s="243"/>
    </row>
    <row r="191" spans="1:7" ht="12.75" customHeight="1">
      <c r="A191" s="2554" t="s">
        <v>688</v>
      </c>
      <c r="B191" s="2566"/>
      <c r="C191" s="2566"/>
      <c r="D191" s="2566"/>
      <c r="E191" s="2566"/>
      <c r="F191" s="243"/>
      <c r="G191" s="243"/>
    </row>
    <row r="192" spans="1:7" ht="12.75" customHeight="1">
      <c r="A192" s="2553" t="s">
        <v>941</v>
      </c>
      <c r="B192" s="2564"/>
      <c r="C192" s="2564"/>
      <c r="D192" s="2564"/>
      <c r="E192" s="2564"/>
      <c r="F192" s="243"/>
      <c r="G192" s="243"/>
    </row>
    <row r="193" spans="1:7" ht="12.75" customHeight="1">
      <c r="A193" s="2557" t="s">
        <v>771</v>
      </c>
      <c r="B193" s="2565">
        <v>700</v>
      </c>
      <c r="C193" s="2549"/>
      <c r="D193" s="2549"/>
      <c r="E193" s="2549"/>
      <c r="F193" s="243"/>
      <c r="G193" s="243"/>
    </row>
    <row r="194" spans="1:7" ht="12.75" customHeight="1">
      <c r="A194" s="2554" t="s">
        <v>944</v>
      </c>
      <c r="B194" s="2566"/>
      <c r="C194" s="2566"/>
      <c r="D194" s="2566"/>
      <c r="E194" s="2566"/>
      <c r="F194" s="243"/>
      <c r="G194" s="243"/>
    </row>
    <row r="195" spans="1:7" ht="12.75" customHeight="1">
      <c r="A195" s="2557" t="s">
        <v>295</v>
      </c>
      <c r="B195" s="2565">
        <v>705</v>
      </c>
      <c r="C195" s="2549"/>
      <c r="D195" s="2549"/>
      <c r="E195" s="2549"/>
      <c r="F195" s="243"/>
      <c r="G195" s="243"/>
    </row>
    <row r="196" spans="1:7" ht="12.75" customHeight="1">
      <c r="A196" s="2558" t="s">
        <v>946</v>
      </c>
      <c r="B196" s="2567">
        <v>710</v>
      </c>
      <c r="C196" s="1825"/>
      <c r="D196" s="1825"/>
      <c r="E196" s="1825"/>
      <c r="F196" s="243"/>
      <c r="G196" s="243"/>
    </row>
    <row r="197" spans="1:7" ht="12.75" customHeight="1">
      <c r="A197" s="2558" t="s">
        <v>947</v>
      </c>
      <c r="B197" s="2567">
        <v>715</v>
      </c>
      <c r="C197" s="1825"/>
      <c r="D197" s="1825"/>
      <c r="E197" s="1825"/>
      <c r="F197" s="243"/>
      <c r="G197" s="243"/>
    </row>
    <row r="198" spans="1:7" ht="12.75" customHeight="1">
      <c r="A198" s="2330" t="s">
        <v>4818</v>
      </c>
      <c r="B198" s="2568">
        <v>720</v>
      </c>
      <c r="C198" s="2579"/>
      <c r="D198" s="2579"/>
      <c r="E198" s="2579"/>
      <c r="F198" s="243"/>
      <c r="G198" s="243"/>
    </row>
    <row r="199" spans="1:7" ht="12.75" customHeight="1">
      <c r="A199" s="2558" t="s">
        <v>968</v>
      </c>
      <c r="B199" s="2567">
        <v>725</v>
      </c>
      <c r="C199" s="1825"/>
      <c r="D199" s="1825"/>
      <c r="E199" s="1825"/>
      <c r="F199" s="243"/>
      <c r="G199" s="243"/>
    </row>
    <row r="200" spans="1:7" ht="12.75" customHeight="1">
      <c r="A200" s="2558" t="s">
        <v>950</v>
      </c>
      <c r="B200" s="2567">
        <v>730</v>
      </c>
      <c r="C200" s="1825"/>
      <c r="D200" s="1825"/>
      <c r="E200" s="1825"/>
      <c r="F200" s="243"/>
      <c r="G200" s="243"/>
    </row>
    <row r="201" spans="1:7" ht="12.75" customHeight="1">
      <c r="A201" s="2558" t="s">
        <v>959</v>
      </c>
      <c r="B201" s="2567">
        <v>735</v>
      </c>
      <c r="C201" s="1825"/>
      <c r="D201" s="1825"/>
      <c r="E201" s="1825"/>
      <c r="F201" s="243"/>
      <c r="G201" s="243"/>
    </row>
    <row r="202" spans="1:7" ht="12.75" customHeight="1">
      <c r="A202" s="2558" t="s">
        <v>960</v>
      </c>
      <c r="B202" s="2567">
        <v>740</v>
      </c>
      <c r="C202" s="1825"/>
      <c r="D202" s="1825"/>
      <c r="E202" s="1825"/>
      <c r="F202" s="243"/>
      <c r="G202" s="243"/>
    </row>
    <row r="203" spans="1:7" ht="12.75" customHeight="1">
      <c r="A203" s="2554" t="s">
        <v>772</v>
      </c>
      <c r="B203" s="2566"/>
      <c r="C203" s="2566"/>
      <c r="D203" s="2566"/>
      <c r="E203" s="2566"/>
      <c r="F203" s="243"/>
      <c r="G203" s="243"/>
    </row>
    <row r="204" spans="1:7" ht="12.75" customHeight="1">
      <c r="A204" s="2553" t="s">
        <v>941</v>
      </c>
      <c r="B204" s="2564"/>
      <c r="C204" s="2564"/>
      <c r="D204" s="2564"/>
      <c r="E204" s="2564"/>
      <c r="F204" s="243"/>
      <c r="G204" s="243"/>
    </row>
    <row r="205" spans="1:7" ht="12.75" customHeight="1">
      <c r="A205" s="2557" t="s">
        <v>300</v>
      </c>
      <c r="B205" s="2565">
        <v>745</v>
      </c>
      <c r="C205" s="2549"/>
      <c r="D205" s="2549"/>
      <c r="E205" s="2549"/>
      <c r="F205" s="243"/>
      <c r="G205" s="243"/>
    </row>
    <row r="206" spans="1:7" ht="12.75" customHeight="1">
      <c r="A206" s="2554" t="s">
        <v>944</v>
      </c>
      <c r="B206" s="2566"/>
      <c r="C206" s="2566"/>
      <c r="D206" s="2566"/>
      <c r="E206" s="2566"/>
      <c r="F206" s="243"/>
      <c r="G206" s="243"/>
    </row>
    <row r="207" spans="1:7" ht="12.75" customHeight="1">
      <c r="A207" s="2557" t="s">
        <v>295</v>
      </c>
      <c r="B207" s="2565">
        <v>750</v>
      </c>
      <c r="C207" s="2549"/>
      <c r="D207" s="2549"/>
      <c r="E207" s="2549"/>
      <c r="F207" s="243"/>
      <c r="G207" s="243"/>
    </row>
    <row r="208" spans="1:7" ht="12.75" customHeight="1">
      <c r="A208" s="2558" t="s">
        <v>946</v>
      </c>
      <c r="B208" s="2567">
        <v>755</v>
      </c>
      <c r="C208" s="1825"/>
      <c r="D208" s="1825"/>
      <c r="E208" s="1825"/>
      <c r="F208" s="243"/>
      <c r="G208" s="243"/>
    </row>
    <row r="209" spans="1:7" ht="12.75" customHeight="1">
      <c r="A209" s="2558" t="s">
        <v>947</v>
      </c>
      <c r="B209" s="2567">
        <v>760</v>
      </c>
      <c r="C209" s="1825"/>
      <c r="D209" s="1825"/>
      <c r="E209" s="1825"/>
      <c r="F209" s="243"/>
      <c r="G209" s="243"/>
    </row>
    <row r="210" spans="1:7" ht="12.75" customHeight="1">
      <c r="A210" s="2557" t="s">
        <v>949</v>
      </c>
      <c r="B210" s="2565">
        <v>765</v>
      </c>
      <c r="C210" s="2549"/>
      <c r="D210" s="2549"/>
      <c r="E210" s="2549"/>
      <c r="F210" s="243"/>
      <c r="G210" s="243"/>
    </row>
    <row r="211" spans="1:7" ht="12.75" customHeight="1">
      <c r="A211" s="2558" t="s">
        <v>968</v>
      </c>
      <c r="B211" s="2567">
        <v>770</v>
      </c>
      <c r="C211" s="1825"/>
      <c r="D211" s="1825"/>
      <c r="E211" s="1825"/>
      <c r="F211" s="243"/>
      <c r="G211" s="243"/>
    </row>
    <row r="212" spans="1:7" ht="12.75" customHeight="1">
      <c r="A212" s="2558" t="s">
        <v>950</v>
      </c>
      <c r="B212" s="2567">
        <v>775</v>
      </c>
      <c r="C212" s="1825"/>
      <c r="D212" s="1825"/>
      <c r="E212" s="1825"/>
      <c r="F212" s="243"/>
      <c r="G212" s="243"/>
    </row>
    <row r="213" spans="1:7" ht="12.75" customHeight="1">
      <c r="A213" s="2558" t="s">
        <v>955</v>
      </c>
      <c r="B213" s="2567">
        <v>780</v>
      </c>
      <c r="C213" s="1825"/>
      <c r="D213" s="1825"/>
      <c r="E213" s="1825"/>
      <c r="F213" s="243"/>
      <c r="G213" s="243"/>
    </row>
    <row r="214" spans="1:7" ht="12.75" customHeight="1">
      <c r="A214" s="2558" t="s">
        <v>959</v>
      </c>
      <c r="B214" s="2567">
        <v>785</v>
      </c>
      <c r="C214" s="1825"/>
      <c r="D214" s="1825"/>
      <c r="E214" s="1825"/>
      <c r="F214" s="243"/>
      <c r="G214" s="243"/>
    </row>
    <row r="215" spans="1:7" ht="12.75" customHeight="1">
      <c r="A215" s="2558" t="s">
        <v>960</v>
      </c>
      <c r="B215" s="2567">
        <v>790</v>
      </c>
      <c r="C215" s="2579"/>
      <c r="D215" s="1825"/>
      <c r="E215" s="1825"/>
      <c r="F215" s="243"/>
      <c r="G215" s="243"/>
    </row>
    <row r="216" spans="1:7" ht="12.75" customHeight="1">
      <c r="A216" s="2554" t="s">
        <v>1325</v>
      </c>
      <c r="B216" s="2566"/>
      <c r="C216" s="2566"/>
      <c r="D216" s="2566"/>
      <c r="E216" s="2566"/>
      <c r="F216" s="243"/>
      <c r="G216" s="243"/>
    </row>
    <row r="217" spans="1:7" ht="12.75" customHeight="1">
      <c r="A217" s="2553" t="s">
        <v>941</v>
      </c>
      <c r="B217" s="2564"/>
      <c r="C217" s="2564"/>
      <c r="D217" s="2564"/>
      <c r="E217" s="2564"/>
      <c r="F217" s="243"/>
      <c r="G217" s="243"/>
    </row>
    <row r="218" spans="1:7" ht="12.75" customHeight="1">
      <c r="A218" s="2557" t="s">
        <v>942</v>
      </c>
      <c r="B218" s="2570">
        <v>850</v>
      </c>
      <c r="C218" s="2583"/>
      <c r="D218" s="2549"/>
      <c r="E218" s="2549"/>
      <c r="F218" s="243"/>
      <c r="G218" s="243"/>
    </row>
    <row r="219" spans="1:7" ht="12.75" customHeight="1">
      <c r="A219" s="2558" t="s">
        <v>302</v>
      </c>
      <c r="B219" s="2571">
        <v>855</v>
      </c>
      <c r="C219" s="2583"/>
      <c r="D219" s="1825"/>
      <c r="E219" s="1825"/>
      <c r="F219" s="243"/>
      <c r="G219" s="243"/>
    </row>
    <row r="220" spans="1:7" ht="12.75" customHeight="1">
      <c r="A220" s="2554" t="s">
        <v>944</v>
      </c>
      <c r="B220" s="2566"/>
      <c r="C220" s="2566"/>
      <c r="D220" s="2566"/>
      <c r="E220" s="2566"/>
      <c r="F220" s="243"/>
      <c r="G220" s="243"/>
    </row>
    <row r="221" spans="1:7" ht="12.75" customHeight="1">
      <c r="A221" s="2557" t="s">
        <v>295</v>
      </c>
      <c r="B221" s="2570">
        <v>860</v>
      </c>
      <c r="C221" s="2583"/>
      <c r="D221" s="2549"/>
      <c r="E221" s="2549"/>
      <c r="F221" s="243"/>
      <c r="G221" s="243"/>
    </row>
    <row r="222" spans="1:7" ht="12.75" customHeight="1">
      <c r="A222" s="2558" t="s">
        <v>946</v>
      </c>
      <c r="B222" s="2571">
        <v>865</v>
      </c>
      <c r="C222" s="2583"/>
      <c r="D222" s="1825"/>
      <c r="E222" s="1825"/>
      <c r="F222" s="243"/>
      <c r="G222" s="243"/>
    </row>
    <row r="223" spans="1:7" ht="12.75" customHeight="1">
      <c r="A223" s="2558" t="s">
        <v>947</v>
      </c>
      <c r="B223" s="2571">
        <v>870</v>
      </c>
      <c r="C223" s="2583"/>
      <c r="D223" s="1825"/>
      <c r="E223" s="1825"/>
      <c r="F223" s="243"/>
      <c r="G223" s="243"/>
    </row>
    <row r="224" spans="1:7" ht="12.75" customHeight="1">
      <c r="A224" s="2330" t="s">
        <v>4818</v>
      </c>
      <c r="B224" s="2569">
        <v>875</v>
      </c>
      <c r="C224" s="2583"/>
      <c r="D224" s="2579"/>
      <c r="E224" s="2579"/>
      <c r="F224" s="243"/>
      <c r="G224" s="243"/>
    </row>
    <row r="225" spans="1:7" ht="12.75" customHeight="1">
      <c r="A225" s="2558" t="s">
        <v>968</v>
      </c>
      <c r="B225" s="2571">
        <v>880</v>
      </c>
      <c r="C225" s="2583"/>
      <c r="D225" s="1825"/>
      <c r="E225" s="1825"/>
      <c r="F225" s="243"/>
      <c r="G225" s="243"/>
    </row>
    <row r="226" spans="1:7" ht="12.75" customHeight="1">
      <c r="A226" s="2558" t="s">
        <v>950</v>
      </c>
      <c r="B226" s="2571">
        <v>885</v>
      </c>
      <c r="C226" s="2583"/>
      <c r="D226" s="1825"/>
      <c r="E226" s="1825"/>
      <c r="F226" s="243"/>
      <c r="G226" s="243"/>
    </row>
    <row r="227" spans="1:7" ht="12.75" customHeight="1">
      <c r="A227" s="2558" t="s">
        <v>955</v>
      </c>
      <c r="B227" s="2571">
        <v>890</v>
      </c>
      <c r="C227" s="2583"/>
      <c r="D227" s="1825"/>
      <c r="E227" s="1825"/>
      <c r="F227" s="243"/>
      <c r="G227" s="243"/>
    </row>
    <row r="228" spans="1:7" ht="12.75" customHeight="1">
      <c r="A228" s="2558" t="s">
        <v>959</v>
      </c>
      <c r="B228" s="2571">
        <v>895</v>
      </c>
      <c r="C228" s="2583"/>
      <c r="D228" s="1825"/>
      <c r="E228" s="1825"/>
      <c r="F228" s="243"/>
      <c r="G228" s="243"/>
    </row>
    <row r="229" spans="1:7" ht="12.75" customHeight="1">
      <c r="A229" s="2558" t="s">
        <v>960</v>
      </c>
      <c r="B229" s="2571">
        <v>900</v>
      </c>
      <c r="C229" s="2583"/>
      <c r="D229" s="1825"/>
      <c r="E229" s="1825"/>
      <c r="F229" s="243"/>
      <c r="G229" s="243"/>
    </row>
    <row r="230" spans="1:7" ht="12.75" customHeight="1">
      <c r="A230" s="2558" t="s">
        <v>5153</v>
      </c>
      <c r="B230" s="2578" t="s">
        <v>4906</v>
      </c>
      <c r="C230" s="2584">
        <f>SUM(C40:C229)</f>
        <v>0</v>
      </c>
      <c r="D230" s="2584">
        <f>SUM(D40:D229)</f>
        <v>0</v>
      </c>
      <c r="E230" s="2584">
        <f>SUM(E40:E229)</f>
        <v>0</v>
      </c>
      <c r="F230" s="243"/>
      <c r="G230" s="243"/>
    </row>
    <row r="231" spans="1:7" ht="12.75" customHeight="1">
      <c r="A231" s="4166" t="s">
        <v>4911</v>
      </c>
      <c r="B231" s="3794"/>
      <c r="C231" s="3794"/>
      <c r="D231" s="3794"/>
      <c r="E231" s="3794"/>
      <c r="F231" s="243"/>
      <c r="G231" s="243"/>
    </row>
    <row r="232" spans="1:7" ht="12.75" customHeight="1">
      <c r="A232" s="243"/>
      <c r="B232" s="1797"/>
      <c r="C232" s="1794"/>
      <c r="D232" s="1794"/>
      <c r="E232" s="1794"/>
      <c r="F232" s="243"/>
      <c r="G232" s="243"/>
    </row>
    <row r="233" spans="1:7" ht="12.75" customHeight="1">
      <c r="A233" s="249"/>
      <c r="B233" s="1813"/>
      <c r="C233" s="1813"/>
      <c r="D233" s="1813"/>
      <c r="E233" s="1813"/>
      <c r="F233" s="249"/>
      <c r="G233" s="243"/>
    </row>
    <row r="234" spans="1:7" ht="12.75" customHeight="1">
      <c r="A234" s="243"/>
      <c r="B234" s="1797"/>
      <c r="C234" s="1794"/>
      <c r="D234" s="1794"/>
      <c r="E234" s="1794"/>
      <c r="F234" s="243"/>
      <c r="G234" s="243"/>
    </row>
    <row r="235" spans="1:7" ht="12.75" customHeight="1">
      <c r="A235" s="243"/>
      <c r="B235" s="1797"/>
      <c r="C235" s="1794"/>
      <c r="D235" s="1794"/>
      <c r="E235" s="1794"/>
      <c r="F235" s="243"/>
      <c r="G235" s="243"/>
    </row>
    <row r="236" spans="1:7" ht="12.75" customHeight="1">
      <c r="A236" s="243"/>
      <c r="B236" s="1797"/>
      <c r="C236" s="1794"/>
      <c r="D236" s="1794"/>
      <c r="E236" s="1794"/>
      <c r="F236" s="243"/>
      <c r="G236" s="243"/>
    </row>
    <row r="237" spans="1:7" ht="12.75" customHeight="1">
      <c r="A237" s="243"/>
      <c r="B237" s="1797"/>
      <c r="C237" s="1794"/>
      <c r="D237" s="1794"/>
      <c r="E237" s="1794"/>
      <c r="F237" s="243"/>
      <c r="G237" s="243"/>
    </row>
    <row r="238" spans="1:7" ht="12.75" customHeight="1">
      <c r="A238" s="243"/>
      <c r="B238" s="1797"/>
      <c r="C238" s="1794"/>
      <c r="D238" s="1794"/>
      <c r="E238" s="1794"/>
      <c r="F238" s="243"/>
      <c r="G238" s="243"/>
    </row>
  </sheetData>
  <sheetProtection algorithmName="SHA-512" hashValue="fd8fU3mEdBdm55IbQrQv4S15vUVOyFoSxo3//egS9/3mgDqf3ADGaSUgwOOVtv7HsjlEfTDr4qqTDihlq8znZg==" saltValue="bbzjFJR3VADESTAA2PMjQA==" spinCount="100000" sheet="1" objects="1" scenarios="1"/>
  <mergeCells count="5">
    <mergeCell ref="D1:E1"/>
    <mergeCell ref="D2:E2"/>
    <mergeCell ref="A26:E26"/>
    <mergeCell ref="D29:E29"/>
    <mergeCell ref="D28:E28"/>
  </mergeCells>
  <phoneticPr fontId="13" type="noConversion"/>
  <dataValidations count="2">
    <dataValidation type="whole" operator="greaterThanOrEqual" showInputMessage="1" showErrorMessage="1" errorTitle="Invalid Data Entry" error="Please enter a positive number or press the delete key or enter zero." sqref="C218:E219 C221:E229 C207:E215 C195:E202 C205:E205 C187:E190 C182:E185 C179:E180 C125:E133 C193:E193 C164:E170 C173:E173 C152:E158 C150:E150 C162:E162 C112:E119 C10:D10 C138:E141 C98:E106 C95:E96 C87:E91 C80:E85 C77:E78 C66:E74 C63:E64 C54:E59 C50:E52 C43:E47 C40:E41 C143:E148 C14:E16 C18:D18 C20:E22 C122:E123 C175:E177 C136:E136 C109:E110">
      <formula1>0</formula1>
    </dataValidation>
    <dataValidation type="whole" operator="greaterThanOrEqual" showInputMessage="1" showErrorMessage="1" errorTitle="Invalid beginning cash balance" error="Please enter a number or press the delete key or enter zero." sqref="C9">
      <formula1>-1000000000</formula1>
    </dataValidation>
  </dataValidations>
  <hyperlinks>
    <hyperlink ref="G1" location="Contents!F1" display="Return to Contents page"/>
  </hyperlinks>
  <printOptions horizontalCentered="1"/>
  <pageMargins left="0.75" right="0.75" top="0.5" bottom="0.5" header="0.3" footer="0.3"/>
  <pageSetup scale="86" fitToHeight="0" orientation="portrait" blackAndWhite="1" r:id="rId1"/>
  <headerFooter scaleWithDoc="0">
    <oddFooter>&amp;L&amp;"Open Sans Light,Regular"&amp;8&amp;D    &amp;T&amp;C&amp;"Open Sans Light,Regular"&amp;8Page &amp;P&amp;R&amp;"Open Sans Light,Regular"&amp;8&amp;A</oddFooter>
  </headerFooter>
  <rowBreaks count="3" manualBreakCount="3">
    <brk id="64" max="4" man="1"/>
    <brk id="119" max="4" man="1"/>
    <brk id="175" max="4"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4" tint="0.39997558519241921"/>
  </sheetPr>
  <dimension ref="A1:Z49"/>
  <sheetViews>
    <sheetView showGridLines="0" zoomScaleNormal="100" zoomScaleSheetLayoutView="100" workbookViewId="0">
      <pane ySplit="8" topLeftCell="A9" activePane="bottomLeft" state="frozen"/>
      <selection activeCell="B22" sqref="B22"/>
      <selection pane="bottomLeft" activeCell="B22" sqref="B22"/>
    </sheetView>
  </sheetViews>
  <sheetFormatPr defaultColWidth="10.6640625" defaultRowHeight="12.75" customHeight="1"/>
  <cols>
    <col min="1" max="1" width="40.6640625" style="252" customWidth="1"/>
    <col min="2" max="2" width="5.6640625" style="1850" customWidth="1"/>
    <col min="3" max="6" width="14.33203125" style="1851" customWidth="1"/>
    <col min="7" max="7" width="3" style="252" customWidth="1"/>
    <col min="8" max="8" width="20.6640625" style="252" customWidth="1"/>
    <col min="9" max="26" width="10.6640625" style="252"/>
    <col min="27" max="16384" width="10.6640625" style="251"/>
  </cols>
  <sheetData>
    <row r="1" spans="1:8" ht="12.75" customHeight="1">
      <c r="A1" s="1829" t="s">
        <v>809</v>
      </c>
      <c r="B1" s="4074">
        <f>OPEN!$B$4</f>
        <v>237</v>
      </c>
      <c r="C1" s="1827"/>
      <c r="D1" s="1827"/>
      <c r="E1" s="6184" t="s">
        <v>836</v>
      </c>
      <c r="F1" s="6184"/>
      <c r="H1" s="304" t="s">
        <v>754</v>
      </c>
    </row>
    <row r="2" spans="1:8" ht="12.75" customHeight="1">
      <c r="A2" s="1827"/>
      <c r="B2" s="1828"/>
      <c r="C2" s="1827"/>
      <c r="D2" s="1827"/>
      <c r="E2" s="6184" t="s">
        <v>921</v>
      </c>
      <c r="F2" s="6184"/>
    </row>
    <row r="3" spans="1:8" ht="12.75" customHeight="1">
      <c r="A3" s="1827"/>
      <c r="B3" s="1828"/>
      <c r="C3" s="1827"/>
      <c r="D3" s="1827"/>
      <c r="E3" s="1827"/>
      <c r="F3" s="1829" t="str">
        <f>OpenData!N2</f>
        <v>2021-2022</v>
      </c>
    </row>
    <row r="4" spans="1:8" ht="12.75" customHeight="1">
      <c r="A4" s="1827"/>
      <c r="B4" s="1828"/>
      <c r="C4" s="1827"/>
      <c r="D4" s="1827"/>
      <c r="E4" s="1827"/>
      <c r="F4" s="1827"/>
    </row>
    <row r="5" spans="1:8" ht="12.75" customHeight="1">
      <c r="A5" s="1827"/>
      <c r="B5" s="1828"/>
      <c r="C5" s="1830" t="s">
        <v>922</v>
      </c>
      <c r="D5" s="1830" t="s">
        <v>922</v>
      </c>
      <c r="E5" s="1830" t="s">
        <v>922</v>
      </c>
      <c r="F5" s="1830" t="s">
        <v>5</v>
      </c>
    </row>
    <row r="6" spans="1:8" ht="12.75" customHeight="1">
      <c r="A6" s="1852"/>
      <c r="B6" s="1831" t="s">
        <v>854</v>
      </c>
      <c r="C6" s="1832" t="str">
        <f>OpenData!N4</f>
        <v>2019-2020</v>
      </c>
      <c r="D6" s="1832" t="str">
        <f>OpenData!O4</f>
        <v>2020-2021</v>
      </c>
      <c r="E6" s="1832" t="str">
        <f>OpenData!P4</f>
        <v>2021-2022</v>
      </c>
      <c r="F6" s="1832" t="s">
        <v>663</v>
      </c>
    </row>
    <row r="7" spans="1:8" ht="12.75" customHeight="1">
      <c r="A7" s="1852" t="s">
        <v>774</v>
      </c>
      <c r="B7" s="1833">
        <v>80</v>
      </c>
      <c r="C7" s="1834" t="s">
        <v>893</v>
      </c>
      <c r="D7" s="1834" t="s">
        <v>893</v>
      </c>
      <c r="E7" s="1834" t="s">
        <v>923</v>
      </c>
      <c r="F7" s="1834" t="s">
        <v>11</v>
      </c>
    </row>
    <row r="8" spans="1:8" ht="12.75" customHeight="1">
      <c r="A8" s="1853"/>
      <c r="B8" s="1835" t="s">
        <v>858</v>
      </c>
      <c r="C8" s="1836">
        <v>1</v>
      </c>
      <c r="D8" s="1836">
        <v>2</v>
      </c>
      <c r="E8" s="1836">
        <v>3</v>
      </c>
      <c r="F8" s="1836">
        <v>4</v>
      </c>
    </row>
    <row r="9" spans="1:8" ht="12.75" customHeight="1">
      <c r="A9" s="1854" t="s">
        <v>1043</v>
      </c>
      <c r="B9" s="1835">
        <v>1</v>
      </c>
      <c r="C9" s="1837"/>
      <c r="D9" s="1838">
        <f>C38</f>
        <v>0</v>
      </c>
      <c r="E9" s="1838">
        <f>D38</f>
        <v>0</v>
      </c>
      <c r="F9" s="1839">
        <f>E9</f>
        <v>0</v>
      </c>
    </row>
    <row r="10" spans="1:8" ht="12.75" customHeight="1">
      <c r="A10" s="3974" t="s">
        <v>4940</v>
      </c>
      <c r="B10" s="4062">
        <v>3</v>
      </c>
      <c r="C10" s="4063"/>
      <c r="D10" s="4063"/>
      <c r="E10" s="4620"/>
      <c r="F10" s="2524"/>
    </row>
    <row r="11" spans="1:8" ht="12.75" customHeight="1">
      <c r="A11" s="2335"/>
      <c r="B11" s="4064"/>
      <c r="C11" s="4064"/>
      <c r="D11" s="4064"/>
      <c r="E11" s="4619"/>
      <c r="F11" s="2523"/>
    </row>
    <row r="12" spans="1:8" ht="12.75" customHeight="1">
      <c r="A12" s="4065" t="s">
        <v>4767</v>
      </c>
      <c r="B12" s="4066"/>
      <c r="C12" s="4066"/>
      <c r="D12" s="4066"/>
      <c r="E12" s="4066"/>
      <c r="F12" s="4067"/>
    </row>
    <row r="13" spans="1:8" ht="12.75" customHeight="1">
      <c r="A13" s="2334" t="s">
        <v>13</v>
      </c>
      <c r="B13" s="2526"/>
      <c r="C13" s="2526"/>
      <c r="D13" s="2526"/>
      <c r="E13" s="2526"/>
      <c r="F13" s="2523"/>
    </row>
    <row r="14" spans="1:8" ht="12.75" customHeight="1">
      <c r="A14" s="2334" t="s">
        <v>14</v>
      </c>
      <c r="B14" s="2526"/>
      <c r="C14" s="2526"/>
      <c r="D14" s="2526"/>
      <c r="E14" s="2526"/>
      <c r="F14" s="2523"/>
    </row>
    <row r="15" spans="1:8" ht="12.75" customHeight="1">
      <c r="A15" s="2509" t="str">
        <f>OpenData!N8</f>
        <v xml:space="preserve">    2018 $</v>
      </c>
      <c r="B15" s="2527">
        <v>5</v>
      </c>
      <c r="C15" s="2515"/>
      <c r="D15" s="2518"/>
      <c r="E15" s="2518"/>
      <c r="F15" s="2522"/>
    </row>
    <row r="16" spans="1:8" ht="12.75" customHeight="1">
      <c r="A16" s="2509" t="str">
        <f>OpenData!N9</f>
        <v xml:space="preserve">    2019 $</v>
      </c>
      <c r="B16" s="2001">
        <v>10</v>
      </c>
      <c r="C16" s="2002"/>
      <c r="D16" s="2515"/>
      <c r="E16" s="2518"/>
      <c r="F16" s="2522"/>
    </row>
    <row r="17" spans="1:8" ht="12.75" customHeight="1">
      <c r="A17" s="2509" t="str">
        <f>OpenData!N10</f>
        <v xml:space="preserve">    2020 $</v>
      </c>
      <c r="B17" s="2527">
        <v>15</v>
      </c>
      <c r="C17" s="2532"/>
      <c r="D17" s="2516">
        <f>'C04'!E26</f>
        <v>0</v>
      </c>
      <c r="E17" s="2516">
        <f>'F110'!K130</f>
        <v>0</v>
      </c>
      <c r="F17" s="2520">
        <f>E17</f>
        <v>0</v>
      </c>
    </row>
    <row r="18" spans="1:8" ht="12.75" customHeight="1">
      <c r="A18" s="2510" t="str">
        <f>OpenData!N11</f>
        <v xml:space="preserve">    2021 $</v>
      </c>
      <c r="B18" s="2001">
        <v>20</v>
      </c>
      <c r="C18" s="2518"/>
      <c r="D18" s="2532"/>
      <c r="E18" s="2517">
        <f>'C04'!L26</f>
        <v>0</v>
      </c>
      <c r="F18" s="2524"/>
    </row>
    <row r="19" spans="1:8" ht="12.75" customHeight="1">
      <c r="A19" s="2510" t="s">
        <v>1377</v>
      </c>
      <c r="B19" s="2001">
        <v>25</v>
      </c>
      <c r="C19" s="2515"/>
      <c r="D19" s="2515"/>
      <c r="E19" s="2516">
        <f>0.667*F19</f>
        <v>0</v>
      </c>
      <c r="F19" s="2520">
        <f>'F110'!K134</f>
        <v>0</v>
      </c>
    </row>
    <row r="20" spans="1:8" ht="12.75" customHeight="1">
      <c r="A20" s="2510" t="s">
        <v>18</v>
      </c>
      <c r="B20" s="2001">
        <v>30</v>
      </c>
      <c r="C20" s="2002"/>
      <c r="D20" s="2002"/>
      <c r="E20" s="2515"/>
      <c r="F20" s="2521">
        <f>E20</f>
        <v>0</v>
      </c>
    </row>
    <row r="21" spans="1:8" ht="12.75" customHeight="1">
      <c r="A21" s="2509" t="s">
        <v>22</v>
      </c>
      <c r="B21" s="2527">
        <v>35</v>
      </c>
      <c r="C21" s="2532"/>
      <c r="D21" s="2532"/>
      <c r="E21" s="2532"/>
      <c r="F21" s="2519"/>
    </row>
    <row r="22" spans="1:8" ht="12.75" customHeight="1">
      <c r="A22" s="2335" t="s">
        <v>21</v>
      </c>
      <c r="B22" s="2525"/>
      <c r="C22" s="2526"/>
      <c r="D22" s="2526"/>
      <c r="E22" s="2526"/>
      <c r="F22" s="2336"/>
    </row>
    <row r="23" spans="1:8" ht="12.75" customHeight="1">
      <c r="A23" s="2509" t="s">
        <v>240</v>
      </c>
      <c r="B23" s="2527">
        <v>45</v>
      </c>
      <c r="C23" s="2515"/>
      <c r="D23" s="2515"/>
      <c r="E23" s="2516">
        <f>IF(ISERROR('F194'!H30+'F194'!H87+'F194'!$P$30+'F194'!$P$87),0,('F194'!H30+'F194'!H87+'F194'!$P$30+'F194'!$P$87))</f>
        <v>0</v>
      </c>
      <c r="F23" s="2520">
        <f>E23</f>
        <v>0</v>
      </c>
    </row>
    <row r="24" spans="1:8" ht="12.75" customHeight="1">
      <c r="A24" s="2510" t="s">
        <v>22</v>
      </c>
      <c r="B24" s="2001">
        <v>50</v>
      </c>
      <c r="C24" s="2532"/>
      <c r="D24" s="2532"/>
      <c r="E24" s="2532"/>
      <c r="F24" s="2521">
        <f>F23*0.5</f>
        <v>0</v>
      </c>
    </row>
    <row r="25" spans="1:8" ht="12.75" customHeight="1">
      <c r="A25" s="2509" t="s">
        <v>23</v>
      </c>
      <c r="B25" s="2527">
        <v>55</v>
      </c>
      <c r="C25" s="2515"/>
      <c r="D25" s="2515"/>
      <c r="E25" s="2516">
        <f>IF(ISERROR('F194'!$L$87+'F194'!$L$30),0,('F194'!$L$87+'F194'!$L$30))</f>
        <v>0</v>
      </c>
      <c r="F25" s="2521">
        <f>E25</f>
        <v>0</v>
      </c>
    </row>
    <row r="26" spans="1:8" ht="12.75" customHeight="1">
      <c r="A26" s="2509" t="s">
        <v>24</v>
      </c>
      <c r="B26" s="2527">
        <v>56</v>
      </c>
      <c r="C26" s="2532"/>
      <c r="D26" s="2532"/>
      <c r="E26" s="2532"/>
      <c r="F26" s="2521">
        <f>F25*0.5</f>
        <v>0</v>
      </c>
    </row>
    <row r="27" spans="1:8" ht="12.75" customHeight="1">
      <c r="A27" s="2511" t="s">
        <v>1374</v>
      </c>
      <c r="B27" s="2528">
        <v>57</v>
      </c>
      <c r="C27" s="2530"/>
      <c r="D27" s="2530"/>
      <c r="E27" s="2516">
        <f>IF(ISERROR('F194'!R87+'F194'!R30),0,('F194'!R87+'F194'!R30))</f>
        <v>0</v>
      </c>
      <c r="F27" s="2521">
        <f>E27</f>
        <v>0</v>
      </c>
      <c r="H27" s="757"/>
    </row>
    <row r="28" spans="1:8" ht="12.75" customHeight="1">
      <c r="A28" s="2511" t="s">
        <v>24</v>
      </c>
      <c r="B28" s="2528">
        <v>58</v>
      </c>
      <c r="C28" s="2532"/>
      <c r="D28" s="2532"/>
      <c r="E28" s="2532"/>
      <c r="F28" s="2521">
        <f>F27*0.5</f>
        <v>0</v>
      </c>
    </row>
    <row r="29" spans="1:8" ht="12.75" customHeight="1">
      <c r="A29" s="2509" t="s">
        <v>1387</v>
      </c>
      <c r="B29" s="2527">
        <v>60</v>
      </c>
      <c r="C29" s="2531"/>
      <c r="D29" s="2531"/>
      <c r="E29" s="2516">
        <f>IF(ISERROR('F194'!N87+'F194'!N30),0,('F194'!N87+'F194'!N30))</f>
        <v>0</v>
      </c>
      <c r="F29" s="2521">
        <f>E29</f>
        <v>0</v>
      </c>
    </row>
    <row r="30" spans="1:8" ht="12.75" customHeight="1">
      <c r="A30" s="2512" t="s">
        <v>22</v>
      </c>
      <c r="B30" s="2529">
        <v>65</v>
      </c>
      <c r="C30" s="2533"/>
      <c r="D30" s="2533"/>
      <c r="E30" s="2533"/>
      <c r="F30" s="2517">
        <f>F29*0.5</f>
        <v>0</v>
      </c>
    </row>
    <row r="31" spans="1:8" ht="12.75" customHeight="1">
      <c r="A31" s="2513" t="s">
        <v>42</v>
      </c>
      <c r="B31" s="2529">
        <v>70</v>
      </c>
      <c r="C31" s="2518">
        <f>SUM(C9:C30)</f>
        <v>0</v>
      </c>
      <c r="D31" s="2518">
        <f>SUM(D9:D30)</f>
        <v>0</v>
      </c>
      <c r="E31" s="2518">
        <f>SUM(E9:E30)</f>
        <v>0</v>
      </c>
      <c r="F31" s="2522">
        <f>SUM(F9:F30)</f>
        <v>0</v>
      </c>
    </row>
    <row r="32" spans="1:8" ht="12.75" customHeight="1">
      <c r="A32" s="2332"/>
      <c r="B32" s="4068"/>
      <c r="C32" s="4068"/>
      <c r="D32" s="4068"/>
      <c r="E32" s="4068"/>
      <c r="F32" s="2333"/>
    </row>
    <row r="33" spans="1:9" ht="12.75" customHeight="1">
      <c r="A33" s="4069" t="s">
        <v>60</v>
      </c>
      <c r="B33" s="4070"/>
      <c r="C33" s="4070"/>
      <c r="D33" s="4070"/>
      <c r="E33" s="4070"/>
      <c r="F33" s="4071"/>
    </row>
    <row r="34" spans="1:9" ht="12.75" customHeight="1">
      <c r="A34" s="1855" t="s">
        <v>775</v>
      </c>
      <c r="B34" s="2514">
        <v>75</v>
      </c>
      <c r="C34" s="2515"/>
      <c r="D34" s="2519"/>
      <c r="E34" s="1840"/>
      <c r="F34" s="1842"/>
    </row>
    <row r="35" spans="1:9" ht="12.75" customHeight="1">
      <c r="A35" s="1856" t="s">
        <v>666</v>
      </c>
      <c r="B35" s="1844">
        <v>175</v>
      </c>
      <c r="C35" s="1839">
        <f>SUM(C33:C34)</f>
        <v>0</v>
      </c>
      <c r="D35" s="1839">
        <f>SUM(D33:D34)</f>
        <v>0</v>
      </c>
      <c r="E35" s="1839">
        <f>SUM(E33:E34)</f>
        <v>0</v>
      </c>
      <c r="F35" s="1838">
        <f>E35</f>
        <v>0</v>
      </c>
      <c r="H35" s="758"/>
    </row>
    <row r="36" spans="1:9" ht="12.75" customHeight="1">
      <c r="A36" s="1855" t="s">
        <v>22</v>
      </c>
      <c r="B36" s="1843">
        <v>180</v>
      </c>
      <c r="C36" s="3910"/>
      <c r="D36" s="3910"/>
      <c r="E36" s="3911"/>
      <c r="F36" s="1841"/>
    </row>
    <row r="37" spans="1:9" ht="12.75" customHeight="1">
      <c r="A37" s="1856" t="s">
        <v>667</v>
      </c>
      <c r="B37" s="1844">
        <v>185</v>
      </c>
      <c r="C37" s="4618"/>
      <c r="D37" s="3910"/>
      <c r="E37" s="3911"/>
      <c r="F37" s="1839">
        <f>SUM(F35:F36)</f>
        <v>0</v>
      </c>
      <c r="H37" s="392" t="s">
        <v>1108</v>
      </c>
      <c r="I37" s="392"/>
    </row>
    <row r="38" spans="1:9" ht="12.75" customHeight="1">
      <c r="A38" s="1855" t="s">
        <v>247</v>
      </c>
      <c r="B38" s="1843">
        <v>190</v>
      </c>
      <c r="C38" s="1838">
        <f>SUM(C31-C35)</f>
        <v>0</v>
      </c>
      <c r="D38" s="1838">
        <f>SUM(D31-D35)</f>
        <v>0</v>
      </c>
      <c r="E38" s="1838">
        <f>SUM(E31-E35)</f>
        <v>0</v>
      </c>
      <c r="F38" s="3810" t="s">
        <v>4905</v>
      </c>
      <c r="H38" s="308" t="s">
        <v>976</v>
      </c>
      <c r="I38" s="308"/>
    </row>
    <row r="39" spans="1:9" ht="12.75" customHeight="1">
      <c r="A39" s="253" t="s">
        <v>776</v>
      </c>
      <c r="B39" s="1844">
        <v>195</v>
      </c>
      <c r="C39" s="1845" t="s">
        <v>673</v>
      </c>
      <c r="D39" s="1846"/>
      <c r="E39" s="1847"/>
      <c r="F39" s="2516">
        <f>SUM(F37-F31)</f>
        <v>0</v>
      </c>
      <c r="H39" s="309">
        <f>ROUND((OPEN!A15*'C02'!E15)/1000,0)</f>
        <v>0</v>
      </c>
      <c r="I39" s="308"/>
    </row>
    <row r="40" spans="1:9" ht="12.75" customHeight="1">
      <c r="A40" s="254" t="s">
        <v>776</v>
      </c>
      <c r="B40" s="1843">
        <v>200</v>
      </c>
      <c r="C40" s="1845" t="s">
        <v>668</v>
      </c>
      <c r="D40" s="1846"/>
      <c r="E40" s="1847"/>
      <c r="F40" s="1839">
        <f>F39*'C01'!$E$97/100</f>
        <v>0</v>
      </c>
    </row>
    <row r="41" spans="1:9" ht="12.75" customHeight="1">
      <c r="A41" s="253"/>
      <c r="B41" s="1844">
        <v>205</v>
      </c>
      <c r="C41" s="1845" t="str">
        <f>OpenData!N6</f>
        <v>Amount of 2021 Tax to be Levied</v>
      </c>
      <c r="D41" s="1846"/>
      <c r="E41" s="1847"/>
      <c r="F41" s="1839">
        <f>SUM(F39:F40)</f>
        <v>0</v>
      </c>
      <c r="H41" s="628" t="s">
        <v>327</v>
      </c>
      <c r="I41" s="629">
        <f>IF(ISERROR(F41/OPEN!A15*1000),"Check errors below",F41/OPEN!A15*1000)</f>
        <v>0</v>
      </c>
    </row>
    <row r="42" spans="1:9" ht="12.75" customHeight="1">
      <c r="A42" s="254"/>
      <c r="B42" s="1848"/>
      <c r="C42" s="1827"/>
      <c r="D42" s="1827"/>
      <c r="E42" s="1827"/>
      <c r="F42" s="1827" t="str">
        <f>IF(H44&gt;'C02'!$E$15,"Error!!!"," ")</f>
        <v xml:space="preserve"> </v>
      </c>
      <c r="H42" s="630" t="str">
        <f>OpenData!N40</f>
        <v/>
      </c>
      <c r="I42" s="250"/>
    </row>
    <row r="43" spans="1:9" ht="12.75" customHeight="1">
      <c r="A43" s="253"/>
      <c r="B43" s="1849"/>
      <c r="C43" s="1827"/>
      <c r="D43" s="1827"/>
      <c r="E43" s="1827"/>
      <c r="F43" s="1827" t="str">
        <f>IF(F42="Error!!!","Levy Amt &gt; mills authorized on Code 02"," ")</f>
        <v xml:space="preserve"> </v>
      </c>
    </row>
    <row r="44" spans="1:9" ht="12.75" customHeight="1">
      <c r="A44" s="253"/>
      <c r="B44" s="1849"/>
      <c r="C44" s="1827"/>
      <c r="D44" s="1827"/>
      <c r="E44" s="1827"/>
      <c r="F44" s="1827"/>
      <c r="H44" s="252">
        <f>ROUND(F41/OPEN!A15*1000,3)</f>
        <v>0</v>
      </c>
    </row>
    <row r="45" spans="1:9" ht="12.75" customHeight="1">
      <c r="A45" s="253"/>
      <c r="B45" s="1849"/>
      <c r="C45" s="1827"/>
      <c r="D45" s="1827"/>
      <c r="E45" s="1827"/>
      <c r="F45" s="1827"/>
    </row>
    <row r="46" spans="1:9" ht="12.75" customHeight="1">
      <c r="A46" s="253"/>
      <c r="B46" s="1849"/>
      <c r="C46" s="1827"/>
      <c r="D46" s="1827"/>
      <c r="E46" s="1827"/>
      <c r="F46" s="1827"/>
    </row>
    <row r="47" spans="1:9" ht="12.75" customHeight="1">
      <c r="A47" s="250"/>
      <c r="B47" s="1830"/>
      <c r="C47" s="1827"/>
      <c r="D47" s="1827"/>
      <c r="E47" s="1827"/>
      <c r="F47" s="1827"/>
    </row>
    <row r="48" spans="1:9" ht="12.75" customHeight="1">
      <c r="A48" s="250"/>
      <c r="B48" s="1830"/>
      <c r="C48" s="1827"/>
      <c r="D48" s="1827"/>
      <c r="E48" s="1827"/>
      <c r="F48" s="1827"/>
    </row>
    <row r="49" spans="1:6" ht="12.75" customHeight="1">
      <c r="A49" s="250"/>
      <c r="B49" s="1830"/>
      <c r="C49" s="1827"/>
      <c r="D49" s="1827"/>
      <c r="E49" s="1827"/>
      <c r="F49" s="1827"/>
    </row>
  </sheetData>
  <sheetProtection algorithmName="SHA-512" hashValue="XJa/w4wo7lhHMDkyWhXYr/xC6It4t456DC3StMcCAiG0EJM1r63otGmYn8tCPz2gSucl+Lo/yvJ3StChxmNS7Q==" saltValue="QJnLCvCnCxY773u5nSWWpg==" spinCount="100000" sheet="1" objects="1" scenarios="1"/>
  <mergeCells count="2">
    <mergeCell ref="E1:F1"/>
    <mergeCell ref="E2:F2"/>
  </mergeCells>
  <phoneticPr fontId="13" type="noConversion"/>
  <dataValidations count="3">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F36 C15 C16:D16 C19:D19 C20:E20 F21 C23:D23 C25:D25 C29:D29 C34:E34 C10:D10">
      <formula1>0</formula1>
    </dataValidation>
    <dataValidation type="whole" operator="greaterThanOrEqual" allowBlank="1" showInputMessage="1" showErrorMessage="1" errorTitle="Invalid Data Entry" error="Please enter a positive number or press the delete key or enter zero." sqref="C27">
      <formula1>0</formula1>
    </dataValidation>
  </dataValidations>
  <hyperlinks>
    <hyperlink ref="H1" location="Contents!F1" display="Return to Contents page"/>
  </hyperlinks>
  <printOptions horizontalCentered="1"/>
  <pageMargins left="0.75" right="0.75" top="0.5" bottom="0.5" header="0.3" footer="0.3"/>
  <pageSetup scale="81" fitToHeight="0" orientation="portrait" blackAndWhite="1" r:id="rId1"/>
  <headerFooter scaleWithDoc="0">
    <oddFooter>&amp;L&amp;"Open Sans Light,Regular"&amp;8&amp;D    &amp;T&amp;C&amp;"Open Sans Light,Regular"&amp;8Page &amp;P&amp;R&amp;"Open Sans Light,Regular"&amp;8&amp;A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4" tint="0.39997558519241921"/>
  </sheetPr>
  <dimension ref="A1:Z47"/>
  <sheetViews>
    <sheetView showGridLines="0" zoomScaleNormal="100" zoomScaleSheetLayoutView="100" workbookViewId="0">
      <pane ySplit="8" topLeftCell="A9" activePane="bottomLeft" state="frozen"/>
      <selection activeCell="B22" sqref="B22"/>
      <selection pane="bottomLeft" activeCell="B22" sqref="B22"/>
    </sheetView>
  </sheetViews>
  <sheetFormatPr defaultColWidth="10.6640625" defaultRowHeight="12.75" customHeight="1"/>
  <cols>
    <col min="1" max="1" width="40.6640625" style="257" customWidth="1"/>
    <col min="2" max="2" width="5.6640625" style="1877" customWidth="1"/>
    <col min="3" max="6" width="14.33203125" style="1878" customWidth="1"/>
    <col min="7" max="7" width="3.33203125" style="257" customWidth="1"/>
    <col min="8" max="8" width="21" style="257" customWidth="1"/>
    <col min="9" max="26" width="10.6640625" style="257"/>
    <col min="27" max="16384" width="10.6640625" style="256"/>
  </cols>
  <sheetData>
    <row r="1" spans="1:8" ht="12.75" customHeight="1">
      <c r="A1" s="1859" t="s">
        <v>809</v>
      </c>
      <c r="B1" s="4075">
        <f>OPEN!$B$4</f>
        <v>237</v>
      </c>
      <c r="C1" s="1857"/>
      <c r="D1" s="1857"/>
      <c r="E1" s="6185" t="s">
        <v>836</v>
      </c>
      <c r="F1" s="6185"/>
      <c r="H1" s="304" t="s">
        <v>754</v>
      </c>
    </row>
    <row r="2" spans="1:8" ht="12.75" customHeight="1">
      <c r="A2" s="1857"/>
      <c r="B2" s="1858"/>
      <c r="C2" s="1857"/>
      <c r="D2" s="1857"/>
      <c r="E2" s="6185" t="s">
        <v>921</v>
      </c>
      <c r="F2" s="6185"/>
    </row>
    <row r="3" spans="1:8" ht="12.75" customHeight="1">
      <c r="A3" s="1857"/>
      <c r="B3" s="1858"/>
      <c r="C3" s="1857"/>
      <c r="D3" s="1857"/>
      <c r="E3" s="1857"/>
      <c r="F3" s="1859" t="str">
        <f>OpenData!N2</f>
        <v>2021-2022</v>
      </c>
    </row>
    <row r="4" spans="1:8" ht="12.75" customHeight="1">
      <c r="A4" s="1857"/>
      <c r="B4" s="1858"/>
      <c r="C4" s="1857"/>
      <c r="D4" s="1857"/>
      <c r="E4" s="1857"/>
      <c r="F4" s="1857"/>
    </row>
    <row r="5" spans="1:8" ht="12.75" customHeight="1">
      <c r="A5" s="1857"/>
      <c r="B5" s="1858"/>
      <c r="C5" s="1860" t="s">
        <v>922</v>
      </c>
      <c r="D5" s="1860" t="s">
        <v>922</v>
      </c>
      <c r="E5" s="1860" t="s">
        <v>922</v>
      </c>
      <c r="F5" s="1860" t="s">
        <v>5</v>
      </c>
    </row>
    <row r="6" spans="1:8" ht="12.75" customHeight="1">
      <c r="A6" s="1879" t="s">
        <v>777</v>
      </c>
      <c r="B6" s="1861" t="s">
        <v>854</v>
      </c>
      <c r="C6" s="1862" t="str">
        <f>OpenData!N4</f>
        <v>2019-2020</v>
      </c>
      <c r="D6" s="1862" t="str">
        <f>OpenData!O4</f>
        <v>2020-2021</v>
      </c>
      <c r="E6" s="1862" t="str">
        <f>OpenData!P4</f>
        <v>2021-2022</v>
      </c>
      <c r="F6" s="1862" t="s">
        <v>663</v>
      </c>
    </row>
    <row r="7" spans="1:8" ht="12.75" customHeight="1">
      <c r="A7" s="2032" t="s">
        <v>4800</v>
      </c>
      <c r="B7" s="1863">
        <v>82</v>
      </c>
      <c r="C7" s="1864" t="s">
        <v>893</v>
      </c>
      <c r="D7" s="1864" t="s">
        <v>893</v>
      </c>
      <c r="E7" s="1864" t="s">
        <v>923</v>
      </c>
      <c r="F7" s="1864" t="s">
        <v>11</v>
      </c>
    </row>
    <row r="8" spans="1:8" ht="12.75" customHeight="1">
      <c r="A8" s="1880"/>
      <c r="B8" s="1865" t="s">
        <v>858</v>
      </c>
      <c r="C8" s="1866">
        <v>1</v>
      </c>
      <c r="D8" s="1866">
        <v>2</v>
      </c>
      <c r="E8" s="1866">
        <v>3</v>
      </c>
      <c r="F8" s="1866">
        <v>4</v>
      </c>
    </row>
    <row r="9" spans="1:8" ht="12.75" customHeight="1">
      <c r="A9" s="2033" t="s">
        <v>1043</v>
      </c>
      <c r="B9" s="1865">
        <v>1</v>
      </c>
      <c r="C9" s="1867"/>
      <c r="D9" s="1868">
        <f>C38</f>
        <v>0</v>
      </c>
      <c r="E9" s="1868">
        <f>D38</f>
        <v>0</v>
      </c>
      <c r="F9" s="1869">
        <f>E9</f>
        <v>0</v>
      </c>
    </row>
    <row r="10" spans="1:8" ht="12.75" customHeight="1">
      <c r="A10" s="3974" t="s">
        <v>4940</v>
      </c>
      <c r="B10" s="4049">
        <v>3</v>
      </c>
      <c r="C10" s="4050"/>
      <c r="D10" s="4050"/>
      <c r="E10" s="4622"/>
      <c r="F10" s="2501"/>
    </row>
    <row r="11" spans="1:8" ht="12.75" customHeight="1">
      <c r="A11" s="2340"/>
      <c r="B11" s="4053"/>
      <c r="C11" s="4053"/>
      <c r="D11" s="4053"/>
      <c r="E11" s="4052"/>
      <c r="F11" s="2480"/>
    </row>
    <row r="12" spans="1:8" ht="12.75" customHeight="1">
      <c r="A12" s="4054" t="s">
        <v>4767</v>
      </c>
      <c r="B12" s="4055"/>
      <c r="C12" s="4055"/>
      <c r="D12" s="4055"/>
      <c r="E12" s="4055"/>
      <c r="F12" s="4056"/>
    </row>
    <row r="13" spans="1:8" ht="12.75" customHeight="1">
      <c r="A13" s="2337" t="s">
        <v>13</v>
      </c>
      <c r="B13" s="2502"/>
      <c r="C13" s="2502"/>
      <c r="D13" s="2502"/>
      <c r="E13" s="2502"/>
      <c r="F13" s="2480"/>
    </row>
    <row r="14" spans="1:8" ht="12.75" customHeight="1">
      <c r="A14" s="2337" t="s">
        <v>14</v>
      </c>
      <c r="B14" s="2502"/>
      <c r="C14" s="2502"/>
      <c r="D14" s="2502"/>
      <c r="E14" s="2502"/>
      <c r="F14" s="2480"/>
    </row>
    <row r="15" spans="1:8" ht="12.75" customHeight="1">
      <c r="A15" s="2481" t="str">
        <f>OpenData!N8</f>
        <v xml:space="preserve">    2018 $</v>
      </c>
      <c r="B15" s="2503">
        <v>5</v>
      </c>
      <c r="C15" s="2492"/>
      <c r="D15" s="2490"/>
      <c r="E15" s="2490"/>
      <c r="F15" s="2499"/>
    </row>
    <row r="16" spans="1:8" ht="12.75" customHeight="1">
      <c r="A16" s="2481" t="str">
        <f>OpenData!N9</f>
        <v xml:space="preserve">    2019 $</v>
      </c>
      <c r="B16" s="2504">
        <v>10</v>
      </c>
      <c r="C16" s="2507"/>
      <c r="D16" s="2492"/>
      <c r="E16" s="2490"/>
      <c r="F16" s="2499"/>
    </row>
    <row r="17" spans="1:6" ht="12.75" customHeight="1">
      <c r="A17" s="2481" t="str">
        <f>OpenData!N10</f>
        <v xml:space="preserve">    2020 $</v>
      </c>
      <c r="B17" s="2503">
        <v>15</v>
      </c>
      <c r="C17" s="2493"/>
      <c r="D17" s="2491">
        <f>'C04'!E24</f>
        <v>0</v>
      </c>
      <c r="E17" s="2491">
        <f>'F110'!M130</f>
        <v>0</v>
      </c>
      <c r="F17" s="2497">
        <f>E17</f>
        <v>0</v>
      </c>
    </row>
    <row r="18" spans="1:6" ht="12.75" customHeight="1">
      <c r="A18" s="2482" t="str">
        <f>OpenData!N11</f>
        <v xml:space="preserve">    2021 $</v>
      </c>
      <c r="B18" s="2504">
        <v>20</v>
      </c>
      <c r="C18" s="2490"/>
      <c r="D18" s="2493"/>
      <c r="E18" s="2479">
        <f>'C04'!L24</f>
        <v>0</v>
      </c>
      <c r="F18" s="2501"/>
    </row>
    <row r="19" spans="1:6" ht="12.75" customHeight="1">
      <c r="A19" s="2482" t="s">
        <v>1377</v>
      </c>
      <c r="B19" s="2504">
        <v>25</v>
      </c>
      <c r="C19" s="2492"/>
      <c r="D19" s="2492"/>
      <c r="E19" s="2491">
        <f>0.667*F19</f>
        <v>0</v>
      </c>
      <c r="F19" s="2497">
        <f>'F110'!M134</f>
        <v>0</v>
      </c>
    </row>
    <row r="20" spans="1:6" ht="12.75" customHeight="1">
      <c r="A20" s="2482" t="s">
        <v>18</v>
      </c>
      <c r="B20" s="2504">
        <v>30</v>
      </c>
      <c r="C20" s="2507"/>
      <c r="D20" s="2507"/>
      <c r="E20" s="2492"/>
      <c r="F20" s="2496">
        <f>E20</f>
        <v>0</v>
      </c>
    </row>
    <row r="21" spans="1:6" ht="12.75" customHeight="1">
      <c r="A21" s="2481" t="s">
        <v>22</v>
      </c>
      <c r="B21" s="2503">
        <v>35</v>
      </c>
      <c r="C21" s="2493"/>
      <c r="D21" s="2493"/>
      <c r="E21" s="2493"/>
      <c r="F21" s="2500"/>
    </row>
    <row r="22" spans="1:6" ht="12.75" customHeight="1">
      <c r="A22" s="2337" t="s">
        <v>21</v>
      </c>
      <c r="B22" s="2502"/>
      <c r="C22" s="2502"/>
      <c r="D22" s="2502"/>
      <c r="E22" s="2502"/>
      <c r="F22" s="2480"/>
    </row>
    <row r="23" spans="1:6" ht="12.75" customHeight="1">
      <c r="A23" s="2481" t="s">
        <v>244</v>
      </c>
      <c r="B23" s="2503">
        <v>45</v>
      </c>
      <c r="C23" s="2492"/>
      <c r="D23" s="2492"/>
      <c r="E23" s="2491">
        <f>IF(ISERROR('F194'!H89+'F194'!H32+'F194'!$P$89+'F194'!$P$32),0,('F194'!H89+'F194'!H32+'F194'!$P$89+'F194'!$P$32))</f>
        <v>0</v>
      </c>
      <c r="F23" s="2497">
        <f>E23</f>
        <v>0</v>
      </c>
    </row>
    <row r="24" spans="1:6" ht="12.75" customHeight="1">
      <c r="A24" s="2482" t="s">
        <v>22</v>
      </c>
      <c r="B24" s="2504">
        <v>50</v>
      </c>
      <c r="C24" s="2493"/>
      <c r="D24" s="2493"/>
      <c r="E24" s="2493"/>
      <c r="F24" s="2496">
        <f>F23*0.5</f>
        <v>0</v>
      </c>
    </row>
    <row r="25" spans="1:6" ht="12.75" customHeight="1">
      <c r="A25" s="2481" t="s">
        <v>23</v>
      </c>
      <c r="B25" s="2503">
        <v>55</v>
      </c>
      <c r="C25" s="2492"/>
      <c r="D25" s="2492"/>
      <c r="E25" s="2491">
        <f>IF(ISERROR('F194'!$L$89+'F194'!$L$32),0,('F194'!$L$89+'F194'!$L$32))</f>
        <v>0</v>
      </c>
      <c r="F25" s="2496">
        <f>E25</f>
        <v>0</v>
      </c>
    </row>
    <row r="26" spans="1:6" ht="12.75" customHeight="1">
      <c r="A26" s="2481" t="s">
        <v>778</v>
      </c>
      <c r="B26" s="2503">
        <v>56</v>
      </c>
      <c r="C26" s="2493"/>
      <c r="D26" s="2493"/>
      <c r="E26" s="2493"/>
      <c r="F26" s="2496">
        <f>F25*0.5</f>
        <v>0</v>
      </c>
    </row>
    <row r="27" spans="1:6" ht="12.75" customHeight="1">
      <c r="A27" s="2483" t="s">
        <v>1374</v>
      </c>
      <c r="B27" s="2505">
        <v>57</v>
      </c>
      <c r="C27" s="2508"/>
      <c r="D27" s="2508"/>
      <c r="E27" s="2491">
        <f>IF(ISERROR('F194'!R89+'F194'!R32),0,('F194'!R89+'F194'!R32))</f>
        <v>0</v>
      </c>
      <c r="F27" s="2496">
        <f>E27</f>
        <v>0</v>
      </c>
    </row>
    <row r="28" spans="1:6" ht="12.75" customHeight="1">
      <c r="A28" s="2483" t="s">
        <v>24</v>
      </c>
      <c r="B28" s="2505">
        <v>58</v>
      </c>
      <c r="C28" s="2493"/>
      <c r="D28" s="2493"/>
      <c r="E28" s="2493"/>
      <c r="F28" s="2496">
        <f>F27*0.5</f>
        <v>0</v>
      </c>
    </row>
    <row r="29" spans="1:6" ht="12.75" customHeight="1">
      <c r="A29" s="2481" t="s">
        <v>1387</v>
      </c>
      <c r="B29" s="2503">
        <v>60</v>
      </c>
      <c r="C29" s="2489"/>
      <c r="D29" s="2489"/>
      <c r="E29" s="2491">
        <f>IF(ISERROR('F194'!N89+'F194'!N32),0,('F194'!N89+'F194'!N32))</f>
        <v>0</v>
      </c>
      <c r="F29" s="2496">
        <f>E29</f>
        <v>0</v>
      </c>
    </row>
    <row r="30" spans="1:6" ht="12.75" customHeight="1">
      <c r="A30" s="2484" t="s">
        <v>22</v>
      </c>
      <c r="B30" s="2506">
        <v>65</v>
      </c>
      <c r="C30" s="2494"/>
      <c r="D30" s="2494"/>
      <c r="E30" s="2494"/>
      <c r="F30" s="2501">
        <f>F29*0.5</f>
        <v>0</v>
      </c>
    </row>
    <row r="31" spans="1:6" ht="12.75" customHeight="1">
      <c r="A31" s="4057" t="s">
        <v>42</v>
      </c>
      <c r="B31" s="2506">
        <v>70</v>
      </c>
      <c r="C31" s="4051">
        <f>SUM(C9:C30)</f>
        <v>0</v>
      </c>
      <c r="D31" s="4051">
        <f>SUM(D9:D30)</f>
        <v>0</v>
      </c>
      <c r="E31" s="4051">
        <f>SUM(E9:E30)</f>
        <v>0</v>
      </c>
      <c r="F31" s="2501">
        <f>SUM(F9:F30)</f>
        <v>0</v>
      </c>
    </row>
    <row r="32" spans="1:6" ht="12.75" customHeight="1">
      <c r="A32" s="2338"/>
      <c r="B32" s="4058"/>
      <c r="C32" s="4058"/>
      <c r="D32" s="4058"/>
      <c r="E32" s="4058"/>
      <c r="F32" s="2339"/>
    </row>
    <row r="33" spans="1:13" ht="12.75" customHeight="1">
      <c r="A33" s="4059" t="s">
        <v>60</v>
      </c>
      <c r="B33" s="4060"/>
      <c r="C33" s="4060"/>
      <c r="D33" s="4060"/>
      <c r="E33" s="4060"/>
      <c r="F33" s="4061"/>
    </row>
    <row r="34" spans="1:13" ht="12.75" customHeight="1">
      <c r="A34" s="2485" t="s">
        <v>775</v>
      </c>
      <c r="B34" s="2488">
        <v>75</v>
      </c>
      <c r="C34" s="2489"/>
      <c r="D34" s="2495"/>
      <c r="E34" s="1870"/>
      <c r="F34" s="1872"/>
    </row>
    <row r="35" spans="1:13" ht="12.75" customHeight="1">
      <c r="A35" s="2486" t="s">
        <v>666</v>
      </c>
      <c r="B35" s="2487">
        <v>175</v>
      </c>
      <c r="C35" s="2496">
        <f>SUM(C33:C34)</f>
        <v>0</v>
      </c>
      <c r="D35" s="1869">
        <f>SUM(D33:D34)</f>
        <v>0</v>
      </c>
      <c r="E35" s="1869">
        <f>SUM(E33:E34)</f>
        <v>0</v>
      </c>
      <c r="F35" s="1868">
        <f>E35</f>
        <v>0</v>
      </c>
    </row>
    <row r="36" spans="1:13" ht="12.75" customHeight="1">
      <c r="A36" s="2485" t="s">
        <v>22</v>
      </c>
      <c r="B36" s="2488">
        <v>180</v>
      </c>
      <c r="C36" s="3910"/>
      <c r="D36" s="3910"/>
      <c r="E36" s="3911"/>
      <c r="F36" s="1871"/>
    </row>
    <row r="37" spans="1:13" ht="12.75" customHeight="1">
      <c r="A37" s="2486" t="s">
        <v>667</v>
      </c>
      <c r="B37" s="2487">
        <v>185</v>
      </c>
      <c r="C37" s="4618"/>
      <c r="D37" s="3910"/>
      <c r="E37" s="3911"/>
      <c r="F37" s="1869">
        <f>SUM(F35:F36)</f>
        <v>0</v>
      </c>
    </row>
    <row r="38" spans="1:13" ht="12.75" customHeight="1">
      <c r="A38" s="2485" t="s">
        <v>247</v>
      </c>
      <c r="B38" s="2488">
        <v>190</v>
      </c>
      <c r="C38" s="2497">
        <f>SUM(C31-C35)</f>
        <v>0</v>
      </c>
      <c r="D38" s="1868">
        <f>SUM(D31-D35)</f>
        <v>0</v>
      </c>
      <c r="E38" s="1868">
        <f>SUM(E31-E35)</f>
        <v>0</v>
      </c>
      <c r="F38" s="3810" t="s">
        <v>4905</v>
      </c>
      <c r="K38" s="334"/>
      <c r="L38" s="334"/>
      <c r="M38" s="334"/>
    </row>
    <row r="39" spans="1:13" ht="12.75" customHeight="1">
      <c r="A39" s="258" t="s">
        <v>776</v>
      </c>
      <c r="B39" s="2487">
        <v>195</v>
      </c>
      <c r="C39" s="2498" t="s">
        <v>673</v>
      </c>
      <c r="D39" s="1873"/>
      <c r="E39" s="1874"/>
      <c r="F39" s="2491">
        <f>SUM(F37-F31)</f>
        <v>0</v>
      </c>
      <c r="H39" s="361" t="s">
        <v>328</v>
      </c>
      <c r="I39" s="362">
        <f>IF(ISERROR(F41/OPEN!A15*1000),"Check errors below",F41/OPEN!A15*1000)</f>
        <v>0</v>
      </c>
      <c r="K39" s="334"/>
      <c r="L39" s="334"/>
      <c r="M39" s="334"/>
    </row>
    <row r="40" spans="1:13" ht="12.75" customHeight="1">
      <c r="A40" s="259" t="s">
        <v>776</v>
      </c>
      <c r="B40" s="2488">
        <v>200</v>
      </c>
      <c r="C40" s="2498" t="s">
        <v>668</v>
      </c>
      <c r="D40" s="1873"/>
      <c r="E40" s="1874"/>
      <c r="F40" s="1869">
        <f>F39*'C01'!$E$97/100</f>
        <v>0</v>
      </c>
      <c r="H40" s="363" t="str">
        <f>OpenData!N40</f>
        <v/>
      </c>
      <c r="I40" s="255"/>
      <c r="K40" s="759"/>
      <c r="L40" s="759"/>
      <c r="M40" s="760"/>
    </row>
    <row r="41" spans="1:13" ht="12.75" customHeight="1">
      <c r="A41" s="258"/>
      <c r="B41" s="2487">
        <v>205</v>
      </c>
      <c r="C41" s="2498" t="str">
        <f>OpenData!N6</f>
        <v>Amount of 2021 Tax to be Levied</v>
      </c>
      <c r="D41" s="1873"/>
      <c r="E41" s="1874"/>
      <c r="F41" s="1869">
        <f>SUM(F39:F40)</f>
        <v>0</v>
      </c>
      <c r="K41" s="761"/>
      <c r="L41" s="334"/>
      <c r="M41" s="334"/>
    </row>
    <row r="42" spans="1:13" s="257" customFormat="1" ht="12.75" customHeight="1">
      <c r="A42" s="259"/>
      <c r="B42" s="1875"/>
      <c r="C42" s="1857"/>
      <c r="D42" s="1857"/>
      <c r="E42" s="1857"/>
      <c r="F42" s="1857" t="str">
        <f>IF(H42&gt;'C02'!$D$18,"Error!!!"," ")</f>
        <v xml:space="preserve"> </v>
      </c>
      <c r="H42" s="255">
        <f>ROUND(F41/OPEN!A15*1000,3)</f>
        <v>0</v>
      </c>
      <c r="K42" s="333"/>
      <c r="L42" s="334"/>
      <c r="M42" s="334"/>
    </row>
    <row r="43" spans="1:13" s="257" customFormat="1" ht="12.75" customHeight="1">
      <c r="A43" s="258"/>
      <c r="B43" s="1876"/>
      <c r="C43" s="1857"/>
      <c r="D43" s="1857"/>
      <c r="E43" s="1857"/>
      <c r="F43" s="1857" t="str">
        <f>IF(F42="Error!!!","Levy amt. &gt;mills authorized on Code 02"," ")</f>
        <v xml:space="preserve"> </v>
      </c>
      <c r="K43" s="334"/>
      <c r="L43" s="334"/>
      <c r="M43" s="334"/>
    </row>
    <row r="44" spans="1:13" ht="12.75" customHeight="1">
      <c r="A44" s="258"/>
      <c r="B44" s="1875"/>
      <c r="C44" s="1857"/>
      <c r="D44" s="1857"/>
      <c r="E44" s="1857"/>
      <c r="F44" s="1857"/>
      <c r="K44" s="333"/>
      <c r="L44" s="334"/>
      <c r="M44" s="334"/>
    </row>
    <row r="45" spans="1:13" ht="12.75" customHeight="1">
      <c r="A45" s="258"/>
      <c r="B45" s="1876"/>
      <c r="C45" s="1857"/>
      <c r="D45" s="1857"/>
      <c r="E45" s="1857"/>
      <c r="F45" s="1857"/>
    </row>
    <row r="46" spans="1:13" ht="12.75" customHeight="1">
      <c r="A46" s="255"/>
      <c r="B46" s="1860"/>
      <c r="C46" s="1857"/>
      <c r="D46" s="1857"/>
      <c r="E46" s="1857"/>
      <c r="F46" s="1857"/>
    </row>
    <row r="47" spans="1:13" ht="12.75" customHeight="1">
      <c r="A47" s="255"/>
      <c r="B47" s="1860"/>
      <c r="C47" s="1857"/>
      <c r="D47" s="1857"/>
      <c r="E47" s="1857"/>
      <c r="F47" s="1857"/>
    </row>
  </sheetData>
  <sheetProtection algorithmName="SHA-512" hashValue="u4+9HzLorPL3rE7GsFp0/An//dN2uvxXw/e9QgYmYN4ojUH1B4AXzRv8/cdDVx/Zk7O0bCb8tYitjHWLA98zPQ==" saltValue="QBLSFXNdvJmUh76igTF5WA==" spinCount="100000" sheet="1" objects="1" scenarios="1"/>
  <mergeCells count="2">
    <mergeCell ref="E1:F1"/>
    <mergeCell ref="E2:F2"/>
  </mergeCells>
  <phoneticPr fontId="13" type="noConversion"/>
  <dataValidations count="4">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F36 C15 C16:D16 C19:C20 C19:D19 D20:E20 F21 C23:D23 C25:D25 C29:D29 C10:D10">
      <formula1>0</formula1>
    </dataValidation>
    <dataValidation type="whole" operator="greaterThanOrEqual" showInputMessage="1" showErrorMessage="1" errorTitle="Invalid data entry" error="Please enter a positive number or press the delete key or enter zero." sqref="C34:E34">
      <formula1>0</formula1>
    </dataValidation>
    <dataValidation type="whole" operator="greaterThanOrEqual" allowBlank="1" showInputMessage="1" showErrorMessage="1" errorTitle="Invalid Data Entry" error="Please enter a positive number or press the delete key or enter zero." sqref="C27">
      <formula1>0</formula1>
    </dataValidation>
  </dataValidations>
  <hyperlinks>
    <hyperlink ref="H1" location="Contents!F1" display="Return to Contents page"/>
  </hyperlinks>
  <printOptions horizontalCentered="1"/>
  <pageMargins left="0.75" right="0.75" top="0.5" bottom="0.5" header="0.3" footer="0.3"/>
  <pageSetup scale="81" fitToHeight="0" orientation="portrait" blackAndWhite="1" r:id="rId1"/>
  <headerFooter scaleWithDoc="0">
    <oddFooter>&amp;L&amp;"Open Sans Light,Regular"&amp;8&amp;D    &amp;T&amp;C&amp;"Open Sans Light,Regular"&amp;8Page &amp;P&amp;R&amp;"Open Sans Light,Regular"&amp;8&amp;A</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4" tint="0.39997558519241921"/>
  </sheetPr>
  <dimension ref="A1:Z49"/>
  <sheetViews>
    <sheetView showGridLines="0" zoomScaleNormal="100" zoomScaleSheetLayoutView="100" workbookViewId="0">
      <pane ySplit="8" topLeftCell="A9" activePane="bottomLeft" state="frozen"/>
      <selection activeCell="B22" sqref="B22"/>
      <selection pane="bottomLeft" activeCell="B22" sqref="B22"/>
    </sheetView>
  </sheetViews>
  <sheetFormatPr defaultColWidth="9.44140625" defaultRowHeight="12.75" customHeight="1"/>
  <cols>
    <col min="1" max="1" width="40.6640625" style="262" customWidth="1"/>
    <col min="2" max="2" width="5.6640625" style="1902" customWidth="1"/>
    <col min="3" max="6" width="14.33203125" style="1903" customWidth="1"/>
    <col min="7" max="7" width="3.109375" style="262" customWidth="1"/>
    <col min="8" max="8" width="21.109375" style="262" customWidth="1"/>
    <col min="9" max="26" width="9.44140625" style="262"/>
    <col min="27" max="16384" width="9.44140625" style="261"/>
  </cols>
  <sheetData>
    <row r="1" spans="1:8" ht="12.75" customHeight="1">
      <c r="A1" s="1883" t="s">
        <v>809</v>
      </c>
      <c r="B1" s="4076">
        <f>OPEN!$B$4</f>
        <v>237</v>
      </c>
      <c r="C1" s="1881"/>
      <c r="D1" s="1881"/>
      <c r="E1" s="6186" t="s">
        <v>836</v>
      </c>
      <c r="F1" s="6186"/>
      <c r="H1" s="304" t="s">
        <v>754</v>
      </c>
    </row>
    <row r="2" spans="1:8" ht="12.75" customHeight="1">
      <c r="A2" s="1881"/>
      <c r="B2" s="1882"/>
      <c r="C2" s="1881"/>
      <c r="D2" s="1881"/>
      <c r="E2" s="6186" t="s">
        <v>921</v>
      </c>
      <c r="F2" s="6186"/>
    </row>
    <row r="3" spans="1:8" ht="12.75" customHeight="1">
      <c r="A3" s="1881"/>
      <c r="B3" s="1882"/>
      <c r="C3" s="1881"/>
      <c r="D3" s="1881"/>
      <c r="E3" s="1881"/>
      <c r="F3" s="1883" t="str">
        <f>OpenData!N2</f>
        <v>2021-2022</v>
      </c>
    </row>
    <row r="4" spans="1:8" ht="12.75" customHeight="1">
      <c r="A4" s="1881"/>
      <c r="B4" s="1882"/>
      <c r="C4" s="1881"/>
      <c r="D4" s="1881"/>
      <c r="E4" s="1881"/>
      <c r="F4" s="1881"/>
    </row>
    <row r="5" spans="1:8" ht="12.75" customHeight="1">
      <c r="A5" s="1881"/>
      <c r="B5" s="1882"/>
      <c r="C5" s="1884" t="s">
        <v>922</v>
      </c>
      <c r="D5" s="1884" t="s">
        <v>922</v>
      </c>
      <c r="E5" s="1884" t="s">
        <v>922</v>
      </c>
      <c r="F5" s="1884" t="s">
        <v>5</v>
      </c>
    </row>
    <row r="6" spans="1:8" ht="12.75" customHeight="1">
      <c r="A6" s="3878" t="s">
        <v>777</v>
      </c>
      <c r="B6" s="1885" t="s">
        <v>854</v>
      </c>
      <c r="C6" s="1886" t="str">
        <f>OpenData!N4</f>
        <v>2019-2020</v>
      </c>
      <c r="D6" s="1886" t="str">
        <f>OpenData!O4</f>
        <v>2020-2021</v>
      </c>
      <c r="E6" s="1886" t="str">
        <f>OpenData!P4</f>
        <v>2021-2022</v>
      </c>
      <c r="F6" s="1886" t="s">
        <v>663</v>
      </c>
    </row>
    <row r="7" spans="1:8" ht="12.75" customHeight="1">
      <c r="A7" s="3878" t="s">
        <v>5123</v>
      </c>
      <c r="B7" s="1887">
        <v>83</v>
      </c>
      <c r="C7" s="1888" t="s">
        <v>893</v>
      </c>
      <c r="D7" s="1888" t="s">
        <v>893</v>
      </c>
      <c r="E7" s="1888" t="s">
        <v>923</v>
      </c>
      <c r="F7" s="1888" t="s">
        <v>11</v>
      </c>
    </row>
    <row r="8" spans="1:8" ht="12.75" customHeight="1">
      <c r="A8" s="1880" t="s">
        <v>4800</v>
      </c>
      <c r="B8" s="1889" t="s">
        <v>858</v>
      </c>
      <c r="C8" s="1890">
        <v>1</v>
      </c>
      <c r="D8" s="1890">
        <v>2</v>
      </c>
      <c r="E8" s="1890">
        <v>3</v>
      </c>
      <c r="F8" s="1890">
        <v>4</v>
      </c>
    </row>
    <row r="9" spans="1:8" ht="12.75" customHeight="1">
      <c r="A9" s="1904" t="s">
        <v>924</v>
      </c>
      <c r="B9" s="1889">
        <v>1</v>
      </c>
      <c r="C9" s="1891"/>
      <c r="D9" s="1892">
        <f>C38</f>
        <v>0</v>
      </c>
      <c r="E9" s="1892">
        <f>D38</f>
        <v>0</v>
      </c>
      <c r="F9" s="1893">
        <f>E9</f>
        <v>0</v>
      </c>
    </row>
    <row r="10" spans="1:8" ht="12.75" customHeight="1">
      <c r="A10" s="3974" t="s">
        <v>4940</v>
      </c>
      <c r="B10" s="4035">
        <v>3</v>
      </c>
      <c r="C10" s="4036"/>
      <c r="D10" s="4037"/>
      <c r="E10" s="4624"/>
      <c r="F10" s="2452"/>
    </row>
    <row r="11" spans="1:8" ht="12.75" customHeight="1">
      <c r="A11" s="4038"/>
      <c r="B11" s="4039"/>
      <c r="C11" s="4039"/>
      <c r="D11" s="4039"/>
      <c r="E11" s="4623"/>
      <c r="F11" s="2470"/>
    </row>
    <row r="12" spans="1:8" ht="12.75" customHeight="1">
      <c r="A12" s="4040" t="s">
        <v>4767</v>
      </c>
      <c r="B12" s="4041"/>
      <c r="C12" s="4041"/>
      <c r="D12" s="4041"/>
      <c r="E12" s="4041"/>
      <c r="F12" s="4042"/>
    </row>
    <row r="13" spans="1:8" ht="12.75" customHeight="1">
      <c r="A13" s="2341" t="s">
        <v>708</v>
      </c>
      <c r="B13" s="2471"/>
      <c r="C13" s="2471"/>
      <c r="D13" s="2471"/>
      <c r="E13" s="2471"/>
      <c r="F13" s="2470"/>
    </row>
    <row r="14" spans="1:8" ht="12.75" customHeight="1">
      <c r="A14" s="2341" t="s">
        <v>709</v>
      </c>
      <c r="B14" s="2471"/>
      <c r="C14" s="2471"/>
      <c r="D14" s="2471"/>
      <c r="E14" s="2471"/>
      <c r="F14" s="2470"/>
    </row>
    <row r="15" spans="1:8" ht="12.75" customHeight="1">
      <c r="A15" s="2455" t="str">
        <f>OpenData!N8</f>
        <v xml:space="preserve">    2018 $</v>
      </c>
      <c r="B15" s="2472">
        <v>5</v>
      </c>
      <c r="C15" s="2466"/>
      <c r="D15" s="2476"/>
      <c r="E15" s="2476"/>
      <c r="F15" s="2453"/>
    </row>
    <row r="16" spans="1:8" ht="12.75" customHeight="1">
      <c r="A16" s="2455" t="str">
        <f>OpenData!N9</f>
        <v xml:space="preserve">    2019 $</v>
      </c>
      <c r="B16" s="2003">
        <v>10</v>
      </c>
      <c r="C16" s="2004"/>
      <c r="D16" s="2466"/>
      <c r="E16" s="2476"/>
      <c r="F16" s="2453"/>
    </row>
    <row r="17" spans="1:6" ht="12.75" customHeight="1">
      <c r="A17" s="2455" t="str">
        <f>OpenData!N10</f>
        <v xml:space="preserve">    2020 $</v>
      </c>
      <c r="B17" s="2472">
        <v>15</v>
      </c>
      <c r="C17" s="2467"/>
      <c r="D17" s="2464">
        <f>'C04'!$E$25</f>
        <v>0</v>
      </c>
      <c r="E17" s="2464">
        <f>'F110'!$K$172</f>
        <v>0</v>
      </c>
      <c r="F17" s="2454">
        <f>E17</f>
        <v>0</v>
      </c>
    </row>
    <row r="18" spans="1:6" ht="12.75" customHeight="1">
      <c r="A18" s="2456" t="str">
        <f>OpenData!N11</f>
        <v xml:space="preserve">    2021 $</v>
      </c>
      <c r="B18" s="2003">
        <v>20</v>
      </c>
      <c r="C18" s="2476"/>
      <c r="D18" s="2467"/>
      <c r="E18" s="2465">
        <f>'C04'!$L$25</f>
        <v>0</v>
      </c>
      <c r="F18" s="2452"/>
    </row>
    <row r="19" spans="1:6" ht="12.75" customHeight="1">
      <c r="A19" s="2456" t="s">
        <v>1378</v>
      </c>
      <c r="B19" s="2003">
        <v>25</v>
      </c>
      <c r="C19" s="2466"/>
      <c r="D19" s="2466"/>
      <c r="E19" s="2464">
        <f>0.667*F19</f>
        <v>0</v>
      </c>
      <c r="F19" s="2454">
        <f>'F110'!$K$176</f>
        <v>0</v>
      </c>
    </row>
    <row r="20" spans="1:6" ht="12.75" customHeight="1">
      <c r="A20" s="2456" t="s">
        <v>712</v>
      </c>
      <c r="B20" s="2003">
        <v>30</v>
      </c>
      <c r="C20" s="2004"/>
      <c r="D20" s="2004"/>
      <c r="E20" s="2466"/>
      <c r="F20" s="2396">
        <f>E20</f>
        <v>0</v>
      </c>
    </row>
    <row r="21" spans="1:6" ht="12.75" customHeight="1">
      <c r="A21" s="2455" t="s">
        <v>711</v>
      </c>
      <c r="B21" s="2472">
        <v>35</v>
      </c>
      <c r="C21" s="2467"/>
      <c r="D21" s="2467"/>
      <c r="E21" s="2467"/>
      <c r="F21" s="2469"/>
    </row>
    <row r="22" spans="1:6" ht="12.75" customHeight="1">
      <c r="A22" s="2341" t="s">
        <v>713</v>
      </c>
      <c r="B22" s="2471"/>
      <c r="C22" s="2471"/>
      <c r="D22" s="2471"/>
      <c r="E22" s="2471"/>
      <c r="F22" s="2470"/>
    </row>
    <row r="23" spans="1:6" ht="12.75" customHeight="1">
      <c r="A23" s="2455" t="s">
        <v>245</v>
      </c>
      <c r="B23" s="2472">
        <v>45</v>
      </c>
      <c r="C23" s="2466"/>
      <c r="D23" s="2466"/>
      <c r="E23" s="2464">
        <f>IF(ISERROR('F194'!$H$90+'F194'!$H$33+'F194'!$P$90+'F194'!$P$33),0,('F194'!$H$90+'F194'!$H$33+'F194'!$P$90+'F194'!$P$33))</f>
        <v>0</v>
      </c>
      <c r="F23" s="2454">
        <f>E23</f>
        <v>0</v>
      </c>
    </row>
    <row r="24" spans="1:6" ht="12.75" customHeight="1">
      <c r="A24" s="2456" t="s">
        <v>711</v>
      </c>
      <c r="B24" s="2003">
        <v>50</v>
      </c>
      <c r="C24" s="2467"/>
      <c r="D24" s="2467"/>
      <c r="E24" s="2467"/>
      <c r="F24" s="2396">
        <f>F23*0.5</f>
        <v>0</v>
      </c>
    </row>
    <row r="25" spans="1:6" ht="12.75" customHeight="1">
      <c r="A25" s="2455" t="s">
        <v>23</v>
      </c>
      <c r="B25" s="2472">
        <v>55</v>
      </c>
      <c r="C25" s="2466"/>
      <c r="D25" s="2466"/>
      <c r="E25" s="2464">
        <f>IF(ISERROR('F194'!$L$90+'F194'!$L$33),0,('F194'!$L$90+'F194'!$L$33))</f>
        <v>0</v>
      </c>
      <c r="F25" s="2396">
        <f>E25</f>
        <v>0</v>
      </c>
    </row>
    <row r="26" spans="1:6" ht="12.75" customHeight="1">
      <c r="A26" s="2455" t="s">
        <v>24</v>
      </c>
      <c r="B26" s="2472">
        <v>56</v>
      </c>
      <c r="C26" s="2467"/>
      <c r="D26" s="2467"/>
      <c r="E26" s="2467"/>
      <c r="F26" s="2396">
        <f>F25*0.5</f>
        <v>0</v>
      </c>
    </row>
    <row r="27" spans="1:6" ht="12.75" customHeight="1">
      <c r="A27" s="2457" t="s">
        <v>1374</v>
      </c>
      <c r="B27" s="2473">
        <v>57</v>
      </c>
      <c r="C27" s="2477"/>
      <c r="D27" s="2477"/>
      <c r="E27" s="2464">
        <f>IF(ISERROR('F194'!$R$33+'F194'!$R$90),0,('F194'!$R$33+'F194'!$R$90))</f>
        <v>0</v>
      </c>
      <c r="F27" s="2396">
        <f>E27</f>
        <v>0</v>
      </c>
    </row>
    <row r="28" spans="1:6" ht="12.75" customHeight="1">
      <c r="A28" s="2457" t="s">
        <v>24</v>
      </c>
      <c r="B28" s="2473">
        <v>58</v>
      </c>
      <c r="C28" s="2467"/>
      <c r="D28" s="2467"/>
      <c r="E28" s="2467"/>
      <c r="F28" s="2396">
        <f>F27*0.5</f>
        <v>0</v>
      </c>
    </row>
    <row r="29" spans="1:6" ht="12.75" customHeight="1">
      <c r="A29" s="2455" t="s">
        <v>1388</v>
      </c>
      <c r="B29" s="2472">
        <v>60</v>
      </c>
      <c r="C29" s="2468"/>
      <c r="D29" s="2468"/>
      <c r="E29" s="2464">
        <f>IF(ISERROR('F194'!$N$33+'F194'!$N$90),0,('F194'!$N$33+'F194'!$N$90))</f>
        <v>0</v>
      </c>
      <c r="F29" s="2396">
        <f>E29</f>
        <v>0</v>
      </c>
    </row>
    <row r="30" spans="1:6" ht="12.75" customHeight="1">
      <c r="A30" s="2458" t="s">
        <v>711</v>
      </c>
      <c r="B30" s="2474">
        <v>65</v>
      </c>
      <c r="C30" s="2478"/>
      <c r="D30" s="2478"/>
      <c r="E30" s="2478"/>
      <c r="F30" s="2396">
        <f>F29*0.5</f>
        <v>0</v>
      </c>
    </row>
    <row r="31" spans="1:6" ht="12.75" customHeight="1">
      <c r="A31" s="4043" t="s">
        <v>42</v>
      </c>
      <c r="B31" s="2474">
        <v>70</v>
      </c>
      <c r="C31" s="4044">
        <f>SUM(C9:C30)</f>
        <v>0</v>
      </c>
      <c r="D31" s="4044">
        <f>SUM(D9:D30)</f>
        <v>0</v>
      </c>
      <c r="E31" s="4044">
        <f>SUM(E9:E30)</f>
        <v>0</v>
      </c>
      <c r="F31" s="2453">
        <f>SUM(F9:F30)</f>
        <v>0</v>
      </c>
    </row>
    <row r="32" spans="1:6" ht="12.75" customHeight="1">
      <c r="A32" s="2342"/>
      <c r="B32" s="4045"/>
      <c r="C32" s="4045"/>
      <c r="D32" s="4045"/>
      <c r="E32" s="4045"/>
      <c r="F32" s="2343"/>
    </row>
    <row r="33" spans="1:9" ht="12.75" customHeight="1">
      <c r="A33" s="4046" t="s">
        <v>60</v>
      </c>
      <c r="B33" s="4047"/>
      <c r="C33" s="4047"/>
      <c r="D33" s="4047"/>
      <c r="E33" s="4047"/>
      <c r="F33" s="4048"/>
    </row>
    <row r="34" spans="1:9" ht="12.75" customHeight="1">
      <c r="A34" s="2459" t="s">
        <v>779</v>
      </c>
      <c r="B34" s="2462">
        <v>75</v>
      </c>
      <c r="C34" s="2468"/>
      <c r="D34" s="2468"/>
      <c r="E34" s="2468"/>
      <c r="F34" s="2453"/>
    </row>
    <row r="35" spans="1:9" ht="12.75" customHeight="1">
      <c r="A35" s="2460" t="s">
        <v>780</v>
      </c>
      <c r="B35" s="2475">
        <v>175</v>
      </c>
      <c r="C35" s="2465">
        <f>SUM(C33:C34)</f>
        <v>0</v>
      </c>
      <c r="D35" s="2465">
        <f>SUM(D33:D34)</f>
        <v>0</v>
      </c>
      <c r="E35" s="2465">
        <f>SUM(E33:E34)</f>
        <v>0</v>
      </c>
      <c r="F35" s="2454">
        <f>E35</f>
        <v>0</v>
      </c>
    </row>
    <row r="36" spans="1:9" ht="12.75" customHeight="1">
      <c r="A36" s="2459" t="s">
        <v>24</v>
      </c>
      <c r="B36" s="2462">
        <v>180</v>
      </c>
      <c r="C36" s="4618"/>
      <c r="D36" s="3910"/>
      <c r="E36" s="3911"/>
      <c r="F36" s="1894"/>
    </row>
    <row r="37" spans="1:9" ht="12.75" customHeight="1">
      <c r="A37" s="2461" t="s">
        <v>781</v>
      </c>
      <c r="B37" s="2463">
        <v>185</v>
      </c>
      <c r="C37" s="4618"/>
      <c r="D37" s="3910"/>
      <c r="E37" s="3911"/>
      <c r="F37" s="1893">
        <f>SUM(F35:F36)</f>
        <v>0</v>
      </c>
    </row>
    <row r="38" spans="1:9" ht="12.75" customHeight="1">
      <c r="A38" s="2459" t="s">
        <v>782</v>
      </c>
      <c r="B38" s="2462">
        <v>190</v>
      </c>
      <c r="C38" s="2454">
        <f>SUM(C31-C35)</f>
        <v>0</v>
      </c>
      <c r="D38" s="1892">
        <f>SUM(D31-D35)</f>
        <v>0</v>
      </c>
      <c r="E38" s="1892">
        <f>SUM(E31-E35)</f>
        <v>0</v>
      </c>
      <c r="F38" s="3810" t="s">
        <v>4905</v>
      </c>
    </row>
    <row r="39" spans="1:9" ht="12.75" customHeight="1">
      <c r="A39" s="263" t="s">
        <v>776</v>
      </c>
      <c r="B39" s="1896">
        <v>195</v>
      </c>
      <c r="C39" s="1897" t="s">
        <v>673</v>
      </c>
      <c r="D39" s="1898"/>
      <c r="E39" s="1899"/>
      <c r="F39" s="2464">
        <f>SUM(F37-F31)</f>
        <v>0</v>
      </c>
    </row>
    <row r="40" spans="1:9" ht="12.75" customHeight="1">
      <c r="A40" s="264" t="s">
        <v>776</v>
      </c>
      <c r="B40" s="1895">
        <v>200</v>
      </c>
      <c r="C40" s="1897" t="s">
        <v>668</v>
      </c>
      <c r="D40" s="1898"/>
      <c r="E40" s="1899"/>
      <c r="F40" s="1893">
        <f>F39*'C01'!$E$97/100</f>
        <v>0</v>
      </c>
    </row>
    <row r="41" spans="1:9" ht="12.75" customHeight="1">
      <c r="A41" s="263"/>
      <c r="B41" s="1896">
        <v>205</v>
      </c>
      <c r="C41" s="1897" t="str">
        <f>OpenData!N6</f>
        <v>Amount of 2021 Tax to be Levied</v>
      </c>
      <c r="D41" s="1898"/>
      <c r="E41" s="1899"/>
      <c r="F41" s="1893">
        <f>SUM(F39:F40)</f>
        <v>0</v>
      </c>
      <c r="H41" s="364" t="s">
        <v>329</v>
      </c>
      <c r="I41" s="365">
        <f>IF(ISERROR(F41/OPEN!A15*1000),"Check errors below",F41/OPEN!A15*1000)</f>
        <v>0</v>
      </c>
    </row>
    <row r="42" spans="1:9" ht="12.75" customHeight="1">
      <c r="A42" s="264"/>
      <c r="B42" s="1900"/>
      <c r="C42" s="1881"/>
      <c r="D42" s="1881"/>
      <c r="E42" s="1881"/>
      <c r="F42" s="1881" t="str">
        <f>IF((F41/OPEN!A15)/1000&gt;'C02'!$D$18,"Error!!!"," ")</f>
        <v xml:space="preserve"> </v>
      </c>
      <c r="H42" s="366" t="str">
        <f>OpenData!N40</f>
        <v/>
      </c>
      <c r="I42" s="260"/>
    </row>
    <row r="43" spans="1:9" ht="12.75" customHeight="1">
      <c r="A43" s="263"/>
      <c r="B43" s="1901"/>
      <c r="C43" s="1881"/>
      <c r="D43" s="1881"/>
      <c r="E43" s="1881"/>
      <c r="F43" s="1881" t="str">
        <f>IF(F42="Error!!!","Levy amt. &gt; mills levied on Code 02"," ")</f>
        <v xml:space="preserve"> </v>
      </c>
    </row>
    <row r="44" spans="1:9" ht="12.75" customHeight="1">
      <c r="A44" s="263"/>
      <c r="B44" s="1900"/>
      <c r="C44" s="1881"/>
      <c r="D44" s="1881"/>
      <c r="E44" s="1881"/>
      <c r="F44" s="1881"/>
    </row>
    <row r="45" spans="1:9" ht="12.75" customHeight="1">
      <c r="A45" s="263"/>
      <c r="B45" s="1901"/>
      <c r="C45" s="1881"/>
      <c r="D45" s="1881"/>
      <c r="E45" s="1881"/>
      <c r="F45" s="1881"/>
    </row>
    <row r="46" spans="1:9" ht="12.75" customHeight="1">
      <c r="A46" s="260"/>
      <c r="B46" s="1884"/>
      <c r="C46" s="1881"/>
      <c r="D46" s="1881"/>
      <c r="E46" s="1881"/>
      <c r="F46" s="1881"/>
    </row>
    <row r="47" spans="1:9" ht="12.75" customHeight="1">
      <c r="A47" s="260"/>
      <c r="B47" s="1884"/>
      <c r="C47" s="1881"/>
      <c r="D47" s="1881"/>
      <c r="E47" s="1881"/>
      <c r="F47" s="1881"/>
    </row>
    <row r="48" spans="1:9" ht="12.75" customHeight="1">
      <c r="A48" s="260"/>
      <c r="B48" s="1884"/>
      <c r="C48" s="1881"/>
      <c r="D48" s="1881"/>
      <c r="E48" s="1881"/>
      <c r="F48" s="1881"/>
    </row>
    <row r="49" spans="1:6" ht="12.75" customHeight="1">
      <c r="A49" s="260"/>
      <c r="B49" s="1884"/>
      <c r="C49" s="1881"/>
      <c r="D49" s="1881"/>
      <c r="E49" s="1881"/>
      <c r="F49" s="1881"/>
    </row>
  </sheetData>
  <sheetProtection algorithmName="SHA-512" hashValue="uGLgzJVX9yiTTnenCUiU2VTcZJZbBo0QnvgOBgSkE7SuC/nntJaZfjPCT336yTldHTs6xH0ZsBqFlwEkg7qQwA==" saltValue="fL1trDxOmcQ9mEnLYJ8HTw==" spinCount="100000" sheet="1" objects="1" scenarios="1"/>
  <mergeCells count="2">
    <mergeCell ref="E1:F1"/>
    <mergeCell ref="E2:F2"/>
  </mergeCells>
  <phoneticPr fontId="36" type="noConversion"/>
  <dataValidations count="3">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F36 C15 C16:D16 C19:D19 C20:E20 F21 C23:D23 C25:D25 C29:D29 C34:E34 C10:D10">
      <formula1>0</formula1>
    </dataValidation>
    <dataValidation type="whole" operator="greaterThanOrEqual" allowBlank="1" showInputMessage="1" showErrorMessage="1" errorTitle="Invalid Data Entry" error="Please enter a positive number or press the delete key or enter zero." sqref="C27">
      <formula1>0</formula1>
    </dataValidation>
  </dataValidations>
  <hyperlinks>
    <hyperlink ref="H1" location="Contents!F1" display="Return to Contents page"/>
  </hyperlinks>
  <printOptions horizontalCentered="1"/>
  <pageMargins left="0.75" right="0.75" top="0.5" bottom="0.5" header="0.3" footer="0.3"/>
  <pageSetup scale="81" fitToHeight="0" orientation="portrait" blackAndWhite="1" r:id="rId1"/>
  <headerFooter scaleWithDoc="0">
    <oddFooter>&amp;L&amp;"Open Sans Light,Regular"&amp;8&amp;D    &amp;T&amp;C&amp;"Open Sans Light,Regular"&amp;8Page &amp;P&amp;R&amp;"Open Sans Light,Regular"&amp;8&amp;A</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4" tint="0.39997558519241921"/>
  </sheetPr>
  <dimension ref="A1:Z47"/>
  <sheetViews>
    <sheetView showGridLines="0" zoomScaleNormal="100" zoomScaleSheetLayoutView="100" workbookViewId="0">
      <pane ySplit="8" topLeftCell="A9" activePane="bottomLeft" state="frozen"/>
      <selection activeCell="B22" sqref="B22"/>
      <selection pane="bottomLeft" activeCell="B22" sqref="B22"/>
    </sheetView>
  </sheetViews>
  <sheetFormatPr defaultColWidth="10.6640625" defaultRowHeight="12.75" customHeight="1"/>
  <cols>
    <col min="1" max="1" width="40.6640625" style="267" customWidth="1"/>
    <col min="2" max="2" width="5.6640625" style="1934" customWidth="1"/>
    <col min="3" max="6" width="14.33203125" style="1935" customWidth="1"/>
    <col min="7" max="7" width="2.88671875" style="267" customWidth="1"/>
    <col min="8" max="8" width="20.88671875" style="267" customWidth="1"/>
    <col min="9" max="9" width="10.6640625" style="267" customWidth="1"/>
    <col min="10" max="10" width="6.109375" style="267" customWidth="1"/>
    <col min="11" max="26" width="10.6640625" style="267"/>
    <col min="27" max="16384" width="10.6640625" style="266"/>
  </cols>
  <sheetData>
    <row r="1" spans="1:8" ht="12.75" customHeight="1">
      <c r="A1" s="1908" t="s">
        <v>809</v>
      </c>
      <c r="B1" s="4077">
        <f>OPEN!$B$4</f>
        <v>237</v>
      </c>
      <c r="C1" s="1906"/>
      <c r="D1" s="1906"/>
      <c r="E1" s="6188" t="s">
        <v>836</v>
      </c>
      <c r="F1" s="6188"/>
      <c r="H1" s="304" t="s">
        <v>754</v>
      </c>
    </row>
    <row r="2" spans="1:8" ht="12.75" customHeight="1">
      <c r="A2" s="1906"/>
      <c r="B2" s="1907"/>
      <c r="C2" s="1906"/>
      <c r="D2" s="1906"/>
      <c r="E2" s="6188" t="s">
        <v>921</v>
      </c>
      <c r="F2" s="6188"/>
    </row>
    <row r="3" spans="1:8" ht="12.75" customHeight="1">
      <c r="A3" s="1906"/>
      <c r="B3" s="1907"/>
      <c r="C3" s="1906"/>
      <c r="D3" s="1906"/>
      <c r="E3" s="1906"/>
      <c r="F3" s="1908" t="str">
        <f>OpenData!N2</f>
        <v>2021-2022</v>
      </c>
    </row>
    <row r="4" spans="1:8" ht="12.75" customHeight="1">
      <c r="A4" s="1906"/>
      <c r="B4" s="1907"/>
      <c r="C4" s="1906"/>
      <c r="D4" s="1906"/>
      <c r="E4" s="1906"/>
      <c r="F4" s="1906"/>
    </row>
    <row r="5" spans="1:8" ht="12.75" customHeight="1">
      <c r="A5" s="1906"/>
      <c r="B5" s="1907"/>
      <c r="C5" s="1909" t="s">
        <v>922</v>
      </c>
      <c r="D5" s="1909" t="s">
        <v>922</v>
      </c>
      <c r="E5" s="1909" t="s">
        <v>922</v>
      </c>
      <c r="F5" s="1909" t="s">
        <v>5</v>
      </c>
    </row>
    <row r="6" spans="1:8" ht="12.75" customHeight="1">
      <c r="A6" s="1936"/>
      <c r="B6" s="1910" t="s">
        <v>854</v>
      </c>
      <c r="C6" s="1911" t="str">
        <f>OpenData!N4</f>
        <v>2019-2020</v>
      </c>
      <c r="D6" s="1911" t="str">
        <f>OpenData!O4</f>
        <v>2020-2021</v>
      </c>
      <c r="E6" s="1911" t="str">
        <f>OpenData!P4</f>
        <v>2021-2022</v>
      </c>
      <c r="F6" s="1911" t="s">
        <v>663</v>
      </c>
    </row>
    <row r="7" spans="1:8" ht="12.75" customHeight="1">
      <c r="A7" s="1936" t="str">
        <f>OpenData!S53</f>
        <v>RECREATION COMMISSION</v>
      </c>
      <c r="B7" s="1912">
        <v>84</v>
      </c>
      <c r="C7" s="1913" t="s">
        <v>893</v>
      </c>
      <c r="D7" s="1913" t="s">
        <v>893</v>
      </c>
      <c r="E7" s="1913" t="s">
        <v>923</v>
      </c>
      <c r="F7" s="1913" t="s">
        <v>11</v>
      </c>
    </row>
    <row r="8" spans="1:8" ht="12.75" customHeight="1">
      <c r="A8" s="1937"/>
      <c r="B8" s="1914" t="s">
        <v>858</v>
      </c>
      <c r="C8" s="1915">
        <v>1</v>
      </c>
      <c r="D8" s="1915">
        <v>2</v>
      </c>
      <c r="E8" s="1915">
        <v>3</v>
      </c>
      <c r="F8" s="1915">
        <v>4</v>
      </c>
    </row>
    <row r="9" spans="1:8" ht="12.75" customHeight="1">
      <c r="A9" s="1938" t="s">
        <v>924</v>
      </c>
      <c r="B9" s="1914">
        <v>1</v>
      </c>
      <c r="C9" s="1916"/>
      <c r="D9" s="1917">
        <f>C38</f>
        <v>0</v>
      </c>
      <c r="E9" s="1917">
        <f>D38</f>
        <v>0</v>
      </c>
      <c r="F9" s="1918">
        <f>E9</f>
        <v>0</v>
      </c>
    </row>
    <row r="10" spans="1:8" ht="12.75" customHeight="1">
      <c r="A10" s="3974" t="s">
        <v>4940</v>
      </c>
      <c r="B10" s="4021">
        <v>3</v>
      </c>
      <c r="C10" s="4022"/>
      <c r="D10" s="4022"/>
      <c r="E10" s="4029"/>
      <c r="F10" s="2427"/>
    </row>
    <row r="11" spans="1:8" ht="12.75" customHeight="1">
      <c r="A11" s="4024"/>
      <c r="B11" s="4025"/>
      <c r="C11" s="4025"/>
      <c r="D11" s="4025"/>
      <c r="E11" s="4023"/>
      <c r="F11" s="2431"/>
    </row>
    <row r="12" spans="1:8" ht="12.75" customHeight="1">
      <c r="A12" s="4026" t="s">
        <v>4767</v>
      </c>
      <c r="B12" s="4027"/>
      <c r="C12" s="4027"/>
      <c r="D12" s="4027"/>
      <c r="E12" s="4027"/>
      <c r="F12" s="4028"/>
    </row>
    <row r="13" spans="1:8" ht="12.75" customHeight="1">
      <c r="A13" s="2344" t="s">
        <v>708</v>
      </c>
      <c r="B13" s="2442"/>
      <c r="C13" s="2431"/>
      <c r="D13" s="2431"/>
      <c r="E13" s="2442"/>
      <c r="F13" s="2431"/>
    </row>
    <row r="14" spans="1:8" ht="12.75" customHeight="1">
      <c r="A14" s="2344" t="s">
        <v>709</v>
      </c>
      <c r="B14" s="2442"/>
      <c r="C14" s="2431"/>
      <c r="D14" s="2431"/>
      <c r="E14" s="2442"/>
      <c r="F14" s="2431"/>
    </row>
    <row r="15" spans="1:8" ht="12.75" customHeight="1">
      <c r="A15" s="2446" t="str">
        <f>OpenData!N8</f>
        <v xml:space="preserve">    2018 $</v>
      </c>
      <c r="B15" s="2437">
        <v>5</v>
      </c>
      <c r="C15" s="2432"/>
      <c r="D15" s="2428"/>
      <c r="E15" s="2443"/>
      <c r="F15" s="2428"/>
    </row>
    <row r="16" spans="1:8" ht="12.75" customHeight="1">
      <c r="A16" s="2446" t="str">
        <f>OpenData!N9</f>
        <v xml:space="preserve">    2019 $</v>
      </c>
      <c r="B16" s="2438">
        <v>10</v>
      </c>
      <c r="C16" s="2433"/>
      <c r="D16" s="2435"/>
      <c r="E16" s="2443"/>
      <c r="F16" s="2428"/>
    </row>
    <row r="17" spans="1:6" ht="12.75" customHeight="1">
      <c r="A17" s="2446" t="str">
        <f>OpenData!N10</f>
        <v xml:space="preserve">    2020 $</v>
      </c>
      <c r="B17" s="2437">
        <v>15</v>
      </c>
      <c r="C17" s="2427"/>
      <c r="D17" s="2429">
        <f>'C04'!E22</f>
        <v>0</v>
      </c>
      <c r="E17" s="1921">
        <f>'F110'!M33</f>
        <v>0</v>
      </c>
      <c r="F17" s="2436">
        <f>E17</f>
        <v>0</v>
      </c>
    </row>
    <row r="18" spans="1:6" ht="12.75" customHeight="1">
      <c r="A18" s="2447" t="str">
        <f>OpenData!O11</f>
        <v xml:space="preserve">    2021 $</v>
      </c>
      <c r="B18" s="2438">
        <v>20</v>
      </c>
      <c r="C18" s="2428"/>
      <c r="D18" s="2428"/>
      <c r="E18" s="2444">
        <f>'C04'!L22</f>
        <v>0</v>
      </c>
      <c r="F18" s="2428"/>
    </row>
    <row r="19" spans="1:6" ht="12.75" customHeight="1">
      <c r="A19" s="2447" t="s">
        <v>1378</v>
      </c>
      <c r="B19" s="2438">
        <v>25</v>
      </c>
      <c r="C19" s="2432"/>
      <c r="D19" s="2432"/>
      <c r="E19" s="1921">
        <f>0.667*F19</f>
        <v>0</v>
      </c>
      <c r="F19" s="2436">
        <f>'F110'!M37</f>
        <v>0</v>
      </c>
    </row>
    <row r="20" spans="1:6" ht="12.75" customHeight="1">
      <c r="A20" s="2447" t="s">
        <v>712</v>
      </c>
      <c r="B20" s="2438">
        <v>30</v>
      </c>
      <c r="C20" s="2433"/>
      <c r="D20" s="2433"/>
      <c r="E20" s="2445"/>
      <c r="F20" s="2429">
        <f>E20</f>
        <v>0</v>
      </c>
    </row>
    <row r="21" spans="1:6" ht="12.75" customHeight="1">
      <c r="A21" s="2446" t="s">
        <v>711</v>
      </c>
      <c r="B21" s="2437">
        <v>35</v>
      </c>
      <c r="C21" s="2427"/>
      <c r="D21" s="2427"/>
      <c r="E21" s="1924"/>
      <c r="F21" s="2432"/>
    </row>
    <row r="22" spans="1:6" ht="12.75" customHeight="1">
      <c r="A22" s="2344" t="s">
        <v>713</v>
      </c>
      <c r="B22" s="2442"/>
      <c r="C22" s="2431"/>
      <c r="D22" s="2431"/>
      <c r="E22" s="2442"/>
      <c r="F22" s="2431"/>
    </row>
    <row r="23" spans="1:6" ht="12.75" customHeight="1">
      <c r="A23" s="2446" t="s">
        <v>242</v>
      </c>
      <c r="B23" s="2437">
        <v>45</v>
      </c>
      <c r="C23" s="2432"/>
      <c r="D23" s="2432"/>
      <c r="E23" s="1921">
        <f>IF(ISERROR('F194'!H82+'F194'!H25+'F194'!$P$82+'F194'!$P$25),0,('F194'!H82+'F194'!H25+'F194'!$P$82+'F194'!$P$25))</f>
        <v>0</v>
      </c>
      <c r="F23" s="2436">
        <f>E23</f>
        <v>0</v>
      </c>
    </row>
    <row r="24" spans="1:6" ht="12.75" customHeight="1">
      <c r="A24" s="2447" t="s">
        <v>711</v>
      </c>
      <c r="B24" s="2438">
        <v>50</v>
      </c>
      <c r="C24" s="1924"/>
      <c r="D24" s="2427"/>
      <c r="E24" s="1924"/>
      <c r="F24" s="2429">
        <f>F23*0.5</f>
        <v>0</v>
      </c>
    </row>
    <row r="25" spans="1:6" ht="12.75" customHeight="1">
      <c r="A25" s="2446" t="s">
        <v>23</v>
      </c>
      <c r="B25" s="2437">
        <v>55</v>
      </c>
      <c r="C25" s="2432"/>
      <c r="D25" s="2432"/>
      <c r="E25" s="1921">
        <f>IF(ISERROR('F194'!$L$82+'F194'!$L$25),0,('F194'!$L$82+'F194'!$L$25))</f>
        <v>0</v>
      </c>
      <c r="F25" s="2429">
        <f>E25</f>
        <v>0</v>
      </c>
    </row>
    <row r="26" spans="1:6" ht="12.75" customHeight="1">
      <c r="A26" s="2446" t="s">
        <v>24</v>
      </c>
      <c r="B26" s="2437">
        <v>56</v>
      </c>
      <c r="C26" s="1924"/>
      <c r="D26" s="2427"/>
      <c r="E26" s="1924"/>
      <c r="F26" s="2429">
        <f>F25*0.5</f>
        <v>0</v>
      </c>
    </row>
    <row r="27" spans="1:6" ht="12.75" customHeight="1">
      <c r="A27" s="2448" t="s">
        <v>1374</v>
      </c>
      <c r="B27" s="2439">
        <v>57</v>
      </c>
      <c r="C27" s="2434"/>
      <c r="D27" s="2434"/>
      <c r="E27" s="1921">
        <f>IF(ISERROR('F194'!R82+'F194'!R25),0,('F194'!R82+'F194'!R25))</f>
        <v>0</v>
      </c>
      <c r="F27" s="2429">
        <f>E27</f>
        <v>0</v>
      </c>
    </row>
    <row r="28" spans="1:6" ht="12.75" customHeight="1">
      <c r="A28" s="2448" t="s">
        <v>24</v>
      </c>
      <c r="B28" s="2439">
        <v>58</v>
      </c>
      <c r="C28" s="1924"/>
      <c r="D28" s="2427"/>
      <c r="E28" s="2427"/>
      <c r="F28" s="1918">
        <f>F27*0.5</f>
        <v>0</v>
      </c>
    </row>
    <row r="29" spans="1:6" ht="12.75" customHeight="1">
      <c r="A29" s="2446" t="s">
        <v>1388</v>
      </c>
      <c r="B29" s="2437">
        <v>60</v>
      </c>
      <c r="C29" s="2435"/>
      <c r="D29" s="2435"/>
      <c r="E29" s="2436">
        <f>IF(ISERROR('F194'!N82+'F194'!N25),0,('F194'!N82+'F194'!N25))</f>
        <v>0</v>
      </c>
      <c r="F29" s="1918">
        <f>E29</f>
        <v>0</v>
      </c>
    </row>
    <row r="30" spans="1:6" ht="12.75" customHeight="1">
      <c r="A30" s="2449" t="s">
        <v>711</v>
      </c>
      <c r="B30" s="2440">
        <v>65</v>
      </c>
      <c r="C30" s="2430"/>
      <c r="D30" s="2430"/>
      <c r="E30" s="2430"/>
      <c r="F30" s="1922">
        <f>F29*0.5</f>
        <v>0</v>
      </c>
    </row>
    <row r="31" spans="1:6" ht="12.75" customHeight="1">
      <c r="A31" s="2450" t="s">
        <v>42</v>
      </c>
      <c r="B31" s="4030">
        <v>70</v>
      </c>
      <c r="C31" s="2428">
        <f>SUM(C9:C30)</f>
        <v>0</v>
      </c>
      <c r="D31" s="2428">
        <f>SUM(D9:D30)</f>
        <v>0</v>
      </c>
      <c r="E31" s="2428">
        <f>SUM(E9:E30)</f>
        <v>0</v>
      </c>
      <c r="F31" s="1924">
        <f>SUM(F9:F30)</f>
        <v>0</v>
      </c>
    </row>
    <row r="32" spans="1:6" ht="12.75" customHeight="1">
      <c r="A32" s="2345"/>
      <c r="B32" s="4031"/>
      <c r="C32" s="4031"/>
      <c r="D32" s="4031"/>
      <c r="E32" s="4031"/>
      <c r="F32" s="2346"/>
    </row>
    <row r="33" spans="1:10" ht="12.75" customHeight="1">
      <c r="A33" s="4032" t="s">
        <v>60</v>
      </c>
      <c r="B33" s="4033"/>
      <c r="C33" s="4033"/>
      <c r="D33" s="4033"/>
      <c r="E33" s="4033"/>
      <c r="F33" s="4034"/>
    </row>
    <row r="34" spans="1:10" ht="12.75" customHeight="1">
      <c r="A34" s="2451" t="s">
        <v>779</v>
      </c>
      <c r="B34" s="2441">
        <v>75</v>
      </c>
      <c r="C34" s="2435"/>
      <c r="D34" s="1919"/>
      <c r="E34" s="1919"/>
      <c r="F34" s="1923"/>
    </row>
    <row r="35" spans="1:10" ht="12.75" customHeight="1">
      <c r="A35" s="1940" t="s">
        <v>783</v>
      </c>
      <c r="B35" s="1926">
        <v>175</v>
      </c>
      <c r="C35" s="1918">
        <f>SUM(C33:C34)</f>
        <v>0</v>
      </c>
      <c r="D35" s="1918">
        <f>SUM(D33:D34)</f>
        <v>0</v>
      </c>
      <c r="E35" s="1918">
        <f>SUM(E33:E34)</f>
        <v>0</v>
      </c>
      <c r="F35" s="1917">
        <f>E35</f>
        <v>0</v>
      </c>
      <c r="H35" s="306" t="s">
        <v>975</v>
      </c>
      <c r="I35" s="307"/>
      <c r="J35" s="307"/>
    </row>
    <row r="36" spans="1:10" ht="12.75" customHeight="1">
      <c r="A36" s="1939" t="s">
        <v>778</v>
      </c>
      <c r="B36" s="1925">
        <v>180</v>
      </c>
      <c r="C36" s="4618"/>
      <c r="D36" s="3910"/>
      <c r="E36" s="3911"/>
      <c r="F36" s="1920"/>
      <c r="H36" s="308" t="s">
        <v>976</v>
      </c>
      <c r="I36" s="307"/>
      <c r="J36" s="307"/>
    </row>
    <row r="37" spans="1:10" ht="12.75" customHeight="1">
      <c r="A37" s="1941" t="s">
        <v>44</v>
      </c>
      <c r="B37" s="1927">
        <v>185</v>
      </c>
      <c r="C37" s="4618"/>
      <c r="D37" s="3910"/>
      <c r="E37" s="3911"/>
      <c r="F37" s="1918">
        <f>SUM(F35:F36)</f>
        <v>0</v>
      </c>
      <c r="H37" s="309">
        <f>ROUND((OpenData!N59*'C02'!D21)/1000,0)</f>
        <v>0</v>
      </c>
      <c r="I37" s="307"/>
      <c r="J37" s="307"/>
    </row>
    <row r="38" spans="1:10" ht="12.75" customHeight="1">
      <c r="A38" s="1939" t="s">
        <v>935</v>
      </c>
      <c r="B38" s="1925">
        <v>190</v>
      </c>
      <c r="C38" s="1921">
        <f>SUM(C31-C35)</f>
        <v>0</v>
      </c>
      <c r="D38" s="1921">
        <f>SUM(D31-D35)</f>
        <v>0</v>
      </c>
      <c r="E38" s="1921">
        <f>SUM(E31-E35)</f>
        <v>0</v>
      </c>
      <c r="F38" s="4281" t="s">
        <v>4905</v>
      </c>
      <c r="H38" s="367"/>
      <c r="I38" s="368"/>
      <c r="J38" s="368"/>
    </row>
    <row r="39" spans="1:10" ht="12.75" customHeight="1">
      <c r="A39" s="6189" t="s">
        <v>5126</v>
      </c>
      <c r="B39" s="1926">
        <v>195</v>
      </c>
      <c r="C39" s="1928" t="s">
        <v>673</v>
      </c>
      <c r="D39" s="1929"/>
      <c r="E39" s="1930"/>
      <c r="F39" s="1921">
        <f>SUM(F37-F31)</f>
        <v>0</v>
      </c>
      <c r="H39" s="369" t="s">
        <v>330</v>
      </c>
      <c r="I39" s="371">
        <f>IF(ISERROR(F41/OpenData!N59*1000),"Check errors below",F41/OpenData!N59*1000)</f>
        <v>0</v>
      </c>
      <c r="J39" s="368"/>
    </row>
    <row r="40" spans="1:10" ht="12.75" customHeight="1">
      <c r="A40" s="6190"/>
      <c r="B40" s="1925">
        <v>200</v>
      </c>
      <c r="C40" s="1928" t="s">
        <v>668</v>
      </c>
      <c r="D40" s="1929"/>
      <c r="E40" s="1930"/>
      <c r="F40" s="1918">
        <f>F39*'C01'!$E$97/100</f>
        <v>0</v>
      </c>
      <c r="H40" s="370" t="str">
        <f>OpenData!N40</f>
        <v/>
      </c>
      <c r="I40" s="368"/>
      <c r="J40" s="368"/>
    </row>
    <row r="41" spans="1:10" ht="12.75" customHeight="1">
      <c r="A41" s="6190"/>
      <c r="B41" s="1926">
        <v>205</v>
      </c>
      <c r="C41" s="1928" t="str">
        <f>OpenData!N6</f>
        <v>Amount of 2021 Tax to be Levied</v>
      </c>
      <c r="D41" s="1929"/>
      <c r="E41" s="1930"/>
      <c r="F41" s="1918">
        <f>SUM(F39:F40)</f>
        <v>0</v>
      </c>
    </row>
    <row r="42" spans="1:10" ht="12.75" customHeight="1">
      <c r="A42" s="269"/>
      <c r="B42" s="1931"/>
      <c r="C42" s="1906"/>
      <c r="D42" s="1906"/>
      <c r="E42" s="1906"/>
      <c r="F42" s="1906" t="str">
        <f>IF(H42&gt;'C02'!$D$21,"Error!!!"," ")</f>
        <v xml:space="preserve"> </v>
      </c>
      <c r="H42" s="265">
        <f>ROUND(F41/OpenData!N59*1000,3)</f>
        <v>0</v>
      </c>
    </row>
    <row r="43" spans="1:10" ht="12.75" customHeight="1">
      <c r="A43" s="268"/>
      <c r="B43" s="1932"/>
      <c r="C43" s="1906"/>
      <c r="D43" s="1906"/>
      <c r="E43" s="1906"/>
      <c r="F43" s="2426" t="str">
        <f>IF(F42="Error!!!","Levy Amt &gt; mills authorized on Code 02"," ")</f>
        <v xml:space="preserve"> </v>
      </c>
    </row>
    <row r="44" spans="1:10" ht="12.75" customHeight="1">
      <c r="A44" s="1905"/>
      <c r="B44" s="1933"/>
      <c r="C44" s="1933"/>
      <c r="D44" s="1933"/>
      <c r="E44" s="1933"/>
      <c r="F44" s="1933"/>
      <c r="H44" s="762" t="str">
        <f>IF(F39&lt;0,"Line 195 should NOT be negative - increase resources or decrease expenditures","")</f>
        <v/>
      </c>
    </row>
    <row r="45" spans="1:10" ht="12.75" customHeight="1">
      <c r="A45" s="6187"/>
      <c r="B45" s="6187"/>
      <c r="C45" s="6187"/>
      <c r="D45" s="6187"/>
      <c r="E45" s="6187"/>
      <c r="F45" s="6187"/>
    </row>
    <row r="46" spans="1:10" ht="12.75" customHeight="1">
      <c r="A46" s="265"/>
      <c r="B46" s="1909"/>
      <c r="C46" s="1906"/>
      <c r="D46" s="1906"/>
      <c r="E46" s="1906"/>
      <c r="F46" s="1906"/>
    </row>
    <row r="47" spans="1:10" ht="12.75" customHeight="1">
      <c r="A47" s="265"/>
      <c r="B47" s="1909"/>
      <c r="C47" s="1906"/>
      <c r="D47" s="1906"/>
      <c r="E47" s="1906"/>
      <c r="F47" s="1906"/>
    </row>
  </sheetData>
  <sheetProtection algorithmName="SHA-512" hashValue="cHQvr4Ch+vwyyt0RiAiC69kytCxCFOoY05qXBXK5y0+Us3d/7eTPbr333Qw9UDt3oTCqvddF76enI9AhAtAXHA==" saltValue="FqAnifFBJnmvv1fzzTrj2w==" spinCount="100000" sheet="1" objects="1" scenarios="1"/>
  <mergeCells count="4">
    <mergeCell ref="A45:F45"/>
    <mergeCell ref="E1:F1"/>
    <mergeCell ref="E2:F2"/>
    <mergeCell ref="A39:A41"/>
  </mergeCells>
  <phoneticPr fontId="13" type="noConversion"/>
  <dataValidations count="3">
    <dataValidation type="whole" operator="greaterThanOrEqual" showInputMessage="1" showErrorMessage="1" errorTitle="Invalid beginning cash balance" error="Please enter a number or press the enter key or enter zero." sqref="C9">
      <formula1>-1000000000</formula1>
    </dataValidation>
    <dataValidation type="whole" operator="greaterThanOrEqual" showInputMessage="1" showErrorMessage="1" errorTitle="Invalid Data Entry" error="Please enter a positive number or press the delete key or enter zero." sqref="F36 C15 C16:D16 C19:D19 C20:E20 F21 C23:D23 C25:D25 C29:D29 C34:E34 C10:D10">
      <formula1>0</formula1>
    </dataValidation>
    <dataValidation type="whole" operator="greaterThanOrEqual" allowBlank="1" showInputMessage="1" showErrorMessage="1" errorTitle="Invlalid Data Entry" error="Please enter a positive number or press the delete key or enter zero." sqref="C27">
      <formula1>0</formula1>
    </dataValidation>
  </dataValidations>
  <hyperlinks>
    <hyperlink ref="H1" location="Contents!F1" display="Return to Contents page"/>
  </hyperlinks>
  <printOptions horizontalCentered="1"/>
  <pageMargins left="0.75" right="0.75" top="0.5" bottom="0.5" header="0.3" footer="0.3"/>
  <pageSetup scale="81" fitToHeight="0" orientation="portrait" blackAndWhite="1" r:id="rId1"/>
  <headerFooter scaleWithDoc="0">
    <oddFooter>&amp;L&amp;"Open Sans Light,Regular"&amp;8&amp;D    &amp;T&amp;C&amp;"Open Sans Light,Regular"&amp;8Page &amp;P&amp;R&amp;"Open Sans Light,Regular"&amp;8&amp;A</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0">
    <tabColor theme="6" tint="-0.249977111117893"/>
  </sheetPr>
  <dimension ref="A1:CE3929"/>
  <sheetViews>
    <sheetView showGridLines="0" tabSelected="1" zoomScaleNormal="100" zoomScaleSheetLayoutView="100" workbookViewId="0"/>
  </sheetViews>
  <sheetFormatPr defaultColWidth="10.6640625" defaultRowHeight="14.85" customHeight="1"/>
  <cols>
    <col min="1" max="1" width="25.33203125" style="5019" customWidth="1"/>
    <col min="2" max="2" width="11.33203125" style="5019" customWidth="1"/>
    <col min="3" max="3" width="18.44140625" style="5019" customWidth="1"/>
    <col min="4" max="4" width="29.44140625" style="5019" customWidth="1"/>
    <col min="5" max="5" width="14.33203125" style="5019" customWidth="1"/>
    <col min="6" max="6" width="1.6640625" style="5019" customWidth="1"/>
    <col min="7" max="8" width="14.33203125" style="5019" customWidth="1"/>
    <col min="9" max="9" width="1.44140625" style="5019" customWidth="1"/>
    <col min="10" max="10" width="14.33203125" style="5019" customWidth="1"/>
    <col min="11" max="11" width="2" style="5019" customWidth="1"/>
    <col min="12" max="12" width="21" style="5019" customWidth="1"/>
    <col min="13" max="13" width="22.109375" style="5019" customWidth="1"/>
    <col min="14" max="14" width="14.44140625" style="5019" customWidth="1"/>
    <col min="15" max="15" width="13.88671875" style="5019" customWidth="1"/>
    <col min="16" max="16" width="18.44140625" style="5019" customWidth="1"/>
    <col min="17" max="17" width="13.44140625" style="5019" customWidth="1"/>
    <col min="18" max="18" width="12.6640625" style="5019" customWidth="1"/>
    <col min="19" max="19" width="9.88671875" style="5019" customWidth="1"/>
    <col min="20" max="20" width="9.44140625" style="5019" customWidth="1"/>
    <col min="21" max="21" width="13.109375" style="5019" customWidth="1"/>
    <col min="22" max="22" width="6.109375" style="5019" customWidth="1"/>
    <col min="23" max="23" width="74.44140625" style="5019" customWidth="1"/>
    <col min="24" max="24" width="10.109375" style="5019" customWidth="1"/>
    <col min="25" max="16384" width="10.6640625" style="5019"/>
  </cols>
  <sheetData>
    <row r="1" spans="1:15" ht="14.85" customHeight="1">
      <c r="A1" s="5005" t="s">
        <v>1727</v>
      </c>
      <c r="I1" s="5020"/>
      <c r="J1" s="5021"/>
      <c r="K1" s="5020" t="str">
        <f>"USD #"&amp;OPEN!B4</f>
        <v>USD #237</v>
      </c>
      <c r="L1" s="4891" t="s">
        <v>754</v>
      </c>
      <c r="N1" s="5019" t="s">
        <v>1733</v>
      </c>
      <c r="O1" s="5019">
        <f>OpenData!S5</f>
        <v>2022</v>
      </c>
    </row>
    <row r="2" spans="1:15" ht="14.85" customHeight="1">
      <c r="A2" s="5019" t="s">
        <v>1732</v>
      </c>
      <c r="D2" s="5022"/>
      <c r="J2" s="5950">
        <f>OpenData!N3</f>
        <v>44348</v>
      </c>
      <c r="K2" s="5950"/>
    </row>
    <row r="3" spans="1:15" ht="14.85" customHeight="1">
      <c r="A3" s="5023" t="s">
        <v>5001</v>
      </c>
      <c r="B3" s="5024"/>
      <c r="C3" s="5024"/>
      <c r="D3" s="5024"/>
      <c r="E3" s="5024"/>
      <c r="F3" s="5024"/>
      <c r="G3" s="5024"/>
      <c r="H3" s="5024"/>
      <c r="I3" s="5024"/>
      <c r="J3" s="5024"/>
    </row>
    <row r="4" spans="1:15" ht="14.85" customHeight="1">
      <c r="A4" s="5023" t="str">
        <f>OpenData!N2</f>
        <v>2021-2022</v>
      </c>
      <c r="B4" s="5024"/>
      <c r="C4" s="5024"/>
      <c r="D4" s="5024"/>
      <c r="E4" s="5024"/>
      <c r="F4" s="5024"/>
      <c r="G4" s="5024"/>
      <c r="H4" s="5024"/>
      <c r="I4" s="5024"/>
      <c r="J4" s="5024"/>
    </row>
    <row r="5" spans="1:15" ht="14.85" customHeight="1">
      <c r="A5" s="5023" t="s">
        <v>1734</v>
      </c>
      <c r="B5" s="5024"/>
      <c r="C5" s="5024"/>
      <c r="D5" s="5024"/>
      <c r="E5" s="5024"/>
      <c r="F5" s="5024"/>
      <c r="G5" s="5024"/>
      <c r="H5" s="5024"/>
      <c r="I5" s="5024"/>
      <c r="J5" s="5024"/>
    </row>
    <row r="6" spans="1:15" ht="14.85" customHeight="1">
      <c r="A6" s="5025"/>
      <c r="B6" s="5026"/>
      <c r="C6" s="5026"/>
      <c r="D6" s="5026"/>
      <c r="E6" s="5026"/>
      <c r="F6" s="5026"/>
      <c r="H6" s="5027"/>
      <c r="I6" s="5026"/>
      <c r="J6" s="5026"/>
    </row>
    <row r="7" spans="1:15" ht="14.85" customHeight="1">
      <c r="A7" s="5028" t="s">
        <v>4405</v>
      </c>
      <c r="J7" s="5029"/>
    </row>
    <row r="9" spans="1:15" ht="14.85" customHeight="1">
      <c r="A9" s="5019" t="str">
        <f>"1.  " &amp;OpenData!P14 &amp; " Adjusted FTE enrollment (Excludes Preschool-Aged At-Risk (4 yr old).) (from Table I)"</f>
        <v>1.  2021-22 Adjusted FTE enrollment (Excludes Preschool-Aged At-Risk (4 yr old).) (from Table I)</v>
      </c>
      <c r="I9" s="5019" t="s">
        <v>907</v>
      </c>
      <c r="J9" s="5030">
        <f>J95</f>
        <v>399</v>
      </c>
    </row>
    <row r="10" spans="1:15" ht="14.85" customHeight="1">
      <c r="J10" s="5031"/>
    </row>
    <row r="11" spans="1:15" ht="14.85" customHeight="1">
      <c r="A11" s="5019" t="str">
        <f>"2.  Estimated " &amp; OpenData!P14 &amp;" Preschool-Aged At-Risk (4 yr old) FTE enrollment (See Footnote(e)) (Count as .5 FTE)"</f>
        <v>2.  Estimated 2021-22 Preschool-Aged At-Risk (4 yr old) FTE enrollment (See Footnote(e)) (Count as .5 FTE)</v>
      </c>
      <c r="J11" s="5031"/>
    </row>
    <row r="12" spans="1:15" ht="14.85" customHeight="1">
      <c r="A12" s="5020" t="str">
        <f>" 9/20/" &amp; RIGHT(OpenData!Q5,2)</f>
        <v xml:space="preserve"> 9/20/21</v>
      </c>
      <c r="B12" s="5032">
        <f>OPEN!A49</f>
        <v>3.5</v>
      </c>
      <c r="C12" s="5020" t="str">
        <f>"+      "&amp;"2/20/"&amp;RIGHT(OpenData!Q5,2)+1</f>
        <v>+      2/20/22</v>
      </c>
      <c r="D12" s="5030">
        <f>IF(J261="NO",0,OPEN!A73)</f>
        <v>0</v>
      </c>
      <c r="G12" s="5033"/>
      <c r="I12" s="5019" t="s">
        <v>907</v>
      </c>
      <c r="J12" s="5030">
        <f>B12+D12</f>
        <v>3.5</v>
      </c>
    </row>
    <row r="13" spans="1:15" ht="14.85" customHeight="1">
      <c r="J13" s="5031"/>
    </row>
    <row r="14" spans="1:15" ht="14.85" customHeight="1">
      <c r="A14" s="5019" t="str">
        <f>"3.  " &amp; OpenData!P14 &amp; " Total Adjusted FTE Enrollment including Preschool-Aged At-Risk (4 yr old) (Line 1 + Line 2)"</f>
        <v>3.  2021-22 Total Adjusted FTE Enrollment including Preschool-Aged At-Risk (4 yr old) (Line 1 + Line 2)</v>
      </c>
      <c r="I14" s="5019" t="s">
        <v>907</v>
      </c>
      <c r="J14" s="5030">
        <f>SUM(J9+J12)</f>
        <v>402.5</v>
      </c>
    </row>
    <row r="15" spans="1:15" ht="14.85" customHeight="1">
      <c r="J15" s="5020"/>
    </row>
    <row r="16" spans="1:15" ht="14.85" customHeight="1">
      <c r="A16" s="5019" t="str">
        <f>"4.  Estimated " &amp; OpenData!P14 &amp; " weighted low enrollment and high enrollment."</f>
        <v>4.  Estimated 2021-22 weighted low enrollment and high enrollment.</v>
      </c>
      <c r="J16" s="5020"/>
    </row>
    <row r="17" spans="1:22" ht="14.85" customHeight="1">
      <c r="A17" s="5019" t="s">
        <v>1735</v>
      </c>
      <c r="B17" s="5032">
        <f>J14</f>
        <v>402.5</v>
      </c>
      <c r="C17" s="5034" t="s">
        <v>1380</v>
      </c>
      <c r="D17" s="5035">
        <f>INDEX(L98:M102,MATCH(TRUE,L98:L102,0),2)</f>
        <v>0.44936199999999998</v>
      </c>
      <c r="E17" s="5019" t="s">
        <v>4980</v>
      </c>
      <c r="I17" s="5019" t="s">
        <v>907</v>
      </c>
      <c r="J17" s="5030">
        <f>B17*D17</f>
        <v>180.9</v>
      </c>
    </row>
    <row r="18" spans="1:22" ht="14.85" customHeight="1">
      <c r="B18" s="5034"/>
      <c r="C18" s="5019" t="s">
        <v>4482</v>
      </c>
      <c r="J18" s="5020"/>
    </row>
    <row r="19" spans="1:22" ht="14.85" customHeight="1">
      <c r="A19" s="5019" t="str">
        <f>"5.  Estimated " &amp; OpenData!P14 &amp; " Bilingual Weighting "</f>
        <v xml:space="preserve">5.  Estimated 2021-22 Bilingual Weighting </v>
      </c>
      <c r="I19" s="5019" t="s">
        <v>907</v>
      </c>
      <c r="J19" s="5030">
        <f>MAX(G20,G21)</f>
        <v>0.6</v>
      </c>
    </row>
    <row r="20" spans="1:22" ht="14.85" customHeight="1">
      <c r="A20" s="5019" t="str">
        <f>"    A. (9/20/" &amp; RIGHT(OpenData!Q5,2) &amp; " Contact Hrs"</f>
        <v xml:space="preserve">    A. (9/20/21 Contact Hrs</v>
      </c>
      <c r="B20" s="5032">
        <f>OPEN!A53</f>
        <v>3</v>
      </c>
      <c r="C20" s="5033" t="str">
        <f>"+ 2/20/"&amp;RIGHT(OpenData!S5,2)&amp;" Contact Hrs"</f>
        <v>+ 2/20/22 Contact Hrs</v>
      </c>
      <c r="D20" s="5030">
        <f>IF(J261="NO",0,OPEN!A76)</f>
        <v>0</v>
      </c>
      <c r="E20" s="5033" t="str">
        <f>") / 6 x  " &amp; OpenData!N21</f>
        <v>) / 6 x  0.395</v>
      </c>
      <c r="F20" s="5019" t="s">
        <v>907</v>
      </c>
      <c r="G20" s="5032">
        <f>((B20+D20)/6)*OpenData!N21</f>
        <v>0.2</v>
      </c>
      <c r="I20" s="5033"/>
      <c r="J20" s="5036"/>
      <c r="L20" s="5031"/>
      <c r="N20" s="5027"/>
      <c r="O20" s="5027"/>
      <c r="P20" s="5027"/>
      <c r="Q20" s="5027"/>
      <c r="R20" s="5027"/>
      <c r="S20" s="5027"/>
      <c r="T20" s="5027"/>
      <c r="U20" s="5027"/>
      <c r="V20" s="5027"/>
    </row>
    <row r="21" spans="1:22" ht="14.85" customHeight="1">
      <c r="A21" s="5019" t="str">
        <f>"    B. (9/20/"&amp;RIGHT(OpenData!Q5,2)&amp;" ELL Headcount"</f>
        <v xml:space="preserve">    B. (9/20/21 ELL Headcount</v>
      </c>
      <c r="B21" s="5037">
        <f>OPEN!A54</f>
        <v>3</v>
      </c>
      <c r="C21" s="5033" t="str">
        <f>"+ 2/20/"&amp;RIGHT(OpenData!S5,2)&amp;" ELL Hdct"</f>
        <v>+ 2/20/22 ELL Hdct</v>
      </c>
      <c r="D21" s="5038">
        <f>IF(J261="NO",0,OPEN!A77)</f>
        <v>0</v>
      </c>
      <c r="E21" s="5033" t="s">
        <v>1844</v>
      </c>
      <c r="F21" s="5019" t="s">
        <v>907</v>
      </c>
      <c r="G21" s="5039">
        <f>(B21+D21)*0.185</f>
        <v>0.6</v>
      </c>
      <c r="I21" s="5033"/>
      <c r="J21" s="5036"/>
      <c r="L21" s="5031"/>
      <c r="N21" s="5027"/>
      <c r="O21" s="5027"/>
      <c r="P21" s="5027"/>
      <c r="Q21" s="5027"/>
      <c r="R21" s="5027"/>
      <c r="S21" s="5027"/>
      <c r="T21" s="5027"/>
      <c r="U21" s="5027"/>
      <c r="V21" s="5027"/>
    </row>
    <row r="22" spans="1:22" ht="14.85" customHeight="1">
      <c r="A22" s="5040" t="s">
        <v>1736</v>
      </c>
      <c r="B22" s="5041"/>
      <c r="D22" s="5042"/>
      <c r="J22" s="5020"/>
      <c r="N22" s="5027"/>
      <c r="O22" s="5027"/>
      <c r="P22" s="5027"/>
      <c r="Q22" s="5027"/>
      <c r="R22" s="5027"/>
      <c r="S22" s="5027"/>
      <c r="T22" s="5027"/>
      <c r="U22" s="5027"/>
      <c r="V22" s="5027"/>
    </row>
    <row r="23" spans="1:22" ht="14.85" customHeight="1">
      <c r="B23" s="5041"/>
      <c r="D23" s="5042"/>
      <c r="J23" s="5020"/>
      <c r="N23" s="5027"/>
      <c r="O23" s="5027"/>
      <c r="P23" s="5027"/>
      <c r="Q23" s="5027"/>
      <c r="R23" s="5027"/>
      <c r="S23" s="5027"/>
      <c r="T23" s="5027"/>
      <c r="U23" s="5027"/>
      <c r="V23" s="5027"/>
    </row>
    <row r="24" spans="1:22" ht="14.85" customHeight="1">
      <c r="A24" s="5019" t="str">
        <f>"6.  Estimated " &amp;OpenData!P14 &amp;" Career Technical Education (CTE) weighting (see Footnote (c))"</f>
        <v>6.  Estimated 2021-22 Career Technical Education (CTE) weighting (see Footnote (c))</v>
      </c>
      <c r="J24" s="5020"/>
      <c r="N24" s="5027"/>
      <c r="O24" s="5027"/>
      <c r="P24" s="5027"/>
      <c r="Q24" s="5027"/>
      <c r="R24" s="5027"/>
      <c r="S24" s="5027"/>
      <c r="T24" s="5027"/>
      <c r="U24" s="5027"/>
      <c r="V24" s="5027"/>
    </row>
    <row r="25" spans="1:22" ht="14.85" customHeight="1">
      <c r="A25" s="5019" t="str">
        <f>"    (9/20/"&amp;RIGHT(OpenData!Q5,2)&amp;" CTE contact hrs"</f>
        <v xml:space="preserve">    (9/20/21 CTE contact hrs</v>
      </c>
      <c r="B25" s="5032">
        <f>OPEN!A52</f>
        <v>130</v>
      </c>
      <c r="C25" s="5033" t="str">
        <f>"+ 2/20/"&amp;RIGHT(OpenData!S5,2)&amp;" contact hrs"</f>
        <v>+ 2/20/22 contact hrs</v>
      </c>
      <c r="D25" s="5030">
        <f>IF(J261="NO",0,OPEN!A75)</f>
        <v>0</v>
      </c>
      <c r="E25" s="5033" t="str">
        <f>") / 6 x " &amp; OpenData!N22</f>
        <v>) / 6 x 0.5</v>
      </c>
      <c r="I25" s="5019" t="s">
        <v>907</v>
      </c>
      <c r="J25" s="5030">
        <f>((B25+D25)/6)*OpenData!N22</f>
        <v>10.8</v>
      </c>
      <c r="N25" s="5027"/>
      <c r="O25" s="5027"/>
      <c r="P25" s="5027"/>
      <c r="Q25" s="5027"/>
      <c r="R25" s="5027"/>
      <c r="S25" s="5027"/>
      <c r="T25" s="5027"/>
      <c r="U25" s="5027"/>
      <c r="V25" s="5027"/>
    </row>
    <row r="26" spans="1:22" ht="14.85" customHeight="1">
      <c r="J26" s="5036"/>
      <c r="N26" s="5027"/>
      <c r="O26" s="5027"/>
      <c r="P26" s="5027"/>
      <c r="Q26" s="5027"/>
      <c r="R26" s="5027"/>
      <c r="S26" s="5027"/>
      <c r="T26" s="5027"/>
      <c r="U26" s="5027"/>
      <c r="V26" s="5027"/>
    </row>
    <row r="27" spans="1:22" ht="14.85" customHeight="1">
      <c r="A27" s="5019" t="str">
        <f>"7.  Estimated " &amp; OpenData!P14 &amp; " At-Risk Student Weighting "</f>
        <v xml:space="preserve">7.  Estimated 2021-22 At-Risk Student Weighting </v>
      </c>
      <c r="J27" s="5020"/>
      <c r="N27" s="5027"/>
      <c r="O27" s="5027"/>
      <c r="P27" s="5027"/>
      <c r="Q27" s="5027"/>
      <c r="R27" s="5027"/>
      <c r="S27" s="5027"/>
      <c r="T27" s="5027"/>
      <c r="U27" s="5027"/>
      <c r="V27" s="5027"/>
    </row>
    <row r="28" spans="1:22" ht="14.85" customHeight="1">
      <c r="B28" s="5043"/>
      <c r="C28" s="5033"/>
      <c r="D28" s="5044"/>
      <c r="E28" s="5045"/>
      <c r="F28" s="5027"/>
      <c r="G28" s="5046"/>
      <c r="H28" s="5043"/>
      <c r="J28" s="5031"/>
      <c r="L28" s="5047"/>
      <c r="N28" s="5027"/>
      <c r="O28" s="5027"/>
      <c r="P28" s="5027"/>
      <c r="Q28" s="5027"/>
      <c r="R28" s="5027"/>
      <c r="S28" s="5027"/>
      <c r="T28" s="5027"/>
      <c r="U28" s="5027"/>
      <c r="V28" s="5027"/>
    </row>
    <row r="29" spans="1:22" ht="14.85" customHeight="1">
      <c r="A29" s="5019" t="str">
        <f>"      9/20/"&amp;RIGHT(OpenData!Q5,2)&amp;" Free Lunch"</f>
        <v xml:space="preserve">      9/20/21 Free Lunch</v>
      </c>
      <c r="B29" s="5048">
        <f>OPEN!A50</f>
        <v>150</v>
      </c>
      <c r="C29" s="5033" t="str">
        <f>"+ 2/20/"&amp;RIGHT(OpenData!S5,2)&amp;" Free Lunch"</f>
        <v>+ 2/20/22 Free Lunch</v>
      </c>
      <c r="D29" s="5049">
        <f>IF(J261="NO",0,OPEN!A74)</f>
        <v>0</v>
      </c>
      <c r="E29" s="5050" t="str">
        <f>" x " &amp; OpenData!N23</f>
        <v xml:space="preserve"> x 0.484</v>
      </c>
      <c r="F29" s="5027"/>
      <c r="G29" s="5033"/>
      <c r="H29" s="5043"/>
      <c r="I29" s="5033" t="s">
        <v>907</v>
      </c>
      <c r="J29" s="5030">
        <f>(B29+D29)*OpenData!N23</f>
        <v>72.599999999999994</v>
      </c>
      <c r="L29" s="5047"/>
      <c r="N29" s="5027"/>
      <c r="O29" s="5027"/>
      <c r="P29" s="5027"/>
      <c r="Q29" s="5027"/>
      <c r="R29" s="5027"/>
      <c r="S29" s="5027"/>
      <c r="T29" s="5027"/>
      <c r="U29" s="5027"/>
      <c r="V29" s="5027"/>
    </row>
    <row r="30" spans="1:22" ht="14.85" customHeight="1">
      <c r="B30" s="5043"/>
      <c r="D30" s="5043"/>
      <c r="E30" s="5043"/>
      <c r="F30" s="5027"/>
      <c r="G30" s="5051"/>
      <c r="J30" s="5036"/>
      <c r="N30" s="5027"/>
      <c r="O30" s="5027"/>
      <c r="P30" s="5027"/>
      <c r="Q30" s="5027"/>
      <c r="R30" s="5027"/>
      <c r="S30" s="5027"/>
      <c r="T30" s="5027"/>
      <c r="U30" s="5027"/>
      <c r="V30" s="5027"/>
    </row>
    <row r="31" spans="1:22" ht="14.85" customHeight="1">
      <c r="A31" s="5019" t="str">
        <f>"8.  Estimated " &amp;OpenData!P14 &amp; " High-Density At-Risk Student Weighting (from Table V, Line 2)"</f>
        <v>8.  Estimated 2021-22 High-Density At-Risk Student Weighting (from Table V, Line 2)</v>
      </c>
      <c r="B31" s="5043"/>
      <c r="D31" s="5043"/>
      <c r="E31" s="5050"/>
      <c r="F31" s="5027"/>
      <c r="I31" s="5019" t="s">
        <v>907</v>
      </c>
      <c r="J31" s="5030">
        <f>J160</f>
        <v>0</v>
      </c>
      <c r="N31" s="5027"/>
      <c r="O31" s="5027"/>
      <c r="P31" s="5027"/>
      <c r="Q31" s="5027"/>
      <c r="R31" s="5027"/>
      <c r="S31" s="5027"/>
      <c r="T31" s="5027"/>
      <c r="U31" s="5027"/>
      <c r="V31" s="5027"/>
    </row>
    <row r="32" spans="1:22" ht="14.85" customHeight="1">
      <c r="B32" s="5043"/>
      <c r="D32" s="5043"/>
      <c r="E32" s="5050"/>
      <c r="F32" s="5027"/>
      <c r="J32" s="5036"/>
      <c r="N32" s="5027"/>
      <c r="O32" s="5027"/>
      <c r="P32" s="5027"/>
      <c r="Q32" s="5027"/>
      <c r="R32" s="5027"/>
      <c r="S32" s="5027"/>
      <c r="T32" s="5027"/>
      <c r="U32" s="5027"/>
      <c r="V32" s="5027"/>
    </row>
    <row r="33" spans="1:22" ht="14.85" customHeight="1">
      <c r="A33" s="5019" t="str">
        <f>"9.  Estimated " &amp; OpenData!P14 &amp; " School Facilities Weighting (see Footnote (d))"</f>
        <v>9.  Estimated 2021-22 School Facilities Weighting (see Footnote (d))</v>
      </c>
      <c r="J33" s="5020"/>
      <c r="N33" s="5027"/>
      <c r="O33" s="5027"/>
      <c r="P33" s="5027"/>
      <c r="Q33" s="5027"/>
      <c r="R33" s="5027"/>
      <c r="S33" s="5027"/>
      <c r="T33" s="5027"/>
      <c r="U33" s="5027"/>
      <c r="V33" s="5027"/>
    </row>
    <row r="34" spans="1:22" ht="14.85" customHeight="1">
      <c r="B34" s="5020" t="str">
        <f>"9/20/"&amp;RIGHT(OpenData!Q5,2)&amp;" School Facilities FTE"</f>
        <v>9/20/21 School Facilities FTE</v>
      </c>
      <c r="C34" s="5032">
        <f>OPEN!A55</f>
        <v>0</v>
      </c>
      <c r="D34" s="5052" t="str">
        <f>"+ 2/20/"&amp;RIGHT(OpenData!S5,2)&amp;" School Facilities FTE"</f>
        <v>+ 2/20/22 School Facilities FTE</v>
      </c>
      <c r="E34" s="5030">
        <f>IF(J261="NO",0,OPEN!A78)</f>
        <v>0</v>
      </c>
      <c r="F34" s="5019" t="s">
        <v>1380</v>
      </c>
      <c r="G34" s="5019">
        <f>OpenData!N24</f>
        <v>0.25</v>
      </c>
      <c r="I34" s="5019" t="s">
        <v>907</v>
      </c>
      <c r="J34" s="5030">
        <f>(C34+E34)*G34</f>
        <v>0</v>
      </c>
      <c r="N34" s="5027"/>
      <c r="O34" s="5027"/>
      <c r="P34" s="5027"/>
      <c r="Q34" s="5027"/>
      <c r="R34" s="5027"/>
      <c r="S34" s="5027"/>
      <c r="T34" s="5027"/>
      <c r="U34" s="5027"/>
      <c r="V34" s="5027"/>
    </row>
    <row r="35" spans="1:22" ht="14.85" customHeight="1">
      <c r="J35" s="5020"/>
      <c r="N35" s="5027"/>
      <c r="O35" s="5027"/>
      <c r="P35" s="5027"/>
      <c r="Q35" s="5027"/>
      <c r="R35" s="5027"/>
      <c r="S35" s="5027"/>
      <c r="T35" s="5027"/>
      <c r="U35" s="5027"/>
      <c r="V35" s="5027"/>
    </row>
    <row r="36" spans="1:22" ht="14.85" customHeight="1">
      <c r="A36" s="5019" t="str">
        <f>"10.  Estimated " &amp; OpenData!P14 &amp; " Transportation Weighting (Table III, Line 6)"</f>
        <v>10.  Estimated 2021-22 Transportation Weighting (Table III, Line 6)</v>
      </c>
      <c r="E36" s="5048">
        <f>J128</f>
        <v>190671</v>
      </c>
      <c r="F36" s="5019" t="s">
        <v>1737</v>
      </c>
      <c r="G36" s="5053">
        <f>OpenData!N25</f>
        <v>4706</v>
      </c>
      <c r="I36" s="5019" t="s">
        <v>907</v>
      </c>
      <c r="J36" s="5030">
        <f>E36/G36</f>
        <v>40.5</v>
      </c>
      <c r="N36" s="5027"/>
      <c r="O36" s="5027"/>
      <c r="P36" s="5027"/>
      <c r="Q36" s="5027"/>
      <c r="R36" s="5027"/>
      <c r="S36" s="5027"/>
      <c r="T36" s="5027"/>
      <c r="U36" s="5027"/>
      <c r="V36" s="5027"/>
    </row>
    <row r="37" spans="1:22" ht="14.85" customHeight="1">
      <c r="J37" s="5020"/>
      <c r="N37" s="5027"/>
      <c r="O37" s="5027"/>
      <c r="P37" s="5027"/>
      <c r="Q37" s="5027"/>
      <c r="R37" s="5027"/>
      <c r="S37" s="5027"/>
      <c r="T37" s="5027"/>
      <c r="U37" s="5027"/>
      <c r="V37" s="5027"/>
    </row>
    <row r="38" spans="1:22" ht="14.85" customHeight="1">
      <c r="A38" s="5019" t="str">
        <f>"11.  Estimated "&amp;OpenData!P14&amp;" Ancillary School Facilities Weighting. Amt approved by Board of Tax Appeals."</f>
        <v>11.  Estimated 2021-22 Ancillary School Facilities Weighting. Amt approved by Board of Tax Appeals.</v>
      </c>
      <c r="E38" s="5049">
        <f>OPEN!A96</f>
        <v>0</v>
      </c>
      <c r="F38" s="5019" t="s">
        <v>1737</v>
      </c>
      <c r="G38" s="5054">
        <f>OpenData!N25</f>
        <v>4706</v>
      </c>
      <c r="H38" s="5034"/>
      <c r="I38" s="5019" t="s">
        <v>907</v>
      </c>
      <c r="J38" s="5030">
        <f>E38/G38</f>
        <v>0</v>
      </c>
      <c r="N38" s="5027"/>
      <c r="O38" s="5027"/>
      <c r="P38" s="5027"/>
      <c r="Q38" s="5027"/>
      <c r="R38" s="5027"/>
      <c r="S38" s="5027"/>
      <c r="T38" s="5027"/>
      <c r="U38" s="5027"/>
      <c r="V38" s="5027"/>
    </row>
    <row r="39" spans="1:22" ht="14.85" customHeight="1">
      <c r="E39" s="5055"/>
      <c r="G39" s="5056"/>
      <c r="H39" s="5034"/>
      <c r="J39" s="5057"/>
      <c r="L39" s="5058"/>
      <c r="N39" s="5027"/>
      <c r="O39" s="5027"/>
      <c r="P39" s="5027"/>
      <c r="Q39" s="5027"/>
      <c r="R39" s="5027"/>
      <c r="S39" s="5027"/>
      <c r="T39" s="5027"/>
      <c r="U39" s="5027"/>
      <c r="V39" s="5027"/>
    </row>
    <row r="40" spans="1:22" ht="14.85" customHeight="1">
      <c r="A40" s="5019" t="s">
        <v>4645</v>
      </c>
      <c r="E40" s="5049">
        <f>'F118'!G57</f>
        <v>606957</v>
      </c>
      <c r="F40" s="5019" t="s">
        <v>1737</v>
      </c>
      <c r="G40" s="5054">
        <f>OpenData!N25</f>
        <v>4706</v>
      </c>
      <c r="H40" s="5034"/>
      <c r="I40" s="5019" t="s">
        <v>907</v>
      </c>
      <c r="J40" s="5030">
        <f>E40/G40</f>
        <v>129</v>
      </c>
      <c r="N40" s="5027"/>
      <c r="O40" s="5027"/>
      <c r="P40" s="5027"/>
      <c r="Q40" s="5027"/>
      <c r="R40" s="5027"/>
      <c r="S40" s="5027"/>
      <c r="T40" s="5027"/>
      <c r="U40" s="5027"/>
      <c r="V40" s="5027"/>
    </row>
    <row r="41" spans="1:22" ht="14.85" customHeight="1">
      <c r="E41" s="5055"/>
      <c r="G41" s="5056"/>
      <c r="H41" s="5034"/>
      <c r="J41" s="5057"/>
      <c r="N41" s="5027"/>
      <c r="O41" s="5027"/>
      <c r="P41" s="5027"/>
      <c r="Q41" s="5027"/>
      <c r="R41" s="5027"/>
      <c r="S41" s="5027"/>
      <c r="T41" s="5027"/>
      <c r="U41" s="5027"/>
      <c r="V41" s="5027"/>
    </row>
    <row r="42" spans="1:22" ht="14.85" customHeight="1">
      <c r="A42" s="5019" t="s">
        <v>3079</v>
      </c>
      <c r="E42" s="5059"/>
      <c r="G42" s="5056"/>
      <c r="H42" s="5034"/>
      <c r="I42" s="5019" t="s">
        <v>907</v>
      </c>
      <c r="J42" s="5030">
        <f>OPEN!A60</f>
        <v>0</v>
      </c>
      <c r="N42" s="5027"/>
      <c r="O42" s="5027"/>
      <c r="P42" s="5027"/>
      <c r="Q42" s="5027"/>
      <c r="R42" s="5027"/>
      <c r="S42" s="5027"/>
      <c r="T42" s="5027"/>
      <c r="U42" s="5027"/>
      <c r="V42" s="5027"/>
    </row>
    <row r="43" spans="1:22" ht="14.85" customHeight="1">
      <c r="E43" s="5059"/>
      <c r="G43" s="5056"/>
      <c r="H43" s="5034"/>
      <c r="J43" s="5031"/>
      <c r="N43" s="5027"/>
      <c r="O43" s="5027"/>
      <c r="P43" s="5027"/>
      <c r="Q43" s="5027"/>
      <c r="R43" s="5027"/>
      <c r="S43" s="5027"/>
      <c r="T43" s="5027"/>
      <c r="U43" s="5027"/>
      <c r="V43" s="5027"/>
    </row>
    <row r="44" spans="1:22" ht="14.85" customHeight="1">
      <c r="A44" s="5019" t="str">
        <f>"14.  Estimated " &amp;OpenData!P14 &amp; " Virtual State Aid (Table IV, Line 4)"</f>
        <v>14.  Estimated 2021-22 Virtual State Aid (Table IV, Line 4)</v>
      </c>
      <c r="E44" s="5059"/>
      <c r="G44" s="5056"/>
      <c r="H44" s="5034"/>
      <c r="I44" s="5019" t="s">
        <v>907</v>
      </c>
      <c r="J44" s="5060">
        <f>J141</f>
        <v>0</v>
      </c>
      <c r="N44" s="5027"/>
      <c r="O44" s="5027"/>
      <c r="P44" s="5027"/>
      <c r="Q44" s="5027"/>
      <c r="R44" s="5027"/>
      <c r="S44" s="5027"/>
      <c r="T44" s="5027"/>
      <c r="U44" s="5027"/>
      <c r="V44" s="5027"/>
    </row>
    <row r="45" spans="1:22" ht="14.85" customHeight="1">
      <c r="E45" s="5055"/>
      <c r="G45" s="5056"/>
      <c r="H45" s="5034"/>
      <c r="J45" s="5057"/>
      <c r="L45" s="5058"/>
      <c r="N45" s="5027"/>
      <c r="O45" s="5027"/>
      <c r="P45" s="5027"/>
      <c r="Q45" s="5027"/>
      <c r="R45" s="5027"/>
      <c r="S45" s="5027"/>
      <c r="T45" s="5027"/>
      <c r="U45" s="5027"/>
      <c r="V45" s="5027"/>
    </row>
    <row r="46" spans="1:22" ht="14.85" customHeight="1">
      <c r="A46" s="5061" t="str">
        <f>"15.  Estimated "&amp; OpenData!P14&amp;" operating budget excludes COLA.  (Lines 3 thru 13 times BASE + Line 14 + Line 15)"</f>
        <v>15.  Estimated 2021-22 operating budget excludes COLA.  (Lines 3 thru 13 times BASE + Line 14 + Line 15)</v>
      </c>
      <c r="E46" s="5062">
        <f>SUM(J14:J42)</f>
        <v>836.9</v>
      </c>
      <c r="F46" s="5019" t="s">
        <v>1380</v>
      </c>
      <c r="G46" s="5053">
        <f>OpenData!N25</f>
        <v>4706</v>
      </c>
      <c r="H46" s="5063" t="str">
        <f>"+ "&amp;J44</f>
        <v>+ 0</v>
      </c>
      <c r="I46" s="5019" t="s">
        <v>907</v>
      </c>
      <c r="J46" s="5060">
        <f>(E46*G46)+J44</f>
        <v>3938451</v>
      </c>
      <c r="K46" s="5022"/>
      <c r="L46" s="5064" t="s">
        <v>5114</v>
      </c>
      <c r="M46" s="5047"/>
      <c r="N46" s="5027"/>
      <c r="O46" s="5027"/>
      <c r="P46" s="5027"/>
      <c r="Q46" s="5027"/>
      <c r="R46" s="5027"/>
      <c r="S46" s="5027"/>
      <c r="T46" s="5027"/>
      <c r="U46" s="5027"/>
      <c r="V46" s="5027"/>
    </row>
    <row r="47" spans="1:22" ht="14.85" customHeight="1">
      <c r="E47" s="5065"/>
      <c r="G47" s="5056"/>
      <c r="H47" s="5034"/>
      <c r="J47" s="5054"/>
      <c r="K47" s="5022"/>
      <c r="M47" s="5033"/>
      <c r="N47" s="5027"/>
      <c r="O47" s="5027"/>
      <c r="P47" s="5066"/>
      <c r="Q47" s="5027"/>
      <c r="R47" s="5027"/>
      <c r="S47" s="5027"/>
      <c r="T47" s="5027"/>
      <c r="U47" s="5027"/>
      <c r="V47" s="5027"/>
    </row>
    <row r="48" spans="1:22" ht="14.85" customHeight="1">
      <c r="A48" s="5019" t="s">
        <v>5113</v>
      </c>
      <c r="D48" s="5067">
        <f>IF(AND(OPEN!A98="Yes",OPEN!A99="Yes"),(VLOOKUP(OPEN!B4,DATA!$A$4:$BE$289,36,FALSE)*J46),0)</f>
        <v>0</v>
      </c>
      <c r="E48" s="5068"/>
      <c r="F48" s="5019" t="s">
        <v>1737</v>
      </c>
      <c r="G48" s="5053">
        <f>OpenData!N25</f>
        <v>4706</v>
      </c>
      <c r="H48" s="5063"/>
      <c r="I48" s="5033" t="s">
        <v>907</v>
      </c>
      <c r="J48" s="5030">
        <f>L49/G48</f>
        <v>0</v>
      </c>
      <c r="K48" s="5022"/>
      <c r="L48" s="5064" t="s">
        <v>5279</v>
      </c>
      <c r="N48" s="5027"/>
      <c r="O48" s="5027"/>
      <c r="P48" s="5027"/>
      <c r="Q48" s="5027"/>
      <c r="R48" s="5027"/>
      <c r="S48" s="5027"/>
      <c r="T48" s="5027"/>
      <c r="U48" s="5027"/>
      <c r="V48" s="5027"/>
    </row>
    <row r="49" spans="1:22" ht="14.85" customHeight="1">
      <c r="D49" s="5034" t="s">
        <v>1738</v>
      </c>
      <c r="E49" s="5069" t="s">
        <v>1739</v>
      </c>
      <c r="G49" s="5056"/>
      <c r="H49" s="5034"/>
      <c r="J49" s="5054"/>
      <c r="K49" s="5022"/>
      <c r="L49" s="5034">
        <f>IF(E48&gt;D48,D48,E48)</f>
        <v>0</v>
      </c>
      <c r="M49" s="5033"/>
      <c r="N49" s="5027"/>
      <c r="O49" s="5027"/>
      <c r="P49" s="5027"/>
      <c r="Q49" s="5027"/>
      <c r="R49" s="5027"/>
      <c r="S49" s="5027"/>
      <c r="T49" s="5027"/>
      <c r="U49" s="5027"/>
      <c r="V49" s="5027"/>
    </row>
    <row r="50" spans="1:22" ht="14.85" customHeight="1">
      <c r="D50" s="5034"/>
      <c r="E50" s="5069"/>
      <c r="G50" s="5056"/>
      <c r="H50" s="5034"/>
      <c r="J50" s="5054"/>
      <c r="K50" s="5022"/>
      <c r="M50" s="5033"/>
      <c r="N50" s="5027"/>
      <c r="O50" s="5027"/>
      <c r="P50" s="5027"/>
      <c r="Q50" s="5027"/>
      <c r="R50" s="5027"/>
      <c r="S50" s="5027"/>
      <c r="T50" s="5027"/>
      <c r="U50" s="5027"/>
      <c r="V50" s="5027"/>
    </row>
    <row r="51" spans="1:22" ht="14.85" customHeight="1">
      <c r="A51" s="5019" t="str">
        <f>"17.  Total General Fund Budget Authority including Cost of Living.  (Form 150 Line 15 + Line 16)"</f>
        <v>17.  Total General Fund Budget Authority including Cost of Living.  (Form 150 Line 15 + Line 16)</v>
      </c>
      <c r="E51" s="5062">
        <f>E46+J48</f>
        <v>836.9</v>
      </c>
      <c r="F51" s="5019" t="s">
        <v>1380</v>
      </c>
      <c r="G51" s="5053">
        <f>OpenData!N25</f>
        <v>4706</v>
      </c>
      <c r="H51" s="5063" t="str">
        <f>"+ " &amp;J44</f>
        <v>+ 0</v>
      </c>
      <c r="I51" s="5033" t="s">
        <v>907</v>
      </c>
      <c r="J51" s="5060">
        <f>(E51*G51)+J44</f>
        <v>3938451</v>
      </c>
      <c r="K51" s="5022"/>
      <c r="L51" s="5064" t="s">
        <v>5115</v>
      </c>
      <c r="M51" s="5070"/>
      <c r="N51" s="5027"/>
      <c r="O51" s="5027"/>
      <c r="P51" s="5027"/>
      <c r="Q51" s="5027"/>
      <c r="R51" s="5027"/>
      <c r="S51" s="5027"/>
      <c r="T51" s="5027"/>
      <c r="U51" s="5027"/>
      <c r="V51" s="5027"/>
    </row>
    <row r="52" spans="1:22" ht="14.85" customHeight="1">
      <c r="E52" s="5055"/>
      <c r="G52" s="5056"/>
      <c r="H52" s="5034"/>
      <c r="J52" s="5057"/>
      <c r="L52" s="5071"/>
      <c r="N52" s="5027"/>
      <c r="O52" s="5027"/>
      <c r="P52" s="5027"/>
      <c r="Q52" s="5027"/>
      <c r="R52" s="5027"/>
      <c r="S52" s="5027"/>
      <c r="T52" s="5027"/>
      <c r="U52" s="5027"/>
      <c r="V52" s="5027"/>
    </row>
    <row r="53" spans="1:22" ht="14.85" customHeight="1">
      <c r="A53" s="5072" t="s">
        <v>1740</v>
      </c>
      <c r="B53" s="5073"/>
      <c r="C53" s="5073"/>
      <c r="D53" s="5073"/>
      <c r="E53" s="5074"/>
      <c r="F53" s="5075"/>
      <c r="G53" s="5075"/>
      <c r="H53" s="5075"/>
      <c r="I53" s="5075"/>
      <c r="J53" s="5076"/>
      <c r="L53" s="5047"/>
      <c r="M53" s="5033"/>
      <c r="N53" s="5027"/>
      <c r="O53" s="5027"/>
      <c r="P53" s="5027"/>
      <c r="Q53" s="5027"/>
      <c r="R53" s="5027"/>
      <c r="S53" s="5027"/>
      <c r="T53" s="5027"/>
      <c r="U53" s="5027"/>
      <c r="V53" s="5027"/>
    </row>
    <row r="54" spans="1:22" ht="14.85" customHeight="1">
      <c r="A54" s="5028"/>
      <c r="E54" s="5043"/>
      <c r="J54" s="5077"/>
      <c r="L54" s="5047"/>
      <c r="M54" s="5033"/>
      <c r="N54" s="5027"/>
      <c r="O54" s="5027"/>
      <c r="P54" s="5027"/>
      <c r="Q54" s="5027"/>
      <c r="R54" s="5027"/>
      <c r="S54" s="5027"/>
      <c r="T54" s="5027"/>
      <c r="U54" s="5027"/>
      <c r="V54" s="5027"/>
    </row>
    <row r="55" spans="1:22" ht="14.85" customHeight="1">
      <c r="A55" s="5026" t="str">
        <f>"18.  Estimated "&amp;OpenData!P14&amp;" LOB General Fund budget (excludes Virtual &amp; FHSU weighting) &amp; includes higher of 2008-09 Spec Ed or current yr Spec Ed)"</f>
        <v>18.  Estimated 2021-22 LOB General Fund budget (excludes Virtual &amp; FHSU weighting) &amp; includes higher of 2008-09 Spec Ed or current yr Spec Ed)</v>
      </c>
      <c r="K55" s="5078"/>
      <c r="L55" s="5079"/>
      <c r="M55" s="5079"/>
      <c r="N55" s="5079"/>
      <c r="O55" s="5080"/>
      <c r="P55" s="5081"/>
      <c r="Q55" s="5082"/>
      <c r="R55" s="5081"/>
      <c r="S55" s="5081"/>
    </row>
    <row r="56" spans="1:22" ht="14.85" customHeight="1">
      <c r="D56" s="5020" t="str">
        <f>"(Lines 3 through 11 + 16) = " &amp; SUM(J14:J38)+J48 &amp; " x " &amp; OpenData!N30 &amp; " = $" &amp; Q56 &amp; " + "</f>
        <v xml:space="preserve">(Lines 3 through 11 + 16) = 707.9 x 4706 = $3331377 + </v>
      </c>
      <c r="E56" s="5049">
        <f>MAX(VLOOKUP(OPEN!B4,DATA!$A$4:$BE$289,19,FALSE),E40)</f>
        <v>606957</v>
      </c>
      <c r="G56" s="5019" t="s">
        <v>1741</v>
      </c>
      <c r="I56" s="5019" t="s">
        <v>907</v>
      </c>
      <c r="J56" s="5060">
        <f>ROUND((Q56+E56),0)</f>
        <v>3938334</v>
      </c>
      <c r="K56" s="5078"/>
      <c r="L56" s="5064" t="str">
        <f>CONCATENATE("&lt;--Goes to Form 155 Line 6 (LOB Base = ",TEXT(OpenData!$N$30,"$#,###"),")")</f>
        <v>&lt;--Goes to Form 155 Line 6 (LOB Base = $4,706)</v>
      </c>
      <c r="M56" s="5079"/>
      <c r="N56" s="5083"/>
      <c r="O56" s="5080"/>
      <c r="P56" s="5084" t="s">
        <v>4981</v>
      </c>
      <c r="Q56" s="5085">
        <f>(SUM(J14:J36)+J38+J48)*OpenData!N30</f>
        <v>3331377</v>
      </c>
      <c r="R56" s="5081"/>
      <c r="S56" s="5081"/>
    </row>
    <row r="57" spans="1:22" ht="14.85" customHeight="1">
      <c r="A57" s="5086"/>
      <c r="K57" s="5078"/>
      <c r="L57" s="5087"/>
      <c r="M57" s="5079"/>
      <c r="N57" s="5079"/>
      <c r="O57" s="5080"/>
      <c r="P57" s="5081"/>
      <c r="Q57" s="5082"/>
      <c r="R57" s="5081"/>
      <c r="S57" s="5081"/>
    </row>
    <row r="58" spans="1:22" ht="14.85" hidden="1" customHeight="1">
      <c r="D58" s="5020"/>
    </row>
    <row r="59" spans="1:22" ht="14.85" customHeight="1">
      <c r="A59" s="5951" t="s">
        <v>4485</v>
      </c>
      <c r="B59" s="5951"/>
      <c r="C59" s="5951"/>
      <c r="D59" s="5951"/>
      <c r="E59" s="5951"/>
      <c r="F59" s="5951"/>
      <c r="G59" s="5951"/>
      <c r="H59" s="5951"/>
      <c r="I59" s="5951"/>
      <c r="J59" s="5951"/>
      <c r="K59" s="5951"/>
      <c r="L59" s="5088"/>
      <c r="M59" s="5088"/>
    </row>
    <row r="60" spans="1:22" ht="14.85" hidden="1" customHeight="1">
      <c r="H60" s="5020"/>
      <c r="I60" s="5088"/>
      <c r="J60" s="5089"/>
    </row>
    <row r="62" spans="1:22" ht="14.85" customHeight="1">
      <c r="A62" s="5026" t="s">
        <v>5119</v>
      </c>
      <c r="B62" s="5023"/>
      <c r="C62" s="5023"/>
      <c r="D62" s="5090"/>
      <c r="E62" s="5091" t="str">
        <f>IF(AND(G249="YES",G250="YES",G251="YES"),"YES","NO")</f>
        <v>NO</v>
      </c>
      <c r="F62" s="5088"/>
      <c r="G62" s="5088"/>
      <c r="H62" s="5088"/>
      <c r="I62" s="5088"/>
      <c r="J62" s="5088"/>
      <c r="L62" s="5092" t="s">
        <v>4425</v>
      </c>
    </row>
    <row r="64" spans="1:22" ht="14.85" customHeight="1">
      <c r="A64" s="5019" t="str">
        <f>"2.  9/20/"&amp;RIGHT(OpenData!N5,2)&amp;" Audited FTE enrollment (excludes Preschool-Aged At-Risk (4 yr old) and Virtual)"</f>
        <v>2.  9/20/18 Audited FTE enrollment (excludes Preschool-Aged At-Risk (4 yr old) and Virtual)</v>
      </c>
      <c r="I64" s="5033" t="s">
        <v>907</v>
      </c>
      <c r="J64" s="5030">
        <f>OPEN!A43</f>
        <v>423.3</v>
      </c>
      <c r="L64" s="5047"/>
    </row>
    <row r="66" spans="1:12" ht="14.85" customHeight="1">
      <c r="A66" s="5019" t="str">
        <f>"3.  2/20/"&amp;RIGHT(OpenData!O5,2)&amp;" Audited FTE of new students of military families, not enrolled on 9/20/"&amp;RIGHT(OpenData!N5,2)&amp;"."</f>
        <v>3.  2/20/19 Audited FTE of new students of military families, not enrolled on 9/20/18.</v>
      </c>
    </row>
    <row r="67" spans="1:12" ht="14.85" customHeight="1">
      <c r="A67" s="5019" t="str">
        <f xml:space="preserve"> "     (Excludes Preschool-Aged At-Risk (4 yr old)) (Must be at least 25 FTE or 1% of Line 2."</f>
        <v xml:space="preserve">     (Excludes Preschool-Aged At-Risk (4 yr old)) (Must be at least 25 FTE or 1% of Line 2.</v>
      </c>
      <c r="G67" s="5030">
        <f>OPEN!A68</f>
        <v>0</v>
      </c>
      <c r="I67" s="5019" t="s">
        <v>907</v>
      </c>
      <c r="J67" s="5030">
        <f>IF(OR(G67&gt;=25,G67&gt;=J64*0.01),G67,0)</f>
        <v>0</v>
      </c>
      <c r="L67" s="5093" t="str">
        <f>IF(J67=0,"Does NOT qualify for the Military Provision!"," ")</f>
        <v>Does NOT qualify for the Military Provision!</v>
      </c>
    </row>
    <row r="68" spans="1:12" ht="14.85" customHeight="1">
      <c r="A68" s="5019" t="s">
        <v>1805</v>
      </c>
      <c r="L68" s="5094" t="str">
        <f>IF(J67&gt;0,"Qualifies for the Military Provision."," ")</f>
        <v xml:space="preserve"> </v>
      </c>
    </row>
    <row r="70" spans="1:12" ht="14.85" customHeight="1">
      <c r="A70" s="5019" t="str">
        <f>"4.  9/20/"&amp;RIGHT(OpenData!O5,2)&amp;" Audited FTE enrollment (excludes Preschool-Aged At-Risk (4 yr old) and Virtual)"</f>
        <v>4.  9/20/19 Audited FTE enrollment (excludes Preschool-Aged At-Risk (4 yr old) and Virtual)</v>
      </c>
      <c r="I70" s="5019" t="s">
        <v>907</v>
      </c>
      <c r="J70" s="5030">
        <f>OPEN!A44</f>
        <v>399</v>
      </c>
    </row>
    <row r="72" spans="1:12" ht="14.85" customHeight="1">
      <c r="A72" s="5019" t="str">
        <f>"5.  Estimated 2/20/"&amp;RIGHT(OpenData!P5,2)&amp;" Audited FTE of new students of military families, not enrolled on 9/20/"&amp;RIGHT(OpenData!O5,2)&amp;"."</f>
        <v>5.  Estimated 2/20/20 Audited FTE of new students of military families, not enrolled on 9/20/19.</v>
      </c>
    </row>
    <row r="73" spans="1:12" ht="14.85" customHeight="1">
      <c r="A73" s="5019" t="str">
        <f xml:space="preserve"> "     (Excludes Preschool-Aged At-Risk (4 yr old)) (Must be at least 25 FTE or 1% of Line 4."</f>
        <v xml:space="preserve">     (Excludes Preschool-Aged At-Risk (4 yr old)) (Must be at least 25 FTE or 1% of Line 4.</v>
      </c>
      <c r="G73" s="5030">
        <f>OPEN!A69</f>
        <v>0</v>
      </c>
      <c r="I73" s="5019" t="s">
        <v>907</v>
      </c>
      <c r="J73" s="5030">
        <f>IF(OR(G73&gt;=25,G73&gt;=J70*0.01),G73,0)</f>
        <v>0</v>
      </c>
      <c r="L73" s="5093" t="str">
        <f>IF(J73=0,"Does NOT qualify for the Military Provision!"," ")</f>
        <v>Does NOT qualify for the Military Provision!</v>
      </c>
    </row>
    <row r="74" spans="1:12" ht="14.85" customHeight="1">
      <c r="A74" s="5019" t="s">
        <v>1805</v>
      </c>
      <c r="L74" s="5019" t="str">
        <f>IF(J73&gt;0,"Qualifies for the Military Provision."," ")</f>
        <v xml:space="preserve"> </v>
      </c>
    </row>
    <row r="76" spans="1:12" ht="14.85" customHeight="1">
      <c r="A76" s="5019" t="str">
        <f>"6.  9/20/"&amp;RIGHT(OpenData!P5,2)&amp;" Audited FTE enrollment (excludes Preschool-Aged At-Risk (4 yr old) and Virtual)"</f>
        <v>6.  9/20/20 Audited FTE enrollment (excludes Preschool-Aged At-Risk (4 yr old) and Virtual)</v>
      </c>
      <c r="I76" s="5019" t="s">
        <v>907</v>
      </c>
      <c r="J76" s="5030">
        <f>OPEN!A45</f>
        <v>394.9</v>
      </c>
    </row>
    <row r="77" spans="1:12" ht="14.85" customHeight="1">
      <c r="J77" s="5050"/>
    </row>
    <row r="78" spans="1:12" ht="14.85" customHeight="1">
      <c r="A78" s="5019" t="str">
        <f>"7.  2/20/"&amp;RIGHT(OpenData!Q5,2)&amp;" Audited FTE of new students of military families, not enrolled on 9/20/"&amp;RIGHT(OpenData!P5,2)&amp;"."</f>
        <v>7.  2/20/21 Audited FTE of new students of military families, not enrolled on 9/20/20.</v>
      </c>
    </row>
    <row r="79" spans="1:12" ht="14.85" customHeight="1">
      <c r="A79" s="5019" t="str">
        <f xml:space="preserve"> "     (Excludes Preschool-Aged At-Risk (4 yr old)) (Must be at least 25 FTE or 1% of Line 6."</f>
        <v xml:space="preserve">     (Excludes Preschool-Aged At-Risk (4 yr old)) (Must be at least 25 FTE or 1% of Line 6.</v>
      </c>
      <c r="G79" s="5030">
        <f>OPEN!A70</f>
        <v>0</v>
      </c>
      <c r="I79" s="5019" t="s">
        <v>907</v>
      </c>
      <c r="J79" s="5030">
        <f>IF(OR(G79&gt;=25,G79&gt;=J76*0.01),G79,0)</f>
        <v>0</v>
      </c>
      <c r="L79" s="5095" t="str">
        <f>IF(J79=0,"Does NOT qualify for the Military Provision!"," ")</f>
        <v>Does NOT qualify for the Military Provision!</v>
      </c>
    </row>
    <row r="80" spans="1:12" ht="14.85" customHeight="1">
      <c r="A80" s="5019" t="s">
        <v>1805</v>
      </c>
      <c r="L80" s="5019" t="str">
        <f>IF(J79&gt;0,"Qualifies for the Military Provision."," ")</f>
        <v xml:space="preserve"> </v>
      </c>
    </row>
    <row r="81" spans="1:83" ht="14.85" customHeight="1">
      <c r="A81" s="5019" t="str">
        <f>"8.  Sept. 20, "&amp;OpenData!N5&amp;", FTE enrollment plus 2/20/"&amp;RIGHT(OpenData!O5,2)&amp;" FTE (Excludes Preschool-Aged At-Risk (4 yr old) and virtual.)"</f>
        <v>8.  Sept. 20, 2018, FTE enrollment plus 2/20/19 FTE (Excludes Preschool-Aged At-Risk (4 yr old) and virtual.)</v>
      </c>
      <c r="D81" s="5094"/>
      <c r="E81" s="5096"/>
      <c r="I81" s="5019" t="s">
        <v>907</v>
      </c>
      <c r="J81" s="5030">
        <f>J64+J67</f>
        <v>423.3</v>
      </c>
      <c r="K81" s="5041"/>
    </row>
    <row r="82" spans="1:83" ht="14.85" customHeight="1">
      <c r="D82" s="5094"/>
      <c r="E82" s="5096"/>
      <c r="K82" s="5041"/>
      <c r="N82" s="5097"/>
    </row>
    <row r="83" spans="1:83" ht="14.85" customHeight="1">
      <c r="A83" s="5019" t="str">
        <f>"9.  Sept. 20, "&amp;OpenData!O5&amp;", FTE enrollment plus 2/20/"&amp;RIGHT(OpenData!P5,2)&amp;" FTE (Excludes Preschool-Aged At-Risk (4 yr old) and virtual.)"</f>
        <v>9.  Sept. 20, 2019, FTE enrollment plus 2/20/20 FTE (Excludes Preschool-Aged At-Risk (4 yr old) and virtual.)</v>
      </c>
      <c r="I83" s="5019" t="s">
        <v>907</v>
      </c>
      <c r="J83" s="5030">
        <f>J70+J73</f>
        <v>399</v>
      </c>
    </row>
    <row r="84" spans="1:83" ht="14.85" customHeight="1">
      <c r="J84" s="5020"/>
    </row>
    <row r="85" spans="1:83" ht="14.85" customHeight="1">
      <c r="A85" s="5019" t="str">
        <f>"10.  Sept. 20, "&amp;OpenData!P5&amp;", FTE enrollment plus 2/20/"&amp;RIGHT(OpenData!Q5,2)&amp;" FTE (Excludes Preschool-Aged At-Risk (4 yr old) and virtual.)"</f>
        <v>10.  Sept. 20, 2020, FTE enrollment plus 2/20/21 FTE (Excludes Preschool-Aged At-Risk (4 yr old) and virtual.)</v>
      </c>
      <c r="I85" s="5019" t="s">
        <v>907</v>
      </c>
      <c r="J85" s="5030">
        <f>J76+J79</f>
        <v>394.9</v>
      </c>
    </row>
    <row r="86" spans="1:83" ht="14.85" customHeight="1">
      <c r="J86" s="5031"/>
    </row>
    <row r="87" spans="1:83" ht="14.85" customHeight="1">
      <c r="A87" s="5019" t="s">
        <v>3032</v>
      </c>
      <c r="B87" s="5098">
        <f>J81</f>
        <v>423.3</v>
      </c>
      <c r="C87" s="5034" t="s">
        <v>1510</v>
      </c>
      <c r="D87" s="5098">
        <f>J83</f>
        <v>399</v>
      </c>
      <c r="E87" s="5026" t="s">
        <v>1510</v>
      </c>
      <c r="J87" s="5031"/>
    </row>
    <row r="88" spans="1:83" s="5099" customFormat="1" ht="14.85" customHeight="1">
      <c r="A88" s="5019"/>
      <c r="B88" s="5034" t="s">
        <v>1817</v>
      </c>
      <c r="C88" s="5019"/>
      <c r="D88" s="5034" t="s">
        <v>1818</v>
      </c>
      <c r="E88" s="5019"/>
      <c r="F88" s="5019"/>
      <c r="G88" s="5019"/>
      <c r="H88" s="5019"/>
      <c r="I88" s="5019"/>
      <c r="J88" s="5031"/>
      <c r="K88" s="5019"/>
      <c r="L88" s="5019"/>
      <c r="M88" s="5019"/>
      <c r="N88" s="5019"/>
      <c r="O88" s="5019"/>
      <c r="P88" s="5019"/>
      <c r="Q88" s="5019"/>
      <c r="R88" s="5019"/>
      <c r="S88" s="5019"/>
      <c r="T88" s="5019"/>
      <c r="U88" s="5019"/>
      <c r="V88" s="5019"/>
      <c r="W88" s="5019"/>
      <c r="X88" s="5019"/>
      <c r="Y88" s="5019"/>
      <c r="Z88" s="5019"/>
      <c r="AA88" s="5019"/>
      <c r="AB88" s="5019"/>
      <c r="AC88" s="5019"/>
      <c r="AD88" s="5019"/>
      <c r="AE88" s="5019"/>
      <c r="AF88" s="5019"/>
      <c r="AG88" s="5019"/>
      <c r="AH88" s="5019"/>
      <c r="AI88" s="5019"/>
      <c r="AJ88" s="5019"/>
      <c r="AK88" s="5019"/>
      <c r="AL88" s="5019"/>
      <c r="AM88" s="5019"/>
      <c r="AN88" s="5019"/>
      <c r="AO88" s="5019"/>
      <c r="AP88" s="5019"/>
      <c r="AQ88" s="5019"/>
      <c r="AR88" s="5019"/>
      <c r="AS88" s="5019"/>
      <c r="AT88" s="5019"/>
      <c r="AU88" s="5019"/>
      <c r="AV88" s="5019"/>
      <c r="AW88" s="5019"/>
      <c r="AX88" s="5019"/>
      <c r="AY88" s="5019"/>
      <c r="AZ88" s="5019"/>
      <c r="BA88" s="5019"/>
      <c r="BB88" s="5019"/>
      <c r="BC88" s="5019"/>
      <c r="BD88" s="5019"/>
      <c r="BE88" s="5019"/>
      <c r="BF88" s="5019"/>
      <c r="BG88" s="5019"/>
      <c r="BH88" s="5019"/>
      <c r="BI88" s="5019"/>
      <c r="BJ88" s="5019"/>
      <c r="BK88" s="5019"/>
      <c r="BL88" s="5019"/>
      <c r="BM88" s="5019"/>
      <c r="BN88" s="5019"/>
      <c r="BO88" s="5019"/>
      <c r="BP88" s="5019"/>
      <c r="BQ88" s="5019"/>
      <c r="BR88" s="5019"/>
      <c r="BS88" s="5019"/>
      <c r="BT88" s="5019"/>
      <c r="BU88" s="5019"/>
      <c r="BV88" s="5019"/>
      <c r="BW88" s="5019"/>
      <c r="BX88" s="5019"/>
      <c r="BY88" s="5019"/>
      <c r="BZ88" s="5019"/>
      <c r="CA88" s="5019"/>
      <c r="CB88" s="5019"/>
      <c r="CC88" s="5019"/>
      <c r="CD88" s="5019"/>
      <c r="CE88" s="5019"/>
    </row>
    <row r="89" spans="1:83" ht="14.85" customHeight="1">
      <c r="B89" s="5098">
        <f>J85</f>
        <v>394.9</v>
      </c>
      <c r="C89" s="5034" t="s">
        <v>5198</v>
      </c>
      <c r="D89" s="5098">
        <f>(B87+D87+B89)/3</f>
        <v>405.7</v>
      </c>
      <c r="I89" s="5019" t="s">
        <v>907</v>
      </c>
      <c r="J89" s="5030">
        <f>IF(E62="NO",0,D89)</f>
        <v>0</v>
      </c>
      <c r="L89" s="5094" t="str">
        <f>IF(E62="NO","Does NOT qualify for three-year average.","")</f>
        <v>Does NOT qualify for three-year average.</v>
      </c>
      <c r="M89" s="5022"/>
    </row>
    <row r="90" spans="1:83" ht="14.85" customHeight="1">
      <c r="B90" s="5034" t="s">
        <v>3031</v>
      </c>
      <c r="D90" s="5034" t="s">
        <v>3036</v>
      </c>
      <c r="J90" s="5031"/>
      <c r="L90" s="5019" t="str">
        <f>IF(E62="YES","Qualifies for three-year average.","")</f>
        <v/>
      </c>
      <c r="Z90" s="661"/>
      <c r="AA90" s="5100" t="s">
        <v>1765</v>
      </c>
      <c r="AB90" s="5100"/>
      <c r="AC90" s="5100"/>
      <c r="AD90" s="5100"/>
      <c r="AE90" s="5100"/>
      <c r="AF90" s="5100"/>
    </row>
    <row r="91" spans="1:83" ht="14.85" customHeight="1">
      <c r="A91" s="5019" t="str">
        <f>"     * Excludes Preschool-Aged At-Risk (4 yr old) and virtual; but includes 2/20 military students if they qualify for the Military Provision that year."</f>
        <v xml:space="preserve">     * Excludes Preschool-Aged At-Risk (4 yr old) and virtual; but includes 2/20 military students if they qualify for the Military Provision that year.</v>
      </c>
      <c r="B91" s="5034"/>
      <c r="D91" s="5034"/>
      <c r="J91" s="5031"/>
      <c r="M91" s="5101"/>
      <c r="Z91" s="661">
        <v>2005</v>
      </c>
      <c r="AA91" s="5100">
        <f>954-300</f>
        <v>654</v>
      </c>
      <c r="AB91" s="5100">
        <f>1.2375*AA91</f>
        <v>809.32500000000005</v>
      </c>
      <c r="AC91" s="5100">
        <f>5406-AB91</f>
        <v>4596.6750000000002</v>
      </c>
      <c r="AD91" s="5102">
        <f>AC91/3426</f>
        <v>1.3417030000000001</v>
      </c>
      <c r="AE91" s="5102">
        <f>AD91-1</f>
        <v>0.34170299999999998</v>
      </c>
      <c r="AF91" s="5102">
        <f>((5406-1.2375*(954-300))/3426)-1</f>
        <v>0.34170299999999998</v>
      </c>
    </row>
    <row r="92" spans="1:83" ht="14.85" customHeight="1">
      <c r="J92" s="5020"/>
    </row>
    <row r="93" spans="1:83" ht="14.85" customHeight="1">
      <c r="A93" s="5019" t="str">
        <f>"12.  "&amp;OpenData!P14&amp;" FTE adjusted enrollment for budget purposes (higher of line 9, 10, or line 9, 10, or 11, if qualified for 3YR AVG)."</f>
        <v>12.  2021-22 FTE adjusted enrollment for budget purposes (higher of line 9, 10, or line 9, 10, or 11, if qualified for 3YR AVG).</v>
      </c>
      <c r="I93" s="5019" t="s">
        <v>907</v>
      </c>
      <c r="J93" s="5030">
        <f>IF(E62="NO",(MAX(J83,J85)),(MAX(J83,J85,J89)))</f>
        <v>399</v>
      </c>
    </row>
    <row r="94" spans="1:83" ht="14.85" customHeight="1">
      <c r="J94" s="5031"/>
    </row>
    <row r="95" spans="1:83" ht="14.85" customHeight="1">
      <c r="A95" s="5019" t="s">
        <v>4553</v>
      </c>
      <c r="I95" s="5033" t="s">
        <v>907</v>
      </c>
      <c r="J95" s="5030">
        <f>J93</f>
        <v>399</v>
      </c>
    </row>
    <row r="96" spans="1:83" ht="14.85" customHeight="1">
      <c r="A96" s="5103"/>
      <c r="B96" s="5103"/>
      <c r="C96" s="5103"/>
      <c r="D96" s="5104"/>
      <c r="E96" s="5103"/>
      <c r="F96" s="5103"/>
      <c r="G96" s="5103"/>
      <c r="H96" s="5103"/>
      <c r="I96" s="5103"/>
      <c r="J96" s="5103"/>
    </row>
    <row r="97" spans="1:22" ht="14.85" customHeight="1">
      <c r="A97" s="5951" t="s">
        <v>4483</v>
      </c>
      <c r="B97" s="5951"/>
      <c r="C97" s="5951"/>
      <c r="D97" s="5951"/>
      <c r="E97" s="5951"/>
      <c r="F97" s="5951"/>
      <c r="G97" s="5951"/>
      <c r="H97" s="5951"/>
      <c r="I97" s="5951"/>
      <c r="J97" s="5951"/>
      <c r="L97" s="5105" t="s">
        <v>1764</v>
      </c>
      <c r="M97" s="5105"/>
      <c r="N97" s="5105"/>
      <c r="O97" s="5105"/>
      <c r="P97" s="5106"/>
      <c r="Q97" s="5105"/>
    </row>
    <row r="98" spans="1:22" ht="14.85" customHeight="1">
      <c r="A98" s="5028" t="s">
        <v>1750</v>
      </c>
      <c r="E98" s="5107" t="s">
        <v>1751</v>
      </c>
      <c r="L98" s="5108" t="b">
        <f>J14&lt;99.9</f>
        <v>0</v>
      </c>
      <c r="M98" s="5109">
        <f>E99</f>
        <v>1.0143310000000001</v>
      </c>
      <c r="N98" s="5108"/>
      <c r="O98" s="5105"/>
      <c r="P98" s="5105"/>
      <c r="Q98" s="5105"/>
    </row>
    <row r="99" spans="1:22" ht="14.85" customHeight="1">
      <c r="A99" s="5019" t="s">
        <v>1752</v>
      </c>
      <c r="E99" s="5020">
        <v>1.0143310000000001</v>
      </c>
      <c r="L99" s="5105" t="b">
        <f>AND(J14&gt;=100,J14&lt;=299.9)</f>
        <v>0</v>
      </c>
      <c r="M99" s="5110">
        <f>Q105</f>
        <v>0.21248700000000001</v>
      </c>
      <c r="N99" s="5105"/>
      <c r="O99" s="5105"/>
      <c r="P99" s="5105"/>
      <c r="Q99" s="5105"/>
    </row>
    <row r="100" spans="1:22" ht="14.85" customHeight="1">
      <c r="A100" s="5019" t="s">
        <v>1753</v>
      </c>
      <c r="E100" s="5020" t="s">
        <v>1754</v>
      </c>
      <c r="L100" s="5105"/>
      <c r="M100" s="5110"/>
      <c r="N100" s="5105"/>
      <c r="O100" s="5105"/>
      <c r="P100" s="5105"/>
      <c r="Q100" s="5105"/>
    </row>
    <row r="101" spans="1:22" ht="14.85" customHeight="1">
      <c r="A101" s="5019" t="s">
        <v>1755</v>
      </c>
      <c r="E101" s="5020" t="s">
        <v>1756</v>
      </c>
      <c r="L101" s="5105" t="b">
        <f>AND(J14&gt;=300,J14&lt;=1621.9)</f>
        <v>1</v>
      </c>
      <c r="M101" s="5111">
        <f>Q106</f>
        <v>0.44936199999999998</v>
      </c>
      <c r="N101" s="5112"/>
      <c r="O101" s="5105"/>
      <c r="P101" s="5105"/>
      <c r="Q101" s="5105"/>
    </row>
    <row r="102" spans="1:22" ht="14.85" customHeight="1">
      <c r="A102" s="5019" t="s">
        <v>1757</v>
      </c>
      <c r="E102" s="5020">
        <v>3.5040000000000002E-2</v>
      </c>
      <c r="L102" s="5105" t="b">
        <f>J14&gt;=1622</f>
        <v>0</v>
      </c>
      <c r="M102" s="5105">
        <f>E102</f>
        <v>3.5040000000000002E-2</v>
      </c>
      <c r="N102" s="5105"/>
      <c r="O102" s="5105"/>
      <c r="P102" s="5105"/>
      <c r="Q102" s="5105"/>
    </row>
    <row r="103" spans="1:22" ht="14.85" customHeight="1">
      <c r="L103" s="5105"/>
      <c r="M103" s="5105"/>
      <c r="N103" s="5113"/>
      <c r="O103" s="5105"/>
      <c r="P103" s="5105"/>
      <c r="Q103" s="5105"/>
    </row>
    <row r="104" spans="1:22" ht="14.85" customHeight="1">
      <c r="A104" s="5033" t="s">
        <v>4614</v>
      </c>
      <c r="L104" s="5105"/>
      <c r="M104" s="5105"/>
      <c r="N104" s="5105"/>
      <c r="O104" s="5105"/>
      <c r="P104" s="5105"/>
      <c r="Q104" s="5105"/>
    </row>
    <row r="105" spans="1:22" ht="14.85" customHeight="1">
      <c r="L105" s="5105"/>
      <c r="M105" s="5108">
        <f>J14-100</f>
        <v>302.5</v>
      </c>
      <c r="N105" s="5109">
        <f>9.655*M105</f>
        <v>2920.6374999999998</v>
      </c>
      <c r="O105" s="5105">
        <f>7337-N105</f>
        <v>4416.3625000000002</v>
      </c>
      <c r="P105" s="5111">
        <f>O105/3642.4</f>
        <v>1.2124870000000001</v>
      </c>
      <c r="Q105" s="5111">
        <f>P105-1</f>
        <v>0.21248700000000001</v>
      </c>
    </row>
    <row r="106" spans="1:22" ht="14.85" customHeight="1">
      <c r="A106" s="5028" t="s">
        <v>1758</v>
      </c>
      <c r="E106" s="5047"/>
      <c r="M106" s="5108">
        <f>J14-300</f>
        <v>102.5</v>
      </c>
      <c r="N106" s="5111">
        <f>1.2375*M106</f>
        <v>126.84375</v>
      </c>
      <c r="O106" s="5111">
        <f>5406-N106</f>
        <v>5279.15625</v>
      </c>
      <c r="P106" s="5105">
        <f>O106/3642.4</f>
        <v>1.4493620277838799</v>
      </c>
      <c r="Q106" s="5105">
        <f>P106-1</f>
        <v>0.44936202778388001</v>
      </c>
    </row>
    <row r="107" spans="1:22" ht="14.85" customHeight="1">
      <c r="E107" s="5047"/>
      <c r="M107" s="5050"/>
      <c r="N107" s="5101"/>
      <c r="O107" s="5101"/>
    </row>
    <row r="108" spans="1:22" ht="14.85" customHeight="1">
      <c r="A108" s="5019" t="s">
        <v>1759</v>
      </c>
      <c r="E108" s="5047"/>
      <c r="L108" s="5047"/>
    </row>
    <row r="109" spans="1:22" ht="14.85" customHeight="1">
      <c r="A109" s="5019" t="s">
        <v>1760</v>
      </c>
      <c r="E109" s="5047"/>
      <c r="L109" s="5114"/>
    </row>
    <row r="110" spans="1:22" ht="14.85" customHeight="1">
      <c r="A110" s="5019" t="s">
        <v>1761</v>
      </c>
      <c r="L110" s="5115"/>
      <c r="Q110" s="5952" t="s">
        <v>4399</v>
      </c>
      <c r="R110" s="5952"/>
      <c r="S110" s="5952"/>
      <c r="T110" s="5952"/>
      <c r="U110" s="5952"/>
      <c r="V110" s="5952"/>
    </row>
    <row r="111" spans="1:22" ht="14.85" customHeight="1">
      <c r="A111" s="5019" t="s">
        <v>1762</v>
      </c>
      <c r="L111" s="5114"/>
      <c r="Q111" s="5116" t="s">
        <v>4400</v>
      </c>
      <c r="R111" s="5117" t="s">
        <v>5280</v>
      </c>
      <c r="S111" s="5117"/>
      <c r="T111" s="5117"/>
      <c r="U111" s="5118" t="s">
        <v>4401</v>
      </c>
      <c r="V111" s="5117"/>
    </row>
    <row r="112" spans="1:22" ht="14.85" customHeight="1">
      <c r="A112" s="5019" t="s">
        <v>1763</v>
      </c>
      <c r="L112" s="5114"/>
      <c r="Q112" s="5117">
        <v>1</v>
      </c>
      <c r="R112" s="5119">
        <v>0</v>
      </c>
      <c r="S112" s="5120" t="s">
        <v>1585</v>
      </c>
      <c r="T112" s="5121">
        <f>R113-0.001</f>
        <v>5.8999999999999997E-2</v>
      </c>
      <c r="U112" s="5122">
        <v>1620</v>
      </c>
      <c r="V112" s="5117"/>
    </row>
    <row r="113" spans="1:22" ht="14.85" customHeight="1">
      <c r="A113" s="5026">
        <v>0.26199099999999997</v>
      </c>
      <c r="L113" s="5123"/>
      <c r="Q113" s="5117">
        <f t="shared" ref="Q113:Q163" si="0">Q112+1</f>
        <v>2</v>
      </c>
      <c r="R113" s="5119">
        <v>0.06</v>
      </c>
      <c r="S113" s="5120" t="s">
        <v>1585</v>
      </c>
      <c r="T113" s="5121">
        <f t="shared" ref="T113:T160" si="1">R114-0.001</f>
        <v>6.9000000000000006E-2</v>
      </c>
      <c r="U113" s="5122">
        <v>1580</v>
      </c>
      <c r="V113" s="5117"/>
    </row>
    <row r="114" spans="1:22" ht="14.85" customHeight="1">
      <c r="A114" s="5103"/>
      <c r="B114" s="5103"/>
      <c r="C114" s="5103"/>
      <c r="D114" s="5103"/>
      <c r="E114" s="5103"/>
      <c r="F114" s="5103"/>
      <c r="G114" s="5103"/>
      <c r="H114" s="5103"/>
      <c r="I114" s="5103"/>
      <c r="J114" s="5103"/>
      <c r="K114" s="5103"/>
      <c r="L114" s="5123"/>
      <c r="Q114" s="5117">
        <f t="shared" si="0"/>
        <v>3</v>
      </c>
      <c r="R114" s="5119">
        <v>7.0000000000000007E-2</v>
      </c>
      <c r="S114" s="5120" t="s">
        <v>1585</v>
      </c>
      <c r="T114" s="5121">
        <f t="shared" si="1"/>
        <v>7.9000000000000001E-2</v>
      </c>
      <c r="U114" s="5122">
        <v>1540</v>
      </c>
      <c r="V114" s="5117"/>
    </row>
    <row r="115" spans="1:22" ht="14.85" customHeight="1">
      <c r="A115" s="5955" t="s">
        <v>4484</v>
      </c>
      <c r="B115" s="5955"/>
      <c r="C115" s="5955"/>
      <c r="D115" s="5955"/>
      <c r="E115" s="5955"/>
      <c r="F115" s="5955"/>
      <c r="G115" s="5955"/>
      <c r="H115" s="5955"/>
      <c r="I115" s="5955"/>
      <c r="J115" s="5955"/>
      <c r="M115" s="5954" t="s">
        <v>4462</v>
      </c>
      <c r="N115" s="5954"/>
      <c r="Q115" s="5117">
        <f t="shared" si="0"/>
        <v>4</v>
      </c>
      <c r="R115" s="5119">
        <v>0.08</v>
      </c>
      <c r="S115" s="5120" t="s">
        <v>1585</v>
      </c>
      <c r="T115" s="5121">
        <f t="shared" si="1"/>
        <v>8.8999999999999996E-2</v>
      </c>
      <c r="U115" s="5122">
        <v>1500</v>
      </c>
      <c r="V115" s="5117"/>
    </row>
    <row r="116" spans="1:22" ht="14.85" customHeight="1">
      <c r="A116" s="5019" t="str">
        <f>"1.  Area of district in square miles 9-20-" &amp; OpenData!Q5 &amp;"."</f>
        <v>1.  Area of district in square miles 9-20-2021.</v>
      </c>
      <c r="I116" s="5019" t="s">
        <v>907</v>
      </c>
      <c r="J116" s="5030">
        <f>OPEN!A94</f>
        <v>599</v>
      </c>
      <c r="M116" s="607" t="s">
        <v>4398</v>
      </c>
      <c r="N116" s="5117">
        <f>IF(J121&lt;0.06, 1, IF(J121&gt;=18.29,52, MATCH(J121-0.001,$T$112:$T$163)+1))</f>
        <v>17</v>
      </c>
      <c r="Q116" s="5117">
        <f t="shared" si="0"/>
        <v>5</v>
      </c>
      <c r="R116" s="5119">
        <v>0.09</v>
      </c>
      <c r="S116" s="5120" t="s">
        <v>1585</v>
      </c>
      <c r="T116" s="5121">
        <f t="shared" si="1"/>
        <v>9.9000000000000005E-2</v>
      </c>
      <c r="U116" s="5122">
        <v>1480</v>
      </c>
      <c r="V116" s="5117"/>
    </row>
    <row r="117" spans="1:22" ht="14.85" customHeight="1">
      <c r="J117" s="5020"/>
      <c r="M117" s="607" t="s">
        <v>4434</v>
      </c>
      <c r="N117" s="5124">
        <f>OpenData!N109</f>
        <v>1</v>
      </c>
      <c r="Q117" s="5117">
        <f t="shared" si="0"/>
        <v>6</v>
      </c>
      <c r="R117" s="5119">
        <v>0.1</v>
      </c>
      <c r="S117" s="5120" t="s">
        <v>1585</v>
      </c>
      <c r="T117" s="5121">
        <f t="shared" si="1"/>
        <v>0.109</v>
      </c>
      <c r="U117" s="5122">
        <v>1450</v>
      </c>
      <c r="V117" s="5117"/>
    </row>
    <row r="118" spans="1:22" ht="14.85" customHeight="1">
      <c r="A118" s="5019" t="str">
        <f>"2.  All public pupils transported or for whom transportation is being made available 9-20-"&amp;OpenData!Q5</f>
        <v>2.  All public pupils transported or for whom transportation is being made available 9-20-2021</v>
      </c>
      <c r="J118" s="5020"/>
      <c r="M118" s="607" t="s">
        <v>4435</v>
      </c>
      <c r="N118" s="5125">
        <f>OpenData!N25</f>
        <v>4706</v>
      </c>
      <c r="O118" s="5126"/>
      <c r="Q118" s="5117">
        <f t="shared" si="0"/>
        <v>7</v>
      </c>
      <c r="R118" s="5119">
        <v>0.11</v>
      </c>
      <c r="S118" s="5120" t="s">
        <v>1585</v>
      </c>
      <c r="T118" s="5121">
        <f t="shared" si="1"/>
        <v>0.11899999999999999</v>
      </c>
      <c r="U118" s="5122">
        <v>1430</v>
      </c>
      <c r="V118" s="5117"/>
    </row>
    <row r="119" spans="1:22" ht="14.85" customHeight="1">
      <c r="A119" s="5019" t="s">
        <v>1766</v>
      </c>
      <c r="D119" s="5032">
        <f>OPEN!A58</f>
        <v>135</v>
      </c>
      <c r="E119" s="5127" t="str">
        <f>" +    2-20-"&amp;RIGHT(OpenData!S5,2)</f>
        <v xml:space="preserve"> +    2-20-22</v>
      </c>
      <c r="G119" s="5032">
        <f>IF(J79=0,0,OPEN!A81)</f>
        <v>0</v>
      </c>
      <c r="H119" s="5034"/>
      <c r="I119" s="5019" t="s">
        <v>907</v>
      </c>
      <c r="J119" s="5030">
        <f>D119+G119</f>
        <v>135</v>
      </c>
      <c r="L119" s="5128"/>
      <c r="M119" s="607" t="s">
        <v>4436</v>
      </c>
      <c r="N119" s="5125">
        <f>OpenData!N111</f>
        <v>4165</v>
      </c>
      <c r="O119" s="5126"/>
      <c r="Q119" s="5117">
        <f t="shared" si="0"/>
        <v>8</v>
      </c>
      <c r="R119" s="5119">
        <v>0.12</v>
      </c>
      <c r="S119" s="5120" t="s">
        <v>1585</v>
      </c>
      <c r="T119" s="5121">
        <f t="shared" si="1"/>
        <v>0.129</v>
      </c>
      <c r="U119" s="5122">
        <v>1410</v>
      </c>
      <c r="V119" s="5117"/>
    </row>
    <row r="120" spans="1:22" ht="14.85" customHeight="1">
      <c r="H120" s="5034"/>
      <c r="J120" s="5020"/>
      <c r="L120" s="5129"/>
      <c r="N120" s="5130"/>
      <c r="O120" s="5126"/>
      <c r="Q120" s="5117">
        <f t="shared" si="0"/>
        <v>9</v>
      </c>
      <c r="R120" s="5119">
        <v>0.13</v>
      </c>
      <c r="S120" s="5120" t="s">
        <v>1585</v>
      </c>
      <c r="T120" s="5121">
        <f t="shared" si="1"/>
        <v>0.13900000000000001</v>
      </c>
      <c r="U120" s="5122">
        <v>1390</v>
      </c>
      <c r="V120" s="5117"/>
    </row>
    <row r="121" spans="1:22" ht="14.85" customHeight="1">
      <c r="A121" s="5019" t="s">
        <v>1767</v>
      </c>
      <c r="D121" s="5032">
        <f>J119</f>
        <v>135</v>
      </c>
      <c r="E121" s="5019" t="s">
        <v>1768</v>
      </c>
      <c r="G121" s="5131">
        <f>J116</f>
        <v>599</v>
      </c>
      <c r="I121" s="5019" t="s">
        <v>907</v>
      </c>
      <c r="J121" s="5132">
        <f>D121/G121</f>
        <v>0.22500000000000001</v>
      </c>
      <c r="L121" s="5129"/>
      <c r="N121" s="5130"/>
      <c r="O121" s="5133"/>
      <c r="P121" s="5050"/>
      <c r="Q121" s="5117">
        <f t="shared" si="0"/>
        <v>10</v>
      </c>
      <c r="R121" s="5119">
        <v>0.14000000000000001</v>
      </c>
      <c r="S121" s="5120" t="s">
        <v>1585</v>
      </c>
      <c r="T121" s="5121">
        <f t="shared" si="1"/>
        <v>0.14899999999999999</v>
      </c>
      <c r="U121" s="5122">
        <v>1370</v>
      </c>
      <c r="V121" s="5117"/>
    </row>
    <row r="122" spans="1:22" ht="14.85" customHeight="1">
      <c r="J122" s="5020"/>
      <c r="L122" s="5129"/>
      <c r="N122" s="5130"/>
      <c r="O122" s="5126"/>
      <c r="Q122" s="5117">
        <f t="shared" si="0"/>
        <v>11</v>
      </c>
      <c r="R122" s="5119">
        <v>0.15</v>
      </c>
      <c r="S122" s="5120" t="s">
        <v>1585</v>
      </c>
      <c r="T122" s="5121">
        <f t="shared" si="1"/>
        <v>0.159</v>
      </c>
      <c r="U122" s="5122">
        <v>1350</v>
      </c>
      <c r="V122" s="5117"/>
    </row>
    <row r="123" spans="1:22" ht="14.85" customHeight="1">
      <c r="A123" s="5019" t="s">
        <v>4397</v>
      </c>
      <c r="I123" s="5019" t="s">
        <v>907</v>
      </c>
      <c r="J123" s="5060">
        <f>VLOOKUP(N116, $Q$112:$U$163, 5)</f>
        <v>1250</v>
      </c>
      <c r="N123" s="5130"/>
      <c r="O123" s="5126"/>
      <c r="Q123" s="5117">
        <f t="shared" si="0"/>
        <v>12</v>
      </c>
      <c r="R123" s="5119">
        <v>0.16</v>
      </c>
      <c r="S123" s="5120" t="s">
        <v>1585</v>
      </c>
      <c r="T123" s="5121">
        <f t="shared" si="1"/>
        <v>0.16900000000000001</v>
      </c>
      <c r="U123" s="5122">
        <v>1340</v>
      </c>
      <c r="V123" s="5117"/>
    </row>
    <row r="124" spans="1:22" ht="14.85" customHeight="1">
      <c r="D124" s="5134"/>
      <c r="E124" s="5134"/>
      <c r="F124" s="5134"/>
      <c r="G124" s="5134"/>
      <c r="H124" s="5135" t="s">
        <v>4402</v>
      </c>
      <c r="I124" s="5134"/>
      <c r="J124" s="5136">
        <f>N118/BSAPP</f>
        <v>1.1298999999999999</v>
      </c>
      <c r="L124" s="5137"/>
      <c r="N124" s="5130"/>
      <c r="O124" s="5126"/>
      <c r="Q124" s="5117">
        <f t="shared" si="0"/>
        <v>13</v>
      </c>
      <c r="R124" s="5119">
        <v>0.17</v>
      </c>
      <c r="S124" s="5120" t="s">
        <v>1585</v>
      </c>
      <c r="T124" s="5121">
        <f t="shared" si="1"/>
        <v>0.17899999999999999</v>
      </c>
      <c r="U124" s="5122">
        <v>1320</v>
      </c>
      <c r="V124" s="5117"/>
    </row>
    <row r="125" spans="1:22" ht="14.85" customHeight="1">
      <c r="D125" s="5134"/>
      <c r="E125" s="5134"/>
      <c r="F125" s="5134"/>
      <c r="G125" s="5134"/>
      <c r="H125" s="5135" t="s">
        <v>4403</v>
      </c>
      <c r="I125" s="5134"/>
      <c r="J125" s="5138">
        <f>pupils_trans_2.5*J123</f>
        <v>168750</v>
      </c>
      <c r="L125" s="5129"/>
      <c r="N125" s="5130"/>
      <c r="O125" s="5126"/>
      <c r="Q125" s="5117">
        <f t="shared" si="0"/>
        <v>14</v>
      </c>
      <c r="R125" s="5119">
        <v>0.18</v>
      </c>
      <c r="S125" s="5120" t="s">
        <v>1585</v>
      </c>
      <c r="T125" s="5121">
        <f t="shared" si="1"/>
        <v>0.19900000000000001</v>
      </c>
      <c r="U125" s="5122">
        <v>1300</v>
      </c>
      <c r="V125" s="5117"/>
    </row>
    <row r="126" spans="1:22" ht="14.85" customHeight="1">
      <c r="B126" s="5050"/>
      <c r="C126" s="5034"/>
      <c r="D126" s="5139"/>
      <c r="E126" s="5134"/>
      <c r="F126" s="5134"/>
      <c r="G126" s="5134"/>
      <c r="H126" s="5135" t="s">
        <v>4426</v>
      </c>
      <c r="I126" s="5134"/>
      <c r="J126" s="5138">
        <f>J125*N117</f>
        <v>168750</v>
      </c>
      <c r="L126" s="5129"/>
      <c r="N126" s="5130"/>
      <c r="O126" s="5126"/>
      <c r="Q126" s="5117">
        <f t="shared" si="0"/>
        <v>15</v>
      </c>
      <c r="R126" s="5119">
        <v>0.2</v>
      </c>
      <c r="S126" s="5120" t="s">
        <v>1585</v>
      </c>
      <c r="T126" s="5121">
        <f t="shared" si="1"/>
        <v>0.20899999999999999</v>
      </c>
      <c r="U126" s="5122">
        <v>1290</v>
      </c>
      <c r="V126" s="5117"/>
    </row>
    <row r="127" spans="1:22" ht="14.85" customHeight="1">
      <c r="B127" s="5050"/>
      <c r="C127" s="5034"/>
      <c r="D127" s="5139"/>
      <c r="E127" s="5134"/>
      <c r="F127" s="5134"/>
      <c r="G127" s="5134"/>
      <c r="H127" s="5135" t="s">
        <v>4404</v>
      </c>
      <c r="I127" s="5134"/>
      <c r="J127" s="5138">
        <f>J126*J124</f>
        <v>190671</v>
      </c>
      <c r="L127" s="5129"/>
      <c r="N127" s="5130"/>
      <c r="O127" s="5126"/>
      <c r="Q127" s="5117">
        <f t="shared" si="0"/>
        <v>16</v>
      </c>
      <c r="R127" s="5119">
        <v>0.21</v>
      </c>
      <c r="S127" s="5120" t="s">
        <v>1585</v>
      </c>
      <c r="T127" s="5121">
        <f t="shared" si="1"/>
        <v>0.219</v>
      </c>
      <c r="U127" s="5122">
        <v>1270</v>
      </c>
      <c r="V127" s="5117"/>
    </row>
    <row r="128" spans="1:22" ht="14.85" customHeight="1">
      <c r="A128" s="5019" t="str">
        <f>"6.  " &amp; OpenData!P14 &amp;  " Trans. State Aid ="</f>
        <v>6.  2021-22 Trans. State Aid =</v>
      </c>
      <c r="C128" s="5048">
        <f>J127</f>
        <v>190671</v>
      </c>
      <c r="D128" s="5034"/>
      <c r="E128" s="5043"/>
      <c r="F128" s="5019" t="s">
        <v>1819</v>
      </c>
      <c r="I128" s="5033" t="s">
        <v>907</v>
      </c>
      <c r="J128" s="5048">
        <f>C128</f>
        <v>190671</v>
      </c>
      <c r="L128" s="5129"/>
      <c r="N128" s="5130"/>
      <c r="O128" s="5126"/>
      <c r="Q128" s="5117">
        <f t="shared" si="0"/>
        <v>17</v>
      </c>
      <c r="R128" s="5119">
        <v>0.22</v>
      </c>
      <c r="S128" s="5120" t="s">
        <v>1585</v>
      </c>
      <c r="T128" s="5121">
        <f>R129-0.001</f>
        <v>0.23899999999999999</v>
      </c>
      <c r="U128" s="5122">
        <v>1250</v>
      </c>
      <c r="V128" s="5117"/>
    </row>
    <row r="129" spans="1:22" ht="14.85" customHeight="1">
      <c r="C129" s="5043"/>
      <c r="D129" s="5034"/>
      <c r="E129" s="5043"/>
      <c r="I129" s="5033"/>
      <c r="J129" s="5043"/>
      <c r="L129" s="5129"/>
      <c r="N129" s="5130"/>
      <c r="O129" s="5126"/>
      <c r="Q129" s="5117">
        <f>Q128+1</f>
        <v>18</v>
      </c>
      <c r="R129" s="5119">
        <v>0.24</v>
      </c>
      <c r="S129" s="5120" t="s">
        <v>1585</v>
      </c>
      <c r="T129" s="5121">
        <f t="shared" si="1"/>
        <v>0.26900000000000002</v>
      </c>
      <c r="U129" s="5122">
        <v>1230</v>
      </c>
      <c r="V129" s="5117"/>
    </row>
    <row r="130" spans="1:22" ht="14.85" customHeight="1">
      <c r="A130" s="5040" t="s">
        <v>5116</v>
      </c>
      <c r="C130" s="5043"/>
      <c r="D130" s="5034"/>
      <c r="E130" s="5043"/>
      <c r="I130" s="5033"/>
      <c r="J130" s="5043"/>
      <c r="N130" s="5130"/>
      <c r="O130" s="5126"/>
      <c r="Q130" s="5117">
        <f t="shared" si="0"/>
        <v>19</v>
      </c>
      <c r="R130" s="5119">
        <v>0.27</v>
      </c>
      <c r="S130" s="5120" t="s">
        <v>1585</v>
      </c>
      <c r="T130" s="5121">
        <f t="shared" si="1"/>
        <v>0.28899999999999998</v>
      </c>
      <c r="U130" s="5122">
        <v>1210</v>
      </c>
      <c r="V130" s="5117"/>
    </row>
    <row r="131" spans="1:22" ht="14.85" customHeight="1">
      <c r="A131" s="5040" t="s">
        <v>5117</v>
      </c>
      <c r="L131" s="5137"/>
      <c r="M131" s="5047"/>
      <c r="N131" s="5126"/>
      <c r="O131" s="5126"/>
      <c r="Q131" s="5117">
        <f t="shared" si="0"/>
        <v>20</v>
      </c>
      <c r="R131" s="5119">
        <v>0.28999999999999998</v>
      </c>
      <c r="S131" s="5120" t="s">
        <v>1585</v>
      </c>
      <c r="T131" s="5121">
        <f t="shared" si="1"/>
        <v>0.31900000000000001</v>
      </c>
      <c r="U131" s="5122">
        <v>1190</v>
      </c>
      <c r="V131" s="5117"/>
    </row>
    <row r="132" spans="1:22" ht="14.85" customHeight="1">
      <c r="A132" s="5140"/>
      <c r="B132" s="5103"/>
      <c r="C132" s="5103"/>
      <c r="D132" s="5103"/>
      <c r="E132" s="5103"/>
      <c r="F132" s="5103"/>
      <c r="G132" s="5103"/>
      <c r="H132" s="5103"/>
      <c r="I132" s="5103"/>
      <c r="J132" s="5103"/>
      <c r="L132" s="5129"/>
      <c r="N132" s="5126" t="s">
        <v>1769</v>
      </c>
      <c r="O132" s="5126"/>
      <c r="Q132" s="5117">
        <f t="shared" si="0"/>
        <v>21</v>
      </c>
      <c r="R132" s="5119">
        <v>0.32</v>
      </c>
      <c r="S132" s="5120" t="s">
        <v>1585</v>
      </c>
      <c r="T132" s="5121">
        <f t="shared" si="1"/>
        <v>0.34899999999999998</v>
      </c>
      <c r="U132" s="5122">
        <v>1170</v>
      </c>
      <c r="V132" s="5117"/>
    </row>
    <row r="133" spans="1:22" ht="14.85" hidden="1" customHeight="1">
      <c r="A133" s="5026"/>
      <c r="N133" s="5130"/>
      <c r="O133" s="5141" t="s">
        <v>1770</v>
      </c>
      <c r="Q133" s="5117">
        <f t="shared" si="0"/>
        <v>22</v>
      </c>
      <c r="R133" s="5119">
        <v>0.35</v>
      </c>
      <c r="S133" s="5120" t="s">
        <v>1585</v>
      </c>
      <c r="T133" s="5121">
        <f t="shared" si="1"/>
        <v>0.38900000000000001</v>
      </c>
      <c r="U133" s="5122">
        <v>1150</v>
      </c>
      <c r="V133" s="5117"/>
    </row>
    <row r="134" spans="1:22" ht="14.85" hidden="1" customHeight="1">
      <c r="A134" s="5956"/>
      <c r="B134" s="5957"/>
      <c r="C134" s="5957"/>
      <c r="D134" s="5957"/>
      <c r="E134" s="5957"/>
      <c r="F134" s="5023"/>
      <c r="H134" s="5020"/>
      <c r="I134" s="5088"/>
      <c r="J134" s="5089"/>
      <c r="N134" s="5047"/>
      <c r="Q134" s="5117">
        <f t="shared" si="0"/>
        <v>23</v>
      </c>
      <c r="R134" s="5119">
        <v>0.39</v>
      </c>
      <c r="S134" s="5120" t="s">
        <v>1585</v>
      </c>
      <c r="T134" s="5121">
        <f t="shared" si="1"/>
        <v>0.42899999999999999</v>
      </c>
      <c r="U134" s="5122">
        <v>1130</v>
      </c>
      <c r="V134" s="5117"/>
    </row>
    <row r="135" spans="1:22" ht="14.85" customHeight="1">
      <c r="A135" s="5951" t="s">
        <v>4554</v>
      </c>
      <c r="B135" s="5951"/>
      <c r="C135" s="5951"/>
      <c r="D135" s="5951"/>
      <c r="E135" s="5951"/>
      <c r="F135" s="5951"/>
      <c r="G135" s="5951"/>
      <c r="H135" s="5951"/>
      <c r="I135" s="5951"/>
      <c r="J135" s="5951"/>
      <c r="K135" s="5099"/>
      <c r="L135" s="5047"/>
      <c r="Q135" s="5117">
        <f t="shared" si="0"/>
        <v>24</v>
      </c>
      <c r="R135" s="5119">
        <v>0.43</v>
      </c>
      <c r="S135" s="5120" t="s">
        <v>1585</v>
      </c>
      <c r="T135" s="5121">
        <f t="shared" si="1"/>
        <v>0.46899999999999997</v>
      </c>
      <c r="U135" s="5122">
        <v>1110</v>
      </c>
      <c r="V135" s="5117"/>
    </row>
    <row r="136" spans="1:22" ht="14.85" customHeight="1">
      <c r="A136" s="5955" t="s">
        <v>4987</v>
      </c>
      <c r="B136" s="5955"/>
      <c r="C136" s="5955"/>
      <c r="D136" s="5955"/>
      <c r="E136" s="5955"/>
      <c r="F136" s="5955"/>
      <c r="G136" s="5955"/>
      <c r="H136" s="5955"/>
      <c r="I136" s="5955"/>
      <c r="J136" s="5955"/>
      <c r="L136" s="5047"/>
      <c r="Q136" s="5117">
        <f t="shared" si="0"/>
        <v>25</v>
      </c>
      <c r="R136" s="5119">
        <v>0.47</v>
      </c>
      <c r="S136" s="5120" t="s">
        <v>1585</v>
      </c>
      <c r="T136" s="5121">
        <f t="shared" si="1"/>
        <v>0.51900000000000002</v>
      </c>
      <c r="U136" s="5122">
        <v>1090</v>
      </c>
      <c r="V136" s="5117"/>
    </row>
    <row r="137" spans="1:22" ht="14.85" customHeight="1">
      <c r="A137" s="5047"/>
      <c r="B137" s="5047"/>
      <c r="C137" s="5047"/>
      <c r="D137" s="5047"/>
      <c r="E137" s="5047"/>
      <c r="F137" s="5047"/>
      <c r="G137" s="5047"/>
      <c r="H137" s="5047"/>
      <c r="I137" s="5047"/>
      <c r="J137" s="5047"/>
      <c r="Q137" s="5117">
        <f t="shared" si="0"/>
        <v>26</v>
      </c>
      <c r="R137" s="5119">
        <v>0.52</v>
      </c>
      <c r="S137" s="5120" t="s">
        <v>1585</v>
      </c>
      <c r="T137" s="5121">
        <f t="shared" si="1"/>
        <v>0.57899999999999996</v>
      </c>
      <c r="U137" s="5122">
        <v>1070</v>
      </c>
      <c r="V137" s="5117"/>
    </row>
    <row r="138" spans="1:22" ht="14.85" customHeight="1">
      <c r="A138" s="5019" t="str">
        <f>"1.  Estimated 9/20/"&amp;RIGHT(OpenData!Q5,2)&amp;" FTE enrollment for full-time students enrolled in virtual programs."</f>
        <v>1.  Estimated 9/20/21 FTE enrollment for full-time students enrolled in virtual programs.</v>
      </c>
      <c r="E138" s="5032">
        <f>OPEN!A89</f>
        <v>0</v>
      </c>
      <c r="F138" s="5019" t="s">
        <v>1733</v>
      </c>
      <c r="G138" s="5053">
        <f>OpenData!N26</f>
        <v>5000</v>
      </c>
      <c r="I138" s="5033" t="s">
        <v>907</v>
      </c>
      <c r="J138" s="5048">
        <f>E138*G138</f>
        <v>0</v>
      </c>
      <c r="L138" s="5096"/>
      <c r="Q138" s="5117">
        <f t="shared" si="0"/>
        <v>27</v>
      </c>
      <c r="R138" s="5119">
        <v>0.57999999999999996</v>
      </c>
      <c r="S138" s="5120" t="s">
        <v>1585</v>
      </c>
      <c r="T138" s="5121">
        <f t="shared" si="1"/>
        <v>0.63900000000000001</v>
      </c>
      <c r="U138" s="5122">
        <v>1050</v>
      </c>
      <c r="V138" s="5117"/>
    </row>
    <row r="139" spans="1:22" ht="14.85" customHeight="1">
      <c r="A139" s="5019" t="str">
        <f>"2.  Estimated 9/20/"&amp;RIGHT(OpenData!Q5,2)&amp;" FTE enrollment for part-time students enrolled in virtual programs."</f>
        <v>2.  Estimated 9/20/21 FTE enrollment for part-time students enrolled in virtual programs.</v>
      </c>
      <c r="E139" s="5032">
        <f>OPEN!A90</f>
        <v>0</v>
      </c>
      <c r="F139" s="5019" t="s">
        <v>1733</v>
      </c>
      <c r="G139" s="5053">
        <f>OpenData!O26</f>
        <v>1700</v>
      </c>
      <c r="I139" s="5033" t="s">
        <v>907</v>
      </c>
      <c r="J139" s="5048">
        <f>E139*G139</f>
        <v>0</v>
      </c>
      <c r="Q139" s="5117">
        <f t="shared" si="0"/>
        <v>28</v>
      </c>
      <c r="R139" s="5119">
        <v>0.64</v>
      </c>
      <c r="S139" s="5120" t="s">
        <v>1585</v>
      </c>
      <c r="T139" s="5121">
        <f t="shared" si="1"/>
        <v>0.70899999999999996</v>
      </c>
      <c r="U139" s="5122">
        <v>1030</v>
      </c>
      <c r="V139" s="5117"/>
    </row>
    <row r="140" spans="1:22" ht="14.85" customHeight="1">
      <c r="A140" s="5019" t="s">
        <v>4990</v>
      </c>
      <c r="E140" s="5142">
        <f>OPEN!A91</f>
        <v>0</v>
      </c>
      <c r="F140" s="5019" t="s">
        <v>1733</v>
      </c>
      <c r="G140" s="5053">
        <f>OpenData!P26</f>
        <v>709</v>
      </c>
      <c r="I140" s="5033" t="s">
        <v>907</v>
      </c>
      <c r="J140" s="5048">
        <f>E140*G140</f>
        <v>0</v>
      </c>
      <c r="Q140" s="5117">
        <f t="shared" si="0"/>
        <v>29</v>
      </c>
      <c r="R140" s="5119">
        <v>0.71</v>
      </c>
      <c r="S140" s="5120" t="s">
        <v>1585</v>
      </c>
      <c r="T140" s="5121">
        <f t="shared" si="1"/>
        <v>0.78900000000000003</v>
      </c>
      <c r="U140" s="5122">
        <v>1010</v>
      </c>
      <c r="V140" s="5117"/>
    </row>
    <row r="141" spans="1:22" ht="14.85" customHeight="1">
      <c r="A141" s="5019" t="s">
        <v>5281</v>
      </c>
      <c r="E141" s="5143"/>
      <c r="G141" s="5053"/>
      <c r="I141" s="5019" t="s">
        <v>907</v>
      </c>
      <c r="J141" s="5144">
        <f>SUM(J138:J140)</f>
        <v>0</v>
      </c>
      <c r="Q141" s="5117">
        <f t="shared" si="0"/>
        <v>30</v>
      </c>
      <c r="R141" s="5119">
        <v>0.79</v>
      </c>
      <c r="S141" s="5120" t="s">
        <v>1585</v>
      </c>
      <c r="T141" s="5121">
        <f t="shared" si="1"/>
        <v>0.879</v>
      </c>
      <c r="U141" s="5122">
        <v>990</v>
      </c>
      <c r="V141" s="5117"/>
    </row>
    <row r="142" spans="1:22" ht="14.85" customHeight="1">
      <c r="Q142" s="5117">
        <f t="shared" si="0"/>
        <v>31</v>
      </c>
      <c r="R142" s="5119">
        <v>0.88</v>
      </c>
      <c r="S142" s="5120" t="s">
        <v>1585</v>
      </c>
      <c r="T142" s="5121">
        <f t="shared" si="1"/>
        <v>0.98899999999999999</v>
      </c>
      <c r="U142" s="5122">
        <v>970</v>
      </c>
      <c r="V142" s="5117"/>
    </row>
    <row r="143" spans="1:22" ht="14.85" customHeight="1">
      <c r="A143" s="5019" t="s">
        <v>1772</v>
      </c>
      <c r="Q143" s="5117">
        <f t="shared" si="0"/>
        <v>32</v>
      </c>
      <c r="R143" s="5119">
        <v>0.99</v>
      </c>
      <c r="S143" s="5120" t="s">
        <v>1585</v>
      </c>
      <c r="T143" s="5121">
        <f t="shared" si="1"/>
        <v>1.109</v>
      </c>
      <c r="U143" s="5122">
        <v>950</v>
      </c>
      <c r="V143" s="5117"/>
    </row>
    <row r="144" spans="1:22" ht="14.85" customHeight="1">
      <c r="Q144" s="5117">
        <f t="shared" si="0"/>
        <v>33</v>
      </c>
      <c r="R144" s="5119">
        <v>1.1100000000000001</v>
      </c>
      <c r="S144" s="5120" t="s">
        <v>1585</v>
      </c>
      <c r="T144" s="5121">
        <f t="shared" si="1"/>
        <v>1.2490000000000001</v>
      </c>
      <c r="U144" s="5122">
        <v>930</v>
      </c>
      <c r="V144" s="5117"/>
    </row>
    <row r="145" spans="1:22" ht="14.85" customHeight="1">
      <c r="A145" s="5019" t="s">
        <v>4473</v>
      </c>
      <c r="Q145" s="5117">
        <f t="shared" si="0"/>
        <v>34</v>
      </c>
      <c r="R145" s="5119">
        <v>1.25</v>
      </c>
      <c r="S145" s="5120" t="s">
        <v>1585</v>
      </c>
      <c r="T145" s="5121">
        <f t="shared" si="1"/>
        <v>1.399</v>
      </c>
      <c r="U145" s="5122">
        <v>910</v>
      </c>
      <c r="V145" s="5117"/>
    </row>
    <row r="146" spans="1:22" ht="14.85" customHeight="1">
      <c r="A146" s="5019" t="s">
        <v>4474</v>
      </c>
      <c r="Q146" s="5117">
        <f t="shared" si="0"/>
        <v>35</v>
      </c>
      <c r="R146" s="5119">
        <v>1.4</v>
      </c>
      <c r="S146" s="5120" t="s">
        <v>1585</v>
      </c>
      <c r="T146" s="5121">
        <f t="shared" si="1"/>
        <v>1.589</v>
      </c>
      <c r="U146" s="5122">
        <v>890</v>
      </c>
      <c r="V146" s="5117"/>
    </row>
    <row r="147" spans="1:22" ht="14.85" customHeight="1">
      <c r="A147" s="5019" t="s">
        <v>4475</v>
      </c>
      <c r="Q147" s="5117">
        <f t="shared" si="0"/>
        <v>36</v>
      </c>
      <c r="R147" s="5119">
        <v>1.59</v>
      </c>
      <c r="S147" s="5120" t="s">
        <v>1585</v>
      </c>
      <c r="T147" s="5121">
        <f>R148-0.001</f>
        <v>1.7989999999999999</v>
      </c>
      <c r="U147" s="5122">
        <v>870</v>
      </c>
      <c r="V147" s="5117"/>
    </row>
    <row r="148" spans="1:22" ht="14.85" customHeight="1">
      <c r="A148" s="5019" t="s">
        <v>4476</v>
      </c>
      <c r="Q148" s="5117">
        <f t="shared" si="0"/>
        <v>37</v>
      </c>
      <c r="R148" s="5119">
        <v>1.8</v>
      </c>
      <c r="S148" s="5120" t="s">
        <v>1585</v>
      </c>
      <c r="T148" s="5121">
        <f t="shared" si="1"/>
        <v>2.0390000000000001</v>
      </c>
      <c r="U148" s="5122">
        <v>850</v>
      </c>
      <c r="V148" s="5117"/>
    </row>
    <row r="149" spans="1:22" ht="14.85" customHeight="1">
      <c r="A149" s="5019" t="s">
        <v>4477</v>
      </c>
      <c r="Q149" s="5117">
        <f>Q148+1</f>
        <v>38</v>
      </c>
      <c r="R149" s="5119">
        <v>2.04</v>
      </c>
      <c r="S149" s="5120" t="s">
        <v>1585</v>
      </c>
      <c r="T149" s="5121">
        <f t="shared" si="1"/>
        <v>2.319</v>
      </c>
      <c r="U149" s="5122">
        <v>830</v>
      </c>
      <c r="V149" s="5117"/>
    </row>
    <row r="150" spans="1:22" ht="14.85" hidden="1" customHeight="1">
      <c r="Q150" s="5117">
        <f t="shared" si="0"/>
        <v>39</v>
      </c>
      <c r="R150" s="5119">
        <v>2.3199999999999998</v>
      </c>
      <c r="S150" s="5120" t="s">
        <v>1585</v>
      </c>
      <c r="T150" s="5121">
        <f>R151-0.001</f>
        <v>2.6589999999999998</v>
      </c>
      <c r="U150" s="5122">
        <v>810</v>
      </c>
      <c r="V150" s="5117"/>
    </row>
    <row r="151" spans="1:22" ht="14.85" customHeight="1">
      <c r="A151" s="5103"/>
      <c r="B151" s="5103"/>
      <c r="C151" s="5103"/>
      <c r="D151" s="5103"/>
      <c r="E151" s="5103"/>
      <c r="F151" s="5103"/>
      <c r="G151" s="5103"/>
      <c r="H151" s="5103"/>
      <c r="I151" s="5145"/>
      <c r="J151" s="5146"/>
      <c r="K151" s="5103"/>
      <c r="Q151" s="5117">
        <f t="shared" si="0"/>
        <v>40</v>
      </c>
      <c r="R151" s="5119">
        <v>2.66</v>
      </c>
      <c r="S151" s="5120" t="s">
        <v>1585</v>
      </c>
      <c r="T151" s="5121">
        <f t="shared" si="1"/>
        <v>3.0489999999999999</v>
      </c>
      <c r="U151" s="5122">
        <v>790</v>
      </c>
      <c r="V151" s="5117"/>
    </row>
    <row r="152" spans="1:22" ht="14.85" hidden="1" customHeight="1">
      <c r="I152" s="5033"/>
      <c r="J152" s="5143"/>
      <c r="Q152" s="5117">
        <f>Q151+1</f>
        <v>41</v>
      </c>
      <c r="R152" s="5119">
        <v>3.05</v>
      </c>
      <c r="S152" s="5120" t="s">
        <v>1585</v>
      </c>
      <c r="T152" s="5121">
        <f t="shared" si="1"/>
        <v>3.5089999999999999</v>
      </c>
      <c r="U152" s="5122">
        <v>770</v>
      </c>
      <c r="V152" s="5117"/>
    </row>
    <row r="153" spans="1:22" ht="14.85" customHeight="1">
      <c r="A153" s="5955" t="s">
        <v>1771</v>
      </c>
      <c r="B153" s="5955"/>
      <c r="C153" s="5955"/>
      <c r="D153" s="5955"/>
      <c r="E153" s="5955"/>
      <c r="F153" s="5955"/>
      <c r="G153" s="5955"/>
      <c r="H153" s="5955"/>
      <c r="I153" s="5955"/>
      <c r="J153" s="5955"/>
      <c r="Q153" s="5117">
        <f t="shared" si="0"/>
        <v>42</v>
      </c>
      <c r="R153" s="5119">
        <v>3.51</v>
      </c>
      <c r="S153" s="5120" t="s">
        <v>1585</v>
      </c>
      <c r="T153" s="5121">
        <f t="shared" si="1"/>
        <v>4.0490000000000004</v>
      </c>
      <c r="U153" s="5122">
        <v>750</v>
      </c>
      <c r="V153" s="5117"/>
    </row>
    <row r="154" spans="1:22" ht="14.85" customHeight="1">
      <c r="A154" s="5955" t="s">
        <v>4486</v>
      </c>
      <c r="B154" s="5955"/>
      <c r="C154" s="5955"/>
      <c r="D154" s="5955"/>
      <c r="E154" s="5955"/>
      <c r="F154" s="5955"/>
      <c r="G154" s="5955"/>
      <c r="H154" s="5955"/>
      <c r="I154" s="5955"/>
      <c r="J154" s="5955"/>
      <c r="Q154" s="5117">
        <f t="shared" si="0"/>
        <v>43</v>
      </c>
      <c r="R154" s="5119">
        <v>4.05</v>
      </c>
      <c r="S154" s="5120" t="s">
        <v>1585</v>
      </c>
      <c r="T154" s="5121">
        <f t="shared" si="1"/>
        <v>4.6989999999999998</v>
      </c>
      <c r="U154" s="5122">
        <v>730</v>
      </c>
      <c r="V154" s="5117"/>
    </row>
    <row r="155" spans="1:22" ht="14.85" customHeight="1">
      <c r="A155" s="5147"/>
      <c r="B155" s="5147"/>
      <c r="C155" s="5147"/>
      <c r="D155" s="5147"/>
      <c r="E155" s="5147"/>
      <c r="F155" s="5147"/>
      <c r="G155" s="5147"/>
      <c r="H155" s="5147"/>
      <c r="I155" s="5147"/>
      <c r="J155" s="5147"/>
      <c r="Q155" s="5117">
        <f t="shared" si="0"/>
        <v>44</v>
      </c>
      <c r="R155" s="5119">
        <v>4.7</v>
      </c>
      <c r="S155" s="5120" t="s">
        <v>1585</v>
      </c>
      <c r="T155" s="5121">
        <f t="shared" si="1"/>
        <v>5.4690000000000003</v>
      </c>
      <c r="U155" s="5122">
        <v>710</v>
      </c>
      <c r="V155" s="5117"/>
    </row>
    <row r="156" spans="1:22" ht="14.85" customHeight="1">
      <c r="A156" s="5026" t="str">
        <f>"1. Estimated " &amp;OpenData!P14 &amp; " Free Lunch Percentage (1B divided by 1A)"</f>
        <v>1. Estimated 2021-22 Free Lunch Percentage (1B divided by 1A)</v>
      </c>
      <c r="B156" s="5147"/>
      <c r="C156" s="5147"/>
      <c r="D156" s="5147"/>
      <c r="E156" s="5147"/>
      <c r="F156" s="5147"/>
      <c r="G156" s="5147"/>
      <c r="H156" s="5147"/>
      <c r="I156" s="5147" t="s">
        <v>907</v>
      </c>
      <c r="J156" s="5148">
        <f>IF(ISERROR(G158/G157*100),0,G158/G157*100)</f>
        <v>34.880000000000003</v>
      </c>
      <c r="K156" s="5019" t="s">
        <v>886</v>
      </c>
      <c r="Q156" s="5117">
        <f t="shared" si="0"/>
        <v>45</v>
      </c>
      <c r="R156" s="5119">
        <v>5.47</v>
      </c>
      <c r="S156" s="5120" t="s">
        <v>1585</v>
      </c>
      <c r="T156" s="5121">
        <f t="shared" si="1"/>
        <v>6.399</v>
      </c>
      <c r="U156" s="5122">
        <v>690</v>
      </c>
      <c r="V156" s="5117"/>
    </row>
    <row r="157" spans="1:22" ht="14.85" customHeight="1">
      <c r="A157" s="5026" t="str">
        <f>"   A.  9/20/"&amp;RIGHT(OpenData!Q5,2)&amp;" + 2/20/"&amp;RIGHT(OpenData!S5,2)&amp;" Headcount (from Open page) "</f>
        <v xml:space="preserve">   A.  9/20/21 + 2/20/22 Headcount (from Open page) </v>
      </c>
      <c r="B157" s="5147"/>
      <c r="C157" s="5147"/>
      <c r="D157" s="5147"/>
      <c r="E157" s="5147"/>
      <c r="F157" s="5147" t="s">
        <v>907</v>
      </c>
      <c r="G157" s="5049">
        <f>OPEN!A46+OPEN!A71</f>
        <v>430</v>
      </c>
      <c r="H157" s="5147"/>
      <c r="I157" s="5147"/>
      <c r="J157" s="5147"/>
      <c r="Q157" s="5117">
        <f t="shared" si="0"/>
        <v>46</v>
      </c>
      <c r="R157" s="5119">
        <v>6.4</v>
      </c>
      <c r="S157" s="5120" t="s">
        <v>1585</v>
      </c>
      <c r="T157" s="5121">
        <f>R158-0.001</f>
        <v>7.5190000000000001</v>
      </c>
      <c r="U157" s="5122">
        <v>670</v>
      </c>
      <c r="V157" s="5117"/>
    </row>
    <row r="158" spans="1:22" ht="14.85" customHeight="1">
      <c r="A158" s="5026" t="str">
        <f>"   B.  9/20/"&amp;RIGHT(OpenData!Q5,2)&amp;" + 2/20/"&amp;RIGHT(OpenData!S5,2)&amp;" Free Lunch Headcount (from Open page)"</f>
        <v xml:space="preserve">   B.  9/20/21 + 2/20/22 Free Lunch Headcount (from Open page)</v>
      </c>
      <c r="B158" s="5147"/>
      <c r="C158" s="5147"/>
      <c r="D158" s="5147"/>
      <c r="E158" s="5147"/>
      <c r="F158" s="5147" t="s">
        <v>907</v>
      </c>
      <c r="G158" s="5038">
        <f>OPEN!A50+OPEN!A74</f>
        <v>150</v>
      </c>
      <c r="H158" s="5147"/>
      <c r="I158" s="5147"/>
      <c r="J158" s="5147"/>
      <c r="Q158" s="5117">
        <f t="shared" si="0"/>
        <v>47</v>
      </c>
      <c r="R158" s="5119">
        <v>7.52</v>
      </c>
      <c r="S158" s="5120" t="s">
        <v>1585</v>
      </c>
      <c r="T158" s="5121">
        <f t="shared" si="1"/>
        <v>8.8789999999999996</v>
      </c>
      <c r="U158" s="5122">
        <v>650</v>
      </c>
      <c r="V158" s="5117"/>
    </row>
    <row r="159" spans="1:22" ht="14.85" customHeight="1">
      <c r="A159" s="5147"/>
      <c r="B159" s="5147"/>
      <c r="C159" s="5147"/>
      <c r="D159" s="5147"/>
      <c r="E159" s="5147"/>
      <c r="F159" s="5147"/>
      <c r="G159" s="5147"/>
      <c r="H159" s="5147"/>
      <c r="I159" s="5147"/>
      <c r="J159" s="5147"/>
      <c r="Q159" s="5117">
        <f>Q158+1</f>
        <v>48</v>
      </c>
      <c r="R159" s="5119">
        <v>8.8800000000000008</v>
      </c>
      <c r="S159" s="5120" t="s">
        <v>1585</v>
      </c>
      <c r="T159" s="5121">
        <f t="shared" si="1"/>
        <v>10.548999999999999</v>
      </c>
      <c r="U159" s="5122">
        <v>630</v>
      </c>
      <c r="V159" s="5117"/>
    </row>
    <row r="160" spans="1:22" ht="14.85" customHeight="1">
      <c r="A160" s="5026" t="str">
        <f>"2.  Estimated " &amp; OpenData!P14 &amp; " High-Density At-Risk Student Weighting (higher of 2A or 2B) (goes to Page 1, Line 8)"</f>
        <v>2.  Estimated 2021-22 High-Density At-Risk Student Weighting (higher of 2A or 2B) (goes to Page 1, Line 8)</v>
      </c>
      <c r="B160" s="5147"/>
      <c r="C160" s="5147"/>
      <c r="D160" s="5147"/>
      <c r="E160" s="5147"/>
      <c r="F160" s="5147"/>
      <c r="G160" s="5147"/>
      <c r="H160" s="5147"/>
      <c r="I160" s="5147" t="s">
        <v>907</v>
      </c>
      <c r="J160" s="5030">
        <f>MAX(G161,G164)</f>
        <v>0</v>
      </c>
      <c r="Q160" s="5117">
        <f t="shared" si="0"/>
        <v>49</v>
      </c>
      <c r="R160" s="5119">
        <v>10.55</v>
      </c>
      <c r="S160" s="5120" t="s">
        <v>1585</v>
      </c>
      <c r="T160" s="5121">
        <f t="shared" si="1"/>
        <v>12.589</v>
      </c>
      <c r="U160" s="5122">
        <v>610</v>
      </c>
      <c r="V160" s="5117"/>
    </row>
    <row r="161" spans="1:22" ht="14.85" customHeight="1">
      <c r="A161" s="5034" t="str">
        <f>" A.  USD Level (i or ii)"</f>
        <v xml:space="preserve"> A.  USD Level (i or ii)</v>
      </c>
      <c r="B161" s="5147"/>
      <c r="C161" s="5147"/>
      <c r="D161" s="5147"/>
      <c r="E161" s="5147"/>
      <c r="F161" s="5147" t="s">
        <v>907</v>
      </c>
      <c r="G161" s="5030">
        <f>MAX(E162,E163)</f>
        <v>0</v>
      </c>
      <c r="H161" s="5147"/>
      <c r="I161" s="5147"/>
      <c r="J161" s="5147"/>
      <c r="Q161" s="5117">
        <f t="shared" si="0"/>
        <v>50</v>
      </c>
      <c r="R161" s="5119">
        <v>12.59</v>
      </c>
      <c r="S161" s="5120" t="s">
        <v>1585</v>
      </c>
      <c r="T161" s="5121">
        <f>R162-0.001</f>
        <v>15.129</v>
      </c>
      <c r="U161" s="5122">
        <v>590</v>
      </c>
      <c r="V161" s="5117"/>
    </row>
    <row r="162" spans="1:22" ht="14.85" customHeight="1">
      <c r="A162" s="5026" t="str">
        <f>"          i.   High-Density At-Risk &gt;= 50% (1B times 10.5%)"</f>
        <v xml:space="preserve">          i.   High-Density At-Risk &gt;= 50% (1B times 10.5%)</v>
      </c>
      <c r="B162" s="5147"/>
      <c r="C162" s="5147"/>
      <c r="D162" s="5149" t="s">
        <v>907</v>
      </c>
      <c r="E162" s="5030">
        <f>IF(J156&gt;=50,G158*0.105,0)</f>
        <v>0</v>
      </c>
      <c r="F162" s="5147"/>
      <c r="G162" s="5147"/>
      <c r="H162" s="5147"/>
      <c r="I162" s="5147"/>
      <c r="J162" s="5147"/>
      <c r="Q162" s="5117">
        <f t="shared" si="0"/>
        <v>51</v>
      </c>
      <c r="R162" s="5119">
        <v>15.13</v>
      </c>
      <c r="S162" s="5120" t="s">
        <v>1585</v>
      </c>
      <c r="T162" s="5121">
        <f>R163-0.001</f>
        <v>18.289000000000001</v>
      </c>
      <c r="U162" s="5122">
        <v>570</v>
      </c>
      <c r="V162" s="5117"/>
    </row>
    <row r="163" spans="1:22" ht="14.85" customHeight="1">
      <c r="A163" s="5026" t="str">
        <f>"          ii.  High-Density At-Risk &gt;= 35%  and &lt; 50%  (1B times (#1 minus 35%) times .7)"</f>
        <v xml:space="preserve">          ii.  High-Density At-Risk &gt;= 35%  and &lt; 50%  (1B times (#1 minus 35%) times .7)</v>
      </c>
      <c r="B163" s="5147"/>
      <c r="C163" s="5147"/>
      <c r="D163" s="5149" t="s">
        <v>907</v>
      </c>
      <c r="E163" s="5150">
        <f>IF(AND(J156&gt;=35,J156&lt;50),G158*((J156/100)-0.35)*0.7,0)</f>
        <v>0</v>
      </c>
      <c r="F163" s="5147"/>
      <c r="G163" s="5147"/>
      <c r="H163" s="5147"/>
      <c r="I163" s="5147"/>
      <c r="J163" s="5147"/>
      <c r="Q163" s="5117">
        <f t="shared" si="0"/>
        <v>52</v>
      </c>
      <c r="R163" s="5119">
        <v>18.29</v>
      </c>
      <c r="S163" s="5120" t="s">
        <v>1510</v>
      </c>
      <c r="T163" s="5121"/>
      <c r="U163" s="5122">
        <v>550</v>
      </c>
      <c r="V163" s="5117"/>
    </row>
    <row r="164" spans="1:22" ht="14.85" customHeight="1">
      <c r="A164" s="5026" t="str">
        <f>"       B.  SCHOOL Level"</f>
        <v xml:space="preserve">       B.  SCHOOL Level</v>
      </c>
      <c r="B164" s="5151" t="str">
        <f>IF(J156&gt;=50,"Do NOT need to enter information by building","***Enter building enrollment on HD-AR_BLDG worksheet***")</f>
        <v>***Enter building enrollment on HD-AR_BLDG worksheet***</v>
      </c>
      <c r="C164" s="5034"/>
      <c r="D164" s="5034"/>
      <c r="E164" s="5034"/>
      <c r="F164" s="5063" t="s">
        <v>907</v>
      </c>
      <c r="G164" s="5030">
        <f>SUMIF('HD-AR_BLDG'!A32:A1346,"="&amp;OPEN!B4,'HD-AR_BLDG'!M32:M1346)</f>
        <v>0</v>
      </c>
      <c r="H164" s="5034"/>
      <c r="I164" s="5034"/>
      <c r="J164" s="5034"/>
    </row>
    <row r="165" spans="1:22" ht="14.85" customHeight="1">
      <c r="A165" s="5103"/>
      <c r="B165" s="5103"/>
      <c r="C165" s="5103"/>
      <c r="D165" s="5103"/>
      <c r="E165" s="5103"/>
      <c r="F165" s="5103"/>
      <c r="G165" s="5103"/>
      <c r="H165" s="5103"/>
      <c r="I165" s="5145"/>
      <c r="J165" s="5146"/>
      <c r="K165" s="5103"/>
    </row>
    <row r="166" spans="1:22" ht="14.85" hidden="1" customHeight="1">
      <c r="I166" s="5033"/>
      <c r="J166" s="5143"/>
    </row>
    <row r="167" spans="1:22" ht="14.85" customHeight="1">
      <c r="A167" s="5955" t="s">
        <v>5282</v>
      </c>
      <c r="B167" s="5955"/>
      <c r="C167" s="5955"/>
      <c r="D167" s="5955"/>
      <c r="E167" s="5955"/>
      <c r="F167" s="5955"/>
      <c r="G167" s="5955"/>
      <c r="H167" s="5955"/>
      <c r="I167" s="5955"/>
      <c r="J167" s="5955"/>
    </row>
    <row r="168" spans="1:22" ht="14.85" customHeight="1">
      <c r="A168" s="5955" t="s">
        <v>4989</v>
      </c>
      <c r="B168" s="5955"/>
      <c r="C168" s="5955"/>
      <c r="D168" s="5955"/>
      <c r="E168" s="5955"/>
      <c r="F168" s="5955"/>
      <c r="G168" s="5955"/>
      <c r="H168" s="5955"/>
      <c r="I168" s="5955"/>
      <c r="J168" s="5955"/>
    </row>
    <row r="169" spans="1:22" ht="14.85" customHeight="1">
      <c r="A169" s="5955" t="s">
        <v>4988</v>
      </c>
      <c r="B169" s="5955"/>
      <c r="C169" s="5955"/>
      <c r="D169" s="5955"/>
      <c r="E169" s="5955"/>
      <c r="F169" s="5955"/>
      <c r="G169" s="5955"/>
      <c r="H169" s="5955"/>
      <c r="I169" s="5955"/>
      <c r="J169" s="5955"/>
    </row>
    <row r="170" spans="1:22" ht="14.85" customHeight="1">
      <c r="I170" s="5033"/>
      <c r="J170" s="5143"/>
    </row>
    <row r="171" spans="1:22" ht="14.85" customHeight="1">
      <c r="A171" s="5152" t="str">
        <f>"1. Estimated " &amp;OpenData!P14 &amp; " At-Risk (Free Meals) Weighted FTE [Form 150 Line 7)  ="</f>
        <v>1. Estimated 2021-22 At-Risk (Free Meals) Weighted FTE [Form 150 Line 7)  =</v>
      </c>
      <c r="B171" s="5152"/>
      <c r="C171" s="5152"/>
      <c r="D171" s="5152"/>
      <c r="E171" s="5153">
        <f>J29</f>
        <v>72.599999999999994</v>
      </c>
      <c r="G171" s="5053"/>
      <c r="I171" s="5147"/>
      <c r="J171" s="5143"/>
    </row>
    <row r="172" spans="1:22" ht="14.85" customHeight="1">
      <c r="I172" s="5033"/>
      <c r="J172" s="5143"/>
    </row>
    <row r="173" spans="1:22" ht="14.85" customHeight="1">
      <c r="A173" s="5152" t="s">
        <v>4982</v>
      </c>
      <c r="B173" s="5152"/>
      <c r="C173" s="5152"/>
      <c r="D173" s="5152"/>
      <c r="E173" s="5153">
        <f>J31</f>
        <v>0</v>
      </c>
      <c r="G173" s="5053"/>
      <c r="I173" s="5147"/>
      <c r="J173" s="5143"/>
    </row>
    <row r="174" spans="1:22" ht="14.85" customHeight="1">
      <c r="I174" s="5033"/>
      <c r="J174" s="5143"/>
    </row>
    <row r="175" spans="1:22" ht="14.85" customHeight="1">
      <c r="A175" s="5019" t="str">
        <f>"3. Estimated At-Risk State Foundation Aid  [ (Line 1 + Line 2) X $" &amp;OpenData!N25 &amp;" ]  = "</f>
        <v xml:space="preserve">3. Estimated At-Risk State Foundation Aid  [ (Line 1 + Line 2) X $4706 ]  = </v>
      </c>
      <c r="E175" s="5153">
        <f>E171+E173</f>
        <v>72.599999999999994</v>
      </c>
      <c r="F175" s="5019" t="s">
        <v>1733</v>
      </c>
      <c r="G175" s="5053">
        <f>OpenData!N25</f>
        <v>4706</v>
      </c>
      <c r="I175" s="5147" t="s">
        <v>907</v>
      </c>
      <c r="J175" s="5154">
        <f>E175*G175</f>
        <v>341656</v>
      </c>
    </row>
    <row r="176" spans="1:22" ht="14.85" customHeight="1">
      <c r="A176" s="5103"/>
      <c r="B176" s="5103"/>
      <c r="C176" s="5103"/>
      <c r="D176" s="5103"/>
      <c r="E176" s="5103"/>
      <c r="F176" s="5103"/>
      <c r="G176" s="5103"/>
      <c r="H176" s="5103"/>
      <c r="I176" s="5145"/>
      <c r="J176" s="5146"/>
      <c r="K176" s="5103"/>
    </row>
    <row r="177" spans="1:13" ht="14.85" hidden="1" customHeight="1">
      <c r="I177" s="5033"/>
      <c r="J177" s="5143"/>
    </row>
    <row r="178" spans="1:13" ht="14.85" customHeight="1">
      <c r="A178" s="5028" t="s">
        <v>4487</v>
      </c>
      <c r="I178" s="5033"/>
      <c r="J178" s="5143"/>
    </row>
    <row r="179" spans="1:13" ht="14.85" customHeight="1">
      <c r="I179" s="5033"/>
      <c r="J179" s="5143"/>
    </row>
    <row r="180" spans="1:13" ht="14.85" customHeight="1">
      <c r="A180" s="5019" t="s">
        <v>1742</v>
      </c>
    </row>
    <row r="181" spans="1:13" ht="14.85" customHeight="1">
      <c r="A181" s="5019" t="str">
        <f>"     approved bilingual class on 9-20-" &amp; OpenData!Q5 &amp; " and dividing by 6 (cannot exceed 6 hours for an individual student).  Total"</f>
        <v xml:space="preserve">     approved bilingual class on 9-20-2021 and dividing by 6 (cannot exceed 6 hours for an individual student).  Total</v>
      </c>
    </row>
    <row r="182" spans="1:13" ht="14.85" customHeight="1">
      <c r="A182" s="5019" t="s">
        <v>1743</v>
      </c>
      <c r="B182" s="5032">
        <f>OPEN!A53</f>
        <v>3</v>
      </c>
      <c r="C182" s="5019" t="s">
        <v>1851</v>
      </c>
      <c r="D182" s="5155">
        <f>(B182/6)*0.395</f>
        <v>0.19750000000000001</v>
      </c>
      <c r="E182" s="5019" t="s">
        <v>1744</v>
      </c>
    </row>
    <row r="183" spans="1:13" ht="14.85" customHeight="1">
      <c r="M183" s="5050"/>
    </row>
    <row r="184" spans="1:13" ht="14.85" customHeight="1">
      <c r="A184" s="5019" t="s">
        <v>1799</v>
      </c>
      <c r="F184" s="5047"/>
      <c r="G184" s="5047"/>
      <c r="H184" s="5047"/>
      <c r="I184" s="5047"/>
      <c r="J184" s="5047"/>
    </row>
    <row r="185" spans="1:13" ht="14.85" customHeight="1">
      <c r="A185" s="5019" t="str">
        <f>"     approved bilingual class on 9-20-" &amp; OpenData!Q5 &amp; " and multiplying by factor of 0.185.  Total"</f>
        <v xml:space="preserve">     approved bilingual class on 9-20-2021 and multiplying by factor of 0.185.  Total</v>
      </c>
      <c r="F185" s="5047"/>
      <c r="G185" s="5047"/>
      <c r="H185" s="5047"/>
      <c r="I185" s="5047"/>
      <c r="J185" s="5047"/>
    </row>
    <row r="186" spans="1:13" ht="14.85" customHeight="1">
      <c r="A186" s="5019" t="s">
        <v>1745</v>
      </c>
      <c r="B186" s="5048">
        <f>OPEN!A54</f>
        <v>3</v>
      </c>
      <c r="C186" s="5019" t="s">
        <v>1801</v>
      </c>
      <c r="D186" s="5155">
        <f>B186*0.185</f>
        <v>0.55500000000000005</v>
      </c>
      <c r="E186" s="5019" t="s">
        <v>1744</v>
      </c>
      <c r="F186" s="5047"/>
      <c r="G186" s="5047"/>
      <c r="H186" s="5047"/>
      <c r="I186" s="5047"/>
      <c r="J186" s="5047"/>
    </row>
    <row r="188" spans="1:13" ht="14.85" customHeight="1">
      <c r="A188" s="5019" t="s">
        <v>3080</v>
      </c>
    </row>
    <row r="189" spans="1:13" ht="14.85" customHeight="1">
      <c r="A189" s="5019" t="str">
        <f>"     in an approved vocational class on 9-20-" &amp; OpenData!Q5 &amp; " and dividing by 6 (cannot exceed 6 hours for an individual student).  Total"</f>
        <v xml:space="preserve">     in an approved vocational class on 9-20-2021 and dividing by 6 (cannot exceed 6 hours for an individual student).  Total</v>
      </c>
    </row>
    <row r="190" spans="1:13" ht="14.85" customHeight="1">
      <c r="A190" s="5019" t="s">
        <v>1743</v>
      </c>
      <c r="B190" s="5032">
        <f>OPEN!A52</f>
        <v>130</v>
      </c>
      <c r="C190" s="5019" t="s">
        <v>1746</v>
      </c>
      <c r="D190" s="5155">
        <f>B190/6</f>
        <v>21.666699999999999</v>
      </c>
      <c r="E190" s="5019" t="s">
        <v>1747</v>
      </c>
    </row>
    <row r="192" spans="1:13" ht="14.85" customHeight="1">
      <c r="A192" s="5019" t="s">
        <v>3081</v>
      </c>
    </row>
    <row r="193" spans="1:11" ht="14.85" customHeight="1">
      <c r="A193" s="5019" t="s">
        <v>5283</v>
      </c>
    </row>
    <row r="194" spans="1:11" ht="14.85" customHeight="1">
      <c r="A194" s="5019" t="s">
        <v>3082</v>
      </c>
    </row>
    <row r="196" spans="1:11" ht="14.85" customHeight="1">
      <c r="A196" s="5019" t="s">
        <v>4576</v>
      </c>
    </row>
    <row r="197" spans="1:11" ht="14.85" customHeight="1">
      <c r="A197" s="5019" t="s">
        <v>1748</v>
      </c>
    </row>
    <row r="199" spans="1:11" ht="14.85" customHeight="1">
      <c r="A199" s="5019" t="s">
        <v>3083</v>
      </c>
    </row>
    <row r="201" spans="1:11" ht="14.85" customHeight="1">
      <c r="A201" s="5040" t="s">
        <v>1749</v>
      </c>
    </row>
    <row r="202" spans="1:11" ht="14.85" customHeight="1">
      <c r="A202" s="5103"/>
      <c r="B202" s="5103"/>
      <c r="C202" s="5103"/>
      <c r="D202" s="5103"/>
      <c r="E202" s="5103"/>
      <c r="F202" s="5103"/>
      <c r="G202" s="5103"/>
      <c r="H202" s="5103"/>
      <c r="I202" s="5145"/>
      <c r="J202" s="5146"/>
      <c r="K202" s="5103"/>
    </row>
    <row r="203" spans="1:11" ht="14.85" hidden="1" customHeight="1">
      <c r="I203" s="5033"/>
    </row>
    <row r="204" spans="1:11" ht="14.85" customHeight="1">
      <c r="A204" s="5156" t="s">
        <v>1773</v>
      </c>
      <c r="B204" s="5099"/>
      <c r="C204" s="5099"/>
      <c r="D204" s="5099"/>
      <c r="E204" s="5099"/>
      <c r="F204" s="5099"/>
      <c r="G204" s="5099"/>
      <c r="H204" s="5099"/>
      <c r="I204" s="5099"/>
      <c r="J204" s="5099"/>
      <c r="K204" s="5099"/>
    </row>
    <row r="205" spans="1:11" ht="14.85" customHeight="1">
      <c r="J205" s="5143"/>
    </row>
    <row r="206" spans="1:11" ht="14.85" customHeight="1">
      <c r="A206" s="5157" t="s">
        <v>1815</v>
      </c>
    </row>
    <row r="207" spans="1:11" ht="14.85" customHeight="1">
      <c r="A207" s="5157" t="s">
        <v>1812</v>
      </c>
    </row>
    <row r="208" spans="1:11" ht="14.85" customHeight="1">
      <c r="A208" s="5157" t="s">
        <v>1814</v>
      </c>
    </row>
    <row r="209" spans="1:11" ht="14.85" customHeight="1">
      <c r="A209" s="5157" t="s">
        <v>1813</v>
      </c>
    </row>
    <row r="211" spans="1:11" ht="14.85" customHeight="1">
      <c r="A211" s="5019" t="s">
        <v>4468</v>
      </c>
    </row>
    <row r="212" spans="1:11" ht="14.85" customHeight="1">
      <c r="A212" s="5019" t="s">
        <v>4469</v>
      </c>
    </row>
    <row r="213" spans="1:11" ht="14.85" customHeight="1">
      <c r="A213" s="5019" t="s">
        <v>4470</v>
      </c>
    </row>
    <row r="214" spans="1:11" ht="14.85" customHeight="1">
      <c r="A214" s="5019" t="s">
        <v>4471</v>
      </c>
    </row>
    <row r="215" spans="1:11" ht="14.85" customHeight="1">
      <c r="A215" s="5019" t="s">
        <v>4472</v>
      </c>
    </row>
    <row r="218" spans="1:11" ht="14.85" customHeight="1">
      <c r="A218" s="5028" t="s">
        <v>1774</v>
      </c>
    </row>
    <row r="219" spans="1:11" ht="14.85" customHeight="1">
      <c r="A219" s="5027" t="s">
        <v>1775</v>
      </c>
      <c r="B219" s="5027"/>
      <c r="C219" s="5027"/>
      <c r="D219" s="5027"/>
      <c r="E219" s="5027"/>
      <c r="F219" s="5027"/>
      <c r="G219" s="5027"/>
      <c r="H219" s="5027"/>
      <c r="I219" s="5027"/>
    </row>
    <row r="220" spans="1:11" ht="14.85" customHeight="1">
      <c r="A220" s="5027"/>
      <c r="B220" s="5027"/>
      <c r="C220" s="5027"/>
      <c r="D220" s="5027"/>
      <c r="E220" s="5027"/>
      <c r="F220" s="5027"/>
      <c r="G220" s="5027"/>
      <c r="H220" s="5027"/>
      <c r="I220" s="5027"/>
    </row>
    <row r="221" spans="1:11" ht="14.85" customHeight="1">
      <c r="A221" s="5027"/>
      <c r="B221" s="5158" t="s">
        <v>1776</v>
      </c>
      <c r="C221" s="5027"/>
      <c r="D221" s="5159" t="s">
        <v>1648</v>
      </c>
      <c r="E221" s="5027"/>
      <c r="F221" s="5027"/>
      <c r="G221" s="5027"/>
      <c r="H221" s="5027"/>
      <c r="I221" s="5027"/>
      <c r="J221" s="5027"/>
    </row>
    <row r="222" spans="1:11" ht="14.85" customHeight="1">
      <c r="A222" s="5027" t="s">
        <v>1777</v>
      </c>
      <c r="B222" s="5160">
        <v>77</v>
      </c>
      <c r="C222" s="5027"/>
      <c r="D222" s="5161">
        <v>77</v>
      </c>
      <c r="E222" s="5027"/>
      <c r="F222" s="5027"/>
      <c r="G222" s="5027"/>
      <c r="H222" s="5027"/>
      <c r="I222" s="5027"/>
      <c r="J222" s="5027"/>
      <c r="K222" s="5162"/>
    </row>
    <row r="223" spans="1:11" ht="14.85" customHeight="1">
      <c r="A223" s="5027" t="s">
        <v>1778</v>
      </c>
      <c r="B223" s="5160">
        <v>87</v>
      </c>
      <c r="C223" s="5027"/>
      <c r="D223" s="5161">
        <v>87</v>
      </c>
      <c r="E223" s="5027"/>
      <c r="F223" s="5027"/>
      <c r="G223" s="5027"/>
      <c r="H223" s="5027"/>
      <c r="I223" s="5027"/>
      <c r="J223" s="5027"/>
    </row>
    <row r="224" spans="1:11" ht="14.85" customHeight="1">
      <c r="A224" s="5027" t="s">
        <v>1779</v>
      </c>
      <c r="B224" s="5160">
        <v>81</v>
      </c>
      <c r="C224" s="5027"/>
      <c r="D224" s="5161">
        <v>81</v>
      </c>
      <c r="E224" s="5027"/>
      <c r="F224" s="5027"/>
      <c r="G224" s="5027"/>
      <c r="H224" s="5027"/>
      <c r="I224" s="5027"/>
      <c r="J224" s="5027"/>
    </row>
    <row r="225" spans="1:15" ht="14.85" customHeight="1">
      <c r="A225" s="5027" t="s">
        <v>1780</v>
      </c>
      <c r="B225" s="5160">
        <v>75</v>
      </c>
      <c r="C225" s="5027"/>
      <c r="D225" s="5032">
        <v>75</v>
      </c>
      <c r="E225" s="5027"/>
      <c r="F225" s="5027"/>
      <c r="G225" s="5027"/>
      <c r="H225" s="5027"/>
      <c r="I225" s="5027"/>
      <c r="J225" s="5027"/>
    </row>
    <row r="226" spans="1:15" ht="14.85" customHeight="1">
      <c r="A226" s="5019" t="s">
        <v>1781</v>
      </c>
      <c r="B226" s="5034"/>
      <c r="D226" s="5097">
        <f>SUM(D222:D225)</f>
        <v>320</v>
      </c>
      <c r="E226" s="5019" t="str">
        <f>"x  0.25  =  "&amp;TEXT(D226*0.25,"#.0")&amp;" x "&amp;TEXT(OpenData!N30,"$#,##0")&amp;" = "&amp;TEXT((D226*0.25)*OpenData!N25,"$#,##0")</f>
        <v>x  0.25  =  80.0 x $4,706 = $376,480</v>
      </c>
      <c r="G226" s="5163"/>
      <c r="J226" s="5027"/>
    </row>
    <row r="227" spans="1:15" ht="14.85" customHeight="1">
      <c r="B227" s="5164"/>
      <c r="G227" s="5163"/>
      <c r="J227" s="5027"/>
      <c r="K227" s="5162"/>
    </row>
    <row r="228" spans="1:15" ht="14.85" customHeight="1">
      <c r="A228" s="5028" t="s">
        <v>1782</v>
      </c>
      <c r="B228" s="5034"/>
      <c r="G228" s="5163"/>
    </row>
    <row r="229" spans="1:15" ht="14.85" customHeight="1">
      <c r="B229" s="5034"/>
      <c r="G229" s="5050"/>
    </row>
    <row r="230" spans="1:15" ht="14.85" customHeight="1">
      <c r="B230" s="5034"/>
      <c r="D230" s="5020" t="s">
        <v>1784</v>
      </c>
      <c r="E230" s="5165"/>
      <c r="G230" s="5163"/>
    </row>
    <row r="231" spans="1:15" ht="14.85" customHeight="1">
      <c r="B231" s="5034"/>
      <c r="D231" s="5020" t="s">
        <v>1785</v>
      </c>
      <c r="E231" s="5165"/>
      <c r="G231" s="5163"/>
    </row>
    <row r="232" spans="1:15" ht="14.85" customHeight="1">
      <c r="B232" s="5034"/>
      <c r="D232" s="5020" t="s">
        <v>1786</v>
      </c>
      <c r="E232" s="5165"/>
      <c r="G232" s="5163"/>
    </row>
    <row r="233" spans="1:15" ht="14.85" customHeight="1">
      <c r="B233" s="5034"/>
      <c r="G233" s="5163"/>
      <c r="L233" s="5166"/>
    </row>
    <row r="234" spans="1:15" ht="14.85" customHeight="1">
      <c r="B234" s="5034" t="s">
        <v>1787</v>
      </c>
      <c r="D234" s="5020" t="s">
        <v>1788</v>
      </c>
      <c r="E234" s="5165">
        <v>105</v>
      </c>
      <c r="F234" s="5019" t="s">
        <v>1789</v>
      </c>
      <c r="G234" s="5163"/>
    </row>
    <row r="235" spans="1:15" ht="14.85" customHeight="1">
      <c r="B235" s="5034"/>
      <c r="D235" s="5020" t="s">
        <v>1790</v>
      </c>
      <c r="E235" s="5165">
        <v>154</v>
      </c>
      <c r="F235" s="5019" t="s">
        <v>1789</v>
      </c>
      <c r="G235" s="5163"/>
    </row>
    <row r="236" spans="1:15" ht="14.85" customHeight="1">
      <c r="B236" s="5034"/>
      <c r="D236" s="5020" t="s">
        <v>1791</v>
      </c>
      <c r="E236" s="5165">
        <v>133</v>
      </c>
      <c r="F236" s="5019" t="s">
        <v>1789</v>
      </c>
      <c r="G236" s="5163"/>
      <c r="L236" s="5162"/>
    </row>
    <row r="237" spans="1:15" ht="14.85" customHeight="1">
      <c r="B237" s="5034"/>
      <c r="D237" s="5020" t="s">
        <v>1792</v>
      </c>
      <c r="E237" s="5165">
        <v>121</v>
      </c>
      <c r="F237" s="5019" t="s">
        <v>1789</v>
      </c>
      <c r="G237" s="5163"/>
    </row>
    <row r="238" spans="1:15" ht="14.85" customHeight="1">
      <c r="B238" s="5034"/>
      <c r="D238" s="5020" t="s">
        <v>1793</v>
      </c>
      <c r="E238" s="5165">
        <f>SUM(E234:E237)</f>
        <v>513</v>
      </c>
      <c r="G238" s="5163"/>
    </row>
    <row r="240" spans="1:15" ht="14.85" customHeight="1">
      <c r="D240" s="5020" t="s">
        <v>1794</v>
      </c>
      <c r="E240" s="5165">
        <v>7</v>
      </c>
      <c r="F240" s="5019" t="s">
        <v>1795</v>
      </c>
      <c r="O240" s="5019" t="s">
        <v>1783</v>
      </c>
    </row>
    <row r="241" spans="1:16" ht="14.85" customHeight="1">
      <c r="D241" s="5051" t="s">
        <v>1796</v>
      </c>
      <c r="E241" s="5131">
        <f>E238/E240</f>
        <v>73.3</v>
      </c>
      <c r="F241" s="5019" t="s">
        <v>1648</v>
      </c>
      <c r="O241" s="5019">
        <v>70.400000000000006</v>
      </c>
      <c r="P241" s="5043">
        <f>O241*OpenData!N25</f>
        <v>331302</v>
      </c>
    </row>
    <row r="243" spans="1:16" ht="14.85" customHeight="1">
      <c r="B243" s="5033" t="str">
        <f>"Weighting for above example: "&amp;E241&amp;" X  0.25 = "&amp;TEXT(E241*0.25,"#.0")&amp;"  X  "&amp;TEXT(OpenData!N30,"$#,##0")&amp;" = "&amp;TEXT((E241*0.25)*OpenData!N25,"$0,###")</f>
        <v>Weighting for above example: 73.3 X  0.25 = 18.3  X  $4,706 = $86,237</v>
      </c>
    </row>
    <row r="245" spans="1:16" ht="14.85" customHeight="1">
      <c r="A245" s="5167"/>
    </row>
    <row r="246" spans="1:16" ht="14.85" customHeight="1">
      <c r="A246" s="5027"/>
      <c r="B246" s="5027"/>
      <c r="C246" s="5027"/>
      <c r="D246" s="5027"/>
      <c r="E246" s="5027"/>
      <c r="F246" s="5027"/>
      <c r="G246" s="5027"/>
      <c r="H246" s="5027"/>
      <c r="I246" s="5027"/>
    </row>
    <row r="247" spans="1:16" ht="14.85" customHeight="1">
      <c r="A247" s="5168" t="s">
        <v>4488</v>
      </c>
      <c r="B247" s="5169"/>
      <c r="C247" s="5169"/>
      <c r="D247" s="5027"/>
      <c r="E247" s="5027"/>
      <c r="F247" s="5027"/>
      <c r="G247" s="5027"/>
      <c r="H247" s="5027"/>
      <c r="I247" s="5027"/>
    </row>
    <row r="248" spans="1:16" ht="14.85" customHeight="1">
      <c r="A248" s="5170"/>
      <c r="B248" s="5027"/>
      <c r="C248" s="5027"/>
      <c r="D248" s="5027"/>
      <c r="E248" s="5027"/>
      <c r="F248" s="5027"/>
      <c r="G248" s="5027"/>
      <c r="H248" s="5027"/>
      <c r="I248" s="5027"/>
    </row>
    <row r="249" spans="1:16" ht="14.85" customHeight="1">
      <c r="A249" s="5027" t="s">
        <v>3029</v>
      </c>
      <c r="B249" s="5027"/>
      <c r="C249" s="5027"/>
      <c r="D249" s="5027"/>
      <c r="E249" s="5027"/>
      <c r="F249" s="5027" t="s">
        <v>907</v>
      </c>
      <c r="G249" s="5171" t="str">
        <f>IF(VLOOKUP(OPEN!$B$4,DATA!A4:BE289,40,FALSE)&gt;0,"YES","NO")</f>
        <v>NO</v>
      </c>
      <c r="H249" s="5027"/>
      <c r="I249" s="5027"/>
    </row>
    <row r="250" spans="1:16" ht="14.85" customHeight="1">
      <c r="A250" s="5172" t="str">
        <f>"2.  Did the district have a military dependent student enrolled during the " &amp; OpenData!$O$4 &amp; " school year?"</f>
        <v>2.  Did the district have a military dependent student enrolled during the 2020-2021 school year?</v>
      </c>
      <c r="B250" s="5172"/>
      <c r="C250" s="5172"/>
      <c r="D250" s="5172"/>
      <c r="E250" s="5172"/>
      <c r="F250" s="5172" t="s">
        <v>907</v>
      </c>
      <c r="G250" s="5173" t="str">
        <f>IF(VLOOKUP(OPEN!$B$4,DATA!A4:BE289,39,FALSE)&gt;0,"YES","NO")</f>
        <v>NO</v>
      </c>
      <c r="H250" s="5172"/>
      <c r="I250" s="5027"/>
      <c r="J250" s="5027"/>
    </row>
    <row r="251" spans="1:16" ht="14.85" customHeight="1">
      <c r="A251" s="5019" t="str">
        <f>"3.  Did the district decline in enrollment for " &amp; OpenData!$O$4 &amp; " school year compared to the " &amp; OpenData!$N$4 &amp; " school year?"</f>
        <v>3.  Did the district decline in enrollment for 2020-2021 school year compared to the 2019-2020 school year?</v>
      </c>
      <c r="B251" s="5172"/>
      <c r="C251" s="5172"/>
      <c r="D251" s="5172"/>
      <c r="E251" s="5172"/>
      <c r="F251" s="5172" t="s">
        <v>907</v>
      </c>
      <c r="G251" s="5174" t="str">
        <f>IF(J70+J73&gt;J76+J79,"YES","NO")</f>
        <v>YES</v>
      </c>
      <c r="H251" s="5172"/>
      <c r="I251" s="5027"/>
      <c r="J251" s="5027"/>
    </row>
    <row r="252" spans="1:16" ht="14.85" customHeight="1">
      <c r="A252" s="5175"/>
      <c r="B252" s="5175"/>
      <c r="C252" s="5175"/>
      <c r="D252" s="5176"/>
      <c r="E252" s="5176"/>
      <c r="F252" s="5027"/>
      <c r="G252" s="5177"/>
      <c r="H252" s="5177"/>
      <c r="I252" s="5177"/>
      <c r="J252" s="5027"/>
    </row>
    <row r="253" spans="1:16" ht="14.85" customHeight="1">
      <c r="A253" s="5178" t="s">
        <v>3030</v>
      </c>
      <c r="B253" s="5175"/>
      <c r="C253" s="5175"/>
      <c r="D253" s="5176"/>
      <c r="E253" s="5176"/>
      <c r="F253" s="5027"/>
      <c r="G253" s="5177"/>
      <c r="H253" s="5177"/>
      <c r="I253" s="5177"/>
      <c r="J253" s="5027"/>
    </row>
    <row r="254" spans="1:16" ht="14.85" customHeight="1">
      <c r="A254" s="5179"/>
      <c r="B254" s="5180"/>
      <c r="C254" s="5181"/>
      <c r="D254" s="5182"/>
      <c r="E254" s="5182"/>
      <c r="F254" s="5183"/>
      <c r="G254" s="5184"/>
      <c r="H254" s="5185"/>
      <c r="I254" s="5185"/>
      <c r="J254" s="5027"/>
    </row>
    <row r="255" spans="1:16" ht="14.85" customHeight="1">
      <c r="A255" s="5186"/>
      <c r="B255" s="5187" t="str">
        <f>"Is the 2/20/"&amp; RIGHT(OpenData!S5,2) &amp; " Est. FTE Enrollment"</f>
        <v>Is the 2/20/22 Est. FTE Enrollment</v>
      </c>
      <c r="C255" s="5188">
        <f>OPEN!A72</f>
        <v>0</v>
      </c>
      <c r="D255" s="5953" t="str">
        <f>"&gt;=25 or 1% of the 9/20/" &amp; RIGHT(OpenData!Q5,2) &amp; " Est. FTE Enrollment"</f>
        <v>&gt;=25 or 1% of the 9/20/21 Est. FTE Enrollment</v>
      </c>
      <c r="E255" s="5953"/>
      <c r="F255" s="5024"/>
      <c r="G255" s="5030">
        <f>OPEN!A47</f>
        <v>430</v>
      </c>
      <c r="H255" s="5152"/>
      <c r="I255" s="5152" t="s">
        <v>907</v>
      </c>
      <c r="J255" s="5189" t="str">
        <f>IF(OR(C255&gt;=25,C255&gt;G255*0.01),"YES","NO")</f>
        <v>NO</v>
      </c>
    </row>
    <row r="256" spans="1:16" ht="14.85" customHeight="1">
      <c r="A256" s="5186"/>
      <c r="B256" s="5187"/>
      <c r="C256" s="5190"/>
      <c r="D256" s="5191"/>
      <c r="E256" s="5191"/>
      <c r="F256" s="5024"/>
      <c r="G256" s="5031"/>
      <c r="H256" s="5152"/>
      <c r="I256" s="5152"/>
      <c r="J256" s="5027"/>
    </row>
    <row r="257" spans="1:16" ht="14.85" customHeight="1">
      <c r="A257" s="5186"/>
      <c r="B257" s="5187"/>
      <c r="C257" s="5190"/>
      <c r="D257" s="5191"/>
      <c r="E257" s="5191"/>
      <c r="F257" s="5024"/>
      <c r="G257" s="5031"/>
      <c r="H257" s="5152"/>
      <c r="I257" s="5152"/>
      <c r="J257" s="5027"/>
    </row>
    <row r="258" spans="1:16" ht="14.85" customHeight="1">
      <c r="A258" s="5192"/>
      <c r="B258" s="5192"/>
      <c r="C258" s="5126"/>
      <c r="D258" s="5193"/>
      <c r="E258" s="5194"/>
      <c r="F258" s="5022"/>
      <c r="G258" s="5092"/>
      <c r="H258" s="5092"/>
      <c r="I258" s="5092"/>
      <c r="J258" s="5177"/>
      <c r="K258" s="5047"/>
      <c r="O258" s="5019" t="s">
        <v>1783</v>
      </c>
    </row>
    <row r="259" spans="1:16" ht="14.85" customHeight="1">
      <c r="A259" s="5195"/>
      <c r="B259" s="5196"/>
      <c r="C259" s="5126"/>
      <c r="D259" s="5197"/>
      <c r="E259" s="5198"/>
      <c r="F259" s="5027"/>
      <c r="G259" s="5199"/>
      <c r="H259" s="5200"/>
      <c r="J259" s="5177"/>
      <c r="K259" s="5047"/>
      <c r="O259" s="5019">
        <v>18.3</v>
      </c>
      <c r="P259" s="5043">
        <f>O259*OpenData!N25</f>
        <v>86120</v>
      </c>
    </row>
    <row r="260" spans="1:16" ht="14.85" customHeight="1">
      <c r="A260" s="5197"/>
      <c r="B260" s="5198"/>
      <c r="C260" s="5126"/>
      <c r="D260" s="5197"/>
      <c r="E260" s="5198"/>
      <c r="F260" s="5027"/>
      <c r="G260" s="5199"/>
      <c r="H260" s="5200"/>
      <c r="J260" s="5185"/>
      <c r="K260" s="5047"/>
    </row>
    <row r="261" spans="1:16" ht="14.85" customHeight="1">
      <c r="A261" s="5197"/>
      <c r="B261" s="5198"/>
      <c r="C261" s="5126"/>
      <c r="D261" s="5197"/>
      <c r="E261" s="5198"/>
      <c r="F261" s="5027"/>
      <c r="G261" s="5199"/>
      <c r="H261" s="5200"/>
      <c r="J261" s="5201"/>
      <c r="K261" s="5047"/>
    </row>
    <row r="262" spans="1:16" ht="14.85" customHeight="1">
      <c r="A262" s="5197"/>
      <c r="B262" s="5198"/>
      <c r="C262" s="5126"/>
      <c r="D262" s="5197"/>
      <c r="E262" s="5198"/>
      <c r="F262" s="5027"/>
      <c r="G262" s="5199"/>
      <c r="H262" s="5200"/>
      <c r="J262" s="5202"/>
      <c r="K262" s="5047"/>
      <c r="P262" s="5203"/>
    </row>
    <row r="273" spans="1:27" ht="14.85" customHeight="1">
      <c r="A273" s="5197"/>
      <c r="B273" s="5198"/>
      <c r="C273" s="5126"/>
      <c r="D273" s="5197"/>
      <c r="E273" s="5198"/>
      <c r="F273" s="5027"/>
      <c r="G273" s="5199"/>
      <c r="H273" s="5200"/>
      <c r="J273" s="5202"/>
      <c r="K273" s="5047"/>
      <c r="P273" s="5047"/>
      <c r="Q273" s="5047"/>
    </row>
    <row r="274" spans="1:27" ht="14.85" customHeight="1">
      <c r="A274" s="5197"/>
      <c r="B274" s="5198"/>
      <c r="C274" s="5126"/>
      <c r="D274" s="5197"/>
      <c r="E274" s="5204"/>
      <c r="F274" s="5027"/>
      <c r="G274" s="5199"/>
      <c r="H274" s="5200"/>
      <c r="J274" s="5092"/>
      <c r="K274" s="5047"/>
      <c r="P274" s="5047"/>
    </row>
    <row r="275" spans="1:27" ht="14.85" customHeight="1">
      <c r="A275" s="5197"/>
      <c r="B275" s="5198"/>
      <c r="C275" s="5126"/>
      <c r="D275" s="5197"/>
      <c r="E275" s="5204"/>
      <c r="F275" s="5027"/>
      <c r="G275" s="5199"/>
      <c r="H275" s="5200"/>
      <c r="P275" s="5047"/>
    </row>
    <row r="276" spans="1:27" ht="14.85" customHeight="1">
      <c r="A276" s="5197"/>
      <c r="B276" s="5198"/>
      <c r="C276" s="5126"/>
      <c r="D276" s="5197"/>
      <c r="E276" s="5204"/>
      <c r="F276" s="5027"/>
      <c r="G276" s="5199"/>
      <c r="H276" s="5200"/>
      <c r="M276" s="5205"/>
      <c r="N276" s="5205"/>
    </row>
    <row r="277" spans="1:27" ht="14.85" customHeight="1">
      <c r="A277" s="5197"/>
      <c r="B277" s="5198"/>
      <c r="C277" s="5126"/>
      <c r="D277" s="5197"/>
      <c r="E277" s="5204"/>
      <c r="F277" s="5027"/>
      <c r="G277" s="5199"/>
      <c r="H277" s="5200"/>
      <c r="L277" s="5047"/>
      <c r="M277" s="5205"/>
      <c r="N277" s="5205"/>
    </row>
    <row r="278" spans="1:27" ht="14.85" customHeight="1">
      <c r="A278" s="5197"/>
      <c r="B278" s="5198"/>
      <c r="C278" s="5126"/>
      <c r="D278" s="5197"/>
      <c r="E278" s="5198"/>
      <c r="F278" s="5027"/>
      <c r="G278" s="5199"/>
      <c r="H278" s="5200"/>
      <c r="L278" s="5047"/>
      <c r="M278" s="5206"/>
      <c r="N278" s="5206"/>
      <c r="P278" s="5152"/>
    </row>
    <row r="279" spans="1:27" ht="14.85" customHeight="1">
      <c r="A279" s="5197"/>
      <c r="B279" s="5198"/>
      <c r="C279" s="5126"/>
      <c r="D279" s="5197"/>
      <c r="E279" s="5198"/>
      <c r="F279" s="5027"/>
      <c r="G279" s="5199"/>
      <c r="H279" s="5200"/>
      <c r="L279" s="5047"/>
      <c r="M279" s="5090"/>
      <c r="N279" s="5090"/>
      <c r="P279" s="5034"/>
      <c r="Q279" s="5152"/>
      <c r="R279" s="5152"/>
      <c r="S279" s="5152"/>
      <c r="T279" s="5152"/>
      <c r="U279" s="5152"/>
      <c r="V279" s="5152"/>
    </row>
    <row r="280" spans="1:27" ht="14.85" customHeight="1">
      <c r="A280" s="5197"/>
      <c r="B280" s="5198"/>
      <c r="C280" s="5126"/>
      <c r="D280" s="5197"/>
      <c r="E280" s="5198"/>
      <c r="F280" s="5027"/>
      <c r="G280" s="5199"/>
      <c r="H280" s="5200"/>
      <c r="L280" s="5047"/>
      <c r="M280" s="5047"/>
      <c r="N280" s="5047"/>
      <c r="P280" s="5034"/>
      <c r="Q280" s="5034"/>
      <c r="R280" s="5034"/>
      <c r="S280" s="5034"/>
      <c r="T280" s="5034"/>
      <c r="U280" s="5034"/>
      <c r="V280" s="5034"/>
      <c r="W280" s="5152"/>
      <c r="X280" s="5152"/>
      <c r="Z280" s="5047"/>
    </row>
    <row r="281" spans="1:27" ht="14.85" customHeight="1">
      <c r="A281" s="5197"/>
      <c r="B281" s="5198"/>
      <c r="C281" s="5126"/>
      <c r="D281" s="5197"/>
      <c r="E281" s="5198"/>
      <c r="F281" s="5027"/>
      <c r="G281" s="5199"/>
      <c r="H281" s="5200"/>
      <c r="L281" s="5090"/>
      <c r="M281" s="5047"/>
      <c r="N281" s="5047"/>
      <c r="P281" s="5034"/>
      <c r="R281" s="5034"/>
      <c r="Z281" s="5047"/>
      <c r="AA281" s="5047"/>
    </row>
    <row r="282" spans="1:27" ht="14.85" customHeight="1">
      <c r="A282" s="5197"/>
      <c r="B282" s="5198"/>
      <c r="C282" s="5126"/>
      <c r="D282" s="5197"/>
      <c r="E282" s="5198"/>
      <c r="F282" s="5027"/>
      <c r="G282" s="5199"/>
      <c r="H282" s="5200"/>
      <c r="L282" s="5047"/>
      <c r="M282" s="5047"/>
      <c r="N282" s="5047"/>
      <c r="P282" s="5034"/>
      <c r="R282" s="5034"/>
      <c r="Z282" s="5047"/>
      <c r="AA282" s="5047"/>
    </row>
    <row r="283" spans="1:27" ht="14.85" customHeight="1">
      <c r="A283" s="5197"/>
      <c r="B283" s="5198"/>
      <c r="C283" s="5126"/>
      <c r="D283" s="5197"/>
      <c r="E283" s="5198"/>
      <c r="F283" s="5027"/>
      <c r="G283" s="5199"/>
      <c r="H283" s="5200"/>
      <c r="L283" s="5047"/>
      <c r="M283" s="5047"/>
      <c r="N283" s="5047"/>
      <c r="P283" s="5034"/>
      <c r="R283" s="5034"/>
      <c r="Z283" s="5047"/>
      <c r="AA283" s="5047"/>
    </row>
    <row r="284" spans="1:27" ht="14.85" customHeight="1">
      <c r="A284" s="5197"/>
      <c r="B284" s="5198"/>
      <c r="C284" s="5126"/>
      <c r="D284" s="5197"/>
      <c r="E284" s="5198"/>
      <c r="F284" s="5027"/>
      <c r="G284" s="5199"/>
      <c r="H284" s="5200"/>
      <c r="L284" s="5047"/>
      <c r="N284" s="5047"/>
      <c r="P284" s="5034"/>
      <c r="R284" s="5034"/>
      <c r="Z284" s="5047"/>
      <c r="AA284" s="5047"/>
    </row>
    <row r="285" spans="1:27" ht="14.85" customHeight="1">
      <c r="A285" s="5197"/>
      <c r="B285" s="5198"/>
      <c r="C285" s="5126"/>
      <c r="D285" s="5197"/>
      <c r="E285" s="5198"/>
      <c r="F285" s="5027"/>
      <c r="G285" s="5199"/>
      <c r="H285" s="5200"/>
      <c r="L285" s="5047"/>
      <c r="M285" s="5207"/>
      <c r="N285" s="5207"/>
      <c r="P285" s="5053"/>
      <c r="R285" s="5034"/>
      <c r="Z285" s="5047"/>
      <c r="AA285" s="5047"/>
    </row>
    <row r="286" spans="1:27" ht="14.85" customHeight="1">
      <c r="A286" s="5197"/>
      <c r="B286" s="5198"/>
      <c r="C286" s="5126"/>
      <c r="D286" s="5197"/>
      <c r="E286" s="5198"/>
      <c r="F286" s="5027"/>
      <c r="G286" s="5199"/>
      <c r="H286" s="5200"/>
      <c r="L286" s="5047"/>
      <c r="M286" s="5207"/>
      <c r="N286" s="5207"/>
      <c r="P286" s="5053"/>
      <c r="Q286" s="5053"/>
      <c r="R286" s="5053"/>
      <c r="S286" s="5053"/>
      <c r="V286" s="5056"/>
      <c r="Z286" s="5047"/>
      <c r="AA286" s="5047"/>
    </row>
    <row r="287" spans="1:27" ht="14.85" customHeight="1">
      <c r="A287" s="5197"/>
      <c r="B287" s="5198"/>
      <c r="C287" s="5126"/>
      <c r="D287" s="5197"/>
      <c r="E287" s="5198"/>
      <c r="F287" s="5027"/>
      <c r="G287" s="5199"/>
      <c r="H287" s="5200"/>
      <c r="L287" s="5199"/>
      <c r="M287" s="5207"/>
      <c r="N287" s="5207"/>
      <c r="P287" s="5053"/>
      <c r="Q287" s="5053"/>
      <c r="R287" s="5053"/>
      <c r="S287" s="5053"/>
      <c r="V287" s="5056"/>
      <c r="Z287" s="5208"/>
      <c r="AA287" s="5209"/>
    </row>
    <row r="288" spans="1:27" ht="14.85" customHeight="1">
      <c r="A288" s="5197"/>
      <c r="B288" s="5198"/>
      <c r="C288" s="5126"/>
      <c r="D288" s="5197"/>
      <c r="E288" s="5198"/>
      <c r="F288" s="5027"/>
      <c r="G288" s="5199"/>
      <c r="H288" s="5200"/>
      <c r="L288" s="5199"/>
      <c r="M288" s="5207"/>
      <c r="N288" s="5207"/>
      <c r="P288" s="5053"/>
      <c r="Q288" s="5053"/>
      <c r="R288" s="5053"/>
      <c r="S288" s="5053"/>
      <c r="V288" s="5056"/>
      <c r="Z288" s="5208"/>
      <c r="AA288" s="5209"/>
    </row>
    <row r="289" spans="1:27" ht="14.85" customHeight="1">
      <c r="A289" s="5197"/>
      <c r="B289" s="5198"/>
      <c r="C289" s="5126"/>
      <c r="D289" s="5197"/>
      <c r="E289" s="5198"/>
      <c r="F289" s="5027"/>
      <c r="G289" s="5199"/>
      <c r="H289" s="5200"/>
      <c r="L289" s="5199"/>
      <c r="M289" s="5207"/>
      <c r="N289" s="5207"/>
      <c r="P289" s="5053"/>
      <c r="Q289" s="5053"/>
      <c r="R289" s="5053"/>
      <c r="S289" s="5053"/>
      <c r="V289" s="5056"/>
      <c r="Z289" s="5208"/>
      <c r="AA289" s="5209"/>
    </row>
    <row r="290" spans="1:27" ht="14.85" customHeight="1">
      <c r="A290" s="5197"/>
      <c r="B290" s="5198"/>
      <c r="C290" s="5126"/>
      <c r="D290" s="5197"/>
      <c r="E290" s="5198"/>
      <c r="F290" s="5027"/>
      <c r="G290" s="5199"/>
      <c r="H290" s="5200"/>
      <c r="L290" s="5199"/>
      <c r="M290" s="5207"/>
      <c r="N290" s="5207"/>
      <c r="O290" s="5022"/>
      <c r="P290" s="5053"/>
      <c r="Q290" s="5053"/>
      <c r="R290" s="5053"/>
      <c r="S290" s="5053"/>
      <c r="V290" s="5056"/>
      <c r="Z290" s="5208"/>
      <c r="AA290" s="5209"/>
    </row>
    <row r="291" spans="1:27" ht="14.85" customHeight="1">
      <c r="A291" s="5197"/>
      <c r="B291" s="5198"/>
      <c r="C291" s="5126"/>
      <c r="D291" s="5197"/>
      <c r="E291" s="5198"/>
      <c r="F291" s="5027"/>
      <c r="G291" s="5199"/>
      <c r="H291" s="5200"/>
      <c r="L291" s="5199"/>
      <c r="M291" s="5207"/>
      <c r="N291" s="5207"/>
      <c r="Q291" s="5053"/>
      <c r="R291" s="5053"/>
      <c r="S291" s="5053"/>
      <c r="T291" s="5022"/>
      <c r="V291" s="5056"/>
      <c r="Z291" s="5208"/>
      <c r="AA291" s="5209"/>
    </row>
    <row r="292" spans="1:27" ht="14.85" customHeight="1">
      <c r="A292" s="5197"/>
      <c r="B292" s="5198"/>
      <c r="C292" s="5126"/>
      <c r="D292" s="5197"/>
      <c r="E292" s="5198"/>
      <c r="F292" s="5027"/>
      <c r="G292" s="5199"/>
      <c r="H292" s="5200"/>
      <c r="L292" s="5199"/>
      <c r="M292" s="5207"/>
      <c r="N292" s="5207"/>
      <c r="W292" s="5022"/>
      <c r="Z292" s="5208"/>
      <c r="AA292" s="5209"/>
    </row>
    <row r="293" spans="1:27" ht="14.85" customHeight="1">
      <c r="A293" s="5197"/>
      <c r="B293" s="5198"/>
      <c r="C293" s="5126"/>
      <c r="D293" s="5197"/>
      <c r="E293" s="5198"/>
      <c r="F293" s="5027"/>
      <c r="G293" s="5199"/>
      <c r="H293" s="5200"/>
      <c r="L293" s="5199"/>
      <c r="M293" s="5207"/>
      <c r="N293" s="5207"/>
      <c r="O293" s="5047"/>
      <c r="Z293" s="5208"/>
      <c r="AA293" s="5209"/>
    </row>
    <row r="294" spans="1:27" ht="14.85" customHeight="1">
      <c r="A294" s="5197"/>
      <c r="B294" s="5198"/>
      <c r="C294" s="5126"/>
      <c r="D294" s="5197"/>
      <c r="E294" s="5198"/>
      <c r="F294" s="5027"/>
      <c r="G294" s="5199"/>
      <c r="H294" s="5200"/>
      <c r="L294" s="5199"/>
      <c r="M294" s="5207"/>
      <c r="N294" s="5207"/>
      <c r="O294" s="5070"/>
      <c r="P294" s="5053"/>
      <c r="Z294" s="5208"/>
      <c r="AA294" s="5209"/>
    </row>
    <row r="295" spans="1:27" ht="14.85" customHeight="1">
      <c r="A295" s="5197"/>
      <c r="B295" s="5198"/>
      <c r="C295" s="5126"/>
      <c r="D295" s="5197"/>
      <c r="E295" s="5198"/>
      <c r="F295" s="5027"/>
      <c r="G295" s="5199"/>
      <c r="H295" s="5200"/>
      <c r="L295" s="5199"/>
      <c r="M295" s="5207"/>
      <c r="N295" s="5207"/>
      <c r="O295" s="5070"/>
      <c r="P295" s="5053"/>
      <c r="Q295" s="5053"/>
      <c r="R295" s="5053"/>
      <c r="S295" s="5053"/>
      <c r="T295" s="5210"/>
      <c r="V295" s="5056"/>
      <c r="Z295" s="5208"/>
      <c r="AA295" s="5209"/>
    </row>
    <row r="296" spans="1:27" ht="14.85" customHeight="1">
      <c r="A296" s="5197"/>
      <c r="B296" s="5198"/>
      <c r="C296" s="5126"/>
      <c r="D296" s="5197"/>
      <c r="E296" s="5198"/>
      <c r="F296" s="5027"/>
      <c r="G296" s="5199"/>
      <c r="H296" s="5200"/>
      <c r="L296" s="5199"/>
      <c r="M296" s="5207"/>
      <c r="N296" s="5207"/>
      <c r="O296" s="5070"/>
      <c r="P296" s="5053"/>
      <c r="Q296" s="5053"/>
      <c r="R296" s="5053"/>
      <c r="S296" s="5053"/>
      <c r="T296" s="5210"/>
      <c r="V296" s="5056"/>
      <c r="W296" s="5070"/>
      <c r="Z296" s="5208"/>
      <c r="AA296" s="5209"/>
    </row>
    <row r="297" spans="1:27" ht="14.85" customHeight="1">
      <c r="A297" s="5197"/>
      <c r="B297" s="5198"/>
      <c r="C297" s="5126"/>
      <c r="D297" s="5197"/>
      <c r="E297" s="5198"/>
      <c r="F297" s="5027"/>
      <c r="G297" s="5199"/>
      <c r="H297" s="5200"/>
      <c r="L297" s="5199"/>
      <c r="M297" s="5207"/>
      <c r="N297" s="5207"/>
      <c r="O297" s="5070"/>
      <c r="P297" s="5053"/>
      <c r="Q297" s="5053"/>
      <c r="R297" s="5053"/>
      <c r="S297" s="5053"/>
      <c r="T297" s="5210"/>
      <c r="V297" s="5056"/>
      <c r="W297" s="5070"/>
      <c r="Z297" s="5208"/>
      <c r="AA297" s="5209"/>
    </row>
    <row r="298" spans="1:27" ht="14.85" customHeight="1">
      <c r="A298" s="5197"/>
      <c r="B298" s="5198"/>
      <c r="C298" s="5126"/>
      <c r="D298" s="5197"/>
      <c r="E298" s="5198"/>
      <c r="F298" s="5027"/>
      <c r="G298" s="5199"/>
      <c r="H298" s="5200"/>
      <c r="L298" s="5199"/>
      <c r="M298" s="5207"/>
      <c r="N298" s="5207"/>
      <c r="O298" s="5211"/>
      <c r="P298" s="5053"/>
      <c r="Q298" s="5053"/>
      <c r="R298" s="5053"/>
      <c r="S298" s="5053"/>
      <c r="T298" s="5210"/>
      <c r="V298" s="5056"/>
      <c r="W298" s="5070"/>
      <c r="Z298" s="5208"/>
      <c r="AA298" s="5209"/>
    </row>
    <row r="299" spans="1:27" ht="14.85" customHeight="1">
      <c r="A299" s="5197"/>
      <c r="B299" s="5198"/>
      <c r="C299" s="5126"/>
      <c r="D299" s="5197"/>
      <c r="E299" s="5198"/>
      <c r="F299" s="5027"/>
      <c r="G299" s="5199"/>
      <c r="H299" s="5200"/>
      <c r="L299" s="5199"/>
      <c r="M299" s="5207"/>
      <c r="N299" s="5207"/>
      <c r="O299" s="5211"/>
      <c r="P299" s="5053"/>
      <c r="Q299" s="5053"/>
      <c r="R299" s="5053"/>
      <c r="S299" s="5053"/>
      <c r="T299" s="5211"/>
      <c r="V299" s="5056"/>
      <c r="W299" s="5070"/>
      <c r="Z299" s="5208"/>
      <c r="AA299" s="5209"/>
    </row>
    <row r="300" spans="1:27" ht="14.85" customHeight="1">
      <c r="A300" s="5197"/>
      <c r="B300" s="5198"/>
      <c r="C300" s="5126"/>
      <c r="D300" s="5197"/>
      <c r="E300" s="5198"/>
      <c r="F300" s="5027"/>
      <c r="G300" s="5199"/>
      <c r="H300" s="5200"/>
      <c r="L300" s="5199"/>
      <c r="M300" s="5207"/>
      <c r="N300" s="5207"/>
      <c r="O300" s="5211"/>
      <c r="P300" s="5053"/>
      <c r="Q300" s="5053"/>
      <c r="R300" s="5053"/>
      <c r="S300" s="5053"/>
      <c r="T300" s="5211"/>
      <c r="V300" s="5056"/>
      <c r="W300" s="5211"/>
      <c r="Z300" s="5208"/>
      <c r="AA300" s="5209"/>
    </row>
    <row r="301" spans="1:27" ht="14.85" customHeight="1">
      <c r="A301" s="5197"/>
      <c r="B301" s="5198"/>
      <c r="C301" s="5126"/>
      <c r="D301" s="5197"/>
      <c r="E301" s="5198"/>
      <c r="F301" s="5027"/>
      <c r="G301" s="5199"/>
      <c r="H301" s="5200"/>
      <c r="L301" s="5199"/>
      <c r="M301" s="5207"/>
      <c r="N301" s="5207"/>
      <c r="Q301" s="5053"/>
      <c r="R301" s="5053"/>
      <c r="S301" s="5053"/>
      <c r="T301" s="5211"/>
      <c r="V301" s="5056"/>
      <c r="W301" s="5211"/>
      <c r="Z301" s="5208"/>
      <c r="AA301" s="5209"/>
    </row>
    <row r="302" spans="1:27" ht="14.85" customHeight="1">
      <c r="A302" s="5197"/>
      <c r="B302" s="5198"/>
      <c r="C302" s="5126"/>
      <c r="D302" s="5197"/>
      <c r="E302" s="5198"/>
      <c r="F302" s="5027"/>
      <c r="G302" s="5199"/>
      <c r="H302" s="5200"/>
      <c r="L302" s="5199"/>
      <c r="M302" s="5207"/>
      <c r="N302" s="5207"/>
      <c r="W302" s="5211"/>
      <c r="Z302" s="5208"/>
      <c r="AA302" s="5209"/>
    </row>
    <row r="303" spans="1:27" ht="14.85" customHeight="1">
      <c r="A303" s="5197"/>
      <c r="B303" s="5198"/>
      <c r="C303" s="5126"/>
      <c r="D303" s="5197"/>
      <c r="E303" s="5198"/>
      <c r="F303" s="5027"/>
      <c r="G303" s="5199"/>
      <c r="H303" s="5200"/>
      <c r="L303" s="5199"/>
      <c r="M303" s="5207"/>
      <c r="N303" s="5207"/>
      <c r="Z303" s="5208"/>
      <c r="AA303" s="5209"/>
    </row>
    <row r="304" spans="1:27" ht="14.85" customHeight="1">
      <c r="A304" s="5197"/>
      <c r="B304" s="5198"/>
      <c r="C304" s="5126"/>
      <c r="D304" s="5197"/>
      <c r="E304" s="5198"/>
      <c r="F304" s="5027"/>
      <c r="G304" s="5199"/>
      <c r="H304" s="5200"/>
      <c r="L304" s="5199"/>
      <c r="M304" s="5207"/>
      <c r="N304" s="5207"/>
      <c r="Z304" s="5208"/>
      <c r="AA304" s="5209"/>
    </row>
    <row r="305" spans="1:27" ht="14.85" customHeight="1">
      <c r="A305" s="5197"/>
      <c r="B305" s="5198"/>
      <c r="C305" s="5126"/>
      <c r="D305" s="5197"/>
      <c r="E305" s="5198"/>
      <c r="F305" s="5027"/>
      <c r="G305" s="5199"/>
      <c r="H305" s="5200"/>
      <c r="L305" s="5199"/>
      <c r="M305" s="5207"/>
      <c r="N305" s="5207"/>
      <c r="Z305" s="5208"/>
      <c r="AA305" s="5209"/>
    </row>
    <row r="306" spans="1:27" ht="14.85" customHeight="1">
      <c r="A306" s="5197"/>
      <c r="B306" s="5198"/>
      <c r="C306" s="5126"/>
      <c r="D306" s="5197"/>
      <c r="E306" s="5198"/>
      <c r="F306" s="5027"/>
      <c r="G306" s="5199"/>
      <c r="H306" s="5200"/>
      <c r="L306" s="5199"/>
      <c r="M306" s="5207"/>
      <c r="N306" s="5207"/>
      <c r="Z306" s="5208"/>
      <c r="AA306" s="5209"/>
    </row>
    <row r="307" spans="1:27" ht="14.85" customHeight="1">
      <c r="A307" s="5197"/>
      <c r="B307" s="5198"/>
      <c r="C307" s="5126"/>
      <c r="D307" s="5197"/>
      <c r="E307" s="5198"/>
      <c r="F307" s="5027"/>
      <c r="G307" s="5199"/>
      <c r="H307" s="5200"/>
      <c r="L307" s="5199"/>
      <c r="M307" s="5207"/>
      <c r="N307" s="5207"/>
      <c r="Z307" s="5208"/>
      <c r="AA307" s="5209"/>
    </row>
    <row r="308" spans="1:27" ht="14.85" customHeight="1">
      <c r="A308" s="5197"/>
      <c r="B308" s="5198"/>
      <c r="C308" s="5126"/>
      <c r="D308" s="5197"/>
      <c r="E308" s="5198"/>
      <c r="F308" s="5027"/>
      <c r="G308" s="5199"/>
      <c r="H308" s="5200"/>
      <c r="L308" s="5199"/>
      <c r="M308" s="5207"/>
      <c r="N308" s="5207"/>
      <c r="Z308" s="5208"/>
      <c r="AA308" s="5209"/>
    </row>
    <row r="309" spans="1:27" ht="14.85" customHeight="1">
      <c r="A309" s="5197"/>
      <c r="B309" s="5198"/>
      <c r="C309" s="5126"/>
      <c r="D309" s="5197"/>
      <c r="E309" s="5198"/>
      <c r="F309" s="5027"/>
      <c r="G309" s="5199"/>
      <c r="H309" s="5200"/>
      <c r="L309" s="5199"/>
      <c r="M309" s="5207"/>
      <c r="N309" s="5207"/>
      <c r="Z309" s="5208"/>
      <c r="AA309" s="5209"/>
    </row>
    <row r="310" spans="1:27" ht="14.85" customHeight="1">
      <c r="A310" s="5197"/>
      <c r="B310" s="5198"/>
      <c r="C310" s="5126"/>
      <c r="D310" s="5197"/>
      <c r="E310" s="5198"/>
      <c r="F310" s="5027"/>
      <c r="G310" s="5199"/>
      <c r="H310" s="5200"/>
      <c r="L310" s="5199"/>
      <c r="M310" s="5207"/>
      <c r="N310" s="5207"/>
      <c r="Z310" s="5208"/>
      <c r="AA310" s="5209"/>
    </row>
    <row r="311" spans="1:27" ht="14.85" customHeight="1">
      <c r="A311" s="5197"/>
      <c r="B311" s="5198"/>
      <c r="C311" s="5126"/>
      <c r="D311" s="5197"/>
      <c r="E311" s="5198"/>
      <c r="F311" s="5027"/>
      <c r="G311" s="5199"/>
      <c r="H311" s="5200"/>
      <c r="L311" s="5199"/>
      <c r="M311" s="5207"/>
      <c r="N311" s="5207"/>
      <c r="Z311" s="5208"/>
      <c r="AA311" s="5209"/>
    </row>
    <row r="312" spans="1:27" ht="14.85" customHeight="1">
      <c r="A312" s="5197"/>
      <c r="B312" s="5198"/>
      <c r="C312" s="5126"/>
      <c r="D312" s="5197"/>
      <c r="E312" s="5198"/>
      <c r="F312" s="5027"/>
      <c r="G312" s="5199"/>
      <c r="H312" s="5200"/>
      <c r="L312" s="5199"/>
      <c r="M312" s="5207"/>
      <c r="N312" s="5207"/>
      <c r="Z312" s="5208"/>
      <c r="AA312" s="5209"/>
    </row>
    <row r="313" spans="1:27" ht="14.85" customHeight="1">
      <c r="A313" s="5197"/>
      <c r="B313" s="5198"/>
      <c r="C313" s="5126"/>
      <c r="D313" s="5197"/>
      <c r="E313" s="5198"/>
      <c r="F313" s="5027"/>
      <c r="G313" s="5199"/>
      <c r="H313" s="5200"/>
      <c r="L313" s="5199"/>
      <c r="M313" s="5207"/>
      <c r="N313" s="5207"/>
      <c r="Z313" s="5208"/>
      <c r="AA313" s="5209"/>
    </row>
    <row r="314" spans="1:27" ht="14.85" customHeight="1">
      <c r="A314" s="5197"/>
      <c r="B314" s="5198"/>
      <c r="C314" s="5126"/>
      <c r="D314" s="5197"/>
      <c r="E314" s="5198"/>
      <c r="F314" s="5027"/>
      <c r="G314" s="5199"/>
      <c r="H314" s="5200"/>
      <c r="L314" s="5199"/>
      <c r="M314" s="5207"/>
      <c r="N314" s="5207"/>
      <c r="Z314" s="5208"/>
      <c r="AA314" s="5209"/>
    </row>
    <row r="315" spans="1:27" ht="14.85" customHeight="1">
      <c r="A315" s="5197"/>
      <c r="B315" s="5198"/>
      <c r="C315" s="5126"/>
      <c r="D315" s="5197"/>
      <c r="E315" s="5198"/>
      <c r="F315" s="5027"/>
      <c r="G315" s="5199"/>
      <c r="H315" s="5200"/>
      <c r="L315" s="5199"/>
      <c r="M315" s="5207"/>
      <c r="N315" s="5207"/>
      <c r="Z315" s="5208"/>
      <c r="AA315" s="5209"/>
    </row>
    <row r="316" spans="1:27" ht="14.85" customHeight="1">
      <c r="A316" s="5197"/>
      <c r="B316" s="5198"/>
      <c r="C316" s="5126"/>
      <c r="D316" s="5197"/>
      <c r="E316" s="5198"/>
      <c r="F316" s="5027"/>
      <c r="G316" s="5199"/>
      <c r="H316" s="5200"/>
      <c r="L316" s="5199"/>
      <c r="M316" s="5207"/>
      <c r="N316" s="5207"/>
      <c r="Z316" s="5208"/>
      <c r="AA316" s="5209"/>
    </row>
    <row r="317" spans="1:27" ht="14.85" customHeight="1">
      <c r="A317" s="5197"/>
      <c r="B317" s="5198"/>
      <c r="C317" s="5126"/>
      <c r="D317" s="5197"/>
      <c r="E317" s="5198"/>
      <c r="F317" s="5027"/>
      <c r="G317" s="5199"/>
      <c r="H317" s="5200"/>
      <c r="L317" s="5199"/>
      <c r="M317" s="5207"/>
      <c r="N317" s="5207"/>
      <c r="Z317" s="5208"/>
      <c r="AA317" s="5209"/>
    </row>
    <row r="318" spans="1:27" ht="14.85" customHeight="1">
      <c r="A318" s="5197"/>
      <c r="B318" s="5198"/>
      <c r="C318" s="5126"/>
      <c r="D318" s="5197"/>
      <c r="E318" s="5198"/>
      <c r="F318" s="5027"/>
      <c r="G318" s="5199"/>
      <c r="H318" s="5200"/>
      <c r="L318" s="5199"/>
      <c r="M318" s="5207"/>
      <c r="N318" s="5207"/>
      <c r="Z318" s="5208"/>
      <c r="AA318" s="5209"/>
    </row>
    <row r="319" spans="1:27" ht="14.85" customHeight="1">
      <c r="A319" s="5197"/>
      <c r="B319" s="5198"/>
      <c r="C319" s="5126"/>
      <c r="D319" s="5197"/>
      <c r="E319" s="5198"/>
      <c r="F319" s="5027"/>
      <c r="G319" s="5199"/>
      <c r="H319" s="5200"/>
      <c r="L319" s="5199"/>
      <c r="M319" s="5207"/>
      <c r="N319" s="5207"/>
      <c r="Z319" s="5208"/>
      <c r="AA319" s="5209"/>
    </row>
    <row r="320" spans="1:27" ht="14.85" customHeight="1">
      <c r="A320" s="5197"/>
      <c r="B320" s="5198"/>
      <c r="C320" s="5126"/>
      <c r="D320" s="5197"/>
      <c r="E320" s="5198"/>
      <c r="F320" s="5027"/>
      <c r="G320" s="5199"/>
      <c r="H320" s="5200"/>
      <c r="L320" s="5199"/>
      <c r="M320" s="5207"/>
      <c r="N320" s="5207"/>
      <c r="Z320" s="5208"/>
      <c r="AA320" s="5209"/>
    </row>
    <row r="321" spans="1:27" ht="14.85" customHeight="1">
      <c r="A321" s="5197"/>
      <c r="B321" s="5198"/>
      <c r="C321" s="5126"/>
      <c r="D321" s="5197"/>
      <c r="E321" s="5198"/>
      <c r="F321" s="5027"/>
      <c r="G321" s="5199"/>
      <c r="H321" s="5200"/>
      <c r="L321" s="5199"/>
      <c r="M321" s="5207"/>
      <c r="N321" s="5207"/>
      <c r="Z321" s="5208"/>
      <c r="AA321" s="5209"/>
    </row>
    <row r="322" spans="1:27" ht="14.85" customHeight="1">
      <c r="A322" s="5197"/>
      <c r="B322" s="5198"/>
      <c r="C322" s="5126"/>
      <c r="D322" s="5197"/>
      <c r="E322" s="5198"/>
      <c r="F322" s="5027"/>
      <c r="G322" s="5199"/>
      <c r="H322" s="5200"/>
      <c r="L322" s="5199"/>
      <c r="M322" s="5207"/>
      <c r="N322" s="5207"/>
      <c r="Z322" s="5208"/>
      <c r="AA322" s="5209"/>
    </row>
    <row r="323" spans="1:27" ht="14.85" customHeight="1">
      <c r="A323" s="5197"/>
      <c r="B323" s="5198"/>
      <c r="C323" s="5126"/>
      <c r="D323" s="5197"/>
      <c r="E323" s="5198"/>
      <c r="F323" s="5027"/>
      <c r="G323" s="5199"/>
      <c r="H323" s="5200"/>
      <c r="L323" s="5199"/>
      <c r="M323" s="5207"/>
      <c r="N323" s="5207"/>
      <c r="Z323" s="5208"/>
      <c r="AA323" s="5209"/>
    </row>
    <row r="324" spans="1:27" ht="14.85" customHeight="1">
      <c r="A324" s="5197"/>
      <c r="B324" s="5198"/>
      <c r="C324" s="5126"/>
      <c r="D324" s="5197"/>
      <c r="E324" s="5198"/>
      <c r="F324" s="5027"/>
      <c r="G324" s="5199"/>
      <c r="H324" s="5200"/>
      <c r="L324" s="5199"/>
      <c r="M324" s="5207"/>
      <c r="N324" s="5207"/>
      <c r="Z324" s="5208"/>
      <c r="AA324" s="5209"/>
    </row>
    <row r="325" spans="1:27" ht="14.85" customHeight="1">
      <c r="A325" s="5197"/>
      <c r="B325" s="5198"/>
      <c r="C325" s="5126"/>
      <c r="D325" s="5197"/>
      <c r="E325" s="5198"/>
      <c r="F325" s="5027"/>
      <c r="G325" s="5199"/>
      <c r="H325" s="5200"/>
      <c r="L325" s="5199"/>
      <c r="M325" s="5207"/>
      <c r="N325" s="5207"/>
      <c r="Z325" s="5208"/>
      <c r="AA325" s="5209"/>
    </row>
    <row r="326" spans="1:27" ht="14.85" customHeight="1">
      <c r="A326" s="5197"/>
      <c r="B326" s="5198"/>
      <c r="C326" s="5126"/>
      <c r="D326" s="5197"/>
      <c r="E326" s="5198"/>
      <c r="F326" s="5027"/>
      <c r="G326" s="5199"/>
      <c r="H326" s="5200"/>
      <c r="L326" s="5199"/>
      <c r="M326" s="5207"/>
      <c r="N326" s="5207"/>
      <c r="Z326" s="5208"/>
      <c r="AA326" s="5209"/>
    </row>
    <row r="327" spans="1:27" ht="14.85" customHeight="1">
      <c r="A327" s="5197"/>
      <c r="B327" s="5198"/>
      <c r="C327" s="5126"/>
      <c r="D327" s="5197"/>
      <c r="E327" s="5198"/>
      <c r="F327" s="5027"/>
      <c r="G327" s="5199"/>
      <c r="H327" s="5200"/>
      <c r="L327" s="5199"/>
      <c r="M327" s="5207"/>
      <c r="N327" s="5207"/>
      <c r="Z327" s="5208"/>
      <c r="AA327" s="5209"/>
    </row>
    <row r="328" spans="1:27" ht="14.85" customHeight="1">
      <c r="A328" s="5197"/>
      <c r="B328" s="5198"/>
      <c r="C328" s="5126"/>
      <c r="D328" s="5197"/>
      <c r="E328" s="5198"/>
      <c r="F328" s="5027"/>
      <c r="G328" s="5199"/>
      <c r="H328" s="5200"/>
      <c r="L328" s="5199"/>
      <c r="M328" s="5207"/>
      <c r="N328" s="5207"/>
      <c r="Z328" s="5208"/>
      <c r="AA328" s="5209"/>
    </row>
    <row r="329" spans="1:27" ht="14.85" customHeight="1">
      <c r="A329" s="5197"/>
      <c r="B329" s="5198"/>
      <c r="C329" s="5126"/>
      <c r="D329" s="5197"/>
      <c r="E329" s="5198"/>
      <c r="F329" s="5027"/>
      <c r="G329" s="5199"/>
      <c r="H329" s="5200"/>
      <c r="L329" s="5199"/>
      <c r="M329" s="5207"/>
      <c r="N329" s="5207"/>
      <c r="Z329" s="5208"/>
      <c r="AA329" s="5209"/>
    </row>
    <row r="330" spans="1:27" ht="14.85" customHeight="1">
      <c r="A330" s="5197"/>
      <c r="B330" s="5198"/>
      <c r="C330" s="5126"/>
      <c r="D330" s="5197"/>
      <c r="E330" s="5198"/>
      <c r="F330" s="5027"/>
      <c r="G330" s="5199"/>
      <c r="H330" s="5200"/>
      <c r="L330" s="5199"/>
      <c r="M330" s="5207"/>
      <c r="N330" s="5207"/>
      <c r="Z330" s="5208"/>
      <c r="AA330" s="5209"/>
    </row>
    <row r="331" spans="1:27" ht="14.85" customHeight="1">
      <c r="A331" s="5197"/>
      <c r="B331" s="5198"/>
      <c r="C331" s="5126"/>
      <c r="D331" s="5197"/>
      <c r="E331" s="5198"/>
      <c r="F331" s="5027"/>
      <c r="G331" s="5199"/>
      <c r="H331" s="5200"/>
      <c r="L331" s="5199"/>
      <c r="M331" s="5207"/>
      <c r="N331" s="5207"/>
      <c r="Z331" s="5208"/>
      <c r="AA331" s="5209"/>
    </row>
    <row r="332" spans="1:27" ht="14.85" customHeight="1">
      <c r="A332" s="5197"/>
      <c r="B332" s="5198"/>
      <c r="C332" s="5126"/>
      <c r="D332" s="5197"/>
      <c r="E332" s="5198"/>
      <c r="F332" s="5027"/>
      <c r="G332" s="5199"/>
      <c r="H332" s="5200"/>
      <c r="L332" s="5199"/>
      <c r="M332" s="5207"/>
      <c r="N332" s="5207"/>
      <c r="Z332" s="5208"/>
      <c r="AA332" s="5209"/>
    </row>
    <row r="333" spans="1:27" ht="14.85" customHeight="1">
      <c r="A333" s="5197"/>
      <c r="B333" s="5198"/>
      <c r="C333" s="5126"/>
      <c r="D333" s="5197"/>
      <c r="E333" s="5198"/>
      <c r="F333" s="5027"/>
      <c r="G333" s="5199"/>
      <c r="H333" s="5200"/>
      <c r="L333" s="5199"/>
      <c r="M333" s="5207"/>
      <c r="N333" s="5207"/>
      <c r="Z333" s="5208"/>
      <c r="AA333" s="5209"/>
    </row>
    <row r="334" spans="1:27" ht="14.85" customHeight="1">
      <c r="A334" s="5197"/>
      <c r="B334" s="5198"/>
      <c r="C334" s="5126"/>
      <c r="D334" s="5197"/>
      <c r="E334" s="5198"/>
      <c r="F334" s="5027"/>
      <c r="G334" s="5199"/>
      <c r="H334" s="5200"/>
      <c r="L334" s="5199"/>
      <c r="M334" s="5207"/>
      <c r="N334" s="5207"/>
      <c r="Z334" s="5208"/>
      <c r="AA334" s="5209"/>
    </row>
    <row r="335" spans="1:27" ht="14.85" customHeight="1">
      <c r="A335" s="5197"/>
      <c r="B335" s="5198"/>
      <c r="C335" s="5126"/>
      <c r="D335" s="5197"/>
      <c r="E335" s="5198"/>
      <c r="F335" s="5027"/>
      <c r="G335" s="5199"/>
      <c r="H335" s="5200"/>
      <c r="L335" s="5199"/>
      <c r="M335" s="5207"/>
      <c r="N335" s="5207"/>
      <c r="Z335" s="5208"/>
      <c r="AA335" s="5209"/>
    </row>
    <row r="336" spans="1:27" ht="14.85" customHeight="1">
      <c r="A336" s="5197"/>
      <c r="B336" s="5198"/>
      <c r="C336" s="5126"/>
      <c r="D336" s="5197"/>
      <c r="E336" s="5198"/>
      <c r="F336" s="5027"/>
      <c r="G336" s="5199"/>
      <c r="H336" s="5200"/>
      <c r="L336" s="5199"/>
      <c r="M336" s="5207"/>
      <c r="N336" s="5207"/>
      <c r="Z336" s="5208"/>
      <c r="AA336" s="5209"/>
    </row>
    <row r="337" spans="1:27" ht="14.85" customHeight="1">
      <c r="A337" s="5197"/>
      <c r="B337" s="5198"/>
      <c r="C337" s="5126"/>
      <c r="D337" s="5197"/>
      <c r="E337" s="5198"/>
      <c r="F337" s="5027"/>
      <c r="G337" s="5199"/>
      <c r="H337" s="5200"/>
      <c r="L337" s="5199"/>
      <c r="M337" s="5207"/>
      <c r="N337" s="5207"/>
      <c r="Z337" s="5208"/>
      <c r="AA337" s="5209"/>
    </row>
    <row r="338" spans="1:27" ht="14.85" customHeight="1">
      <c r="A338" s="5197"/>
      <c r="B338" s="5198"/>
      <c r="C338" s="5126"/>
      <c r="D338" s="5197"/>
      <c r="E338" s="5198"/>
      <c r="F338" s="5027"/>
      <c r="G338" s="5199"/>
      <c r="H338" s="5200"/>
      <c r="L338" s="5199"/>
      <c r="M338" s="5207"/>
      <c r="N338" s="5207"/>
      <c r="Z338" s="5208"/>
      <c r="AA338" s="5209"/>
    </row>
    <row r="339" spans="1:27" ht="14.85" customHeight="1">
      <c r="A339" s="5197"/>
      <c r="B339" s="5198"/>
      <c r="C339" s="5126"/>
      <c r="D339" s="5197"/>
      <c r="E339" s="5198"/>
      <c r="F339" s="5027"/>
      <c r="G339" s="5199"/>
      <c r="H339" s="5200"/>
      <c r="L339" s="5199"/>
      <c r="M339" s="5207"/>
      <c r="N339" s="5207"/>
      <c r="Z339" s="5208"/>
      <c r="AA339" s="5209"/>
    </row>
    <row r="340" spans="1:27" ht="14.85" customHeight="1">
      <c r="A340" s="5197"/>
      <c r="B340" s="5198"/>
      <c r="C340" s="5126"/>
      <c r="D340" s="5197"/>
      <c r="E340" s="5198"/>
      <c r="F340" s="5027"/>
      <c r="G340" s="5199"/>
      <c r="H340" s="5200"/>
      <c r="L340" s="5199"/>
      <c r="M340" s="5207"/>
      <c r="N340" s="5207"/>
      <c r="Z340" s="5208"/>
      <c r="AA340" s="5209"/>
    </row>
    <row r="341" spans="1:27" ht="14.85" customHeight="1">
      <c r="A341" s="5197"/>
      <c r="B341" s="5198"/>
      <c r="C341" s="5126"/>
      <c r="D341" s="5197"/>
      <c r="E341" s="5198"/>
      <c r="F341" s="5027"/>
      <c r="G341" s="5199"/>
      <c r="H341" s="5200"/>
      <c r="L341" s="5199"/>
      <c r="M341" s="5207"/>
      <c r="N341" s="5207"/>
      <c r="Z341" s="5208"/>
      <c r="AA341" s="5209"/>
    </row>
    <row r="342" spans="1:27" ht="14.85" customHeight="1">
      <c r="A342" s="5197"/>
      <c r="B342" s="5198"/>
      <c r="C342" s="5126"/>
      <c r="D342" s="5197"/>
      <c r="E342" s="5198"/>
      <c r="F342" s="5027"/>
      <c r="G342" s="5199"/>
      <c r="H342" s="5200"/>
      <c r="L342" s="5199"/>
      <c r="M342" s="5207"/>
      <c r="N342" s="5207"/>
      <c r="Z342" s="5208"/>
      <c r="AA342" s="5209"/>
    </row>
    <row r="343" spans="1:27" ht="14.85" customHeight="1">
      <c r="A343" s="5197"/>
      <c r="B343" s="5198"/>
      <c r="C343" s="5126"/>
      <c r="D343" s="5197"/>
      <c r="E343" s="5198"/>
      <c r="F343" s="5027"/>
      <c r="G343" s="5199"/>
      <c r="H343" s="5200"/>
      <c r="L343" s="5199"/>
      <c r="M343" s="5207"/>
      <c r="N343" s="5207"/>
      <c r="Z343" s="5208"/>
      <c r="AA343" s="5209"/>
    </row>
    <row r="344" spans="1:27" ht="14.85" customHeight="1">
      <c r="A344" s="5197"/>
      <c r="B344" s="5198"/>
      <c r="C344" s="5126"/>
      <c r="D344" s="5197"/>
      <c r="E344" s="5198"/>
      <c r="F344" s="5027"/>
      <c r="G344" s="5199"/>
      <c r="H344" s="5200"/>
      <c r="L344" s="5199"/>
      <c r="M344" s="5207"/>
      <c r="N344" s="5207"/>
      <c r="Z344" s="5208"/>
      <c r="AA344" s="5209"/>
    </row>
    <row r="345" spans="1:27" ht="14.85" customHeight="1">
      <c r="A345" s="5197"/>
      <c r="B345" s="5198"/>
      <c r="C345" s="5126"/>
      <c r="D345" s="5197"/>
      <c r="E345" s="5198"/>
      <c r="F345" s="5027"/>
      <c r="G345" s="5199"/>
      <c r="H345" s="5200"/>
      <c r="L345" s="5199"/>
      <c r="M345" s="5207"/>
      <c r="N345" s="5207"/>
      <c r="Z345" s="5208"/>
      <c r="AA345" s="5209"/>
    </row>
    <row r="346" spans="1:27" ht="14.85" customHeight="1">
      <c r="A346" s="5197"/>
      <c r="B346" s="5198"/>
      <c r="C346" s="5126"/>
      <c r="D346" s="5197"/>
      <c r="E346" s="5198"/>
      <c r="F346" s="5027"/>
      <c r="G346" s="5199"/>
      <c r="H346" s="5200"/>
      <c r="L346" s="5199"/>
      <c r="M346" s="5207"/>
      <c r="N346" s="5207"/>
      <c r="Z346" s="5208"/>
      <c r="AA346" s="5209"/>
    </row>
    <row r="347" spans="1:27" ht="14.85" customHeight="1">
      <c r="A347" s="5197"/>
      <c r="B347" s="5198"/>
      <c r="C347" s="5126"/>
      <c r="D347" s="5197"/>
      <c r="E347" s="5198"/>
      <c r="F347" s="5027"/>
      <c r="G347" s="5199"/>
      <c r="H347" s="5200"/>
      <c r="L347" s="5199"/>
      <c r="M347" s="5207"/>
      <c r="N347" s="5207"/>
      <c r="Z347" s="5208"/>
      <c r="AA347" s="5209"/>
    </row>
    <row r="348" spans="1:27" ht="14.85" customHeight="1">
      <c r="A348" s="5197"/>
      <c r="B348" s="5198"/>
      <c r="C348" s="5126"/>
      <c r="D348" s="5197"/>
      <c r="E348" s="5198"/>
      <c r="F348" s="5027"/>
      <c r="G348" s="5199"/>
      <c r="H348" s="5200"/>
      <c r="L348" s="5199"/>
      <c r="M348" s="5207"/>
      <c r="N348" s="5207"/>
      <c r="Z348" s="5208"/>
      <c r="AA348" s="5209"/>
    </row>
    <row r="349" spans="1:27" ht="14.85" customHeight="1">
      <c r="A349" s="5197"/>
      <c r="B349" s="5198"/>
      <c r="C349" s="5126"/>
      <c r="D349" s="5197"/>
      <c r="E349" s="5198"/>
      <c r="F349" s="5027"/>
      <c r="G349" s="5199"/>
      <c r="H349" s="5200"/>
      <c r="L349" s="5199"/>
      <c r="M349" s="5207"/>
      <c r="N349" s="5207"/>
      <c r="Z349" s="5208"/>
      <c r="AA349" s="5209"/>
    </row>
    <row r="350" spans="1:27" ht="14.85" customHeight="1">
      <c r="A350" s="5197"/>
      <c r="B350" s="5198"/>
      <c r="C350" s="5126"/>
      <c r="D350" s="5197"/>
      <c r="E350" s="5198"/>
      <c r="F350" s="5027"/>
      <c r="G350" s="5199"/>
      <c r="H350" s="5200"/>
      <c r="L350" s="5199"/>
      <c r="M350" s="5207"/>
      <c r="N350" s="5207"/>
      <c r="Z350" s="5208"/>
      <c r="AA350" s="5209"/>
    </row>
    <row r="351" spans="1:27" ht="14.85" customHeight="1">
      <c r="A351" s="5197"/>
      <c r="B351" s="5198"/>
      <c r="C351" s="5126"/>
      <c r="D351" s="5197"/>
      <c r="E351" s="5198"/>
      <c r="F351" s="5027"/>
      <c r="G351" s="5199"/>
      <c r="H351" s="5200"/>
      <c r="L351" s="5199"/>
      <c r="M351" s="5207"/>
      <c r="N351" s="5207"/>
      <c r="Z351" s="5208"/>
      <c r="AA351" s="5209"/>
    </row>
    <row r="352" spans="1:27" ht="14.85" customHeight="1">
      <c r="A352" s="5197"/>
      <c r="B352" s="5198"/>
      <c r="C352" s="5126"/>
      <c r="D352" s="5197"/>
      <c r="E352" s="5198"/>
      <c r="F352" s="5027"/>
      <c r="G352" s="5199"/>
      <c r="H352" s="5200"/>
      <c r="L352" s="5199"/>
      <c r="M352" s="5207"/>
      <c r="N352" s="5207"/>
      <c r="Z352" s="5208"/>
      <c r="AA352" s="5209"/>
    </row>
    <row r="353" spans="1:27" ht="14.85" customHeight="1">
      <c r="A353" s="5197"/>
      <c r="B353" s="5198"/>
      <c r="C353" s="5126"/>
      <c r="D353" s="5197"/>
      <c r="E353" s="5198"/>
      <c r="F353" s="5027"/>
      <c r="G353" s="5199"/>
      <c r="H353" s="5200"/>
      <c r="L353" s="5199"/>
      <c r="M353" s="5207"/>
      <c r="N353" s="5207"/>
      <c r="Z353" s="5208"/>
      <c r="AA353" s="5209"/>
    </row>
    <row r="354" spans="1:27" ht="14.85" customHeight="1">
      <c r="A354" s="5197"/>
      <c r="B354" s="5198"/>
      <c r="C354" s="5126"/>
      <c r="D354" s="5197"/>
      <c r="E354" s="5198"/>
      <c r="F354" s="5027"/>
      <c r="G354" s="5199"/>
      <c r="H354" s="5200"/>
      <c r="L354" s="5199"/>
      <c r="M354" s="5207"/>
      <c r="N354" s="5207"/>
      <c r="Z354" s="5208"/>
      <c r="AA354" s="5209"/>
    </row>
    <row r="355" spans="1:27" ht="14.85" customHeight="1">
      <c r="A355" s="5197"/>
      <c r="B355" s="5198"/>
      <c r="C355" s="5126"/>
      <c r="D355" s="5197"/>
      <c r="E355" s="5198"/>
      <c r="F355" s="5027"/>
      <c r="G355" s="5199"/>
      <c r="H355" s="5200"/>
      <c r="L355" s="5199"/>
      <c r="M355" s="5207"/>
      <c r="N355" s="5207"/>
      <c r="Z355" s="5208"/>
      <c r="AA355" s="5209"/>
    </row>
    <row r="356" spans="1:27" ht="14.85" customHeight="1">
      <c r="A356" s="5197"/>
      <c r="B356" s="5198"/>
      <c r="C356" s="5126"/>
      <c r="D356" s="5197"/>
      <c r="E356" s="5198"/>
      <c r="F356" s="5027"/>
      <c r="G356" s="5199"/>
      <c r="H356" s="5200"/>
      <c r="L356" s="5199"/>
      <c r="M356" s="5207"/>
      <c r="N356" s="5207"/>
      <c r="Z356" s="5208"/>
      <c r="AA356" s="5209"/>
    </row>
    <row r="357" spans="1:27" ht="14.85" customHeight="1">
      <c r="A357" s="5197"/>
      <c r="B357" s="5198"/>
      <c r="C357" s="5126"/>
      <c r="D357" s="5197"/>
      <c r="E357" s="5198"/>
      <c r="F357" s="5027"/>
      <c r="G357" s="5199"/>
      <c r="H357" s="5200"/>
      <c r="L357" s="5199"/>
      <c r="M357" s="5207"/>
      <c r="N357" s="5207"/>
      <c r="Z357" s="5208"/>
      <c r="AA357" s="5209"/>
    </row>
    <row r="358" spans="1:27" ht="14.85" customHeight="1">
      <c r="A358" s="5197"/>
      <c r="B358" s="5198"/>
      <c r="C358" s="5126"/>
      <c r="D358" s="5197"/>
      <c r="E358" s="5198"/>
      <c r="F358" s="5027"/>
      <c r="G358" s="5199"/>
      <c r="H358" s="5200"/>
      <c r="L358" s="5199"/>
      <c r="M358" s="5207"/>
      <c r="N358" s="5207"/>
      <c r="Z358" s="5208"/>
      <c r="AA358" s="5209"/>
    </row>
    <row r="359" spans="1:27" ht="14.85" customHeight="1">
      <c r="A359" s="5197"/>
      <c r="B359" s="5198"/>
      <c r="C359" s="5126"/>
      <c r="D359" s="5197"/>
      <c r="E359" s="5198"/>
      <c r="F359" s="5027"/>
      <c r="G359" s="5199"/>
      <c r="H359" s="5200"/>
      <c r="L359" s="5199"/>
      <c r="M359" s="5207"/>
      <c r="N359" s="5207"/>
      <c r="Z359" s="5208"/>
      <c r="AA359" s="5209"/>
    </row>
    <row r="360" spans="1:27" ht="14.85" customHeight="1">
      <c r="A360" s="5197"/>
      <c r="B360" s="5198"/>
      <c r="C360" s="5126"/>
      <c r="D360" s="5197"/>
      <c r="E360" s="5198"/>
      <c r="F360" s="5027"/>
      <c r="G360" s="5199"/>
      <c r="H360" s="5200"/>
      <c r="L360" s="5199"/>
      <c r="M360" s="5207"/>
      <c r="N360" s="5207"/>
      <c r="Z360" s="5208"/>
      <c r="AA360" s="5209"/>
    </row>
    <row r="361" spans="1:27" ht="14.85" customHeight="1">
      <c r="A361" s="5197"/>
      <c r="B361" s="5198"/>
      <c r="C361" s="5126"/>
      <c r="D361" s="5197"/>
      <c r="E361" s="5198"/>
      <c r="F361" s="5027"/>
      <c r="G361" s="5199"/>
      <c r="H361" s="5200"/>
      <c r="L361" s="5199"/>
      <c r="M361" s="5207"/>
      <c r="N361" s="5207"/>
      <c r="Z361" s="5208"/>
      <c r="AA361" s="5209"/>
    </row>
    <row r="362" spans="1:27" ht="14.85" customHeight="1">
      <c r="A362" s="5197"/>
      <c r="B362" s="5198"/>
      <c r="C362" s="5126"/>
      <c r="D362" s="5197"/>
      <c r="E362" s="5198"/>
      <c r="F362" s="5027"/>
      <c r="G362" s="5199"/>
      <c r="H362" s="5200"/>
      <c r="L362" s="5199"/>
      <c r="M362" s="5207"/>
      <c r="N362" s="5207"/>
      <c r="Z362" s="5208"/>
      <c r="AA362" s="5209"/>
    </row>
    <row r="363" spans="1:27" ht="14.85" customHeight="1">
      <c r="A363" s="5197"/>
      <c r="B363" s="5198"/>
      <c r="C363" s="5126"/>
      <c r="D363" s="5197"/>
      <c r="E363" s="5198"/>
      <c r="F363" s="5027"/>
      <c r="G363" s="5199"/>
      <c r="H363" s="5200"/>
      <c r="L363" s="5199"/>
      <c r="M363" s="5207"/>
      <c r="N363" s="5207"/>
      <c r="Z363" s="5208"/>
      <c r="AA363" s="5209"/>
    </row>
    <row r="364" spans="1:27" ht="14.85" customHeight="1">
      <c r="A364" s="5197"/>
      <c r="B364" s="5198"/>
      <c r="C364" s="5126"/>
      <c r="D364" s="5197"/>
      <c r="E364" s="5198"/>
      <c r="F364" s="5027"/>
      <c r="G364" s="5199"/>
      <c r="H364" s="5200"/>
      <c r="L364" s="5199"/>
      <c r="M364" s="5207"/>
      <c r="N364" s="5207"/>
      <c r="Z364" s="5208"/>
      <c r="AA364" s="5209"/>
    </row>
    <row r="365" spans="1:27" ht="14.85" customHeight="1">
      <c r="A365" s="5197"/>
      <c r="B365" s="5198"/>
      <c r="C365" s="5126"/>
      <c r="D365" s="5197"/>
      <c r="E365" s="5198"/>
      <c r="F365" s="5027"/>
      <c r="G365" s="5199"/>
      <c r="H365" s="5200"/>
      <c r="L365" s="5199"/>
      <c r="M365" s="5207"/>
      <c r="N365" s="5207"/>
      <c r="Z365" s="5208"/>
      <c r="AA365" s="5209"/>
    </row>
    <row r="366" spans="1:27" ht="14.85" customHeight="1">
      <c r="A366" s="5197"/>
      <c r="B366" s="5198"/>
      <c r="C366" s="5126"/>
      <c r="D366" s="5197"/>
      <c r="E366" s="5198"/>
      <c r="F366" s="5027"/>
      <c r="G366" s="5199"/>
      <c r="H366" s="5200"/>
      <c r="L366" s="5199"/>
      <c r="M366" s="5207"/>
      <c r="N366" s="5207"/>
      <c r="Z366" s="5208"/>
      <c r="AA366" s="5209"/>
    </row>
    <row r="367" spans="1:27" ht="14.85" customHeight="1">
      <c r="A367" s="5197"/>
      <c r="B367" s="5198"/>
      <c r="C367" s="5126"/>
      <c r="D367" s="5197"/>
      <c r="E367" s="5198"/>
      <c r="F367" s="5027"/>
      <c r="G367" s="5199"/>
      <c r="H367" s="5200"/>
      <c r="L367" s="5199"/>
      <c r="M367" s="5207"/>
      <c r="N367" s="5207"/>
      <c r="Z367" s="5208"/>
      <c r="AA367" s="5209"/>
    </row>
    <row r="368" spans="1:27" ht="14.85" customHeight="1">
      <c r="A368" s="5197"/>
      <c r="B368" s="5198"/>
      <c r="C368" s="5126"/>
      <c r="D368" s="5197"/>
      <c r="E368" s="5198"/>
      <c r="F368" s="5027"/>
      <c r="G368" s="5199"/>
      <c r="H368" s="5200"/>
      <c r="L368" s="5199"/>
      <c r="M368" s="5207"/>
      <c r="N368" s="5207"/>
      <c r="Z368" s="5208"/>
      <c r="AA368" s="5209"/>
    </row>
    <row r="369" spans="1:27" ht="14.85" customHeight="1">
      <c r="A369" s="5197"/>
      <c r="B369" s="5198"/>
      <c r="C369" s="5126"/>
      <c r="D369" s="5197"/>
      <c r="E369" s="5198"/>
      <c r="F369" s="5027"/>
      <c r="G369" s="5199"/>
      <c r="H369" s="5200"/>
      <c r="L369" s="5199"/>
      <c r="M369" s="5207"/>
      <c r="N369" s="5207"/>
      <c r="Z369" s="5208"/>
      <c r="AA369" s="5209"/>
    </row>
    <row r="370" spans="1:27" ht="14.85" customHeight="1">
      <c r="A370" s="5197"/>
      <c r="B370" s="5198"/>
      <c r="C370" s="5126"/>
      <c r="D370" s="5197"/>
      <c r="E370" s="5198"/>
      <c r="F370" s="5027"/>
      <c r="G370" s="5199"/>
      <c r="H370" s="5200"/>
      <c r="L370" s="5199"/>
      <c r="M370" s="5207"/>
      <c r="N370" s="5207"/>
      <c r="Z370" s="5208"/>
      <c r="AA370" s="5209"/>
    </row>
    <row r="371" spans="1:27" ht="14.85" customHeight="1">
      <c r="A371" s="5197"/>
      <c r="B371" s="5198"/>
      <c r="C371" s="5126"/>
      <c r="D371" s="5197"/>
      <c r="E371" s="5198"/>
      <c r="F371" s="5027"/>
      <c r="G371" s="5199"/>
      <c r="H371" s="5200"/>
      <c r="L371" s="5199"/>
      <c r="M371" s="5207"/>
      <c r="N371" s="5207"/>
      <c r="Z371" s="5208"/>
      <c r="AA371" s="5209"/>
    </row>
    <row r="372" spans="1:27" ht="14.85" customHeight="1">
      <c r="A372" s="5197"/>
      <c r="B372" s="5198"/>
      <c r="C372" s="5126"/>
      <c r="D372" s="5197"/>
      <c r="E372" s="5198"/>
      <c r="F372" s="5027"/>
      <c r="G372" s="5199"/>
      <c r="H372" s="5200"/>
      <c r="L372" s="5199"/>
      <c r="M372" s="5207"/>
      <c r="N372" s="5207"/>
      <c r="Z372" s="5208"/>
      <c r="AA372" s="5209"/>
    </row>
    <row r="373" spans="1:27" ht="14.85" customHeight="1">
      <c r="A373" s="5197"/>
      <c r="B373" s="5198"/>
      <c r="C373" s="5126"/>
      <c r="D373" s="5197"/>
      <c r="E373" s="5198"/>
      <c r="F373" s="5027"/>
      <c r="G373" s="5199"/>
      <c r="H373" s="5200"/>
      <c r="L373" s="5199"/>
      <c r="M373" s="5207"/>
      <c r="N373" s="5207"/>
      <c r="Z373" s="5208"/>
      <c r="AA373" s="5209"/>
    </row>
    <row r="374" spans="1:27" ht="14.85" customHeight="1">
      <c r="A374" s="5197"/>
      <c r="B374" s="5198"/>
      <c r="C374" s="5126"/>
      <c r="D374" s="5197"/>
      <c r="E374" s="5198"/>
      <c r="F374" s="5027"/>
      <c r="G374" s="5199"/>
      <c r="H374" s="5200"/>
      <c r="L374" s="5199"/>
      <c r="M374" s="5207"/>
      <c r="N374" s="5207"/>
      <c r="Z374" s="5208"/>
      <c r="AA374" s="5209"/>
    </row>
    <row r="375" spans="1:27" ht="14.85" customHeight="1">
      <c r="A375" s="5197"/>
      <c r="B375" s="5198"/>
      <c r="C375" s="5126"/>
      <c r="D375" s="5197"/>
      <c r="E375" s="5198"/>
      <c r="F375" s="5027"/>
      <c r="G375" s="5199"/>
      <c r="H375" s="5200"/>
      <c r="L375" s="5199"/>
      <c r="M375" s="5207"/>
      <c r="N375" s="5207"/>
      <c r="Z375" s="5208"/>
      <c r="AA375" s="5209"/>
    </row>
    <row r="376" spans="1:27" ht="14.85" customHeight="1">
      <c r="A376" s="5197"/>
      <c r="B376" s="5198"/>
      <c r="C376" s="5126"/>
      <c r="D376" s="5197"/>
      <c r="E376" s="5198"/>
      <c r="F376" s="5027"/>
      <c r="G376" s="5199"/>
      <c r="H376" s="5200"/>
      <c r="L376" s="5199"/>
      <c r="M376" s="5207"/>
      <c r="N376" s="5207"/>
      <c r="Z376" s="5208"/>
      <c r="AA376" s="5209"/>
    </row>
    <row r="377" spans="1:27" ht="14.85" customHeight="1">
      <c r="A377" s="5197"/>
      <c r="B377" s="5198"/>
      <c r="C377" s="5126"/>
      <c r="D377" s="5197"/>
      <c r="E377" s="5198"/>
      <c r="F377" s="5027"/>
      <c r="G377" s="5199"/>
      <c r="H377" s="5200"/>
      <c r="L377" s="5199"/>
      <c r="M377" s="5207"/>
      <c r="N377" s="5207"/>
      <c r="Z377" s="5208"/>
      <c r="AA377" s="5209"/>
    </row>
    <row r="378" spans="1:27" ht="14.85" customHeight="1">
      <c r="A378" s="5197"/>
      <c r="B378" s="5198"/>
      <c r="C378" s="5126"/>
      <c r="D378" s="5197"/>
      <c r="E378" s="5198"/>
      <c r="F378" s="5027"/>
      <c r="G378" s="5199"/>
      <c r="H378" s="5200"/>
      <c r="L378" s="5199"/>
      <c r="M378" s="5207"/>
      <c r="N378" s="5207"/>
      <c r="Z378" s="5208"/>
      <c r="AA378" s="5209"/>
    </row>
    <row r="379" spans="1:27" ht="14.85" customHeight="1">
      <c r="A379" s="5197"/>
      <c r="B379" s="5198"/>
      <c r="C379" s="5126"/>
      <c r="D379" s="5197"/>
      <c r="E379" s="5198"/>
      <c r="F379" s="5027"/>
      <c r="G379" s="5199"/>
      <c r="H379" s="5200"/>
      <c r="L379" s="5199"/>
      <c r="M379" s="5207"/>
      <c r="N379" s="5207"/>
      <c r="Z379" s="5208"/>
      <c r="AA379" s="5209"/>
    </row>
    <row r="380" spans="1:27" ht="14.85" customHeight="1">
      <c r="A380" s="5197"/>
      <c r="B380" s="5198"/>
      <c r="C380" s="5126"/>
      <c r="D380" s="5197"/>
      <c r="E380" s="5198"/>
      <c r="F380" s="5027"/>
      <c r="G380" s="5199"/>
      <c r="H380" s="5200"/>
      <c r="L380" s="5199"/>
      <c r="M380" s="5207"/>
      <c r="N380" s="5207"/>
      <c r="Z380" s="5208"/>
      <c r="AA380" s="5209"/>
    </row>
    <row r="381" spans="1:27" ht="14.85" customHeight="1">
      <c r="A381" s="5197"/>
      <c r="B381" s="5198"/>
      <c r="C381" s="5126"/>
      <c r="D381" s="5197"/>
      <c r="E381" s="5198"/>
      <c r="F381" s="5027"/>
      <c r="G381" s="5199"/>
      <c r="H381" s="5200"/>
      <c r="L381" s="5199"/>
      <c r="M381" s="5207"/>
      <c r="N381" s="5207"/>
      <c r="Z381" s="5208"/>
      <c r="AA381" s="5209"/>
    </row>
    <row r="382" spans="1:27" ht="14.85" customHeight="1">
      <c r="A382" s="5197"/>
      <c r="B382" s="5198"/>
      <c r="C382" s="5126"/>
      <c r="D382" s="5197"/>
      <c r="E382" s="5198"/>
      <c r="F382" s="5027"/>
      <c r="G382" s="5199"/>
      <c r="H382" s="5200"/>
      <c r="L382" s="5199"/>
      <c r="M382" s="5207"/>
      <c r="N382" s="5207"/>
      <c r="Z382" s="5208"/>
      <c r="AA382" s="5209"/>
    </row>
    <row r="383" spans="1:27" ht="14.85" customHeight="1">
      <c r="A383" s="5197"/>
      <c r="B383" s="5198"/>
      <c r="C383" s="5126"/>
      <c r="D383" s="5197"/>
      <c r="E383" s="5198"/>
      <c r="F383" s="5027"/>
      <c r="G383" s="5199"/>
      <c r="H383" s="5200"/>
      <c r="L383" s="5199"/>
      <c r="M383" s="5207"/>
      <c r="N383" s="5207"/>
      <c r="Z383" s="5208"/>
      <c r="AA383" s="5209"/>
    </row>
    <row r="384" spans="1:27" ht="14.85" customHeight="1">
      <c r="A384" s="5197"/>
      <c r="B384" s="5198"/>
      <c r="C384" s="5126"/>
      <c r="D384" s="5197"/>
      <c r="E384" s="5198"/>
      <c r="F384" s="5027"/>
      <c r="G384" s="5199"/>
      <c r="H384" s="5200"/>
      <c r="L384" s="5199"/>
      <c r="M384" s="5207"/>
      <c r="N384" s="5207"/>
      <c r="Z384" s="5208"/>
      <c r="AA384" s="5209"/>
    </row>
    <row r="385" spans="1:27" ht="14.85" customHeight="1">
      <c r="A385" s="5197"/>
      <c r="B385" s="5198"/>
      <c r="C385" s="5126"/>
      <c r="D385" s="5197"/>
      <c r="E385" s="5198"/>
      <c r="F385" s="5027"/>
      <c r="G385" s="5199"/>
      <c r="H385" s="5200"/>
      <c r="L385" s="5199"/>
      <c r="M385" s="5207"/>
      <c r="N385" s="5207"/>
      <c r="Z385" s="5208"/>
      <c r="AA385" s="5209"/>
    </row>
    <row r="386" spans="1:27" ht="14.85" customHeight="1">
      <c r="A386" s="5197"/>
      <c r="B386" s="5198"/>
      <c r="C386" s="5126"/>
      <c r="D386" s="5197"/>
      <c r="E386" s="5198"/>
      <c r="F386" s="5027"/>
      <c r="G386" s="5199"/>
      <c r="H386" s="5200"/>
      <c r="L386" s="5199"/>
      <c r="M386" s="5207"/>
      <c r="N386" s="5207"/>
      <c r="Z386" s="5208"/>
      <c r="AA386" s="5209"/>
    </row>
    <row r="387" spans="1:27" ht="14.85" customHeight="1">
      <c r="A387" s="5197"/>
      <c r="B387" s="5198"/>
      <c r="C387" s="5126"/>
      <c r="D387" s="5197"/>
      <c r="E387" s="5198"/>
      <c r="F387" s="5027"/>
      <c r="G387" s="5199"/>
      <c r="H387" s="5200"/>
      <c r="L387" s="5199"/>
      <c r="M387" s="5207"/>
      <c r="N387" s="5207"/>
      <c r="Z387" s="5208"/>
      <c r="AA387" s="5209"/>
    </row>
    <row r="388" spans="1:27" ht="14.85" customHeight="1">
      <c r="A388" s="5197"/>
      <c r="B388" s="5198"/>
      <c r="C388" s="5126"/>
      <c r="D388" s="5197"/>
      <c r="E388" s="5198"/>
      <c r="F388" s="5027"/>
      <c r="G388" s="5199"/>
      <c r="H388" s="5200"/>
      <c r="L388" s="5199"/>
      <c r="M388" s="5207"/>
      <c r="N388" s="5207"/>
      <c r="Z388" s="5208"/>
      <c r="AA388" s="5209"/>
    </row>
    <row r="389" spans="1:27" ht="14.85" customHeight="1">
      <c r="A389" s="5197"/>
      <c r="B389" s="5198"/>
      <c r="C389" s="5126"/>
      <c r="D389" s="5197"/>
      <c r="E389" s="5198"/>
      <c r="F389" s="5027"/>
      <c r="G389" s="5199"/>
      <c r="H389" s="5200"/>
      <c r="L389" s="5199"/>
      <c r="M389" s="5207"/>
      <c r="N389" s="5207"/>
      <c r="Z389" s="5208"/>
      <c r="AA389" s="5209"/>
    </row>
    <row r="390" spans="1:27" ht="14.85" customHeight="1">
      <c r="A390" s="5197"/>
      <c r="B390" s="5198"/>
      <c r="C390" s="5126"/>
      <c r="D390" s="5197"/>
      <c r="E390" s="5198"/>
      <c r="F390" s="5027"/>
      <c r="G390" s="5199"/>
      <c r="H390" s="5200"/>
      <c r="L390" s="5199"/>
      <c r="M390" s="5207"/>
      <c r="N390" s="5207"/>
      <c r="Z390" s="5208"/>
      <c r="AA390" s="5209"/>
    </row>
    <row r="391" spans="1:27" ht="14.85" customHeight="1">
      <c r="A391" s="5197"/>
      <c r="B391" s="5198"/>
      <c r="C391" s="5126"/>
      <c r="D391" s="5197"/>
      <c r="E391" s="5198"/>
      <c r="F391" s="5027"/>
      <c r="G391" s="5199"/>
      <c r="H391" s="5200"/>
      <c r="L391" s="5199"/>
      <c r="M391" s="5207"/>
      <c r="N391" s="5207"/>
      <c r="Z391" s="5208"/>
      <c r="AA391" s="5209"/>
    </row>
    <row r="392" spans="1:27" ht="14.85" customHeight="1">
      <c r="A392" s="5197"/>
      <c r="B392" s="5198"/>
      <c r="C392" s="5126"/>
      <c r="D392" s="5197"/>
      <c r="E392" s="5198"/>
      <c r="F392" s="5027"/>
      <c r="G392" s="5199"/>
      <c r="H392" s="5200"/>
      <c r="L392" s="5199"/>
      <c r="M392" s="5207"/>
      <c r="N392" s="5207"/>
      <c r="Z392" s="5208"/>
      <c r="AA392" s="5209"/>
    </row>
    <row r="393" spans="1:27" ht="14.85" customHeight="1">
      <c r="A393" s="5197"/>
      <c r="B393" s="5198"/>
      <c r="C393" s="5126"/>
      <c r="D393" s="5197"/>
      <c r="E393" s="5198"/>
      <c r="F393" s="5027"/>
      <c r="G393" s="5199"/>
      <c r="H393" s="5200"/>
      <c r="L393" s="5199"/>
      <c r="M393" s="5207"/>
      <c r="N393" s="5207"/>
      <c r="Z393" s="5208"/>
      <c r="AA393" s="5209"/>
    </row>
    <row r="394" spans="1:27" ht="14.85" customHeight="1">
      <c r="A394" s="5197"/>
      <c r="B394" s="5198"/>
      <c r="C394" s="5126"/>
      <c r="D394" s="5197"/>
      <c r="E394" s="5198"/>
      <c r="F394" s="5027"/>
      <c r="G394" s="5199"/>
      <c r="H394" s="5200"/>
      <c r="L394" s="5199"/>
      <c r="M394" s="5207"/>
      <c r="N394" s="5207"/>
      <c r="Z394" s="5208"/>
      <c r="AA394" s="5209"/>
    </row>
    <row r="395" spans="1:27" ht="14.85" customHeight="1">
      <c r="A395" s="5197"/>
      <c r="B395" s="5198"/>
      <c r="C395" s="5126"/>
      <c r="D395" s="5197"/>
      <c r="E395" s="5198"/>
      <c r="F395" s="5027"/>
      <c r="G395" s="5199"/>
      <c r="H395" s="5200"/>
      <c r="L395" s="5199"/>
      <c r="M395" s="5207"/>
      <c r="N395" s="5207"/>
      <c r="Z395" s="5208"/>
      <c r="AA395" s="5209"/>
    </row>
    <row r="396" spans="1:27" ht="14.85" customHeight="1">
      <c r="A396" s="5197"/>
      <c r="B396" s="5198"/>
      <c r="C396" s="5126"/>
      <c r="D396" s="5197"/>
      <c r="E396" s="5198"/>
      <c r="F396" s="5027"/>
      <c r="G396" s="5199"/>
      <c r="H396" s="5200"/>
      <c r="L396" s="5199"/>
      <c r="M396" s="5207"/>
      <c r="N396" s="5207"/>
      <c r="Z396" s="5208"/>
      <c r="AA396" s="5209"/>
    </row>
    <row r="397" spans="1:27" ht="14.85" customHeight="1">
      <c r="A397" s="5197"/>
      <c r="B397" s="5198"/>
      <c r="C397" s="5126"/>
      <c r="D397" s="5197"/>
      <c r="E397" s="5198"/>
      <c r="F397" s="5027"/>
      <c r="G397" s="5199"/>
      <c r="H397" s="5200"/>
      <c r="L397" s="5199"/>
      <c r="M397" s="5207"/>
      <c r="N397" s="5207"/>
      <c r="Z397" s="5208"/>
      <c r="AA397" s="5209"/>
    </row>
    <row r="398" spans="1:27" ht="14.85" customHeight="1">
      <c r="A398" s="5197"/>
      <c r="B398" s="5198"/>
      <c r="C398" s="5126"/>
      <c r="D398" s="5197"/>
      <c r="E398" s="5198"/>
      <c r="F398" s="5027"/>
      <c r="G398" s="5199"/>
      <c r="H398" s="5200"/>
      <c r="L398" s="5199"/>
      <c r="M398" s="5207"/>
      <c r="N398" s="5207"/>
      <c r="Z398" s="5208"/>
      <c r="AA398" s="5209"/>
    </row>
    <row r="399" spans="1:27" ht="14.85" customHeight="1">
      <c r="A399" s="5197"/>
      <c r="B399" s="5198"/>
      <c r="C399" s="5126"/>
      <c r="D399" s="5197"/>
      <c r="E399" s="5198"/>
      <c r="F399" s="5027"/>
      <c r="G399" s="5199"/>
      <c r="H399" s="5200"/>
      <c r="L399" s="5199"/>
      <c r="M399" s="5207"/>
      <c r="N399" s="5207"/>
      <c r="Z399" s="5208"/>
      <c r="AA399" s="5209"/>
    </row>
    <row r="400" spans="1:27" ht="14.85" customHeight="1">
      <c r="A400" s="5197"/>
      <c r="B400" s="5198"/>
      <c r="C400" s="5126"/>
      <c r="D400" s="5197"/>
      <c r="E400" s="5198"/>
      <c r="F400" s="5027"/>
      <c r="G400" s="5199"/>
      <c r="H400" s="5200"/>
      <c r="L400" s="5199"/>
      <c r="M400" s="5207"/>
      <c r="N400" s="5207"/>
      <c r="Z400" s="5208"/>
      <c r="AA400" s="5209"/>
    </row>
    <row r="401" spans="1:27" ht="14.85" customHeight="1">
      <c r="A401" s="5197"/>
      <c r="B401" s="5198"/>
      <c r="C401" s="5126"/>
      <c r="D401" s="5197"/>
      <c r="E401" s="5198"/>
      <c r="F401" s="5027"/>
      <c r="G401" s="5199"/>
      <c r="H401" s="5200"/>
      <c r="L401" s="5199"/>
      <c r="M401" s="5207"/>
      <c r="N401" s="5207"/>
      <c r="Z401" s="5208"/>
      <c r="AA401" s="5209"/>
    </row>
    <row r="402" spans="1:27" ht="14.85" customHeight="1">
      <c r="A402" s="5197"/>
      <c r="B402" s="5198"/>
      <c r="C402" s="5126"/>
      <c r="D402" s="5197"/>
      <c r="E402" s="5198"/>
      <c r="F402" s="5027"/>
      <c r="G402" s="5199"/>
      <c r="H402" s="5200"/>
      <c r="L402" s="5199"/>
      <c r="M402" s="5207"/>
      <c r="N402" s="5207"/>
      <c r="Z402" s="5208"/>
      <c r="AA402" s="5209"/>
    </row>
    <row r="403" spans="1:27" ht="14.85" customHeight="1">
      <c r="A403" s="5197"/>
      <c r="B403" s="5198"/>
      <c r="C403" s="5126"/>
      <c r="D403" s="5197"/>
      <c r="E403" s="5198"/>
      <c r="F403" s="5027"/>
      <c r="G403" s="5199"/>
      <c r="H403" s="5200"/>
      <c r="L403" s="5199"/>
      <c r="M403" s="5207"/>
      <c r="N403" s="5207"/>
      <c r="Z403" s="5208"/>
      <c r="AA403" s="5209"/>
    </row>
    <row r="404" spans="1:27" ht="14.85" customHeight="1">
      <c r="A404" s="5197"/>
      <c r="B404" s="5198"/>
      <c r="C404" s="5126"/>
      <c r="D404" s="5197"/>
      <c r="E404" s="5198"/>
      <c r="F404" s="5027"/>
      <c r="G404" s="5199"/>
      <c r="H404" s="5200"/>
      <c r="L404" s="5199"/>
      <c r="M404" s="5207"/>
      <c r="N404" s="5207"/>
      <c r="Z404" s="5208"/>
      <c r="AA404" s="5209"/>
    </row>
    <row r="405" spans="1:27" ht="14.85" customHeight="1">
      <c r="A405" s="5197"/>
      <c r="B405" s="5198"/>
      <c r="C405" s="5126"/>
      <c r="D405" s="5197"/>
      <c r="E405" s="5198"/>
      <c r="F405" s="5027"/>
      <c r="G405" s="5199"/>
      <c r="H405" s="5200"/>
      <c r="L405" s="5199"/>
      <c r="M405" s="5207"/>
      <c r="N405" s="5207"/>
      <c r="Z405" s="5208"/>
      <c r="AA405" s="5209"/>
    </row>
    <row r="406" spans="1:27" ht="14.85" customHeight="1">
      <c r="A406" s="5197"/>
      <c r="B406" s="5198"/>
      <c r="C406" s="5126"/>
      <c r="D406" s="5197"/>
      <c r="E406" s="5198"/>
      <c r="F406" s="5027"/>
      <c r="G406" s="5199"/>
      <c r="H406" s="5200"/>
      <c r="L406" s="5199"/>
      <c r="M406" s="5207"/>
      <c r="N406" s="5207"/>
      <c r="Z406" s="5208"/>
      <c r="AA406" s="5209"/>
    </row>
    <row r="407" spans="1:27" ht="14.85" customHeight="1">
      <c r="A407" s="5197"/>
      <c r="B407" s="5198"/>
      <c r="C407" s="5126"/>
      <c r="D407" s="5197"/>
      <c r="E407" s="5198"/>
      <c r="F407" s="5027"/>
      <c r="G407" s="5199"/>
      <c r="H407" s="5200"/>
      <c r="L407" s="5199"/>
      <c r="M407" s="5207"/>
      <c r="N407" s="5207"/>
      <c r="Z407" s="5208"/>
      <c r="AA407" s="5209"/>
    </row>
    <row r="408" spans="1:27" ht="14.85" customHeight="1">
      <c r="A408" s="5197"/>
      <c r="B408" s="5198"/>
      <c r="C408" s="5126"/>
      <c r="D408" s="5197"/>
      <c r="E408" s="5198"/>
      <c r="F408" s="5027"/>
      <c r="G408" s="5199"/>
      <c r="H408" s="5200"/>
      <c r="L408" s="5199"/>
      <c r="M408" s="5207"/>
      <c r="N408" s="5207"/>
      <c r="Z408" s="5208"/>
      <c r="AA408" s="5209"/>
    </row>
    <row r="409" spans="1:27" ht="14.85" customHeight="1">
      <c r="A409" s="5197"/>
      <c r="B409" s="5198"/>
      <c r="C409" s="5126"/>
      <c r="D409" s="5197"/>
      <c r="E409" s="5198"/>
      <c r="F409" s="5027"/>
      <c r="G409" s="5199"/>
      <c r="H409" s="5200"/>
      <c r="L409" s="5199"/>
      <c r="M409" s="5207"/>
      <c r="N409" s="5207"/>
      <c r="Z409" s="5208"/>
      <c r="AA409" s="5209"/>
    </row>
    <row r="410" spans="1:27" ht="14.85" customHeight="1">
      <c r="A410" s="5197"/>
      <c r="B410" s="5198"/>
      <c r="C410" s="5126"/>
      <c r="D410" s="5197"/>
      <c r="E410" s="5198"/>
      <c r="F410" s="5027"/>
      <c r="G410" s="5199"/>
      <c r="H410" s="5200"/>
      <c r="L410" s="5199"/>
      <c r="M410" s="5207"/>
      <c r="N410" s="5207"/>
      <c r="Z410" s="5208"/>
      <c r="AA410" s="5209"/>
    </row>
    <row r="411" spans="1:27" ht="14.85" customHeight="1">
      <c r="A411" s="5197"/>
      <c r="B411" s="5198"/>
      <c r="C411" s="5126"/>
      <c r="D411" s="5197"/>
      <c r="E411" s="5198"/>
      <c r="F411" s="5027"/>
      <c r="G411" s="5199"/>
      <c r="H411" s="5200"/>
      <c r="L411" s="5199"/>
      <c r="M411" s="5207"/>
      <c r="N411" s="5207"/>
      <c r="Z411" s="5208"/>
      <c r="AA411" s="5209"/>
    </row>
    <row r="412" spans="1:27" ht="14.85" customHeight="1">
      <c r="A412" s="5197"/>
      <c r="B412" s="5198"/>
      <c r="C412" s="5126"/>
      <c r="D412" s="5197"/>
      <c r="E412" s="5198"/>
      <c r="F412" s="5027"/>
      <c r="G412" s="5199"/>
      <c r="H412" s="5200"/>
      <c r="L412" s="5199"/>
      <c r="M412" s="5207"/>
      <c r="N412" s="5207"/>
      <c r="Z412" s="5208"/>
      <c r="AA412" s="5209"/>
    </row>
    <row r="413" spans="1:27" ht="14.85" customHeight="1">
      <c r="A413" s="5197"/>
      <c r="B413" s="5198"/>
      <c r="C413" s="5126"/>
      <c r="D413" s="5197"/>
      <c r="E413" s="5198"/>
      <c r="F413" s="5027"/>
      <c r="G413" s="5199"/>
      <c r="H413" s="5200"/>
      <c r="L413" s="5199"/>
      <c r="M413" s="5207"/>
      <c r="N413" s="5207"/>
      <c r="Z413" s="5208"/>
      <c r="AA413" s="5209"/>
    </row>
    <row r="414" spans="1:27" ht="14.85" customHeight="1">
      <c r="A414" s="5197"/>
      <c r="B414" s="5198"/>
      <c r="C414" s="5126"/>
      <c r="D414" s="5197"/>
      <c r="E414" s="5198"/>
      <c r="F414" s="5027"/>
      <c r="G414" s="5199"/>
      <c r="H414" s="5200"/>
      <c r="L414" s="5199"/>
      <c r="M414" s="5207"/>
      <c r="N414" s="5207"/>
      <c r="Z414" s="5208"/>
      <c r="AA414" s="5209"/>
    </row>
    <row r="415" spans="1:27" ht="14.85" customHeight="1">
      <c r="A415" s="5197"/>
      <c r="B415" s="5198"/>
      <c r="C415" s="5126"/>
      <c r="D415" s="5197"/>
      <c r="E415" s="5198"/>
      <c r="F415" s="5027"/>
      <c r="G415" s="5199"/>
      <c r="H415" s="5200"/>
      <c r="L415" s="5199"/>
      <c r="M415" s="5207"/>
      <c r="N415" s="5207"/>
      <c r="Z415" s="5208"/>
      <c r="AA415" s="5209"/>
    </row>
    <row r="416" spans="1:27" ht="14.85" customHeight="1">
      <c r="A416" s="5197"/>
      <c r="B416" s="5198"/>
      <c r="C416" s="5126"/>
      <c r="D416" s="5197"/>
      <c r="E416" s="5198"/>
      <c r="F416" s="5027"/>
      <c r="G416" s="5199"/>
      <c r="H416" s="5200"/>
      <c r="L416" s="5199"/>
      <c r="M416" s="5207"/>
      <c r="N416" s="5207"/>
      <c r="Z416" s="5208"/>
      <c r="AA416" s="5209"/>
    </row>
    <row r="417" spans="1:27" ht="14.85" customHeight="1">
      <c r="A417" s="5197"/>
      <c r="B417" s="5198"/>
      <c r="C417" s="5126"/>
      <c r="D417" s="5197"/>
      <c r="E417" s="5198"/>
      <c r="F417" s="5027"/>
      <c r="G417" s="5199"/>
      <c r="H417" s="5200"/>
      <c r="L417" s="5199"/>
      <c r="M417" s="5207"/>
      <c r="N417" s="5207"/>
      <c r="Z417" s="5208"/>
      <c r="AA417" s="5209"/>
    </row>
    <row r="418" spans="1:27" ht="14.85" customHeight="1">
      <c r="A418" s="5197"/>
      <c r="B418" s="5198"/>
      <c r="C418" s="5126"/>
      <c r="D418" s="5197"/>
      <c r="E418" s="5198"/>
      <c r="F418" s="5027"/>
      <c r="G418" s="5199"/>
      <c r="H418" s="5200"/>
      <c r="L418" s="5199"/>
      <c r="M418" s="5207"/>
      <c r="N418" s="5207"/>
      <c r="Z418" s="5208"/>
      <c r="AA418" s="5209"/>
    </row>
    <row r="419" spans="1:27" ht="14.85" customHeight="1">
      <c r="A419" s="5197"/>
      <c r="B419" s="5198"/>
      <c r="C419" s="5126"/>
      <c r="D419" s="5197"/>
      <c r="E419" s="5198"/>
      <c r="F419" s="5027"/>
      <c r="G419" s="5199"/>
      <c r="H419" s="5200"/>
      <c r="L419" s="5199"/>
      <c r="M419" s="5207"/>
      <c r="N419" s="5207"/>
      <c r="Z419" s="5208"/>
      <c r="AA419" s="5209"/>
    </row>
    <row r="420" spans="1:27" ht="14.85" customHeight="1">
      <c r="A420" s="5197"/>
      <c r="B420" s="5198"/>
      <c r="C420" s="5126"/>
      <c r="D420" s="5197"/>
      <c r="E420" s="5198"/>
      <c r="F420" s="5027"/>
      <c r="G420" s="5199"/>
      <c r="H420" s="5200"/>
      <c r="L420" s="5199"/>
      <c r="M420" s="5207"/>
      <c r="N420" s="5207"/>
      <c r="Z420" s="5208"/>
      <c r="AA420" s="5209"/>
    </row>
    <row r="421" spans="1:27" ht="14.85" customHeight="1">
      <c r="A421" s="5197"/>
      <c r="B421" s="5198"/>
      <c r="C421" s="5126"/>
      <c r="D421" s="5197"/>
      <c r="E421" s="5198"/>
      <c r="F421" s="5027"/>
      <c r="G421" s="5199"/>
      <c r="H421" s="5200"/>
      <c r="L421" s="5199"/>
      <c r="M421" s="5207"/>
      <c r="N421" s="5207"/>
      <c r="Z421" s="5208"/>
      <c r="AA421" s="5209"/>
    </row>
    <row r="422" spans="1:27" ht="14.85" customHeight="1">
      <c r="A422" s="5197"/>
      <c r="B422" s="5198"/>
      <c r="C422" s="5126"/>
      <c r="D422" s="5197"/>
      <c r="E422" s="5198"/>
      <c r="F422" s="5027"/>
      <c r="G422" s="5199"/>
      <c r="H422" s="5200"/>
      <c r="L422" s="5199"/>
      <c r="M422" s="5207"/>
      <c r="N422" s="5207"/>
      <c r="Z422" s="5208"/>
      <c r="AA422" s="5209"/>
    </row>
    <row r="423" spans="1:27" ht="14.85" customHeight="1">
      <c r="A423" s="5197"/>
      <c r="B423" s="5198"/>
      <c r="C423" s="5126"/>
      <c r="D423" s="5197"/>
      <c r="E423" s="5198"/>
      <c r="F423" s="5027"/>
      <c r="G423" s="5199"/>
      <c r="H423" s="5200"/>
      <c r="L423" s="5199"/>
      <c r="M423" s="5207"/>
      <c r="N423" s="5207"/>
      <c r="Z423" s="5208"/>
      <c r="AA423" s="5209"/>
    </row>
    <row r="424" spans="1:27" ht="14.85" customHeight="1">
      <c r="A424" s="5197"/>
      <c r="B424" s="5198"/>
      <c r="C424" s="5126"/>
      <c r="D424" s="5197"/>
      <c r="E424" s="5198"/>
      <c r="F424" s="5027"/>
      <c r="G424" s="5199"/>
      <c r="H424" s="5200"/>
      <c r="L424" s="5199"/>
      <c r="M424" s="5207"/>
      <c r="N424" s="5207"/>
      <c r="Z424" s="5208"/>
      <c r="AA424" s="5209"/>
    </row>
    <row r="425" spans="1:27" ht="14.85" customHeight="1">
      <c r="A425" s="5197"/>
      <c r="B425" s="5198"/>
      <c r="C425" s="5126"/>
      <c r="D425" s="5197"/>
      <c r="E425" s="5198"/>
      <c r="F425" s="5027"/>
      <c r="G425" s="5199"/>
      <c r="H425" s="5200"/>
      <c r="L425" s="5199"/>
      <c r="M425" s="5207"/>
      <c r="N425" s="5207"/>
      <c r="Z425" s="5208"/>
      <c r="AA425" s="5209"/>
    </row>
    <row r="426" spans="1:27" ht="14.85" customHeight="1">
      <c r="A426" s="5197"/>
      <c r="B426" s="5198"/>
      <c r="C426" s="5126"/>
      <c r="D426" s="5197"/>
      <c r="E426" s="5198"/>
      <c r="F426" s="5027"/>
      <c r="G426" s="5199"/>
      <c r="H426" s="5200"/>
      <c r="L426" s="5199"/>
      <c r="M426" s="5207"/>
      <c r="N426" s="5207"/>
      <c r="Z426" s="5208"/>
      <c r="AA426" s="5209"/>
    </row>
    <row r="427" spans="1:27" ht="14.85" customHeight="1">
      <c r="A427" s="5197"/>
      <c r="B427" s="5198"/>
      <c r="C427" s="5126"/>
      <c r="D427" s="5197"/>
      <c r="E427" s="5198"/>
      <c r="F427" s="5027"/>
      <c r="G427" s="5199"/>
      <c r="H427" s="5200"/>
      <c r="L427" s="5199"/>
      <c r="M427" s="5207"/>
      <c r="N427" s="5207"/>
      <c r="Z427" s="5208"/>
      <c r="AA427" s="5209"/>
    </row>
    <row r="428" spans="1:27" ht="14.85" customHeight="1">
      <c r="A428" s="5197"/>
      <c r="B428" s="5198"/>
      <c r="C428" s="5126"/>
      <c r="D428" s="5197"/>
      <c r="E428" s="5198"/>
      <c r="F428" s="5027"/>
      <c r="G428" s="5199"/>
      <c r="H428" s="5200"/>
      <c r="L428" s="5199"/>
      <c r="M428" s="5207"/>
      <c r="N428" s="5207"/>
      <c r="Z428" s="5208"/>
      <c r="AA428" s="5209"/>
    </row>
    <row r="429" spans="1:27" ht="14.85" customHeight="1">
      <c r="A429" s="5197"/>
      <c r="B429" s="5198"/>
      <c r="C429" s="5126"/>
      <c r="D429" s="5197"/>
      <c r="E429" s="5198"/>
      <c r="F429" s="5027"/>
      <c r="G429" s="5199"/>
      <c r="H429" s="5200"/>
      <c r="L429" s="5199"/>
      <c r="M429" s="5207"/>
      <c r="N429" s="5207"/>
      <c r="Z429" s="5208"/>
      <c r="AA429" s="5209"/>
    </row>
    <row r="430" spans="1:27" ht="14.85" customHeight="1">
      <c r="A430" s="5197"/>
      <c r="B430" s="5198"/>
      <c r="C430" s="5126"/>
      <c r="D430" s="5197"/>
      <c r="E430" s="5198"/>
      <c r="F430" s="5027"/>
      <c r="G430" s="5199"/>
      <c r="H430" s="5200"/>
      <c r="L430" s="5199"/>
      <c r="M430" s="5207"/>
      <c r="N430" s="5207"/>
      <c r="Z430" s="5208"/>
      <c r="AA430" s="5209"/>
    </row>
    <row r="431" spans="1:27" ht="14.85" customHeight="1">
      <c r="A431" s="5197"/>
      <c r="B431" s="5198"/>
      <c r="C431" s="5126"/>
      <c r="D431" s="5197"/>
      <c r="E431" s="5198"/>
      <c r="F431" s="5027"/>
      <c r="G431" s="5199"/>
      <c r="H431" s="5200"/>
      <c r="L431" s="5199"/>
      <c r="M431" s="5207"/>
      <c r="N431" s="5207"/>
      <c r="Z431" s="5208"/>
      <c r="AA431" s="5209"/>
    </row>
    <row r="432" spans="1:27" ht="14.85" customHeight="1">
      <c r="A432" s="5197"/>
      <c r="B432" s="5198"/>
      <c r="C432" s="5126"/>
      <c r="D432" s="5197"/>
      <c r="E432" s="5198"/>
      <c r="F432" s="5027"/>
      <c r="G432" s="5199"/>
      <c r="H432" s="5200"/>
      <c r="L432" s="5199"/>
      <c r="M432" s="5207"/>
      <c r="N432" s="5207"/>
      <c r="Z432" s="5208"/>
      <c r="AA432" s="5209"/>
    </row>
    <row r="433" spans="1:27" ht="14.85" customHeight="1">
      <c r="A433" s="5197"/>
      <c r="B433" s="5198"/>
      <c r="C433" s="5126"/>
      <c r="D433" s="5197"/>
      <c r="E433" s="5198"/>
      <c r="F433" s="5027"/>
      <c r="G433" s="5199"/>
      <c r="H433" s="5200"/>
      <c r="L433" s="5199"/>
      <c r="M433" s="5207"/>
      <c r="N433" s="5207"/>
      <c r="Z433" s="5208"/>
      <c r="AA433" s="5209"/>
    </row>
    <row r="434" spans="1:27" ht="14.85" customHeight="1">
      <c r="A434" s="5197"/>
      <c r="B434" s="5198"/>
      <c r="C434" s="5126"/>
      <c r="D434" s="5197"/>
      <c r="E434" s="5198"/>
      <c r="F434" s="5027"/>
      <c r="G434" s="5199"/>
      <c r="H434" s="5200"/>
      <c r="L434" s="5199"/>
      <c r="M434" s="5207"/>
      <c r="N434" s="5207"/>
      <c r="Z434" s="5208"/>
      <c r="AA434" s="5209"/>
    </row>
    <row r="435" spans="1:27" ht="14.85" customHeight="1">
      <c r="A435" s="5197"/>
      <c r="B435" s="5198"/>
      <c r="C435" s="5126"/>
      <c r="D435" s="5197"/>
      <c r="E435" s="5198"/>
      <c r="F435" s="5027"/>
      <c r="G435" s="5199"/>
      <c r="H435" s="5200"/>
      <c r="L435" s="5199"/>
      <c r="M435" s="5207"/>
      <c r="N435" s="5207"/>
      <c r="Z435" s="5208"/>
      <c r="AA435" s="5209"/>
    </row>
    <row r="436" spans="1:27" ht="14.85" customHeight="1">
      <c r="A436" s="5197"/>
      <c r="B436" s="5198"/>
      <c r="C436" s="5126"/>
      <c r="D436" s="5197"/>
      <c r="E436" s="5198"/>
      <c r="F436" s="5027"/>
      <c r="G436" s="5199"/>
      <c r="H436" s="5200"/>
      <c r="L436" s="5199"/>
      <c r="M436" s="5207"/>
      <c r="N436" s="5207"/>
      <c r="Z436" s="5208"/>
      <c r="AA436" s="5209"/>
    </row>
    <row r="437" spans="1:27" ht="14.85" customHeight="1">
      <c r="A437" s="5197"/>
      <c r="B437" s="5198"/>
      <c r="C437" s="5126"/>
      <c r="D437" s="5197"/>
      <c r="E437" s="5198"/>
      <c r="F437" s="5027"/>
      <c r="G437" s="5199"/>
      <c r="H437" s="5200"/>
      <c r="L437" s="5199"/>
      <c r="M437" s="5207"/>
      <c r="N437" s="5207"/>
      <c r="Z437" s="5208"/>
      <c r="AA437" s="5209"/>
    </row>
    <row r="438" spans="1:27" ht="14.85" customHeight="1">
      <c r="A438" s="5197"/>
      <c r="B438" s="5198"/>
      <c r="C438" s="5126"/>
      <c r="D438" s="5197"/>
      <c r="E438" s="5198"/>
      <c r="F438" s="5027"/>
      <c r="G438" s="5199"/>
      <c r="H438" s="5200"/>
      <c r="L438" s="5199"/>
      <c r="M438" s="5207"/>
      <c r="N438" s="5207"/>
      <c r="Z438" s="5208"/>
      <c r="AA438" s="5209"/>
    </row>
    <row r="439" spans="1:27" ht="14.85" customHeight="1">
      <c r="A439" s="5197"/>
      <c r="B439" s="5198"/>
      <c r="C439" s="5126"/>
      <c r="D439" s="5197"/>
      <c r="E439" s="5198"/>
      <c r="F439" s="5027"/>
      <c r="G439" s="5199"/>
      <c r="H439" s="5200"/>
      <c r="L439" s="5199"/>
      <c r="M439" s="5207"/>
      <c r="N439" s="5207"/>
      <c r="Z439" s="5208"/>
      <c r="AA439" s="5209"/>
    </row>
    <row r="440" spans="1:27" ht="14.85" customHeight="1">
      <c r="A440" s="5197"/>
      <c r="B440" s="5198"/>
      <c r="C440" s="5126"/>
      <c r="D440" s="5197"/>
      <c r="E440" s="5198"/>
      <c r="F440" s="5027"/>
      <c r="G440" s="5199"/>
      <c r="H440" s="5200"/>
      <c r="L440" s="5199"/>
      <c r="M440" s="5207"/>
      <c r="N440" s="5207"/>
      <c r="Z440" s="5208"/>
      <c r="AA440" s="5209"/>
    </row>
    <row r="441" spans="1:27" ht="14.85" customHeight="1">
      <c r="A441" s="5197"/>
      <c r="B441" s="5198"/>
      <c r="C441" s="5126"/>
      <c r="D441" s="5197"/>
      <c r="E441" s="5198"/>
      <c r="F441" s="5027"/>
      <c r="G441" s="5199"/>
      <c r="H441" s="5200"/>
      <c r="L441" s="5199"/>
      <c r="M441" s="5207"/>
      <c r="N441" s="5207"/>
      <c r="Z441" s="5208"/>
      <c r="AA441" s="5209"/>
    </row>
    <row r="442" spans="1:27" ht="14.85" customHeight="1">
      <c r="A442" s="5197"/>
      <c r="B442" s="5198"/>
      <c r="C442" s="5126"/>
      <c r="D442" s="5197"/>
      <c r="E442" s="5198"/>
      <c r="F442" s="5027"/>
      <c r="G442" s="5199"/>
      <c r="H442" s="5200"/>
      <c r="L442" s="5199"/>
      <c r="M442" s="5207"/>
      <c r="N442" s="5207"/>
      <c r="Z442" s="5208"/>
      <c r="AA442" s="5209"/>
    </row>
    <row r="443" spans="1:27" ht="14.85" customHeight="1">
      <c r="A443" s="5197"/>
      <c r="B443" s="5198"/>
      <c r="C443" s="5126"/>
      <c r="D443" s="5197"/>
      <c r="E443" s="5198"/>
      <c r="F443" s="5027"/>
      <c r="G443" s="5199"/>
      <c r="H443" s="5200"/>
      <c r="L443" s="5199"/>
      <c r="M443" s="5207"/>
      <c r="N443" s="5207"/>
      <c r="Z443" s="5208"/>
      <c r="AA443" s="5209"/>
    </row>
    <row r="444" spans="1:27" ht="14.85" customHeight="1">
      <c r="A444" s="5197"/>
      <c r="B444" s="5198"/>
      <c r="C444" s="5126"/>
      <c r="D444" s="5197"/>
      <c r="E444" s="5198"/>
      <c r="F444" s="5027"/>
      <c r="G444" s="5199"/>
      <c r="H444" s="5200"/>
      <c r="L444" s="5199"/>
      <c r="M444" s="5207"/>
      <c r="N444" s="5207"/>
      <c r="Z444" s="5208"/>
      <c r="AA444" s="5209"/>
    </row>
    <row r="445" spans="1:27" ht="14.85" customHeight="1">
      <c r="A445" s="5197"/>
      <c r="B445" s="5198"/>
      <c r="C445" s="5126"/>
      <c r="D445" s="5197"/>
      <c r="E445" s="5198"/>
      <c r="F445" s="5027"/>
      <c r="G445" s="5199"/>
      <c r="H445" s="5200"/>
      <c r="L445" s="5199"/>
      <c r="M445" s="5207"/>
      <c r="N445" s="5207"/>
      <c r="Z445" s="5208"/>
      <c r="AA445" s="5209"/>
    </row>
    <row r="446" spans="1:27" ht="14.85" customHeight="1">
      <c r="A446" s="5197"/>
      <c r="B446" s="5198"/>
      <c r="C446" s="5126"/>
      <c r="D446" s="5197"/>
      <c r="E446" s="5198"/>
      <c r="F446" s="5027"/>
      <c r="G446" s="5199"/>
      <c r="H446" s="5200"/>
      <c r="L446" s="5199"/>
      <c r="M446" s="5207"/>
      <c r="N446" s="5207"/>
      <c r="Z446" s="5208"/>
      <c r="AA446" s="5209"/>
    </row>
    <row r="447" spans="1:27" ht="14.85" customHeight="1">
      <c r="A447" s="5197"/>
      <c r="B447" s="5198"/>
      <c r="C447" s="5126"/>
      <c r="D447" s="5197"/>
      <c r="E447" s="5198"/>
      <c r="F447" s="5027"/>
      <c r="G447" s="5199"/>
      <c r="H447" s="5200"/>
      <c r="L447" s="5199"/>
      <c r="M447" s="5207"/>
      <c r="N447" s="5207"/>
      <c r="Z447" s="5208"/>
      <c r="AA447" s="5209"/>
    </row>
    <row r="448" spans="1:27" ht="14.85" customHeight="1">
      <c r="A448" s="5197"/>
      <c r="B448" s="5198"/>
      <c r="C448" s="5126"/>
      <c r="D448" s="5197"/>
      <c r="E448" s="5198"/>
      <c r="F448" s="5027"/>
      <c r="G448" s="5199"/>
      <c r="H448" s="5200"/>
      <c r="L448" s="5199"/>
      <c r="M448" s="5207"/>
      <c r="N448" s="5207"/>
      <c r="Z448" s="5208"/>
      <c r="AA448" s="5209"/>
    </row>
    <row r="449" spans="1:27" ht="14.85" customHeight="1">
      <c r="A449" s="5197"/>
      <c r="B449" s="5198"/>
      <c r="C449" s="5126"/>
      <c r="D449" s="5197"/>
      <c r="E449" s="5198"/>
      <c r="F449" s="5027"/>
      <c r="G449" s="5199"/>
      <c r="H449" s="5200"/>
      <c r="L449" s="5199"/>
      <c r="M449" s="5207"/>
      <c r="N449" s="5207"/>
      <c r="Z449" s="5208"/>
      <c r="AA449" s="5209"/>
    </row>
    <row r="450" spans="1:27" ht="14.85" customHeight="1">
      <c r="A450" s="5197"/>
      <c r="B450" s="5198"/>
      <c r="C450" s="5126"/>
      <c r="D450" s="5197"/>
      <c r="E450" s="5198"/>
      <c r="F450" s="5027"/>
      <c r="G450" s="5199"/>
      <c r="H450" s="5200"/>
      <c r="L450" s="5199"/>
      <c r="M450" s="5207"/>
      <c r="N450" s="5207"/>
      <c r="Z450" s="5208"/>
      <c r="AA450" s="5209"/>
    </row>
    <row r="451" spans="1:27" ht="14.85" customHeight="1">
      <c r="A451" s="5197"/>
      <c r="B451" s="5198"/>
      <c r="C451" s="5126"/>
      <c r="D451" s="5197"/>
      <c r="E451" s="5198"/>
      <c r="F451" s="5027"/>
      <c r="G451" s="5199"/>
      <c r="H451" s="5200"/>
      <c r="L451" s="5199"/>
      <c r="M451" s="5207"/>
      <c r="N451" s="5207"/>
      <c r="Z451" s="5208"/>
      <c r="AA451" s="5209"/>
    </row>
    <row r="452" spans="1:27" ht="14.85" customHeight="1">
      <c r="A452" s="5197"/>
      <c r="B452" s="5198"/>
      <c r="C452" s="5126"/>
      <c r="D452" s="5197"/>
      <c r="E452" s="5198"/>
      <c r="F452" s="5027"/>
      <c r="G452" s="5199"/>
      <c r="H452" s="5200"/>
      <c r="L452" s="5199"/>
      <c r="M452" s="5207"/>
      <c r="N452" s="5207"/>
      <c r="Z452" s="5208"/>
      <c r="AA452" s="5209"/>
    </row>
    <row r="453" spans="1:27" ht="14.85" customHeight="1">
      <c r="A453" s="5197"/>
      <c r="B453" s="5198"/>
      <c r="C453" s="5126"/>
      <c r="D453" s="5197"/>
      <c r="E453" s="5198"/>
      <c r="F453" s="5027"/>
      <c r="G453" s="5199"/>
      <c r="H453" s="5200"/>
      <c r="L453" s="5199"/>
      <c r="M453" s="5207"/>
      <c r="N453" s="5207"/>
      <c r="Z453" s="5208"/>
      <c r="AA453" s="5209"/>
    </row>
    <row r="454" spans="1:27" ht="14.85" customHeight="1">
      <c r="A454" s="5197"/>
      <c r="B454" s="5198"/>
      <c r="C454" s="5126"/>
      <c r="D454" s="5197"/>
      <c r="E454" s="5198"/>
      <c r="F454" s="5027"/>
      <c r="G454" s="5199"/>
      <c r="H454" s="5200"/>
      <c r="L454" s="5199"/>
      <c r="M454" s="5207"/>
      <c r="N454" s="5207"/>
      <c r="Z454" s="5208"/>
      <c r="AA454" s="5209"/>
    </row>
    <row r="455" spans="1:27" ht="14.85" customHeight="1">
      <c r="A455" s="5197"/>
      <c r="B455" s="5198"/>
      <c r="C455" s="5126"/>
      <c r="D455" s="5197"/>
      <c r="E455" s="5198"/>
      <c r="F455" s="5027"/>
      <c r="G455" s="5199"/>
      <c r="H455" s="5200"/>
      <c r="L455" s="5199"/>
      <c r="M455" s="5207"/>
      <c r="N455" s="5207"/>
      <c r="Z455" s="5208"/>
      <c r="AA455" s="5209"/>
    </row>
    <row r="456" spans="1:27" ht="14.85" customHeight="1">
      <c r="A456" s="5197"/>
      <c r="B456" s="5198"/>
      <c r="C456" s="5126"/>
      <c r="D456" s="5197"/>
      <c r="E456" s="5198"/>
      <c r="F456" s="5027"/>
      <c r="G456" s="5199"/>
      <c r="H456" s="5200"/>
      <c r="L456" s="5199"/>
      <c r="M456" s="5207"/>
      <c r="N456" s="5207"/>
      <c r="Z456" s="5208"/>
      <c r="AA456" s="5209"/>
    </row>
    <row r="457" spans="1:27" ht="14.85" customHeight="1">
      <c r="A457" s="5197"/>
      <c r="B457" s="5198"/>
      <c r="C457" s="5126"/>
      <c r="D457" s="5197"/>
      <c r="E457" s="5198"/>
      <c r="F457" s="5027"/>
      <c r="G457" s="5199"/>
      <c r="H457" s="5200"/>
      <c r="L457" s="5199"/>
      <c r="M457" s="5207"/>
      <c r="N457" s="5207"/>
      <c r="Z457" s="5208"/>
      <c r="AA457" s="5209"/>
    </row>
    <row r="458" spans="1:27" ht="14.85" customHeight="1">
      <c r="A458" s="5197"/>
      <c r="B458" s="5198"/>
      <c r="C458" s="5126"/>
      <c r="D458" s="5197"/>
      <c r="E458" s="5198"/>
      <c r="F458" s="5027"/>
      <c r="G458" s="5199"/>
      <c r="H458" s="5200"/>
      <c r="L458" s="5199"/>
      <c r="M458" s="5207"/>
      <c r="N458" s="5207"/>
      <c r="Z458" s="5208"/>
      <c r="AA458" s="5209"/>
    </row>
    <row r="459" spans="1:27" ht="14.85" customHeight="1">
      <c r="A459" s="5197"/>
      <c r="B459" s="5198"/>
      <c r="C459" s="5126"/>
      <c r="D459" s="5197"/>
      <c r="E459" s="5198"/>
      <c r="F459" s="5027"/>
      <c r="G459" s="5199"/>
      <c r="H459" s="5200"/>
      <c r="L459" s="5199"/>
      <c r="M459" s="5207"/>
      <c r="N459" s="5207"/>
      <c r="Z459" s="5208"/>
      <c r="AA459" s="5209"/>
    </row>
    <row r="460" spans="1:27" ht="14.85" customHeight="1">
      <c r="A460" s="5197"/>
      <c r="B460" s="5198"/>
      <c r="C460" s="5126"/>
      <c r="D460" s="5197"/>
      <c r="E460" s="5198"/>
      <c r="F460" s="5027"/>
      <c r="G460" s="5199"/>
      <c r="H460" s="5200"/>
      <c r="L460" s="5199"/>
      <c r="M460" s="5207"/>
      <c r="N460" s="5207"/>
      <c r="Z460" s="5208"/>
      <c r="AA460" s="5209"/>
    </row>
    <row r="461" spans="1:27" ht="14.85" customHeight="1">
      <c r="A461" s="5197"/>
      <c r="B461" s="5198"/>
      <c r="C461" s="5126"/>
      <c r="D461" s="5197"/>
      <c r="E461" s="5198"/>
      <c r="F461" s="5027"/>
      <c r="G461" s="5199"/>
      <c r="H461" s="5200"/>
      <c r="L461" s="5199"/>
      <c r="M461" s="5207"/>
      <c r="N461" s="5207"/>
      <c r="Z461" s="5208"/>
      <c r="AA461" s="5209"/>
    </row>
    <row r="462" spans="1:27" ht="14.85" customHeight="1">
      <c r="A462" s="5197"/>
      <c r="B462" s="5198"/>
      <c r="C462" s="5126"/>
      <c r="D462" s="5197"/>
      <c r="E462" s="5198"/>
      <c r="F462" s="5027"/>
      <c r="G462" s="5199"/>
      <c r="H462" s="5200"/>
      <c r="L462" s="5199"/>
      <c r="M462" s="5207"/>
      <c r="N462" s="5207"/>
      <c r="Z462" s="5208"/>
      <c r="AA462" s="5209"/>
    </row>
    <row r="463" spans="1:27" ht="14.85" customHeight="1">
      <c r="A463" s="5197"/>
      <c r="B463" s="5198"/>
      <c r="C463" s="5126"/>
      <c r="D463" s="5197"/>
      <c r="E463" s="5198"/>
      <c r="F463" s="5027"/>
      <c r="G463" s="5199"/>
      <c r="H463" s="5200"/>
      <c r="L463" s="5199"/>
      <c r="M463" s="5207"/>
      <c r="N463" s="5207"/>
      <c r="Z463" s="5208"/>
      <c r="AA463" s="5209"/>
    </row>
    <row r="464" spans="1:27" ht="14.85" customHeight="1">
      <c r="A464" s="5197"/>
      <c r="B464" s="5198"/>
      <c r="C464" s="5126"/>
      <c r="D464" s="5197"/>
      <c r="E464" s="5198"/>
      <c r="F464" s="5027"/>
      <c r="G464" s="5199"/>
      <c r="H464" s="5200"/>
      <c r="L464" s="5199"/>
      <c r="M464" s="5207"/>
      <c r="N464" s="5207"/>
      <c r="Z464" s="5208"/>
      <c r="AA464" s="5209"/>
    </row>
    <row r="465" spans="1:27" ht="14.85" customHeight="1">
      <c r="A465" s="5197"/>
      <c r="B465" s="5198"/>
      <c r="C465" s="5126"/>
      <c r="D465" s="5197"/>
      <c r="E465" s="5198"/>
      <c r="F465" s="5027"/>
      <c r="G465" s="5199"/>
      <c r="H465" s="5200"/>
      <c r="L465" s="5199"/>
      <c r="M465" s="5207"/>
      <c r="N465" s="5207"/>
      <c r="Z465" s="5208"/>
      <c r="AA465" s="5209"/>
    </row>
    <row r="466" spans="1:27" ht="14.85" customHeight="1">
      <c r="A466" s="5197"/>
      <c r="B466" s="5198"/>
      <c r="C466" s="5126"/>
      <c r="D466" s="5197"/>
      <c r="E466" s="5198"/>
      <c r="F466" s="5027"/>
      <c r="G466" s="5199"/>
      <c r="H466" s="5200"/>
      <c r="L466" s="5199"/>
      <c r="M466" s="5207"/>
      <c r="N466" s="5207"/>
      <c r="Z466" s="5208"/>
      <c r="AA466" s="5209"/>
    </row>
    <row r="467" spans="1:27" ht="14.85" customHeight="1">
      <c r="A467" s="5197"/>
      <c r="B467" s="5198"/>
      <c r="C467" s="5126"/>
      <c r="D467" s="5197"/>
      <c r="E467" s="5198"/>
      <c r="F467" s="5027"/>
      <c r="G467" s="5199"/>
      <c r="H467" s="5200"/>
      <c r="L467" s="5199"/>
      <c r="M467" s="5207"/>
      <c r="N467" s="5207"/>
      <c r="Z467" s="5208"/>
      <c r="AA467" s="5209"/>
    </row>
    <row r="468" spans="1:27" ht="14.85" customHeight="1">
      <c r="A468" s="5197"/>
      <c r="B468" s="5198"/>
      <c r="C468" s="5126"/>
      <c r="D468" s="5197"/>
      <c r="E468" s="5198"/>
      <c r="F468" s="5027"/>
      <c r="G468" s="5199"/>
      <c r="H468" s="5200"/>
      <c r="L468" s="5199"/>
      <c r="M468" s="5207"/>
      <c r="N468" s="5207"/>
      <c r="Z468" s="5208"/>
      <c r="AA468" s="5209"/>
    </row>
    <row r="469" spans="1:27" ht="14.85" customHeight="1">
      <c r="A469" s="5197"/>
      <c r="B469" s="5198"/>
      <c r="C469" s="5126"/>
      <c r="D469" s="5197"/>
      <c r="E469" s="5198"/>
      <c r="F469" s="5027"/>
      <c r="G469" s="5199"/>
      <c r="H469" s="5200"/>
      <c r="L469" s="5199"/>
      <c r="M469" s="5207"/>
      <c r="N469" s="5207"/>
      <c r="Z469" s="5208"/>
      <c r="AA469" s="5209"/>
    </row>
    <row r="470" spans="1:27" ht="14.85" customHeight="1">
      <c r="A470" s="5197"/>
      <c r="B470" s="5198"/>
      <c r="C470" s="5126"/>
      <c r="D470" s="5197"/>
      <c r="E470" s="5198"/>
      <c r="F470" s="5027"/>
      <c r="G470" s="5199"/>
      <c r="H470" s="5200"/>
      <c r="L470" s="5199"/>
      <c r="M470" s="5207"/>
      <c r="N470" s="5207"/>
      <c r="Z470" s="5208"/>
      <c r="AA470" s="5209"/>
    </row>
    <row r="471" spans="1:27" ht="14.85" customHeight="1">
      <c r="A471" s="5197"/>
      <c r="B471" s="5198"/>
      <c r="C471" s="5126"/>
      <c r="D471" s="5197"/>
      <c r="E471" s="5198"/>
      <c r="F471" s="5027"/>
      <c r="G471" s="5199"/>
      <c r="H471" s="5200"/>
      <c r="L471" s="5199"/>
      <c r="M471" s="5207"/>
      <c r="N471" s="5207"/>
      <c r="Z471" s="5208"/>
      <c r="AA471" s="5209"/>
    </row>
    <row r="472" spans="1:27" ht="14.85" customHeight="1">
      <c r="A472" s="5197"/>
      <c r="B472" s="5198"/>
      <c r="C472" s="5126"/>
      <c r="D472" s="5197"/>
      <c r="E472" s="5198"/>
      <c r="F472" s="5027"/>
      <c r="G472" s="5199"/>
      <c r="H472" s="5200"/>
      <c r="L472" s="5199"/>
      <c r="M472" s="5207"/>
      <c r="N472" s="5207"/>
      <c r="Z472" s="5208"/>
      <c r="AA472" s="5209"/>
    </row>
    <row r="473" spans="1:27" ht="14.85" customHeight="1">
      <c r="A473" s="5197"/>
      <c r="B473" s="5198"/>
      <c r="C473" s="5126"/>
      <c r="D473" s="5197"/>
      <c r="E473" s="5198"/>
      <c r="F473" s="5027"/>
      <c r="G473" s="5199"/>
      <c r="H473" s="5200"/>
      <c r="L473" s="5199"/>
      <c r="M473" s="5207"/>
      <c r="N473" s="5207"/>
      <c r="Z473" s="5208"/>
      <c r="AA473" s="5209"/>
    </row>
    <row r="474" spans="1:27" ht="14.85" customHeight="1">
      <c r="A474" s="5197"/>
      <c r="B474" s="5198"/>
      <c r="C474" s="5126"/>
      <c r="D474" s="5197"/>
      <c r="E474" s="5198"/>
      <c r="F474" s="5027"/>
      <c r="G474" s="5199"/>
      <c r="H474" s="5200"/>
      <c r="L474" s="5199"/>
      <c r="M474" s="5207"/>
      <c r="N474" s="5207"/>
      <c r="Z474" s="5208"/>
      <c r="AA474" s="5209"/>
    </row>
    <row r="475" spans="1:27" ht="14.85" customHeight="1">
      <c r="A475" s="5197"/>
      <c r="B475" s="5198"/>
      <c r="C475" s="5126"/>
      <c r="D475" s="5197"/>
      <c r="E475" s="5198"/>
      <c r="F475" s="5027"/>
      <c r="G475" s="5199"/>
      <c r="H475" s="5200"/>
      <c r="L475" s="5199"/>
      <c r="M475" s="5207"/>
      <c r="N475" s="5207"/>
      <c r="Z475" s="5208"/>
      <c r="AA475" s="5209"/>
    </row>
    <row r="476" spans="1:27" ht="14.85" customHeight="1">
      <c r="A476" s="5197"/>
      <c r="B476" s="5198"/>
      <c r="C476" s="5126"/>
      <c r="D476" s="5197"/>
      <c r="E476" s="5198"/>
      <c r="F476" s="5027"/>
      <c r="G476" s="5199"/>
      <c r="H476" s="5200"/>
      <c r="L476" s="5199"/>
      <c r="M476" s="5207"/>
      <c r="N476" s="5207"/>
      <c r="Z476" s="5208"/>
      <c r="AA476" s="5209"/>
    </row>
    <row r="477" spans="1:27" ht="14.85" customHeight="1">
      <c r="A477" s="5197"/>
      <c r="B477" s="5198"/>
      <c r="C477" s="5126"/>
      <c r="D477" s="5197"/>
      <c r="E477" s="5198"/>
      <c r="F477" s="5027"/>
      <c r="G477" s="5199"/>
      <c r="H477" s="5200"/>
      <c r="L477" s="5199"/>
      <c r="M477" s="5207"/>
      <c r="N477" s="5207"/>
      <c r="Z477" s="5208"/>
      <c r="AA477" s="5209"/>
    </row>
    <row r="478" spans="1:27" ht="14.85" customHeight="1">
      <c r="A478" s="5197"/>
      <c r="B478" s="5198"/>
      <c r="C478" s="5126"/>
      <c r="D478" s="5197"/>
      <c r="E478" s="5198"/>
      <c r="F478" s="5027"/>
      <c r="G478" s="5199"/>
      <c r="H478" s="5200"/>
      <c r="L478" s="5199"/>
      <c r="M478" s="5207"/>
      <c r="N478" s="5207"/>
      <c r="Z478" s="5208"/>
      <c r="AA478" s="5209"/>
    </row>
    <row r="479" spans="1:27" ht="14.85" customHeight="1">
      <c r="A479" s="5197"/>
      <c r="B479" s="5198"/>
      <c r="C479" s="5126"/>
      <c r="D479" s="5197"/>
      <c r="E479" s="5198"/>
      <c r="F479" s="5027"/>
      <c r="G479" s="5199"/>
      <c r="H479" s="5200"/>
      <c r="L479" s="5199"/>
      <c r="M479" s="5207"/>
      <c r="N479" s="5207"/>
      <c r="Z479" s="5208"/>
      <c r="AA479" s="5209"/>
    </row>
    <row r="480" spans="1:27" ht="14.85" customHeight="1">
      <c r="A480" s="5197"/>
      <c r="B480" s="5198"/>
      <c r="C480" s="5126"/>
      <c r="D480" s="5197"/>
      <c r="E480" s="5198"/>
      <c r="F480" s="5027"/>
      <c r="G480" s="5199"/>
      <c r="H480" s="5200"/>
      <c r="L480" s="5199"/>
      <c r="M480" s="5207"/>
      <c r="N480" s="5207"/>
      <c r="Z480" s="5208"/>
      <c r="AA480" s="5209"/>
    </row>
    <row r="481" spans="1:27" ht="14.85" customHeight="1">
      <c r="A481" s="5197"/>
      <c r="B481" s="5198"/>
      <c r="C481" s="5126"/>
      <c r="D481" s="5197"/>
      <c r="E481" s="5198"/>
      <c r="F481" s="5027"/>
      <c r="G481" s="5199"/>
      <c r="H481" s="5200"/>
      <c r="L481" s="5199"/>
      <c r="M481" s="5207"/>
      <c r="N481" s="5207"/>
      <c r="Z481" s="5208"/>
      <c r="AA481" s="5209"/>
    </row>
    <row r="482" spans="1:27" ht="14.85" customHeight="1">
      <c r="A482" s="5197"/>
      <c r="B482" s="5198"/>
      <c r="C482" s="5126"/>
      <c r="D482" s="5197"/>
      <c r="E482" s="5198"/>
      <c r="F482" s="5027"/>
      <c r="G482" s="5199"/>
      <c r="H482" s="5200"/>
      <c r="L482" s="5199"/>
      <c r="M482" s="5207"/>
      <c r="N482" s="5207"/>
      <c r="Z482" s="5208"/>
      <c r="AA482" s="5209"/>
    </row>
    <row r="483" spans="1:27" ht="14.85" customHeight="1">
      <c r="A483" s="5197"/>
      <c r="B483" s="5198"/>
      <c r="C483" s="5126"/>
      <c r="D483" s="5197"/>
      <c r="E483" s="5198"/>
      <c r="F483" s="5027"/>
      <c r="G483" s="5199"/>
      <c r="H483" s="5200"/>
      <c r="L483" s="5199"/>
      <c r="M483" s="5207"/>
      <c r="N483" s="5207"/>
      <c r="Z483" s="5208"/>
      <c r="AA483" s="5209"/>
    </row>
    <row r="484" spans="1:27" ht="14.85" customHeight="1">
      <c r="A484" s="5197"/>
      <c r="B484" s="5198"/>
      <c r="C484" s="5126"/>
      <c r="D484" s="5197"/>
      <c r="E484" s="5198"/>
      <c r="F484" s="5027"/>
      <c r="G484" s="5199"/>
      <c r="H484" s="5200"/>
      <c r="L484" s="5199"/>
      <c r="M484" s="5207"/>
      <c r="N484" s="5207"/>
      <c r="Z484" s="5208"/>
      <c r="AA484" s="5209"/>
    </row>
    <row r="485" spans="1:27" ht="14.85" customHeight="1">
      <c r="A485" s="5197"/>
      <c r="B485" s="5198"/>
      <c r="C485" s="5126"/>
      <c r="D485" s="5197"/>
      <c r="E485" s="5198"/>
      <c r="F485" s="5027"/>
      <c r="G485" s="5199"/>
      <c r="H485" s="5200"/>
      <c r="L485" s="5199"/>
      <c r="M485" s="5207"/>
      <c r="N485" s="5207"/>
      <c r="Z485" s="5208"/>
      <c r="AA485" s="5209"/>
    </row>
    <row r="486" spans="1:27" ht="14.85" customHeight="1">
      <c r="A486" s="5197"/>
      <c r="B486" s="5198"/>
      <c r="C486" s="5126"/>
      <c r="D486" s="5197"/>
      <c r="E486" s="5198"/>
      <c r="F486" s="5027"/>
      <c r="G486" s="5199"/>
      <c r="H486" s="5200"/>
      <c r="L486" s="5199"/>
      <c r="M486" s="5207"/>
      <c r="N486" s="5207"/>
      <c r="Z486" s="5208"/>
      <c r="AA486" s="5209"/>
    </row>
    <row r="487" spans="1:27" ht="14.85" customHeight="1">
      <c r="A487" s="5197"/>
      <c r="B487" s="5198"/>
      <c r="C487" s="5126"/>
      <c r="D487" s="5197"/>
      <c r="E487" s="5198"/>
      <c r="F487" s="5027"/>
      <c r="G487" s="5199"/>
      <c r="H487" s="5200"/>
      <c r="L487" s="5199"/>
      <c r="M487" s="5207"/>
      <c r="N487" s="5207"/>
      <c r="Z487" s="5208"/>
      <c r="AA487" s="5209"/>
    </row>
    <row r="488" spans="1:27" ht="14.85" customHeight="1">
      <c r="A488" s="5197"/>
      <c r="B488" s="5198"/>
      <c r="C488" s="5126"/>
      <c r="D488" s="5197"/>
      <c r="E488" s="5198"/>
      <c r="F488" s="5027"/>
      <c r="G488" s="5199"/>
      <c r="H488" s="5200"/>
      <c r="L488" s="5199"/>
      <c r="M488" s="5207"/>
      <c r="N488" s="5207"/>
      <c r="Z488" s="5208"/>
      <c r="AA488" s="5209"/>
    </row>
    <row r="489" spans="1:27" ht="14.85" customHeight="1">
      <c r="A489" s="5197"/>
      <c r="B489" s="5198"/>
      <c r="C489" s="5126"/>
      <c r="D489" s="5197"/>
      <c r="E489" s="5198"/>
      <c r="F489" s="5027"/>
      <c r="G489" s="5199"/>
      <c r="H489" s="5200"/>
      <c r="L489" s="5199"/>
      <c r="M489" s="5207"/>
      <c r="N489" s="5207"/>
      <c r="Z489" s="5208"/>
      <c r="AA489" s="5209"/>
    </row>
    <row r="490" spans="1:27" ht="14.85" customHeight="1">
      <c r="A490" s="5197"/>
      <c r="B490" s="5198"/>
      <c r="C490" s="5126"/>
      <c r="D490" s="5197"/>
      <c r="E490" s="5198"/>
      <c r="F490" s="5027"/>
      <c r="G490" s="5199"/>
      <c r="H490" s="5200"/>
      <c r="L490" s="5199"/>
      <c r="M490" s="5207"/>
      <c r="N490" s="5207"/>
      <c r="Z490" s="5208"/>
      <c r="AA490" s="5209"/>
    </row>
    <row r="491" spans="1:27" ht="14.85" customHeight="1">
      <c r="A491" s="5197"/>
      <c r="B491" s="5198"/>
      <c r="C491" s="5126"/>
      <c r="D491" s="5197"/>
      <c r="E491" s="5198"/>
      <c r="F491" s="5027"/>
      <c r="G491" s="5199"/>
      <c r="H491" s="5200"/>
      <c r="L491" s="5199"/>
      <c r="M491" s="5207"/>
      <c r="N491" s="5207"/>
      <c r="Z491" s="5208"/>
      <c r="AA491" s="5209"/>
    </row>
    <row r="492" spans="1:27" ht="14.85" customHeight="1">
      <c r="A492" s="5197"/>
      <c r="B492" s="5198"/>
      <c r="C492" s="5126"/>
      <c r="D492" s="5197"/>
      <c r="E492" s="5198"/>
      <c r="F492" s="5027"/>
      <c r="G492" s="5199"/>
      <c r="H492" s="5200"/>
      <c r="L492" s="5199"/>
      <c r="M492" s="5207"/>
      <c r="N492" s="5207"/>
      <c r="Z492" s="5208"/>
      <c r="AA492" s="5209"/>
    </row>
    <row r="493" spans="1:27" ht="14.85" customHeight="1">
      <c r="A493" s="5197"/>
      <c r="B493" s="5198"/>
      <c r="C493" s="5126"/>
      <c r="D493" s="5197"/>
      <c r="E493" s="5198"/>
      <c r="F493" s="5027"/>
      <c r="G493" s="5199"/>
      <c r="H493" s="5200"/>
      <c r="L493" s="5199"/>
      <c r="M493" s="5207"/>
      <c r="N493" s="5207"/>
      <c r="Z493" s="5208"/>
      <c r="AA493" s="5209"/>
    </row>
    <row r="494" spans="1:27" ht="14.85" customHeight="1">
      <c r="A494" s="5197"/>
      <c r="B494" s="5198"/>
      <c r="C494" s="5126"/>
      <c r="D494" s="5197"/>
      <c r="E494" s="5198"/>
      <c r="F494" s="5027"/>
      <c r="G494" s="5199"/>
      <c r="H494" s="5200"/>
      <c r="L494" s="5199"/>
      <c r="M494" s="5207"/>
      <c r="N494" s="5207"/>
      <c r="Z494" s="5208"/>
      <c r="AA494" s="5209"/>
    </row>
    <row r="495" spans="1:27" ht="14.85" customHeight="1">
      <c r="A495" s="5197"/>
      <c r="B495" s="5198"/>
      <c r="C495" s="5126"/>
      <c r="D495" s="5197"/>
      <c r="E495" s="5198"/>
      <c r="F495" s="5027"/>
      <c r="G495" s="5199"/>
      <c r="H495" s="5200"/>
      <c r="L495" s="5199"/>
      <c r="M495" s="5207"/>
      <c r="N495" s="5207"/>
      <c r="Z495" s="5208"/>
      <c r="AA495" s="5209"/>
    </row>
    <row r="496" spans="1:27" ht="14.85" customHeight="1">
      <c r="A496" s="5197"/>
      <c r="B496" s="5198"/>
      <c r="C496" s="5126"/>
      <c r="D496" s="5197"/>
      <c r="E496" s="5198"/>
      <c r="F496" s="5027"/>
      <c r="G496" s="5199"/>
      <c r="H496" s="5200"/>
      <c r="L496" s="5199"/>
      <c r="M496" s="5207"/>
      <c r="N496" s="5207"/>
      <c r="Z496" s="5208"/>
      <c r="AA496" s="5209"/>
    </row>
    <row r="497" spans="1:27" ht="14.85" customHeight="1">
      <c r="A497" s="5197"/>
      <c r="B497" s="5198"/>
      <c r="C497" s="5126"/>
      <c r="D497" s="5197"/>
      <c r="E497" s="5198"/>
      <c r="F497" s="5027"/>
      <c r="G497" s="5199"/>
      <c r="H497" s="5200"/>
      <c r="L497" s="5199"/>
      <c r="M497" s="5207"/>
      <c r="N497" s="5207"/>
      <c r="Z497" s="5208"/>
      <c r="AA497" s="5209"/>
    </row>
    <row r="498" spans="1:27" ht="14.85" customHeight="1">
      <c r="A498" s="5197"/>
      <c r="B498" s="5198"/>
      <c r="C498" s="5126"/>
      <c r="D498" s="5197"/>
      <c r="E498" s="5198"/>
      <c r="F498" s="5027"/>
      <c r="G498" s="5199"/>
      <c r="H498" s="5200"/>
      <c r="L498" s="5199"/>
      <c r="M498" s="5207"/>
      <c r="N498" s="5207"/>
      <c r="Z498" s="5208"/>
      <c r="AA498" s="5209"/>
    </row>
    <row r="499" spans="1:27" ht="14.85" customHeight="1">
      <c r="A499" s="5197"/>
      <c r="B499" s="5198"/>
      <c r="C499" s="5126"/>
      <c r="D499" s="5197"/>
      <c r="E499" s="5198"/>
      <c r="F499" s="5027"/>
      <c r="G499" s="5199"/>
      <c r="H499" s="5200"/>
      <c r="L499" s="5199"/>
      <c r="M499" s="5207"/>
      <c r="N499" s="5207"/>
      <c r="Z499" s="5208"/>
      <c r="AA499" s="5209"/>
    </row>
    <row r="500" spans="1:27" ht="14.85" customHeight="1">
      <c r="A500" s="5197"/>
      <c r="B500" s="5198"/>
      <c r="C500" s="5126"/>
      <c r="D500" s="5197"/>
      <c r="E500" s="5198"/>
      <c r="F500" s="5027"/>
      <c r="G500" s="5199"/>
      <c r="H500" s="5200"/>
      <c r="L500" s="5199"/>
      <c r="M500" s="5207"/>
      <c r="N500" s="5207"/>
      <c r="Z500" s="5208"/>
      <c r="AA500" s="5209"/>
    </row>
    <row r="501" spans="1:27" ht="14.85" customHeight="1">
      <c r="A501" s="5197"/>
      <c r="B501" s="5198"/>
      <c r="C501" s="5126"/>
      <c r="D501" s="5197"/>
      <c r="E501" s="5198"/>
      <c r="F501" s="5027"/>
      <c r="G501" s="5199"/>
      <c r="H501" s="5200"/>
      <c r="L501" s="5199"/>
      <c r="M501" s="5207"/>
      <c r="N501" s="5207"/>
      <c r="Z501" s="5208"/>
      <c r="AA501" s="5209"/>
    </row>
    <row r="502" spans="1:27" ht="14.85" customHeight="1">
      <c r="A502" s="5197"/>
      <c r="B502" s="5198"/>
      <c r="C502" s="5126"/>
      <c r="D502" s="5197"/>
      <c r="E502" s="5198"/>
      <c r="F502" s="5027"/>
      <c r="G502" s="5199"/>
      <c r="H502" s="5200"/>
      <c r="L502" s="5199"/>
      <c r="M502" s="5207"/>
      <c r="N502" s="5207"/>
      <c r="Z502" s="5208"/>
      <c r="AA502" s="5209"/>
    </row>
    <row r="503" spans="1:27" ht="14.85" customHeight="1">
      <c r="A503" s="5197"/>
      <c r="B503" s="5198"/>
      <c r="C503" s="5126"/>
      <c r="D503" s="5197"/>
      <c r="E503" s="5198"/>
      <c r="F503" s="5027"/>
      <c r="G503" s="5199"/>
      <c r="H503" s="5200"/>
      <c r="L503" s="5199"/>
      <c r="M503" s="5207"/>
      <c r="N503" s="5207"/>
      <c r="Z503" s="5208"/>
      <c r="AA503" s="5209"/>
    </row>
    <row r="504" spans="1:27" ht="14.85" customHeight="1">
      <c r="A504" s="5197"/>
      <c r="B504" s="5198"/>
      <c r="C504" s="5126"/>
      <c r="D504" s="5197"/>
      <c r="E504" s="5198"/>
      <c r="F504" s="5027"/>
      <c r="G504" s="5199"/>
      <c r="H504" s="5200"/>
      <c r="L504" s="5199"/>
      <c r="M504" s="5207"/>
      <c r="N504" s="5207"/>
      <c r="Z504" s="5208"/>
      <c r="AA504" s="5209"/>
    </row>
    <row r="505" spans="1:27" ht="14.85" customHeight="1">
      <c r="A505" s="5197"/>
      <c r="B505" s="5198"/>
      <c r="C505" s="5126"/>
      <c r="D505" s="5197"/>
      <c r="E505" s="5198"/>
      <c r="F505" s="5027"/>
      <c r="G505" s="5199"/>
      <c r="H505" s="5200"/>
      <c r="L505" s="5199"/>
      <c r="M505" s="5207"/>
      <c r="N505" s="5207"/>
      <c r="Z505" s="5208"/>
      <c r="AA505" s="5209"/>
    </row>
    <row r="506" spans="1:27" ht="14.85" customHeight="1">
      <c r="A506" s="5197"/>
      <c r="B506" s="5198"/>
      <c r="C506" s="5126"/>
      <c r="D506" s="5197"/>
      <c r="E506" s="5198"/>
      <c r="F506" s="5027"/>
      <c r="G506" s="5199"/>
      <c r="H506" s="5200"/>
      <c r="L506" s="5199"/>
      <c r="M506" s="5207"/>
      <c r="N506" s="5207"/>
      <c r="Z506" s="5208"/>
      <c r="AA506" s="5209"/>
    </row>
    <row r="507" spans="1:27" ht="14.85" customHeight="1">
      <c r="A507" s="5197"/>
      <c r="B507" s="5198"/>
      <c r="C507" s="5126"/>
      <c r="D507" s="5197"/>
      <c r="E507" s="5198"/>
      <c r="F507" s="5027"/>
      <c r="G507" s="5199"/>
      <c r="H507" s="5200"/>
      <c r="L507" s="5199"/>
      <c r="M507" s="5207"/>
      <c r="N507" s="5207"/>
      <c r="Z507" s="5208"/>
      <c r="AA507" s="5209"/>
    </row>
    <row r="508" spans="1:27" ht="14.85" customHeight="1">
      <c r="A508" s="5197"/>
      <c r="B508" s="5198"/>
      <c r="C508" s="5126"/>
      <c r="D508" s="5197"/>
      <c r="E508" s="5198"/>
      <c r="F508" s="5027"/>
      <c r="G508" s="5199"/>
      <c r="H508" s="5200"/>
      <c r="L508" s="5199"/>
      <c r="M508" s="5207"/>
      <c r="N508" s="5207"/>
      <c r="Z508" s="5208"/>
      <c r="AA508" s="5209"/>
    </row>
    <row r="509" spans="1:27" ht="14.85" customHeight="1">
      <c r="A509" s="5197"/>
      <c r="B509" s="5198"/>
      <c r="C509" s="5126"/>
      <c r="D509" s="5197"/>
      <c r="E509" s="5198"/>
      <c r="F509" s="5027"/>
      <c r="G509" s="5199"/>
      <c r="H509" s="5200"/>
      <c r="L509" s="5199"/>
      <c r="M509" s="5207"/>
      <c r="N509" s="5207"/>
      <c r="Z509" s="5208"/>
      <c r="AA509" s="5209"/>
    </row>
    <row r="510" spans="1:27" ht="14.85" customHeight="1">
      <c r="A510" s="5197"/>
      <c r="B510" s="5198"/>
      <c r="C510" s="5126"/>
      <c r="D510" s="5197"/>
      <c r="E510" s="5198"/>
      <c r="F510" s="5027"/>
      <c r="G510" s="5199"/>
      <c r="H510" s="5200"/>
      <c r="L510" s="5199"/>
      <c r="M510" s="5207"/>
      <c r="N510" s="5207"/>
      <c r="Z510" s="5208"/>
      <c r="AA510" s="5209"/>
    </row>
    <row r="511" spans="1:27" ht="14.85" customHeight="1">
      <c r="A511" s="5197"/>
      <c r="B511" s="5198"/>
      <c r="C511" s="5126"/>
      <c r="D511" s="5197"/>
      <c r="E511" s="5198"/>
      <c r="F511" s="5027"/>
      <c r="G511" s="5199"/>
      <c r="H511" s="5200"/>
      <c r="L511" s="5199"/>
      <c r="M511" s="5207"/>
      <c r="N511" s="5207"/>
      <c r="Z511" s="5208"/>
      <c r="AA511" s="5209"/>
    </row>
    <row r="512" spans="1:27" ht="14.85" customHeight="1">
      <c r="A512" s="5197"/>
      <c r="B512" s="5198"/>
      <c r="C512" s="5126"/>
      <c r="D512" s="5197"/>
      <c r="E512" s="5198"/>
      <c r="F512" s="5027"/>
      <c r="G512" s="5199"/>
      <c r="H512" s="5200"/>
      <c r="L512" s="5199"/>
      <c r="M512" s="5207"/>
      <c r="N512" s="5207"/>
      <c r="Z512" s="5208"/>
      <c r="AA512" s="5209"/>
    </row>
    <row r="513" spans="1:27" ht="14.85" customHeight="1">
      <c r="A513" s="5197"/>
      <c r="B513" s="5198"/>
      <c r="C513" s="5126"/>
      <c r="D513" s="5197"/>
      <c r="E513" s="5198"/>
      <c r="F513" s="5027"/>
      <c r="G513" s="5199"/>
      <c r="H513" s="5200"/>
      <c r="L513" s="5199"/>
      <c r="M513" s="5207"/>
      <c r="N513" s="5207"/>
      <c r="Z513" s="5208"/>
      <c r="AA513" s="5209"/>
    </row>
    <row r="514" spans="1:27" ht="14.85" customHeight="1">
      <c r="A514" s="5197"/>
      <c r="B514" s="5198"/>
      <c r="C514" s="5126"/>
      <c r="D514" s="5197"/>
      <c r="E514" s="5198"/>
      <c r="F514" s="5027"/>
      <c r="G514" s="5199"/>
      <c r="H514" s="5200"/>
      <c r="L514" s="5199"/>
      <c r="M514" s="5207"/>
      <c r="N514" s="5207"/>
      <c r="Z514" s="5208"/>
      <c r="AA514" s="5209"/>
    </row>
    <row r="515" spans="1:27" ht="14.85" customHeight="1">
      <c r="A515" s="5197"/>
      <c r="B515" s="5198"/>
      <c r="C515" s="5126"/>
      <c r="D515" s="5197"/>
      <c r="E515" s="5198"/>
      <c r="F515" s="5027"/>
      <c r="G515" s="5199"/>
      <c r="H515" s="5200"/>
      <c r="L515" s="5199"/>
      <c r="M515" s="5207"/>
      <c r="N515" s="5207"/>
      <c r="Z515" s="5208"/>
      <c r="AA515" s="5209"/>
    </row>
    <row r="516" spans="1:27" ht="14.85" customHeight="1">
      <c r="A516" s="5197"/>
      <c r="B516" s="5198"/>
      <c r="C516" s="5126"/>
      <c r="D516" s="5197"/>
      <c r="E516" s="5198"/>
      <c r="F516" s="5027"/>
      <c r="G516" s="5199"/>
      <c r="H516" s="5200"/>
      <c r="L516" s="5199"/>
      <c r="M516" s="5207"/>
      <c r="N516" s="5207"/>
      <c r="Z516" s="5208"/>
      <c r="AA516" s="5209"/>
    </row>
    <row r="517" spans="1:27" ht="14.85" customHeight="1">
      <c r="A517" s="5197"/>
      <c r="B517" s="5198"/>
      <c r="C517" s="5126"/>
      <c r="D517" s="5197"/>
      <c r="E517" s="5198"/>
      <c r="F517" s="5027"/>
      <c r="G517" s="5199"/>
      <c r="H517" s="5200"/>
      <c r="L517" s="5199"/>
      <c r="M517" s="5207"/>
      <c r="N517" s="5207"/>
      <c r="Z517" s="5208"/>
      <c r="AA517" s="5209"/>
    </row>
    <row r="518" spans="1:27" ht="14.85" customHeight="1">
      <c r="A518" s="5197"/>
      <c r="B518" s="5198"/>
      <c r="C518" s="5126"/>
      <c r="D518" s="5197"/>
      <c r="E518" s="5198"/>
      <c r="F518" s="5027"/>
      <c r="G518" s="5199"/>
      <c r="H518" s="5200"/>
      <c r="L518" s="5199"/>
      <c r="M518" s="5207"/>
      <c r="N518" s="5207"/>
      <c r="Z518" s="5208"/>
      <c r="AA518" s="5209"/>
    </row>
    <row r="519" spans="1:27" ht="14.85" customHeight="1">
      <c r="A519" s="5197"/>
      <c r="B519" s="5198"/>
      <c r="C519" s="5126"/>
      <c r="D519" s="5197"/>
      <c r="E519" s="5198"/>
      <c r="F519" s="5027"/>
      <c r="G519" s="5199"/>
      <c r="H519" s="5200"/>
      <c r="L519" s="5199"/>
      <c r="M519" s="5207"/>
      <c r="N519" s="5207"/>
      <c r="Z519" s="5208"/>
      <c r="AA519" s="5209"/>
    </row>
    <row r="520" spans="1:27" ht="14.85" customHeight="1">
      <c r="A520" s="5197"/>
      <c r="B520" s="5198"/>
      <c r="C520" s="5126"/>
      <c r="D520" s="5197"/>
      <c r="E520" s="5198"/>
      <c r="F520" s="5027"/>
      <c r="G520" s="5199"/>
      <c r="H520" s="5200"/>
      <c r="L520" s="5199"/>
      <c r="M520" s="5207"/>
      <c r="N520" s="5207"/>
      <c r="Z520" s="5208"/>
      <c r="AA520" s="5209"/>
    </row>
    <row r="521" spans="1:27" ht="14.85" customHeight="1">
      <c r="A521" s="5197"/>
      <c r="B521" s="5198"/>
      <c r="C521" s="5126"/>
      <c r="D521" s="5197"/>
      <c r="E521" s="5198"/>
      <c r="F521" s="5027"/>
      <c r="G521" s="5199"/>
      <c r="H521" s="5200"/>
      <c r="L521" s="5199"/>
      <c r="M521" s="5207"/>
      <c r="N521" s="5207"/>
      <c r="Z521" s="5208"/>
      <c r="AA521" s="5209"/>
    </row>
    <row r="522" spans="1:27" ht="14.85" customHeight="1">
      <c r="A522" s="5197"/>
      <c r="B522" s="5198"/>
      <c r="C522" s="5126"/>
      <c r="D522" s="5197"/>
      <c r="E522" s="5198"/>
      <c r="F522" s="5027"/>
      <c r="G522" s="5199"/>
      <c r="H522" s="5200"/>
      <c r="L522" s="5199"/>
      <c r="M522" s="5207"/>
      <c r="N522" s="5207"/>
      <c r="Z522" s="5208"/>
      <c r="AA522" s="5209"/>
    </row>
    <row r="523" spans="1:27" ht="14.85" customHeight="1">
      <c r="A523" s="5197"/>
      <c r="B523" s="5198"/>
      <c r="C523" s="5126"/>
      <c r="D523" s="5197"/>
      <c r="E523" s="5198"/>
      <c r="F523" s="5027"/>
      <c r="G523" s="5199"/>
      <c r="H523" s="5200"/>
      <c r="L523" s="5199"/>
      <c r="M523" s="5207"/>
      <c r="N523" s="5207"/>
      <c r="Z523" s="5208"/>
      <c r="AA523" s="5209"/>
    </row>
    <row r="524" spans="1:27" ht="14.85" customHeight="1">
      <c r="A524" s="5197"/>
      <c r="B524" s="5198"/>
      <c r="C524" s="5126"/>
      <c r="D524" s="5197"/>
      <c r="E524" s="5198"/>
      <c r="F524" s="5027"/>
      <c r="G524" s="5199"/>
      <c r="H524" s="5200"/>
      <c r="L524" s="5199"/>
      <c r="M524" s="5207"/>
      <c r="N524" s="5207"/>
      <c r="Z524" s="5208"/>
      <c r="AA524" s="5209"/>
    </row>
    <row r="525" spans="1:27" ht="14.85" customHeight="1">
      <c r="A525" s="5197"/>
      <c r="B525" s="5198"/>
      <c r="C525" s="5126"/>
      <c r="D525" s="5197"/>
      <c r="E525" s="5198"/>
      <c r="F525" s="5027"/>
      <c r="G525" s="5199"/>
      <c r="H525" s="5200"/>
      <c r="L525" s="5199"/>
      <c r="M525" s="5207"/>
      <c r="N525" s="5207"/>
      <c r="Z525" s="5208"/>
      <c r="AA525" s="5209"/>
    </row>
    <row r="526" spans="1:27" ht="14.85" customHeight="1">
      <c r="A526" s="5197"/>
      <c r="B526" s="5198"/>
      <c r="C526" s="5126"/>
      <c r="D526" s="5197"/>
      <c r="E526" s="5198"/>
      <c r="F526" s="5027"/>
      <c r="G526" s="5199"/>
      <c r="H526" s="5200"/>
      <c r="L526" s="5199"/>
      <c r="M526" s="5207"/>
      <c r="N526" s="5207"/>
      <c r="Z526" s="5208"/>
      <c r="AA526" s="5209"/>
    </row>
    <row r="527" spans="1:27" ht="14.85" customHeight="1">
      <c r="A527" s="5197"/>
      <c r="B527" s="5198"/>
      <c r="C527" s="5126"/>
      <c r="D527" s="5197"/>
      <c r="E527" s="5198"/>
      <c r="F527" s="5027"/>
      <c r="G527" s="5199"/>
      <c r="H527" s="5200"/>
      <c r="L527" s="5199"/>
      <c r="M527" s="5207"/>
      <c r="N527" s="5207"/>
      <c r="Z527" s="5208"/>
      <c r="AA527" s="5209"/>
    </row>
    <row r="528" spans="1:27" ht="14.85" customHeight="1">
      <c r="A528" s="5197"/>
      <c r="B528" s="5198"/>
      <c r="C528" s="5126"/>
      <c r="D528" s="5197"/>
      <c r="E528" s="5198"/>
      <c r="F528" s="5027"/>
      <c r="G528" s="5199"/>
      <c r="H528" s="5200"/>
      <c r="L528" s="5199"/>
      <c r="M528" s="5207"/>
      <c r="N528" s="5207"/>
      <c r="Z528" s="5208"/>
      <c r="AA528" s="5209"/>
    </row>
    <row r="529" spans="1:27" ht="14.85" customHeight="1">
      <c r="A529" s="5197"/>
      <c r="B529" s="5198"/>
      <c r="C529" s="5126"/>
      <c r="D529" s="5197"/>
      <c r="E529" s="5198"/>
      <c r="F529" s="5027"/>
      <c r="G529" s="5199"/>
      <c r="H529" s="5200"/>
      <c r="L529" s="5199"/>
      <c r="M529" s="5207"/>
      <c r="N529" s="5207"/>
      <c r="Z529" s="5208"/>
      <c r="AA529" s="5209"/>
    </row>
    <row r="530" spans="1:27" ht="14.85" customHeight="1">
      <c r="A530" s="5197"/>
      <c r="B530" s="5198"/>
      <c r="C530" s="5126"/>
      <c r="D530" s="5197"/>
      <c r="E530" s="5198"/>
      <c r="F530" s="5027"/>
      <c r="G530" s="5199"/>
      <c r="H530" s="5200"/>
      <c r="L530" s="5199"/>
      <c r="M530" s="5207"/>
      <c r="N530" s="5207"/>
      <c r="Z530" s="5208"/>
      <c r="AA530" s="5209"/>
    </row>
    <row r="531" spans="1:27" ht="14.85" customHeight="1">
      <c r="A531" s="5197"/>
      <c r="B531" s="5198"/>
      <c r="C531" s="5126"/>
      <c r="D531" s="5197"/>
      <c r="E531" s="5198"/>
      <c r="F531" s="5027"/>
      <c r="G531" s="5199"/>
      <c r="H531" s="5200"/>
      <c r="L531" s="5199"/>
      <c r="M531" s="5207"/>
      <c r="N531" s="5207"/>
      <c r="Z531" s="5208"/>
      <c r="AA531" s="5209"/>
    </row>
    <row r="532" spans="1:27" ht="14.85" customHeight="1">
      <c r="A532" s="5197"/>
      <c r="B532" s="5198"/>
      <c r="C532" s="5126"/>
      <c r="D532" s="5197"/>
      <c r="E532" s="5198"/>
      <c r="F532" s="5027"/>
      <c r="G532" s="5199"/>
      <c r="H532" s="5200"/>
      <c r="L532" s="5199"/>
      <c r="M532" s="5207"/>
      <c r="N532" s="5207"/>
      <c r="Z532" s="5208"/>
      <c r="AA532" s="5209"/>
    </row>
    <row r="533" spans="1:27" ht="14.85" customHeight="1">
      <c r="A533" s="5197"/>
      <c r="B533" s="5198"/>
      <c r="C533" s="5126"/>
      <c r="D533" s="5197"/>
      <c r="E533" s="5198"/>
      <c r="F533" s="5027"/>
      <c r="G533" s="5199"/>
      <c r="H533" s="5200"/>
      <c r="L533" s="5199"/>
      <c r="M533" s="5207"/>
      <c r="N533" s="5207"/>
      <c r="Z533" s="5208"/>
      <c r="AA533" s="5209"/>
    </row>
    <row r="534" spans="1:27" ht="14.85" customHeight="1">
      <c r="A534" s="5197"/>
      <c r="B534" s="5198"/>
      <c r="C534" s="5126"/>
      <c r="D534" s="5197"/>
      <c r="E534" s="5198"/>
      <c r="F534" s="5027"/>
      <c r="G534" s="5199"/>
      <c r="H534" s="5200"/>
      <c r="L534" s="5199"/>
      <c r="M534" s="5207"/>
      <c r="N534" s="5207"/>
      <c r="Z534" s="5208"/>
      <c r="AA534" s="5209"/>
    </row>
    <row r="535" spans="1:27" ht="14.85" customHeight="1">
      <c r="A535" s="5197"/>
      <c r="B535" s="5198"/>
      <c r="C535" s="5126"/>
      <c r="D535" s="5197"/>
      <c r="E535" s="5198"/>
      <c r="F535" s="5027"/>
      <c r="G535" s="5199"/>
      <c r="H535" s="5200"/>
      <c r="L535" s="5199"/>
      <c r="M535" s="5207"/>
      <c r="N535" s="5207"/>
      <c r="Z535" s="5208"/>
      <c r="AA535" s="5209"/>
    </row>
    <row r="536" spans="1:27" ht="14.85" customHeight="1">
      <c r="A536" s="5197"/>
      <c r="B536" s="5198"/>
      <c r="C536" s="5126"/>
      <c r="D536" s="5197"/>
      <c r="E536" s="5198"/>
      <c r="F536" s="5027"/>
      <c r="G536" s="5199"/>
      <c r="H536" s="5200"/>
      <c r="L536" s="5199"/>
      <c r="M536" s="5207"/>
      <c r="N536" s="5207"/>
      <c r="Z536" s="5208"/>
      <c r="AA536" s="5209"/>
    </row>
    <row r="537" spans="1:27" ht="14.85" customHeight="1">
      <c r="A537" s="5197"/>
      <c r="B537" s="5198"/>
      <c r="C537" s="5126"/>
      <c r="D537" s="5197"/>
      <c r="E537" s="5198"/>
      <c r="F537" s="5027"/>
      <c r="G537" s="5199"/>
      <c r="H537" s="5200"/>
      <c r="L537" s="5199"/>
      <c r="M537" s="5207"/>
      <c r="N537" s="5207"/>
      <c r="Z537" s="5208"/>
      <c r="AA537" s="5209"/>
    </row>
    <row r="538" spans="1:27" ht="14.85" customHeight="1">
      <c r="A538" s="5197"/>
      <c r="B538" s="5198"/>
      <c r="C538" s="5126"/>
      <c r="D538" s="5197"/>
      <c r="E538" s="5198"/>
      <c r="F538" s="5027"/>
      <c r="G538" s="5199"/>
      <c r="H538" s="5200"/>
      <c r="L538" s="5199"/>
      <c r="M538" s="5207"/>
      <c r="N538" s="5207"/>
      <c r="Z538" s="5208"/>
      <c r="AA538" s="5209"/>
    </row>
    <row r="539" spans="1:27" ht="14.85" customHeight="1">
      <c r="A539" s="5197"/>
      <c r="B539" s="5198"/>
      <c r="C539" s="5126"/>
      <c r="D539" s="5197"/>
      <c r="E539" s="5198"/>
      <c r="F539" s="5027"/>
      <c r="G539" s="5199"/>
      <c r="H539" s="5200"/>
      <c r="L539" s="5199"/>
      <c r="M539" s="5207"/>
      <c r="N539" s="5207"/>
      <c r="Z539" s="5208"/>
      <c r="AA539" s="5209"/>
    </row>
    <row r="540" spans="1:27" ht="14.85" customHeight="1">
      <c r="A540" s="5197"/>
      <c r="B540" s="5198"/>
      <c r="C540" s="5126"/>
      <c r="D540" s="5197"/>
      <c r="E540" s="5198"/>
      <c r="F540" s="5027"/>
      <c r="G540" s="5199"/>
      <c r="H540" s="5200"/>
      <c r="L540" s="5199"/>
      <c r="M540" s="5207"/>
      <c r="N540" s="5207"/>
      <c r="Z540" s="5208"/>
      <c r="AA540" s="5209"/>
    </row>
    <row r="541" spans="1:27" ht="14.85" customHeight="1">
      <c r="A541" s="5197"/>
      <c r="B541" s="5198"/>
      <c r="C541" s="5126"/>
      <c r="D541" s="5197"/>
      <c r="E541" s="5198"/>
      <c r="F541" s="5027"/>
      <c r="G541" s="5199"/>
      <c r="H541" s="5200"/>
      <c r="L541" s="5199"/>
      <c r="M541" s="5207"/>
      <c r="N541" s="5207"/>
      <c r="Z541" s="5208"/>
      <c r="AA541" s="5209"/>
    </row>
    <row r="542" spans="1:27" ht="14.85" customHeight="1">
      <c r="A542" s="5197"/>
      <c r="B542" s="5198"/>
      <c r="C542" s="5126"/>
      <c r="D542" s="5197"/>
      <c r="E542" s="5198"/>
      <c r="F542" s="5027"/>
      <c r="G542" s="5199"/>
      <c r="H542" s="5200"/>
      <c r="L542" s="5199"/>
      <c r="M542" s="5207"/>
      <c r="N542" s="5207"/>
      <c r="Z542" s="5208"/>
      <c r="AA542" s="5209"/>
    </row>
    <row r="543" spans="1:27" ht="14.85" customHeight="1">
      <c r="A543" s="5197"/>
      <c r="B543" s="5198"/>
      <c r="C543" s="5126"/>
      <c r="D543" s="5197"/>
      <c r="E543" s="5198"/>
      <c r="F543" s="5027"/>
      <c r="G543" s="5199"/>
      <c r="H543" s="5200"/>
      <c r="L543" s="5199"/>
      <c r="M543" s="5207"/>
      <c r="N543" s="5207"/>
      <c r="Z543" s="5208"/>
      <c r="AA543" s="5209"/>
    </row>
    <row r="544" spans="1:27" ht="14.85" customHeight="1">
      <c r="A544" s="5197"/>
      <c r="B544" s="5198"/>
      <c r="C544" s="5126"/>
      <c r="D544" s="5197"/>
      <c r="E544" s="5198"/>
      <c r="F544" s="5027"/>
      <c r="G544" s="5199"/>
      <c r="H544" s="5200"/>
      <c r="L544" s="5199"/>
      <c r="M544" s="5207"/>
      <c r="N544" s="5207"/>
      <c r="Z544" s="5208"/>
      <c r="AA544" s="5209"/>
    </row>
    <row r="545" spans="1:27" ht="14.85" customHeight="1">
      <c r="A545" s="5197"/>
      <c r="B545" s="5198"/>
      <c r="C545" s="5126"/>
      <c r="D545" s="5197"/>
      <c r="E545" s="5198"/>
      <c r="F545" s="5027"/>
      <c r="G545" s="5199"/>
      <c r="H545" s="5200"/>
      <c r="L545" s="5199"/>
      <c r="M545" s="5207"/>
      <c r="N545" s="5207"/>
      <c r="Z545" s="5208"/>
      <c r="AA545" s="5209"/>
    </row>
    <row r="546" spans="1:27" ht="14.85" customHeight="1">
      <c r="A546" s="5197"/>
      <c r="B546" s="5198"/>
      <c r="C546" s="5126"/>
      <c r="D546" s="5197"/>
      <c r="E546" s="5198"/>
      <c r="F546" s="5027"/>
      <c r="G546" s="5199"/>
      <c r="H546" s="5200"/>
      <c r="L546" s="5199"/>
      <c r="M546" s="5207"/>
      <c r="N546" s="5207"/>
      <c r="Z546" s="5208"/>
      <c r="AA546" s="5209"/>
    </row>
    <row r="547" spans="1:27" ht="14.85" customHeight="1">
      <c r="A547" s="5197"/>
      <c r="B547" s="5198"/>
      <c r="C547" s="5126"/>
      <c r="D547" s="5197"/>
      <c r="E547" s="5198"/>
      <c r="F547" s="5027"/>
      <c r="G547" s="5199"/>
      <c r="H547" s="5200"/>
      <c r="L547" s="5199"/>
      <c r="M547" s="5207"/>
      <c r="N547" s="5207"/>
      <c r="Z547" s="5208"/>
      <c r="AA547" s="5209"/>
    </row>
    <row r="548" spans="1:27" ht="14.85" customHeight="1">
      <c r="A548" s="5197"/>
      <c r="B548" s="5198"/>
      <c r="C548" s="5126"/>
      <c r="D548" s="5197"/>
      <c r="E548" s="5198"/>
      <c r="F548" s="5027"/>
      <c r="G548" s="5199"/>
      <c r="H548" s="5200"/>
      <c r="L548" s="5199"/>
      <c r="M548" s="5207"/>
      <c r="N548" s="5207"/>
      <c r="Z548" s="5208"/>
      <c r="AA548" s="5209"/>
    </row>
    <row r="549" spans="1:27" ht="14.85" customHeight="1">
      <c r="A549" s="5197"/>
      <c r="B549" s="5198"/>
      <c r="C549" s="5126"/>
      <c r="D549" s="5197"/>
      <c r="E549" s="5198"/>
      <c r="F549" s="5027"/>
      <c r="G549" s="5199"/>
      <c r="H549" s="5200"/>
      <c r="L549" s="5199"/>
      <c r="M549" s="5207"/>
      <c r="N549" s="5207"/>
      <c r="Z549" s="5208"/>
      <c r="AA549" s="5209"/>
    </row>
    <row r="550" spans="1:27" ht="14.85" customHeight="1">
      <c r="A550" s="5197"/>
      <c r="B550" s="5198"/>
      <c r="C550" s="5126"/>
      <c r="D550" s="5197"/>
      <c r="E550" s="5198"/>
      <c r="F550" s="5027"/>
      <c r="G550" s="5199"/>
      <c r="H550" s="5200"/>
      <c r="L550" s="5199"/>
      <c r="M550" s="5207"/>
      <c r="N550" s="5207"/>
      <c r="Z550" s="5208"/>
      <c r="AA550" s="5209"/>
    </row>
    <row r="551" spans="1:27" ht="14.85" customHeight="1">
      <c r="A551" s="5197"/>
      <c r="B551" s="5198"/>
      <c r="C551" s="5126"/>
      <c r="D551" s="5197"/>
      <c r="E551" s="5198"/>
      <c r="F551" s="5027"/>
      <c r="G551" s="5199"/>
      <c r="H551" s="5200"/>
      <c r="L551" s="5199"/>
      <c r="M551" s="5207"/>
      <c r="N551" s="5207"/>
      <c r="Z551" s="5208"/>
      <c r="AA551" s="5209"/>
    </row>
    <row r="552" spans="1:27" ht="14.85" customHeight="1">
      <c r="A552" s="5197"/>
      <c r="B552" s="5198"/>
      <c r="C552" s="5126"/>
      <c r="D552" s="5197"/>
      <c r="E552" s="5198"/>
      <c r="F552" s="5027"/>
      <c r="G552" s="5199"/>
      <c r="H552" s="5200"/>
      <c r="L552" s="5199"/>
      <c r="M552" s="5207"/>
      <c r="N552" s="5207"/>
      <c r="Z552" s="5208"/>
      <c r="AA552" s="5209"/>
    </row>
    <row r="553" spans="1:27" ht="14.85" customHeight="1">
      <c r="A553" s="5197"/>
      <c r="B553" s="5198"/>
      <c r="C553" s="5126"/>
      <c r="D553" s="5197"/>
      <c r="E553" s="5198"/>
      <c r="F553" s="5027"/>
      <c r="G553" s="5199"/>
      <c r="H553" s="5200"/>
      <c r="L553" s="5199"/>
      <c r="M553" s="5207"/>
      <c r="N553" s="5207"/>
      <c r="Z553" s="5208"/>
      <c r="AA553" s="5209"/>
    </row>
    <row r="554" spans="1:27" ht="14.85" customHeight="1">
      <c r="A554" s="5197"/>
      <c r="B554" s="5198"/>
      <c r="C554" s="5126"/>
      <c r="D554" s="5197"/>
      <c r="E554" s="5198"/>
      <c r="F554" s="5027"/>
      <c r="G554" s="5199"/>
      <c r="H554" s="5200"/>
      <c r="L554" s="5199"/>
      <c r="M554" s="5207"/>
      <c r="N554" s="5207"/>
      <c r="Z554" s="5208"/>
      <c r="AA554" s="5209"/>
    </row>
    <row r="555" spans="1:27" ht="14.85" customHeight="1">
      <c r="A555" s="5197"/>
      <c r="B555" s="5198"/>
      <c r="C555" s="5126"/>
      <c r="D555" s="5197"/>
      <c r="E555" s="5198"/>
      <c r="F555" s="5027"/>
      <c r="G555" s="5199"/>
      <c r="H555" s="5200"/>
      <c r="L555" s="5199"/>
      <c r="M555" s="5207"/>
      <c r="N555" s="5207"/>
      <c r="Z555" s="5208"/>
      <c r="AA555" s="5209"/>
    </row>
    <row r="556" spans="1:27" ht="14.85" customHeight="1">
      <c r="A556" s="5197"/>
      <c r="B556" s="5198"/>
      <c r="C556" s="5126"/>
      <c r="D556" s="5197"/>
      <c r="E556" s="5198"/>
      <c r="F556" s="5027"/>
      <c r="G556" s="5199"/>
      <c r="H556" s="5200"/>
      <c r="L556" s="5199"/>
      <c r="M556" s="5207"/>
      <c r="N556" s="5207"/>
      <c r="Z556" s="5208"/>
      <c r="AA556" s="5209"/>
    </row>
    <row r="557" spans="1:27" ht="14.85" customHeight="1">
      <c r="A557" s="5197"/>
      <c r="B557" s="5198"/>
      <c r="C557" s="5126"/>
      <c r="D557" s="5197"/>
      <c r="E557" s="5198"/>
      <c r="F557" s="5027"/>
      <c r="G557" s="5199"/>
      <c r="H557" s="5200"/>
      <c r="L557" s="5199"/>
      <c r="M557" s="5207"/>
      <c r="N557" s="5207"/>
      <c r="Z557" s="5208"/>
      <c r="AA557" s="5209"/>
    </row>
    <row r="558" spans="1:27" ht="14.85" customHeight="1">
      <c r="A558" s="5197"/>
      <c r="B558" s="5198"/>
      <c r="C558" s="5126"/>
      <c r="D558" s="5197"/>
      <c r="E558" s="5198"/>
      <c r="F558" s="5027"/>
      <c r="G558" s="5212"/>
      <c r="H558" s="5200"/>
      <c r="L558" s="5199"/>
      <c r="M558" s="5207"/>
      <c r="N558" s="5207"/>
      <c r="Z558" s="5208"/>
      <c r="AA558" s="5209"/>
    </row>
    <row r="559" spans="1:27" ht="14.85" customHeight="1">
      <c r="A559" s="5197"/>
      <c r="B559" s="5198"/>
      <c r="C559" s="5126"/>
      <c r="D559" s="5197"/>
      <c r="E559" s="5198"/>
      <c r="F559" s="5027"/>
      <c r="G559" s="5212"/>
      <c r="H559" s="5200"/>
      <c r="L559" s="5199"/>
      <c r="M559" s="5207"/>
      <c r="N559" s="5207"/>
      <c r="Z559" s="5208"/>
      <c r="AA559" s="5209"/>
    </row>
    <row r="560" spans="1:27" ht="14.85" customHeight="1">
      <c r="A560" s="5197"/>
      <c r="B560" s="5198"/>
      <c r="C560" s="5126"/>
      <c r="D560" s="5197"/>
      <c r="E560" s="5198"/>
      <c r="F560" s="5027"/>
      <c r="L560" s="5199"/>
      <c r="M560" s="5207"/>
      <c r="N560" s="5207"/>
      <c r="Z560" s="5208"/>
      <c r="AA560" s="5209"/>
    </row>
    <row r="561" spans="1:27" ht="14.85" customHeight="1">
      <c r="A561" s="5197"/>
      <c r="B561" s="5198"/>
      <c r="C561" s="5126"/>
      <c r="D561" s="5197"/>
      <c r="E561" s="5198"/>
      <c r="F561" s="5027"/>
      <c r="L561" s="5199"/>
      <c r="M561" s="5207"/>
      <c r="N561" s="5207"/>
      <c r="Z561" s="5208"/>
      <c r="AA561" s="5209"/>
    </row>
    <row r="562" spans="1:27" ht="14.85" customHeight="1">
      <c r="A562" s="5197"/>
      <c r="B562" s="5198"/>
      <c r="C562" s="5126"/>
      <c r="D562" s="5197"/>
      <c r="E562" s="5198"/>
      <c r="F562" s="5027"/>
      <c r="L562" s="5199"/>
      <c r="M562" s="5207"/>
      <c r="N562" s="5207"/>
      <c r="Z562" s="5208"/>
      <c r="AA562" s="5209"/>
    </row>
    <row r="563" spans="1:27" ht="14.85" customHeight="1">
      <c r="A563" s="5197"/>
      <c r="B563" s="5198"/>
      <c r="C563" s="5126"/>
      <c r="D563" s="5197"/>
      <c r="E563" s="5198"/>
      <c r="F563" s="5027"/>
      <c r="L563" s="5199"/>
      <c r="M563" s="5207"/>
      <c r="N563" s="5207"/>
      <c r="Z563" s="5208"/>
      <c r="AA563" s="5209"/>
    </row>
    <row r="564" spans="1:27" ht="14.85" customHeight="1">
      <c r="A564" s="5197"/>
      <c r="B564" s="5198"/>
      <c r="C564" s="5126"/>
      <c r="D564" s="5197"/>
      <c r="E564" s="5198"/>
      <c r="F564" s="5027"/>
      <c r="L564" s="5199"/>
      <c r="M564" s="5207"/>
      <c r="N564" s="5207"/>
      <c r="Z564" s="5208"/>
      <c r="AA564" s="5209"/>
    </row>
    <row r="565" spans="1:27" ht="14.85" customHeight="1">
      <c r="A565" s="5197"/>
      <c r="B565" s="5198"/>
      <c r="C565" s="5126"/>
      <c r="D565" s="5197"/>
      <c r="E565" s="5198"/>
      <c r="F565" s="5027"/>
      <c r="L565" s="5199"/>
      <c r="M565" s="5207"/>
      <c r="N565" s="5207"/>
      <c r="Z565" s="5208"/>
      <c r="AA565" s="5209"/>
    </row>
    <row r="566" spans="1:27" ht="14.85" customHeight="1">
      <c r="A566" s="5197"/>
      <c r="B566" s="5198"/>
      <c r="C566" s="5126"/>
      <c r="D566" s="5213"/>
      <c r="E566" s="5214"/>
      <c r="F566" s="5027"/>
      <c r="L566" s="5199"/>
      <c r="M566" s="5207"/>
      <c r="N566" s="5207"/>
      <c r="Z566" s="5208"/>
      <c r="AA566" s="5209"/>
    </row>
    <row r="567" spans="1:27" ht="14.85" customHeight="1">
      <c r="A567" s="5197"/>
      <c r="B567" s="5198"/>
      <c r="C567" s="5126"/>
      <c r="D567" s="5213"/>
      <c r="E567" s="5214"/>
      <c r="F567" s="5027"/>
      <c r="L567" s="5199"/>
      <c r="M567" s="5207"/>
      <c r="N567" s="5207"/>
      <c r="Z567" s="5208"/>
      <c r="AA567" s="5209"/>
    </row>
    <row r="568" spans="1:27" ht="14.85" customHeight="1">
      <c r="A568" s="5197"/>
      <c r="B568" s="5198"/>
      <c r="C568" s="5126"/>
      <c r="D568" s="5213"/>
      <c r="E568" s="5214"/>
      <c r="F568" s="5027"/>
      <c r="L568" s="5199"/>
      <c r="M568" s="5207"/>
      <c r="N568" s="5207"/>
      <c r="Z568" s="5208"/>
      <c r="AA568" s="5209"/>
    </row>
    <row r="569" spans="1:27" ht="14.85" customHeight="1">
      <c r="A569" s="5197"/>
      <c r="B569" s="5198"/>
      <c r="C569" s="5126"/>
      <c r="D569" s="5213"/>
      <c r="E569" s="5214"/>
      <c r="F569" s="5027"/>
      <c r="L569" s="5199"/>
      <c r="M569" s="5207"/>
      <c r="N569" s="5207"/>
      <c r="Z569" s="5208"/>
      <c r="AA569" s="5209"/>
    </row>
    <row r="570" spans="1:27" ht="14.85" customHeight="1">
      <c r="A570" s="5197"/>
      <c r="B570" s="5198"/>
      <c r="C570" s="5126"/>
      <c r="D570" s="5213"/>
      <c r="E570" s="5214"/>
      <c r="F570" s="5027"/>
      <c r="L570" s="5199"/>
      <c r="M570" s="5207"/>
      <c r="N570" s="5207"/>
      <c r="Z570" s="5208"/>
      <c r="AA570" s="5209"/>
    </row>
    <row r="571" spans="1:27" ht="14.85" customHeight="1">
      <c r="A571" s="5197"/>
      <c r="B571" s="5198"/>
      <c r="C571" s="5126"/>
      <c r="D571" s="5213"/>
      <c r="E571" s="5214"/>
      <c r="F571" s="5027"/>
      <c r="L571" s="5199"/>
      <c r="M571" s="5207"/>
      <c r="N571" s="5207"/>
      <c r="Z571" s="5208"/>
      <c r="AA571" s="5209"/>
    </row>
    <row r="572" spans="1:27" ht="14.85" customHeight="1">
      <c r="A572" s="5197"/>
      <c r="B572" s="5198"/>
      <c r="C572" s="5126"/>
      <c r="D572" s="5213"/>
      <c r="E572" s="5214"/>
      <c r="F572" s="5027"/>
      <c r="L572" s="5199"/>
      <c r="M572" s="5207"/>
      <c r="N572" s="5207"/>
      <c r="Z572" s="5208"/>
      <c r="AA572" s="5209"/>
    </row>
    <row r="573" spans="1:27" ht="14.85" customHeight="1">
      <c r="A573" s="5197"/>
      <c r="B573" s="5198"/>
      <c r="C573" s="5126"/>
      <c r="D573" s="5213"/>
      <c r="E573" s="5214"/>
      <c r="F573" s="5027"/>
      <c r="L573" s="5199"/>
      <c r="M573" s="5207"/>
      <c r="N573" s="5207"/>
      <c r="Z573" s="5208"/>
      <c r="AA573" s="5209"/>
    </row>
    <row r="574" spans="1:27" ht="14.85" customHeight="1">
      <c r="A574" s="5197"/>
      <c r="B574" s="5198"/>
      <c r="C574" s="5126"/>
      <c r="D574" s="5213"/>
      <c r="E574" s="5214"/>
      <c r="F574" s="5027"/>
      <c r="L574" s="5199"/>
      <c r="M574" s="5207"/>
      <c r="N574" s="5207"/>
      <c r="Z574" s="5208"/>
      <c r="AA574" s="5209"/>
    </row>
    <row r="575" spans="1:27" ht="14.85" customHeight="1">
      <c r="A575" s="5197"/>
      <c r="B575" s="5198"/>
      <c r="C575" s="5126"/>
      <c r="D575" s="5213"/>
      <c r="E575" s="5214"/>
      <c r="F575" s="5027"/>
      <c r="L575" s="5199"/>
      <c r="M575" s="5207"/>
      <c r="N575" s="5207"/>
      <c r="Z575" s="5208"/>
      <c r="AA575" s="5209"/>
    </row>
    <row r="576" spans="1:27" ht="14.85" customHeight="1">
      <c r="A576" s="5197"/>
      <c r="B576" s="5198"/>
      <c r="C576" s="5126"/>
      <c r="D576" s="5213"/>
      <c r="E576" s="5214"/>
      <c r="F576" s="5027"/>
      <c r="L576" s="5212"/>
      <c r="M576" s="5207"/>
      <c r="N576" s="5207"/>
      <c r="Z576" s="5212"/>
      <c r="AA576" s="5043"/>
    </row>
    <row r="577" spans="1:27" ht="14.85" customHeight="1">
      <c r="A577" s="5197"/>
      <c r="B577" s="5198"/>
      <c r="C577" s="5126"/>
      <c r="D577" s="5213"/>
      <c r="E577" s="5214"/>
      <c r="F577" s="5027"/>
      <c r="L577" s="5212"/>
      <c r="Z577" s="5212"/>
      <c r="AA577" s="5043"/>
    </row>
    <row r="578" spans="1:27" ht="14.85" customHeight="1">
      <c r="A578" s="5197"/>
      <c r="B578" s="5198"/>
      <c r="C578" s="5126"/>
      <c r="D578" s="5213"/>
      <c r="E578" s="5214"/>
      <c r="F578" s="5027"/>
      <c r="L578" s="5212"/>
      <c r="Z578" s="5212"/>
      <c r="AA578" s="5043"/>
    </row>
    <row r="579" spans="1:27" ht="14.85" customHeight="1">
      <c r="A579" s="5197"/>
      <c r="B579" s="5198"/>
      <c r="C579" s="5126"/>
      <c r="D579" s="5213"/>
      <c r="E579" s="5214"/>
      <c r="F579" s="5027"/>
    </row>
    <row r="580" spans="1:27" ht="14.85" customHeight="1">
      <c r="A580" s="5197"/>
      <c r="B580" s="5198"/>
      <c r="C580" s="5126"/>
      <c r="D580" s="5213"/>
      <c r="E580" s="5214"/>
      <c r="F580" s="5027"/>
    </row>
    <row r="581" spans="1:27" ht="14.85" customHeight="1">
      <c r="A581" s="5197"/>
      <c r="B581" s="5198"/>
      <c r="C581" s="5126"/>
      <c r="D581" s="5213"/>
      <c r="E581" s="5214"/>
      <c r="F581" s="5027"/>
    </row>
    <row r="582" spans="1:27" ht="14.85" customHeight="1">
      <c r="A582" s="5197"/>
      <c r="B582" s="5198"/>
      <c r="C582" s="5126"/>
      <c r="D582" s="5213"/>
      <c r="E582" s="5214"/>
      <c r="F582" s="5027"/>
    </row>
    <row r="583" spans="1:27" ht="14.85" customHeight="1">
      <c r="A583" s="5197"/>
      <c r="B583" s="5198"/>
      <c r="C583" s="5126"/>
      <c r="D583" s="5213"/>
      <c r="E583" s="5214"/>
      <c r="F583" s="5027"/>
    </row>
    <row r="584" spans="1:27" ht="14.85" customHeight="1">
      <c r="A584" s="5197"/>
      <c r="B584" s="5198"/>
      <c r="C584" s="5126"/>
      <c r="D584" s="5213"/>
      <c r="E584" s="5214"/>
      <c r="F584" s="5027"/>
    </row>
    <row r="585" spans="1:27" ht="14.85" customHeight="1">
      <c r="A585" s="5197"/>
      <c r="B585" s="5198"/>
      <c r="C585" s="5126"/>
      <c r="D585" s="5213"/>
      <c r="E585" s="5214"/>
      <c r="F585" s="5027"/>
    </row>
    <row r="586" spans="1:27" ht="14.85" customHeight="1">
      <c r="A586" s="5197"/>
      <c r="B586" s="5198"/>
      <c r="C586" s="5126"/>
      <c r="D586" s="5213"/>
      <c r="E586" s="5214"/>
      <c r="F586" s="5027"/>
    </row>
    <row r="587" spans="1:27" ht="14.85" customHeight="1">
      <c r="A587" s="5197"/>
      <c r="B587" s="5198"/>
      <c r="C587" s="5126"/>
      <c r="D587" s="5213"/>
      <c r="E587" s="5214"/>
      <c r="F587" s="5027"/>
    </row>
    <row r="588" spans="1:27" ht="14.85" customHeight="1">
      <c r="A588" s="5197"/>
      <c r="B588" s="5198"/>
      <c r="C588" s="5126"/>
      <c r="D588" s="5213"/>
      <c r="E588" s="5214"/>
      <c r="F588" s="5027"/>
    </row>
    <row r="589" spans="1:27" ht="14.85" customHeight="1">
      <c r="A589" s="5197"/>
      <c r="B589" s="5198"/>
      <c r="C589" s="5126"/>
      <c r="D589" s="5213"/>
      <c r="E589" s="5214"/>
      <c r="F589" s="5027"/>
    </row>
    <row r="590" spans="1:27" ht="14.85" customHeight="1">
      <c r="A590" s="5197"/>
      <c r="B590" s="5198"/>
      <c r="C590" s="5126"/>
      <c r="D590" s="5213"/>
      <c r="E590" s="5214"/>
      <c r="F590" s="5027"/>
    </row>
    <row r="591" spans="1:27" ht="14.85" customHeight="1">
      <c r="A591" s="5197"/>
      <c r="B591" s="5198"/>
      <c r="C591" s="5126"/>
      <c r="D591" s="5213"/>
      <c r="E591" s="5214"/>
      <c r="F591" s="5027"/>
    </row>
    <row r="592" spans="1:27" ht="14.85" customHeight="1">
      <c r="A592" s="5197"/>
      <c r="B592" s="5198"/>
      <c r="C592" s="5126"/>
      <c r="D592" s="5213"/>
      <c r="E592" s="5214"/>
      <c r="F592" s="5027"/>
    </row>
    <row r="593" spans="1:6" ht="14.85" customHeight="1">
      <c r="A593" s="5197"/>
      <c r="B593" s="5198"/>
      <c r="C593" s="5126"/>
      <c r="D593" s="5213"/>
      <c r="E593" s="5214"/>
      <c r="F593" s="5027"/>
    </row>
    <row r="594" spans="1:6" ht="14.85" customHeight="1">
      <c r="A594" s="5197"/>
      <c r="B594" s="5198"/>
      <c r="C594" s="5126"/>
      <c r="D594" s="5213"/>
      <c r="E594" s="5214"/>
      <c r="F594" s="5027"/>
    </row>
    <row r="595" spans="1:6" ht="14.85" customHeight="1">
      <c r="A595" s="5197"/>
      <c r="B595" s="5198"/>
      <c r="C595" s="5126"/>
      <c r="D595" s="5213"/>
      <c r="E595" s="5214"/>
      <c r="F595" s="5027"/>
    </row>
    <row r="596" spans="1:6" ht="14.85" customHeight="1">
      <c r="A596" s="5197"/>
      <c r="B596" s="5198"/>
      <c r="C596" s="5126"/>
      <c r="D596" s="5213"/>
      <c r="E596" s="5214"/>
      <c r="F596" s="5027"/>
    </row>
    <row r="597" spans="1:6" ht="14.85" customHeight="1">
      <c r="A597" s="5197"/>
      <c r="B597" s="5198"/>
      <c r="C597" s="5126"/>
      <c r="D597" s="5213"/>
      <c r="E597" s="5214"/>
      <c r="F597" s="5027"/>
    </row>
    <row r="598" spans="1:6" ht="14.85" customHeight="1">
      <c r="A598" s="5197"/>
      <c r="B598" s="5198"/>
      <c r="C598" s="5126"/>
      <c r="D598" s="5213"/>
      <c r="E598" s="5214"/>
      <c r="F598" s="5027"/>
    </row>
    <row r="599" spans="1:6" ht="14.85" customHeight="1">
      <c r="A599" s="5197"/>
      <c r="B599" s="5198"/>
      <c r="C599" s="5126"/>
      <c r="D599" s="5213"/>
      <c r="E599" s="5214"/>
      <c r="F599" s="5027"/>
    </row>
    <row r="600" spans="1:6" ht="14.85" customHeight="1">
      <c r="A600" s="5197"/>
      <c r="B600" s="5198"/>
      <c r="C600" s="5126"/>
      <c r="D600" s="5213"/>
      <c r="E600" s="5214"/>
      <c r="F600" s="5027"/>
    </row>
    <row r="601" spans="1:6" ht="14.85" customHeight="1">
      <c r="A601" s="5197"/>
      <c r="B601" s="5198"/>
      <c r="C601" s="5126"/>
      <c r="D601" s="5213"/>
      <c r="E601" s="5214"/>
      <c r="F601" s="5027"/>
    </row>
    <row r="602" spans="1:6" ht="14.85" customHeight="1">
      <c r="A602" s="5197"/>
      <c r="B602" s="5198"/>
      <c r="C602" s="5126"/>
      <c r="D602" s="5213"/>
      <c r="E602" s="5214"/>
      <c r="F602" s="5027"/>
    </row>
    <row r="603" spans="1:6" ht="14.85" customHeight="1">
      <c r="A603" s="5197"/>
      <c r="B603" s="5198"/>
      <c r="C603" s="5126"/>
      <c r="D603" s="5213"/>
      <c r="E603" s="5214"/>
      <c r="F603" s="5027"/>
    </row>
    <row r="604" spans="1:6" ht="14.85" customHeight="1">
      <c r="A604" s="5197"/>
      <c r="B604" s="5198"/>
      <c r="C604" s="5126"/>
      <c r="D604" s="5213"/>
      <c r="E604" s="5214"/>
      <c r="F604" s="5027"/>
    </row>
    <row r="605" spans="1:6" ht="14.85" customHeight="1">
      <c r="A605" s="5197"/>
      <c r="B605" s="5198"/>
      <c r="C605" s="5126"/>
      <c r="D605" s="5213"/>
      <c r="E605" s="5214"/>
      <c r="F605" s="5027"/>
    </row>
    <row r="606" spans="1:6" ht="14.85" customHeight="1">
      <c r="A606" s="5197"/>
      <c r="B606" s="5198"/>
      <c r="C606" s="5126"/>
      <c r="D606" s="5213"/>
      <c r="E606" s="5214"/>
      <c r="F606" s="5027"/>
    </row>
    <row r="607" spans="1:6" ht="14.85" customHeight="1">
      <c r="A607" s="5197"/>
      <c r="B607" s="5198"/>
      <c r="C607" s="5126"/>
      <c r="D607" s="5213"/>
      <c r="E607" s="5214"/>
      <c r="F607" s="5027"/>
    </row>
    <row r="608" spans="1:6" ht="14.85" customHeight="1">
      <c r="A608" s="5197"/>
      <c r="B608" s="5198"/>
      <c r="C608" s="5126"/>
      <c r="D608" s="5213"/>
      <c r="E608" s="5214"/>
      <c r="F608" s="5027"/>
    </row>
    <row r="609" spans="1:6" ht="14.85" customHeight="1">
      <c r="A609" s="5197"/>
      <c r="B609" s="5198"/>
      <c r="C609" s="5126"/>
      <c r="D609" s="5213"/>
      <c r="E609" s="5214"/>
      <c r="F609" s="5027"/>
    </row>
    <row r="610" spans="1:6" ht="14.85" customHeight="1">
      <c r="A610" s="5197"/>
      <c r="B610" s="5198"/>
      <c r="C610" s="5126"/>
      <c r="D610" s="5213"/>
      <c r="E610" s="5214"/>
      <c r="F610" s="5027"/>
    </row>
    <row r="611" spans="1:6" ht="14.85" customHeight="1">
      <c r="A611" s="5197"/>
      <c r="B611" s="5198"/>
      <c r="C611" s="5126"/>
      <c r="D611" s="5213"/>
      <c r="E611" s="5214"/>
      <c r="F611" s="5027"/>
    </row>
    <row r="612" spans="1:6" ht="14.85" customHeight="1">
      <c r="A612" s="5197"/>
      <c r="B612" s="5198"/>
      <c r="C612" s="5126"/>
      <c r="D612" s="5213"/>
      <c r="E612" s="5214"/>
      <c r="F612" s="5027"/>
    </row>
    <row r="613" spans="1:6" ht="14.85" customHeight="1">
      <c r="A613" s="5197"/>
      <c r="B613" s="5198"/>
      <c r="C613" s="5126"/>
      <c r="D613" s="5213"/>
      <c r="E613" s="5214"/>
      <c r="F613" s="5027"/>
    </row>
    <row r="614" spans="1:6" ht="14.85" customHeight="1">
      <c r="A614" s="5197"/>
      <c r="B614" s="5198"/>
      <c r="C614" s="5126"/>
      <c r="D614" s="5213"/>
      <c r="E614" s="5214"/>
      <c r="F614" s="5027"/>
    </row>
    <row r="615" spans="1:6" ht="14.85" customHeight="1">
      <c r="A615" s="5197"/>
      <c r="B615" s="5198"/>
      <c r="C615" s="5126"/>
      <c r="D615" s="5213"/>
      <c r="E615" s="5214"/>
      <c r="F615" s="5027"/>
    </row>
    <row r="616" spans="1:6" ht="14.85" customHeight="1">
      <c r="A616" s="5197"/>
      <c r="B616" s="5198"/>
      <c r="C616" s="5126"/>
      <c r="D616" s="5213"/>
      <c r="E616" s="5214"/>
      <c r="F616" s="5027"/>
    </row>
    <row r="617" spans="1:6" ht="14.85" customHeight="1">
      <c r="A617" s="5197"/>
      <c r="B617" s="5198"/>
      <c r="C617" s="5126"/>
      <c r="D617" s="5213"/>
      <c r="E617" s="5214"/>
      <c r="F617" s="5027"/>
    </row>
    <row r="618" spans="1:6" ht="14.85" customHeight="1">
      <c r="A618" s="5197"/>
      <c r="B618" s="5198"/>
      <c r="C618" s="5126"/>
      <c r="D618" s="5213"/>
      <c r="E618" s="5214"/>
      <c r="F618" s="5027"/>
    </row>
    <row r="619" spans="1:6" ht="14.85" customHeight="1">
      <c r="A619" s="5197"/>
      <c r="B619" s="5198"/>
      <c r="C619" s="5126"/>
      <c r="D619" s="5213"/>
      <c r="E619" s="5214"/>
      <c r="F619" s="5027"/>
    </row>
    <row r="620" spans="1:6" ht="14.85" customHeight="1">
      <c r="A620" s="5197"/>
      <c r="B620" s="5198"/>
      <c r="C620" s="5126"/>
      <c r="D620" s="5213"/>
      <c r="E620" s="5214"/>
      <c r="F620" s="5027"/>
    </row>
    <row r="621" spans="1:6" ht="14.85" customHeight="1">
      <c r="A621" s="5197"/>
      <c r="B621" s="5198"/>
      <c r="C621" s="5126"/>
      <c r="D621" s="5213"/>
      <c r="E621" s="5214"/>
      <c r="F621" s="5027"/>
    </row>
    <row r="622" spans="1:6" ht="14.85" customHeight="1">
      <c r="A622" s="5197"/>
      <c r="B622" s="5198"/>
      <c r="C622" s="5126"/>
      <c r="D622" s="5213"/>
      <c r="E622" s="5214"/>
      <c r="F622" s="5027"/>
    </row>
    <row r="623" spans="1:6" ht="14.85" customHeight="1">
      <c r="A623" s="5197"/>
      <c r="B623" s="5198"/>
      <c r="C623" s="5126"/>
      <c r="D623" s="5213"/>
      <c r="E623" s="5214"/>
      <c r="F623" s="5027"/>
    </row>
    <row r="624" spans="1:6" ht="14.85" customHeight="1">
      <c r="A624" s="5197"/>
      <c r="B624" s="5198"/>
      <c r="C624" s="5126"/>
      <c r="D624" s="5213"/>
      <c r="E624" s="5214"/>
      <c r="F624" s="5027"/>
    </row>
    <row r="625" spans="1:6" ht="14.85" customHeight="1">
      <c r="A625" s="5197"/>
      <c r="B625" s="5198"/>
      <c r="C625" s="5126"/>
      <c r="D625" s="5213"/>
      <c r="E625" s="5214"/>
      <c r="F625" s="5027"/>
    </row>
    <row r="626" spans="1:6" ht="14.85" customHeight="1">
      <c r="A626" s="5197"/>
      <c r="B626" s="5198"/>
      <c r="C626" s="5126"/>
      <c r="D626" s="5213"/>
      <c r="E626" s="5214"/>
      <c r="F626" s="5027"/>
    </row>
    <row r="627" spans="1:6" ht="14.85" customHeight="1">
      <c r="A627" s="5197"/>
      <c r="B627" s="5198"/>
      <c r="C627" s="5126"/>
      <c r="D627" s="5213"/>
      <c r="E627" s="5214"/>
      <c r="F627" s="5027"/>
    </row>
    <row r="628" spans="1:6" ht="14.85" customHeight="1">
      <c r="A628" s="5197"/>
      <c r="B628" s="5198"/>
      <c r="C628" s="5126"/>
      <c r="D628" s="5213"/>
      <c r="E628" s="5214"/>
      <c r="F628" s="5027"/>
    </row>
    <row r="629" spans="1:6" ht="14.85" customHeight="1">
      <c r="A629" s="5197"/>
      <c r="B629" s="5198"/>
      <c r="C629" s="5126"/>
      <c r="D629" s="5213"/>
      <c r="E629" s="5214"/>
      <c r="F629" s="5027"/>
    </row>
    <row r="630" spans="1:6" ht="14.85" customHeight="1">
      <c r="A630" s="5197"/>
      <c r="B630" s="5198"/>
      <c r="C630" s="5126"/>
      <c r="D630" s="5213"/>
      <c r="E630" s="5214"/>
      <c r="F630" s="5027"/>
    </row>
    <row r="631" spans="1:6" ht="14.85" customHeight="1">
      <c r="A631" s="5197"/>
      <c r="B631" s="5198"/>
      <c r="C631" s="5126"/>
      <c r="D631" s="5213"/>
      <c r="E631" s="5214"/>
      <c r="F631" s="5027"/>
    </row>
    <row r="632" spans="1:6" ht="14.85" customHeight="1">
      <c r="A632" s="5197"/>
      <c r="B632" s="5198"/>
      <c r="C632" s="5126"/>
      <c r="D632" s="5213"/>
      <c r="E632" s="5214"/>
      <c r="F632" s="5027"/>
    </row>
    <row r="633" spans="1:6" ht="14.85" customHeight="1">
      <c r="A633" s="5197"/>
      <c r="B633" s="5198"/>
      <c r="C633" s="5126"/>
      <c r="D633" s="5213"/>
      <c r="E633" s="5214"/>
      <c r="F633" s="5027"/>
    </row>
    <row r="634" spans="1:6" ht="14.85" customHeight="1">
      <c r="A634" s="5197"/>
      <c r="B634" s="5198"/>
      <c r="C634" s="5126"/>
      <c r="D634" s="5213"/>
      <c r="E634" s="5214"/>
      <c r="F634" s="5027"/>
    </row>
    <row r="635" spans="1:6" ht="14.85" customHeight="1">
      <c r="A635" s="5197"/>
      <c r="B635" s="5198"/>
      <c r="C635" s="5126"/>
      <c r="D635" s="5213"/>
      <c r="E635" s="5214"/>
      <c r="F635" s="5027"/>
    </row>
    <row r="636" spans="1:6" ht="14.85" customHeight="1">
      <c r="A636" s="5197"/>
      <c r="B636" s="5198"/>
      <c r="C636" s="5126"/>
      <c r="D636" s="5213"/>
      <c r="E636" s="5214"/>
      <c r="F636" s="5027"/>
    </row>
    <row r="637" spans="1:6" ht="14.85" customHeight="1">
      <c r="A637" s="5197"/>
      <c r="B637" s="5198"/>
      <c r="C637" s="5126"/>
      <c r="D637" s="5213"/>
      <c r="E637" s="5214"/>
      <c r="F637" s="5027"/>
    </row>
    <row r="638" spans="1:6" ht="14.85" customHeight="1">
      <c r="A638" s="5197"/>
      <c r="B638" s="5198"/>
      <c r="C638" s="5126"/>
      <c r="D638" s="5213"/>
      <c r="E638" s="5214"/>
      <c r="F638" s="5027"/>
    </row>
    <row r="639" spans="1:6" ht="14.85" customHeight="1">
      <c r="A639" s="5197"/>
      <c r="B639" s="5198"/>
      <c r="C639" s="5126"/>
      <c r="D639" s="5213"/>
      <c r="E639" s="5214"/>
      <c r="F639" s="5027"/>
    </row>
    <row r="640" spans="1:6" ht="14.85" customHeight="1">
      <c r="A640" s="5197"/>
      <c r="B640" s="5198"/>
      <c r="C640" s="5126"/>
      <c r="D640" s="5213"/>
      <c r="E640" s="5214"/>
      <c r="F640" s="5027"/>
    </row>
    <row r="641" spans="1:6" ht="14.85" customHeight="1">
      <c r="A641" s="5197"/>
      <c r="B641" s="5198"/>
      <c r="C641" s="5126"/>
      <c r="D641" s="5213"/>
      <c r="E641" s="5214"/>
      <c r="F641" s="5027"/>
    </row>
    <row r="642" spans="1:6" ht="14.85" customHeight="1">
      <c r="A642" s="5197"/>
      <c r="B642" s="5198"/>
      <c r="C642" s="5126"/>
      <c r="D642" s="5213"/>
      <c r="E642" s="5214"/>
      <c r="F642" s="5027"/>
    </row>
    <row r="643" spans="1:6" ht="14.85" customHeight="1">
      <c r="A643" s="5197"/>
      <c r="B643" s="5198"/>
      <c r="C643" s="5126"/>
      <c r="D643" s="5213"/>
      <c r="E643" s="5214"/>
      <c r="F643" s="5027"/>
    </row>
    <row r="644" spans="1:6" ht="14.85" customHeight="1">
      <c r="A644" s="5197"/>
      <c r="B644" s="5198"/>
      <c r="C644" s="5126"/>
      <c r="D644" s="5213"/>
      <c r="E644" s="5214"/>
      <c r="F644" s="5027"/>
    </row>
    <row r="645" spans="1:6" ht="14.85" customHeight="1">
      <c r="A645" s="5197"/>
      <c r="B645" s="5198"/>
      <c r="C645" s="5126"/>
      <c r="D645" s="5213"/>
      <c r="E645" s="5214"/>
      <c r="F645" s="5027"/>
    </row>
    <row r="646" spans="1:6" ht="14.85" customHeight="1">
      <c r="A646" s="5197"/>
      <c r="B646" s="5198"/>
      <c r="C646" s="5126"/>
      <c r="D646" s="5213"/>
      <c r="E646" s="5214"/>
      <c r="F646" s="5027"/>
    </row>
    <row r="647" spans="1:6" ht="14.85" customHeight="1">
      <c r="A647" s="5197"/>
      <c r="B647" s="5198"/>
      <c r="C647" s="5126"/>
      <c r="D647" s="5213"/>
      <c r="E647" s="5214"/>
      <c r="F647" s="5027"/>
    </row>
    <row r="648" spans="1:6" ht="14.85" customHeight="1">
      <c r="A648" s="5197"/>
      <c r="B648" s="5198"/>
      <c r="C648" s="5126"/>
      <c r="D648" s="5213"/>
      <c r="E648" s="5214"/>
      <c r="F648" s="5027"/>
    </row>
    <row r="649" spans="1:6" ht="14.85" customHeight="1">
      <c r="A649" s="5197"/>
      <c r="B649" s="5198"/>
      <c r="C649" s="5126"/>
      <c r="D649" s="5213"/>
      <c r="E649" s="5214"/>
      <c r="F649" s="5027"/>
    </row>
    <row r="650" spans="1:6" ht="14.85" customHeight="1">
      <c r="A650" s="5197"/>
      <c r="B650" s="5198"/>
      <c r="C650" s="5126"/>
      <c r="D650" s="5213"/>
      <c r="E650" s="5214"/>
      <c r="F650" s="5027"/>
    </row>
    <row r="651" spans="1:6" ht="14.85" customHeight="1">
      <c r="A651" s="5197"/>
      <c r="B651" s="5198"/>
      <c r="C651" s="5126"/>
      <c r="D651" s="5213"/>
      <c r="E651" s="5214"/>
      <c r="F651" s="5027"/>
    </row>
    <row r="652" spans="1:6" ht="14.85" customHeight="1">
      <c r="A652" s="5197"/>
      <c r="B652" s="5198"/>
      <c r="C652" s="5126"/>
      <c r="D652" s="5213"/>
      <c r="E652" s="5214"/>
      <c r="F652" s="5027"/>
    </row>
    <row r="653" spans="1:6" ht="14.85" customHeight="1">
      <c r="A653" s="5197"/>
      <c r="B653" s="5198"/>
      <c r="C653" s="5126"/>
      <c r="D653" s="5213"/>
      <c r="E653" s="5214"/>
      <c r="F653" s="5027"/>
    </row>
    <row r="654" spans="1:6" ht="14.85" customHeight="1">
      <c r="A654" s="5197"/>
      <c r="B654" s="5198"/>
      <c r="C654" s="5126"/>
      <c r="D654" s="5213"/>
      <c r="E654" s="5214"/>
      <c r="F654" s="5027"/>
    </row>
    <row r="655" spans="1:6" ht="14.85" customHeight="1">
      <c r="A655" s="5197"/>
      <c r="B655" s="5198"/>
      <c r="C655" s="5126"/>
      <c r="D655" s="5213"/>
      <c r="E655" s="5214"/>
      <c r="F655" s="5027"/>
    </row>
    <row r="656" spans="1:6" ht="14.85" customHeight="1">
      <c r="A656" s="5197"/>
      <c r="B656" s="5198"/>
      <c r="C656" s="5126"/>
      <c r="D656" s="5213"/>
      <c r="E656" s="5214"/>
      <c r="F656" s="5027"/>
    </row>
    <row r="657" spans="1:6" ht="14.85" customHeight="1">
      <c r="A657" s="5197"/>
      <c r="B657" s="5198"/>
      <c r="C657" s="5126"/>
      <c r="D657" s="5213"/>
      <c r="E657" s="5214"/>
      <c r="F657" s="5027"/>
    </row>
    <row r="658" spans="1:6" ht="14.85" customHeight="1">
      <c r="A658" s="5197"/>
      <c r="B658" s="5198"/>
      <c r="C658" s="5126"/>
      <c r="D658" s="5213"/>
      <c r="E658" s="5214"/>
      <c r="F658" s="5027"/>
    </row>
    <row r="659" spans="1:6" ht="14.85" customHeight="1">
      <c r="A659" s="5197"/>
      <c r="B659" s="5198"/>
      <c r="C659" s="5126"/>
      <c r="D659" s="5213"/>
      <c r="E659" s="5214"/>
      <c r="F659" s="5027"/>
    </row>
    <row r="660" spans="1:6" ht="14.85" customHeight="1">
      <c r="A660" s="5197"/>
      <c r="B660" s="5198"/>
      <c r="C660" s="5126"/>
      <c r="D660" s="5213"/>
      <c r="E660" s="5214"/>
      <c r="F660" s="5027"/>
    </row>
    <row r="661" spans="1:6" ht="14.85" customHeight="1">
      <c r="A661" s="5197"/>
      <c r="B661" s="5198"/>
      <c r="C661" s="5126"/>
      <c r="D661" s="5213"/>
      <c r="E661" s="5214"/>
      <c r="F661" s="5027"/>
    </row>
    <row r="662" spans="1:6" ht="14.85" customHeight="1">
      <c r="A662" s="5197"/>
      <c r="B662" s="5198"/>
      <c r="C662" s="5126"/>
      <c r="D662" s="5213"/>
      <c r="E662" s="5214"/>
      <c r="F662" s="5027"/>
    </row>
    <row r="663" spans="1:6" ht="14.85" customHeight="1">
      <c r="A663" s="5197"/>
      <c r="B663" s="5198"/>
      <c r="C663" s="5126"/>
      <c r="D663" s="5213"/>
      <c r="E663" s="5214"/>
      <c r="F663" s="5027"/>
    </row>
    <row r="664" spans="1:6" ht="14.85" customHeight="1">
      <c r="A664" s="5197"/>
      <c r="B664" s="5198"/>
      <c r="C664" s="5126"/>
      <c r="D664" s="5213"/>
      <c r="E664" s="5214"/>
      <c r="F664" s="5027"/>
    </row>
    <row r="665" spans="1:6" ht="14.85" customHeight="1">
      <c r="A665" s="5197"/>
      <c r="B665" s="5198"/>
      <c r="C665" s="5126"/>
      <c r="D665" s="5213"/>
      <c r="E665" s="5214"/>
      <c r="F665" s="5027"/>
    </row>
    <row r="666" spans="1:6" ht="14.85" customHeight="1">
      <c r="A666" s="5197"/>
      <c r="B666" s="5198"/>
      <c r="C666" s="5126"/>
      <c r="D666" s="5213"/>
      <c r="E666" s="5214"/>
      <c r="F666" s="5027"/>
    </row>
    <row r="667" spans="1:6" ht="14.85" customHeight="1">
      <c r="A667" s="5197"/>
      <c r="B667" s="5198"/>
      <c r="C667" s="5126"/>
      <c r="D667" s="5213"/>
      <c r="E667" s="5214"/>
      <c r="F667" s="5027"/>
    </row>
    <row r="668" spans="1:6" ht="14.85" customHeight="1">
      <c r="A668" s="5197"/>
      <c r="B668" s="5198"/>
      <c r="C668" s="5126"/>
      <c r="D668" s="5213"/>
      <c r="E668" s="5214"/>
      <c r="F668" s="5027"/>
    </row>
    <row r="669" spans="1:6" ht="14.85" customHeight="1">
      <c r="A669" s="5197"/>
      <c r="B669" s="5198"/>
      <c r="C669" s="5126"/>
      <c r="D669" s="5213"/>
      <c r="E669" s="5214"/>
      <c r="F669" s="5027"/>
    </row>
    <row r="670" spans="1:6" ht="14.85" customHeight="1">
      <c r="A670" s="5197"/>
      <c r="B670" s="5198"/>
      <c r="C670" s="5126"/>
      <c r="D670" s="5213"/>
      <c r="E670" s="5214"/>
      <c r="F670" s="5027"/>
    </row>
    <row r="671" spans="1:6" ht="14.85" customHeight="1">
      <c r="A671" s="5197"/>
      <c r="B671" s="5198"/>
      <c r="C671" s="5126"/>
      <c r="D671" s="5213"/>
      <c r="E671" s="5214"/>
      <c r="F671" s="5027"/>
    </row>
    <row r="672" spans="1:6" ht="14.85" customHeight="1">
      <c r="A672" s="5197"/>
      <c r="B672" s="5198"/>
      <c r="C672" s="5126"/>
      <c r="D672" s="5213"/>
      <c r="E672" s="5214"/>
      <c r="F672" s="5027"/>
    </row>
    <row r="673" spans="1:6" ht="14.85" customHeight="1">
      <c r="A673" s="5197"/>
      <c r="B673" s="5198"/>
      <c r="C673" s="5126"/>
      <c r="D673" s="5213"/>
      <c r="E673" s="5214"/>
      <c r="F673" s="5027"/>
    </row>
    <row r="674" spans="1:6" ht="14.85" customHeight="1">
      <c r="A674" s="5197"/>
      <c r="B674" s="5198"/>
      <c r="C674" s="5126"/>
      <c r="D674" s="5213"/>
      <c r="E674" s="5214"/>
      <c r="F674" s="5027"/>
    </row>
    <row r="675" spans="1:6" ht="14.85" customHeight="1">
      <c r="A675" s="5197"/>
      <c r="B675" s="5198"/>
      <c r="C675" s="5126"/>
      <c r="D675" s="5213"/>
      <c r="E675" s="5214"/>
      <c r="F675" s="5027"/>
    </row>
    <row r="676" spans="1:6" ht="14.85" customHeight="1">
      <c r="A676" s="5197"/>
      <c r="B676" s="5198"/>
      <c r="C676" s="5126"/>
      <c r="D676" s="5213"/>
      <c r="E676" s="5214"/>
      <c r="F676" s="5027"/>
    </row>
    <row r="677" spans="1:6" ht="14.85" customHeight="1">
      <c r="A677" s="5197"/>
      <c r="B677" s="5198"/>
      <c r="C677" s="5126"/>
      <c r="D677" s="5213"/>
      <c r="E677" s="5214"/>
      <c r="F677" s="5027"/>
    </row>
    <row r="678" spans="1:6" ht="14.85" customHeight="1">
      <c r="A678" s="5197"/>
      <c r="B678" s="5198"/>
      <c r="C678" s="5126"/>
      <c r="D678" s="5213"/>
      <c r="E678" s="5214"/>
      <c r="F678" s="5027"/>
    </row>
    <row r="679" spans="1:6" ht="14.85" customHeight="1">
      <c r="A679" s="5197"/>
      <c r="B679" s="5198"/>
      <c r="C679" s="5126"/>
      <c r="D679" s="5213"/>
      <c r="E679" s="5214"/>
      <c r="F679" s="5027"/>
    </row>
    <row r="680" spans="1:6" ht="14.85" customHeight="1">
      <c r="A680" s="5197"/>
      <c r="B680" s="5198"/>
      <c r="C680" s="5126"/>
      <c r="D680" s="5213"/>
      <c r="E680" s="5214"/>
      <c r="F680" s="5027"/>
    </row>
    <row r="681" spans="1:6" ht="14.85" customHeight="1">
      <c r="A681" s="5197"/>
      <c r="B681" s="5198"/>
      <c r="C681" s="5126"/>
      <c r="D681" s="5213"/>
      <c r="E681" s="5214"/>
      <c r="F681" s="5027"/>
    </row>
    <row r="682" spans="1:6" ht="14.85" customHeight="1">
      <c r="A682" s="5197"/>
      <c r="B682" s="5198"/>
      <c r="C682" s="5126"/>
      <c r="D682" s="5213"/>
      <c r="E682" s="5214"/>
      <c r="F682" s="5027"/>
    </row>
    <row r="683" spans="1:6" ht="14.85" customHeight="1">
      <c r="A683" s="5197"/>
      <c r="B683" s="5198"/>
      <c r="C683" s="5126"/>
      <c r="D683" s="5213"/>
      <c r="E683" s="5214"/>
      <c r="F683" s="5027"/>
    </row>
    <row r="684" spans="1:6" ht="14.85" customHeight="1">
      <c r="A684" s="5197"/>
      <c r="B684" s="5198"/>
      <c r="C684" s="5126"/>
      <c r="D684" s="5213"/>
      <c r="E684" s="5214"/>
      <c r="F684" s="5027"/>
    </row>
    <row r="685" spans="1:6" ht="14.85" customHeight="1">
      <c r="A685" s="5197"/>
      <c r="B685" s="5198"/>
      <c r="C685" s="5126"/>
      <c r="D685" s="5213"/>
      <c r="E685" s="5214"/>
      <c r="F685" s="5027"/>
    </row>
    <row r="686" spans="1:6" ht="14.85" customHeight="1">
      <c r="A686" s="5197"/>
      <c r="B686" s="5198"/>
      <c r="C686" s="5126"/>
      <c r="D686" s="5213"/>
      <c r="E686" s="5214"/>
      <c r="F686" s="5027"/>
    </row>
    <row r="687" spans="1:6" ht="14.85" customHeight="1">
      <c r="A687" s="5197"/>
      <c r="B687" s="5198"/>
      <c r="C687" s="5126"/>
      <c r="D687" s="5213"/>
      <c r="E687" s="5214"/>
      <c r="F687" s="5027"/>
    </row>
    <row r="688" spans="1:6" ht="14.85" customHeight="1">
      <c r="A688" s="5197"/>
      <c r="B688" s="5198"/>
      <c r="C688" s="5126"/>
      <c r="D688" s="5213"/>
      <c r="E688" s="5214"/>
      <c r="F688" s="5027"/>
    </row>
    <row r="689" spans="1:6" ht="14.85" customHeight="1">
      <c r="A689" s="5197"/>
      <c r="B689" s="5198"/>
      <c r="C689" s="5126"/>
      <c r="D689" s="5213"/>
      <c r="E689" s="5214"/>
      <c r="F689" s="5027"/>
    </row>
    <row r="690" spans="1:6" ht="14.85" customHeight="1">
      <c r="A690" s="5197"/>
      <c r="B690" s="5198"/>
      <c r="C690" s="5126"/>
      <c r="D690" s="5213"/>
      <c r="E690" s="5214"/>
      <c r="F690" s="5027"/>
    </row>
    <row r="691" spans="1:6" ht="14.85" customHeight="1">
      <c r="A691" s="5197"/>
      <c r="B691" s="5198"/>
      <c r="C691" s="5126"/>
      <c r="D691" s="5213"/>
      <c r="E691" s="5214"/>
      <c r="F691" s="5027"/>
    </row>
    <row r="692" spans="1:6" ht="14.85" customHeight="1">
      <c r="A692" s="5197"/>
      <c r="B692" s="5198"/>
      <c r="C692" s="5126"/>
      <c r="D692" s="5213"/>
      <c r="E692" s="5214"/>
      <c r="F692" s="5027"/>
    </row>
    <row r="693" spans="1:6" ht="14.85" customHeight="1">
      <c r="A693" s="5197"/>
      <c r="B693" s="5198"/>
      <c r="C693" s="5126"/>
      <c r="D693" s="5213"/>
      <c r="E693" s="5214"/>
      <c r="F693" s="5027"/>
    </row>
    <row r="694" spans="1:6" ht="14.85" customHeight="1">
      <c r="A694" s="5197"/>
      <c r="B694" s="5198"/>
      <c r="C694" s="5126"/>
      <c r="D694" s="5213"/>
      <c r="E694" s="5214"/>
      <c r="F694" s="5027"/>
    </row>
    <row r="695" spans="1:6" ht="14.85" customHeight="1">
      <c r="A695" s="5197"/>
      <c r="B695" s="5198"/>
      <c r="C695" s="5126"/>
      <c r="D695" s="5213"/>
      <c r="E695" s="5214"/>
      <c r="F695" s="5027"/>
    </row>
    <row r="696" spans="1:6" ht="14.85" customHeight="1">
      <c r="A696" s="5197"/>
      <c r="B696" s="5198"/>
      <c r="C696" s="5126"/>
      <c r="D696" s="5213"/>
      <c r="E696" s="5214"/>
      <c r="F696" s="5027"/>
    </row>
    <row r="697" spans="1:6" ht="14.85" customHeight="1">
      <c r="A697" s="5197"/>
      <c r="B697" s="5198"/>
      <c r="C697" s="5126"/>
      <c r="D697" s="5213"/>
      <c r="E697" s="5214"/>
      <c r="F697" s="5027"/>
    </row>
    <row r="698" spans="1:6" ht="14.85" customHeight="1">
      <c r="A698" s="5197"/>
      <c r="B698" s="5198"/>
      <c r="C698" s="5126"/>
      <c r="D698" s="5213"/>
      <c r="E698" s="5214"/>
      <c r="F698" s="5027"/>
    </row>
    <row r="699" spans="1:6" ht="14.85" customHeight="1">
      <c r="A699" s="5197"/>
      <c r="B699" s="5198"/>
      <c r="C699" s="5126"/>
      <c r="D699" s="5213"/>
      <c r="E699" s="5214"/>
      <c r="F699" s="5027"/>
    </row>
    <row r="700" spans="1:6" ht="14.85" customHeight="1">
      <c r="A700" s="5197"/>
      <c r="B700" s="5198"/>
      <c r="C700" s="5126"/>
      <c r="D700" s="5213"/>
      <c r="E700" s="5214"/>
      <c r="F700" s="5027"/>
    </row>
    <row r="701" spans="1:6" ht="14.85" customHeight="1">
      <c r="A701" s="5197"/>
      <c r="B701" s="5198"/>
      <c r="C701" s="5126"/>
      <c r="D701" s="5213"/>
      <c r="E701" s="5214"/>
      <c r="F701" s="5027"/>
    </row>
    <row r="702" spans="1:6" ht="14.85" customHeight="1">
      <c r="A702" s="5197"/>
      <c r="B702" s="5198"/>
      <c r="C702" s="5126"/>
      <c r="D702" s="5213"/>
      <c r="E702" s="5214"/>
      <c r="F702" s="5027"/>
    </row>
    <row r="703" spans="1:6" ht="14.85" customHeight="1">
      <c r="A703" s="5197"/>
      <c r="B703" s="5198"/>
      <c r="C703" s="5126"/>
      <c r="D703" s="5213"/>
      <c r="E703" s="5214"/>
      <c r="F703" s="5027"/>
    </row>
    <row r="704" spans="1:6" ht="14.85" customHeight="1">
      <c r="A704" s="5197"/>
      <c r="B704" s="5198"/>
      <c r="C704" s="5126"/>
      <c r="D704" s="5213"/>
      <c r="E704" s="5214"/>
      <c r="F704" s="5027"/>
    </row>
    <row r="705" spans="1:6" ht="14.85" customHeight="1">
      <c r="A705" s="5197"/>
      <c r="B705" s="5198"/>
      <c r="C705" s="5126"/>
      <c r="D705" s="5213"/>
      <c r="E705" s="5214"/>
      <c r="F705" s="5027"/>
    </row>
    <row r="706" spans="1:6" ht="14.85" customHeight="1">
      <c r="A706" s="5197"/>
      <c r="B706" s="5198"/>
      <c r="C706" s="5126"/>
      <c r="D706" s="5213"/>
      <c r="E706" s="5214"/>
      <c r="F706" s="5027"/>
    </row>
    <row r="707" spans="1:6" ht="14.85" customHeight="1">
      <c r="A707" s="5197"/>
      <c r="B707" s="5198"/>
      <c r="C707" s="5126"/>
      <c r="D707" s="5213"/>
      <c r="E707" s="5214"/>
      <c r="F707" s="5027"/>
    </row>
    <row r="708" spans="1:6" ht="14.85" customHeight="1">
      <c r="A708" s="5197"/>
      <c r="B708" s="5198"/>
      <c r="C708" s="5126"/>
      <c r="D708" s="5213"/>
      <c r="E708" s="5214"/>
      <c r="F708" s="5027"/>
    </row>
    <row r="709" spans="1:6" ht="14.85" customHeight="1">
      <c r="A709" s="5197"/>
      <c r="B709" s="5198"/>
      <c r="C709" s="5126"/>
      <c r="D709" s="5213"/>
      <c r="E709" s="5214"/>
      <c r="F709" s="5027"/>
    </row>
    <row r="710" spans="1:6" ht="14.85" customHeight="1">
      <c r="A710" s="5197"/>
      <c r="B710" s="5198"/>
      <c r="C710" s="5126"/>
      <c r="D710" s="5213"/>
      <c r="E710" s="5214"/>
      <c r="F710" s="5027"/>
    </row>
    <row r="711" spans="1:6" ht="14.85" customHeight="1">
      <c r="A711" s="5197"/>
      <c r="B711" s="5198"/>
      <c r="C711" s="5126"/>
      <c r="D711" s="5213"/>
      <c r="E711" s="5214"/>
      <c r="F711" s="5027"/>
    </row>
    <row r="712" spans="1:6" ht="14.85" customHeight="1">
      <c r="A712" s="5197"/>
      <c r="B712" s="5198"/>
      <c r="C712" s="5126"/>
      <c r="D712" s="5213"/>
      <c r="E712" s="5214"/>
      <c r="F712" s="5027"/>
    </row>
    <row r="713" spans="1:6" ht="14.85" customHeight="1">
      <c r="A713" s="5197"/>
      <c r="B713" s="5198"/>
      <c r="C713" s="5126"/>
      <c r="D713" s="5213"/>
      <c r="E713" s="5214"/>
      <c r="F713" s="5027"/>
    </row>
    <row r="714" spans="1:6" ht="14.85" customHeight="1">
      <c r="A714" s="5197"/>
      <c r="B714" s="5198"/>
      <c r="C714" s="5126"/>
      <c r="D714" s="5213"/>
      <c r="E714" s="5214"/>
      <c r="F714" s="5027"/>
    </row>
    <row r="715" spans="1:6" ht="14.85" customHeight="1">
      <c r="A715" s="5197"/>
      <c r="B715" s="5198"/>
      <c r="C715" s="5126"/>
      <c r="D715" s="5213"/>
      <c r="E715" s="5214"/>
      <c r="F715" s="5027"/>
    </row>
    <row r="716" spans="1:6" ht="14.85" customHeight="1">
      <c r="A716" s="5197"/>
      <c r="B716" s="5198"/>
      <c r="C716" s="5126"/>
      <c r="D716" s="5213"/>
      <c r="E716" s="5214"/>
      <c r="F716" s="5027"/>
    </row>
    <row r="717" spans="1:6" ht="14.85" customHeight="1">
      <c r="A717" s="5197"/>
      <c r="B717" s="5198"/>
      <c r="C717" s="5126"/>
      <c r="D717" s="5213"/>
      <c r="E717" s="5214"/>
      <c r="F717" s="5027"/>
    </row>
    <row r="718" spans="1:6" ht="14.85" customHeight="1">
      <c r="A718" s="5197"/>
      <c r="B718" s="5198"/>
      <c r="C718" s="5126"/>
      <c r="D718" s="5213"/>
      <c r="E718" s="5214"/>
      <c r="F718" s="5027"/>
    </row>
    <row r="719" spans="1:6" ht="14.85" customHeight="1">
      <c r="A719" s="5197"/>
      <c r="B719" s="5198"/>
      <c r="C719" s="5126"/>
      <c r="D719" s="5213"/>
      <c r="E719" s="5214"/>
      <c r="F719" s="5027"/>
    </row>
    <row r="720" spans="1:6" ht="14.85" customHeight="1">
      <c r="A720" s="5197"/>
      <c r="B720" s="5198"/>
      <c r="C720" s="5126"/>
      <c r="D720" s="5213"/>
      <c r="E720" s="5214"/>
      <c r="F720" s="5027"/>
    </row>
    <row r="721" spans="1:6" ht="14.85" customHeight="1">
      <c r="A721" s="5197"/>
      <c r="B721" s="5198"/>
      <c r="C721" s="5126"/>
      <c r="D721" s="5213"/>
      <c r="E721" s="5214"/>
      <c r="F721" s="5027"/>
    </row>
    <row r="722" spans="1:6" ht="14.85" customHeight="1">
      <c r="A722" s="5197"/>
      <c r="B722" s="5198"/>
      <c r="C722" s="5126"/>
      <c r="D722" s="5213"/>
      <c r="E722" s="5214"/>
      <c r="F722" s="5027"/>
    </row>
    <row r="723" spans="1:6" ht="14.85" customHeight="1">
      <c r="A723" s="5197"/>
      <c r="B723" s="5198"/>
      <c r="C723" s="5126"/>
      <c r="D723" s="5213"/>
      <c r="E723" s="5214"/>
      <c r="F723" s="5027"/>
    </row>
    <row r="724" spans="1:6" ht="14.85" customHeight="1">
      <c r="A724" s="5197"/>
      <c r="B724" s="5198"/>
      <c r="C724" s="5126"/>
      <c r="D724" s="5213"/>
      <c r="E724" s="5214"/>
      <c r="F724" s="5027"/>
    </row>
    <row r="725" spans="1:6" ht="14.85" customHeight="1">
      <c r="A725" s="5197"/>
      <c r="B725" s="5198"/>
      <c r="C725" s="5126"/>
      <c r="D725" s="5213"/>
      <c r="E725" s="5214"/>
      <c r="F725" s="5027"/>
    </row>
    <row r="726" spans="1:6" ht="14.85" customHeight="1">
      <c r="A726" s="5197"/>
      <c r="B726" s="5198"/>
      <c r="C726" s="5126"/>
      <c r="D726" s="5213"/>
      <c r="E726" s="5214"/>
      <c r="F726" s="5027"/>
    </row>
    <row r="727" spans="1:6" ht="14.85" customHeight="1">
      <c r="A727" s="5197"/>
      <c r="B727" s="5198"/>
      <c r="C727" s="5126"/>
      <c r="D727" s="5213"/>
      <c r="E727" s="5214"/>
      <c r="F727" s="5027"/>
    </row>
    <row r="728" spans="1:6" ht="14.85" customHeight="1">
      <c r="A728" s="5197"/>
      <c r="B728" s="5198"/>
      <c r="C728" s="5126"/>
      <c r="D728" s="5213"/>
      <c r="E728" s="5214"/>
      <c r="F728" s="5027"/>
    </row>
    <row r="729" spans="1:6" ht="14.85" customHeight="1">
      <c r="A729" s="5197"/>
      <c r="B729" s="5198"/>
      <c r="C729" s="5126"/>
      <c r="D729" s="5213"/>
      <c r="E729" s="5214"/>
      <c r="F729" s="5027"/>
    </row>
    <row r="730" spans="1:6" ht="14.85" customHeight="1">
      <c r="A730" s="5197"/>
      <c r="B730" s="5198"/>
      <c r="C730" s="5126"/>
      <c r="D730" s="5213"/>
      <c r="E730" s="5214"/>
      <c r="F730" s="5027"/>
    </row>
    <row r="731" spans="1:6" ht="14.85" customHeight="1">
      <c r="A731" s="5197"/>
      <c r="B731" s="5198"/>
      <c r="C731" s="5126"/>
      <c r="D731" s="5213"/>
      <c r="E731" s="5214"/>
      <c r="F731" s="5027"/>
    </row>
    <row r="732" spans="1:6" ht="14.85" customHeight="1">
      <c r="A732" s="5197"/>
      <c r="B732" s="5198"/>
      <c r="C732" s="5126"/>
      <c r="D732" s="5213"/>
      <c r="E732" s="5214"/>
      <c r="F732" s="5027"/>
    </row>
    <row r="733" spans="1:6" ht="14.85" customHeight="1">
      <c r="A733" s="5197"/>
      <c r="B733" s="5198"/>
      <c r="C733" s="5126"/>
      <c r="D733" s="5213"/>
      <c r="E733" s="5214"/>
      <c r="F733" s="5027"/>
    </row>
    <row r="734" spans="1:6" ht="14.85" customHeight="1">
      <c r="A734" s="5197"/>
      <c r="B734" s="5198"/>
      <c r="C734" s="5126"/>
      <c r="D734" s="5213"/>
      <c r="E734" s="5214"/>
      <c r="F734" s="5027"/>
    </row>
    <row r="735" spans="1:6" ht="14.85" customHeight="1">
      <c r="A735" s="5197"/>
      <c r="B735" s="5198"/>
      <c r="C735" s="5126"/>
      <c r="D735" s="5213"/>
      <c r="E735" s="5214"/>
      <c r="F735" s="5027"/>
    </row>
    <row r="736" spans="1:6" ht="14.85" customHeight="1">
      <c r="A736" s="5197"/>
      <c r="B736" s="5198"/>
      <c r="C736" s="5126"/>
      <c r="D736" s="5213"/>
      <c r="E736" s="5214"/>
      <c r="F736" s="5027"/>
    </row>
    <row r="737" spans="1:6" ht="14.85" customHeight="1">
      <c r="A737" s="5197"/>
      <c r="B737" s="5198"/>
      <c r="C737" s="5126"/>
      <c r="D737" s="5213"/>
      <c r="E737" s="5214"/>
      <c r="F737" s="5027"/>
    </row>
    <row r="738" spans="1:6" ht="14.85" customHeight="1">
      <c r="A738" s="5197"/>
      <c r="B738" s="5198"/>
      <c r="C738" s="5126"/>
      <c r="D738" s="5213"/>
      <c r="E738" s="5214"/>
      <c r="F738" s="5027"/>
    </row>
    <row r="739" spans="1:6" ht="14.85" customHeight="1">
      <c r="A739" s="5197"/>
      <c r="B739" s="5198"/>
      <c r="C739" s="5126"/>
      <c r="D739" s="5213"/>
      <c r="E739" s="5214"/>
      <c r="F739" s="5027"/>
    </row>
    <row r="740" spans="1:6" ht="14.85" customHeight="1">
      <c r="A740" s="5197"/>
      <c r="B740" s="5198"/>
      <c r="C740" s="5126"/>
      <c r="D740" s="5213"/>
      <c r="E740" s="5214"/>
      <c r="F740" s="5027"/>
    </row>
    <row r="741" spans="1:6" ht="14.85" customHeight="1">
      <c r="A741" s="5197"/>
      <c r="B741" s="5198"/>
      <c r="C741" s="5126"/>
      <c r="D741" s="5213"/>
      <c r="E741" s="5214"/>
      <c r="F741" s="5027"/>
    </row>
    <row r="742" spans="1:6" ht="14.85" customHeight="1">
      <c r="A742" s="5197"/>
      <c r="B742" s="5198"/>
      <c r="C742" s="5126"/>
      <c r="D742" s="5213"/>
      <c r="E742" s="5214"/>
      <c r="F742" s="5027"/>
    </row>
    <row r="743" spans="1:6" ht="14.85" customHeight="1">
      <c r="A743" s="5197"/>
      <c r="B743" s="5198"/>
      <c r="C743" s="5126"/>
      <c r="D743" s="5213"/>
      <c r="E743" s="5214"/>
      <c r="F743" s="5027"/>
    </row>
    <row r="744" spans="1:6" ht="14.85" customHeight="1">
      <c r="A744" s="5197"/>
      <c r="B744" s="5198"/>
      <c r="C744" s="5126"/>
      <c r="D744" s="5213"/>
      <c r="E744" s="5214"/>
      <c r="F744" s="5027"/>
    </row>
    <row r="745" spans="1:6" ht="14.85" customHeight="1">
      <c r="A745" s="5197"/>
      <c r="B745" s="5198"/>
      <c r="C745" s="5126"/>
      <c r="D745" s="5213"/>
      <c r="E745" s="5214"/>
      <c r="F745" s="5027"/>
    </row>
    <row r="746" spans="1:6" ht="14.85" customHeight="1">
      <c r="A746" s="5197"/>
      <c r="B746" s="5198"/>
      <c r="C746" s="5126"/>
      <c r="D746" s="5213"/>
      <c r="E746" s="5214"/>
      <c r="F746" s="5027"/>
    </row>
    <row r="747" spans="1:6" ht="14.85" customHeight="1">
      <c r="A747" s="5197"/>
      <c r="B747" s="5198"/>
      <c r="C747" s="5126"/>
      <c r="D747" s="5213"/>
      <c r="E747" s="5214"/>
      <c r="F747" s="5027"/>
    </row>
    <row r="748" spans="1:6" ht="14.85" customHeight="1">
      <c r="A748" s="5197"/>
      <c r="B748" s="5198"/>
      <c r="C748" s="5126"/>
      <c r="D748" s="5213"/>
      <c r="E748" s="5214"/>
      <c r="F748" s="5027"/>
    </row>
    <row r="749" spans="1:6" ht="14.85" customHeight="1">
      <c r="A749" s="5197"/>
      <c r="B749" s="5198"/>
      <c r="C749" s="5126"/>
      <c r="D749" s="5213"/>
      <c r="E749" s="5214"/>
      <c r="F749" s="5027"/>
    </row>
    <row r="750" spans="1:6" ht="14.85" customHeight="1">
      <c r="A750" s="5197"/>
      <c r="B750" s="5198"/>
      <c r="C750" s="5126"/>
      <c r="D750" s="5213"/>
      <c r="E750" s="5214"/>
      <c r="F750" s="5027"/>
    </row>
    <row r="751" spans="1:6" ht="14.85" customHeight="1">
      <c r="A751" s="5197"/>
      <c r="B751" s="5198"/>
      <c r="C751" s="5126"/>
      <c r="D751" s="5213"/>
      <c r="E751" s="5214"/>
      <c r="F751" s="5027"/>
    </row>
    <row r="752" spans="1:6" ht="14.85" customHeight="1">
      <c r="A752" s="5197"/>
      <c r="B752" s="5198"/>
      <c r="C752" s="5126"/>
      <c r="D752" s="5213"/>
      <c r="E752" s="5214"/>
      <c r="F752" s="5027"/>
    </row>
    <row r="753" spans="1:6" ht="14.85" customHeight="1">
      <c r="A753" s="5197"/>
      <c r="B753" s="5198"/>
      <c r="C753" s="5126"/>
      <c r="D753" s="5213"/>
      <c r="E753" s="5214"/>
      <c r="F753" s="5027"/>
    </row>
    <row r="754" spans="1:6" ht="14.85" customHeight="1">
      <c r="A754" s="5197"/>
      <c r="B754" s="5198"/>
      <c r="C754" s="5126"/>
      <c r="D754" s="5213"/>
      <c r="E754" s="5214"/>
      <c r="F754" s="5027"/>
    </row>
    <row r="755" spans="1:6" ht="14.85" customHeight="1">
      <c r="A755" s="5197"/>
      <c r="B755" s="5198"/>
      <c r="C755" s="5126"/>
      <c r="D755" s="5213"/>
      <c r="E755" s="5214"/>
      <c r="F755" s="5027"/>
    </row>
    <row r="756" spans="1:6" ht="14.85" customHeight="1">
      <c r="A756" s="5197"/>
      <c r="B756" s="5198"/>
      <c r="C756" s="5126"/>
      <c r="D756" s="5213"/>
      <c r="E756" s="5214"/>
      <c r="F756" s="5027"/>
    </row>
    <row r="757" spans="1:6" ht="14.85" customHeight="1">
      <c r="A757" s="5197"/>
      <c r="B757" s="5198"/>
      <c r="C757" s="5126"/>
      <c r="D757" s="5213"/>
      <c r="E757" s="5214"/>
      <c r="F757" s="5027"/>
    </row>
    <row r="758" spans="1:6" ht="14.85" customHeight="1">
      <c r="A758" s="5197"/>
      <c r="B758" s="5198"/>
      <c r="C758" s="5126"/>
      <c r="D758" s="5213"/>
      <c r="E758" s="5214"/>
      <c r="F758" s="5027"/>
    </row>
    <row r="759" spans="1:6" ht="14.85" customHeight="1">
      <c r="A759" s="5197"/>
      <c r="B759" s="5198"/>
      <c r="C759" s="5126"/>
      <c r="D759" s="5213"/>
      <c r="E759" s="5214"/>
      <c r="F759" s="5027"/>
    </row>
    <row r="760" spans="1:6" ht="14.85" customHeight="1">
      <c r="A760" s="5197"/>
      <c r="B760" s="5198"/>
      <c r="C760" s="5126"/>
      <c r="D760" s="5213"/>
      <c r="E760" s="5214"/>
      <c r="F760" s="5027"/>
    </row>
    <row r="761" spans="1:6" ht="14.85" customHeight="1">
      <c r="A761" s="5197"/>
      <c r="B761" s="5198"/>
      <c r="C761" s="5126"/>
      <c r="D761" s="5213"/>
      <c r="E761" s="5214"/>
      <c r="F761" s="5027"/>
    </row>
    <row r="762" spans="1:6" ht="14.85" customHeight="1">
      <c r="A762" s="5197"/>
      <c r="B762" s="5198"/>
      <c r="C762" s="5126"/>
      <c r="D762" s="5213"/>
      <c r="E762" s="5214"/>
      <c r="F762" s="5027"/>
    </row>
    <row r="763" spans="1:6" ht="14.85" customHeight="1">
      <c r="A763" s="5197"/>
      <c r="B763" s="5198"/>
      <c r="C763" s="5126"/>
      <c r="D763" s="5213"/>
      <c r="E763" s="5214"/>
      <c r="F763" s="5027"/>
    </row>
    <row r="764" spans="1:6" ht="14.85" customHeight="1">
      <c r="A764" s="5197"/>
      <c r="B764" s="5198"/>
      <c r="C764" s="5126"/>
      <c r="D764" s="5213"/>
      <c r="E764" s="5214"/>
      <c r="F764" s="5027"/>
    </row>
    <row r="765" spans="1:6" ht="14.85" customHeight="1">
      <c r="A765" s="5197"/>
      <c r="B765" s="5198"/>
      <c r="C765" s="5126"/>
      <c r="D765" s="5213"/>
      <c r="E765" s="5214"/>
      <c r="F765" s="5027"/>
    </row>
    <row r="766" spans="1:6" ht="14.85" customHeight="1">
      <c r="A766" s="5197"/>
      <c r="B766" s="5198"/>
      <c r="C766" s="5126"/>
      <c r="D766" s="5213"/>
      <c r="E766" s="5214"/>
      <c r="F766" s="5027"/>
    </row>
    <row r="767" spans="1:6" ht="14.85" customHeight="1">
      <c r="A767" s="5197"/>
      <c r="B767" s="5198"/>
      <c r="C767" s="5126"/>
      <c r="D767" s="5213"/>
      <c r="E767" s="5214"/>
      <c r="F767" s="5027"/>
    </row>
    <row r="768" spans="1:6" ht="14.85" customHeight="1">
      <c r="A768" s="5197"/>
      <c r="B768" s="5198"/>
      <c r="C768" s="5126"/>
      <c r="D768" s="5213"/>
      <c r="E768" s="5214"/>
      <c r="F768" s="5027"/>
    </row>
    <row r="769" spans="1:6" ht="14.85" customHeight="1">
      <c r="A769" s="5197"/>
      <c r="B769" s="5198"/>
      <c r="C769" s="5126"/>
      <c r="D769" s="5213"/>
      <c r="E769" s="5214"/>
      <c r="F769" s="5027"/>
    </row>
    <row r="770" spans="1:6" ht="14.85" customHeight="1">
      <c r="A770" s="5197"/>
      <c r="B770" s="5198"/>
      <c r="C770" s="5126"/>
      <c r="D770" s="5213"/>
      <c r="E770" s="5214"/>
      <c r="F770" s="5027"/>
    </row>
    <row r="771" spans="1:6" ht="14.85" customHeight="1">
      <c r="A771" s="5197"/>
      <c r="B771" s="5198"/>
      <c r="C771" s="5126"/>
      <c r="D771" s="5213"/>
      <c r="E771" s="5214"/>
      <c r="F771" s="5027"/>
    </row>
    <row r="772" spans="1:6" ht="14.85" customHeight="1">
      <c r="A772" s="5197"/>
      <c r="B772" s="5198"/>
      <c r="C772" s="5126"/>
      <c r="D772" s="5213"/>
      <c r="E772" s="5214"/>
      <c r="F772" s="5027"/>
    </row>
    <row r="773" spans="1:6" ht="14.85" customHeight="1">
      <c r="A773" s="5197"/>
      <c r="B773" s="5198"/>
      <c r="C773" s="5126"/>
      <c r="D773" s="5213"/>
      <c r="E773" s="5214"/>
      <c r="F773" s="5027"/>
    </row>
    <row r="774" spans="1:6" ht="14.85" customHeight="1">
      <c r="A774" s="5197"/>
      <c r="B774" s="5198"/>
      <c r="C774" s="5126"/>
      <c r="D774" s="5213"/>
      <c r="E774" s="5214"/>
      <c r="F774" s="5027"/>
    </row>
    <row r="775" spans="1:6" ht="14.85" customHeight="1">
      <c r="A775" s="5197"/>
      <c r="B775" s="5198"/>
      <c r="C775" s="5126"/>
      <c r="D775" s="5213"/>
      <c r="E775" s="5214"/>
      <c r="F775" s="5027"/>
    </row>
    <row r="776" spans="1:6" ht="14.85" customHeight="1">
      <c r="A776" s="5197"/>
      <c r="B776" s="5198"/>
      <c r="C776" s="5126"/>
      <c r="D776" s="5213"/>
      <c r="E776" s="5214"/>
      <c r="F776" s="5027"/>
    </row>
    <row r="777" spans="1:6" ht="14.85" customHeight="1">
      <c r="A777" s="5197"/>
      <c r="B777" s="5198"/>
      <c r="C777" s="5126"/>
      <c r="D777" s="5213"/>
      <c r="E777" s="5214"/>
      <c r="F777" s="5027"/>
    </row>
    <row r="778" spans="1:6" ht="14.85" customHeight="1">
      <c r="A778" s="5197"/>
      <c r="B778" s="5198"/>
      <c r="C778" s="5126"/>
      <c r="D778" s="5213"/>
      <c r="E778" s="5214"/>
      <c r="F778" s="5027"/>
    </row>
    <row r="779" spans="1:6" ht="14.85" customHeight="1">
      <c r="A779" s="5197"/>
      <c r="B779" s="5198"/>
      <c r="C779" s="5126"/>
      <c r="D779" s="5213"/>
      <c r="E779" s="5214"/>
      <c r="F779" s="5027"/>
    </row>
    <row r="780" spans="1:6" ht="14.85" customHeight="1">
      <c r="A780" s="5197"/>
      <c r="B780" s="5198"/>
      <c r="C780" s="5126"/>
      <c r="D780" s="5213"/>
      <c r="E780" s="5214"/>
      <c r="F780" s="5027"/>
    </row>
    <row r="781" spans="1:6" ht="14.85" customHeight="1">
      <c r="A781" s="5197"/>
      <c r="B781" s="5198"/>
      <c r="C781" s="5126"/>
      <c r="D781" s="5213"/>
      <c r="E781" s="5214"/>
      <c r="F781" s="5027"/>
    </row>
    <row r="782" spans="1:6" ht="14.85" customHeight="1">
      <c r="A782" s="5197"/>
      <c r="B782" s="5198"/>
      <c r="C782" s="5126"/>
      <c r="D782" s="5213"/>
      <c r="E782" s="5214"/>
      <c r="F782" s="5027"/>
    </row>
    <row r="783" spans="1:6" ht="14.85" customHeight="1">
      <c r="A783" s="5197"/>
      <c r="B783" s="5198"/>
      <c r="C783" s="5126"/>
      <c r="D783" s="5213"/>
      <c r="E783" s="5214"/>
      <c r="F783" s="5027"/>
    </row>
    <row r="784" spans="1:6" ht="14.85" customHeight="1">
      <c r="A784" s="5197"/>
      <c r="B784" s="5198"/>
      <c r="C784" s="5126"/>
      <c r="D784" s="5213"/>
      <c r="E784" s="5214"/>
      <c r="F784" s="5027"/>
    </row>
    <row r="785" spans="1:6" ht="14.85" customHeight="1">
      <c r="A785" s="5197"/>
      <c r="B785" s="5198"/>
      <c r="C785" s="5126"/>
      <c r="D785" s="5213"/>
      <c r="E785" s="5214"/>
      <c r="F785" s="5027"/>
    </row>
    <row r="786" spans="1:6" ht="14.85" customHeight="1">
      <c r="A786" s="5197"/>
      <c r="B786" s="5198"/>
      <c r="C786" s="5126"/>
      <c r="D786" s="5213"/>
      <c r="E786" s="5214"/>
      <c r="F786" s="5027"/>
    </row>
    <row r="787" spans="1:6" ht="14.85" customHeight="1">
      <c r="A787" s="5197"/>
      <c r="B787" s="5198"/>
      <c r="C787" s="5126"/>
      <c r="D787" s="5213"/>
      <c r="E787" s="5214"/>
      <c r="F787" s="5027"/>
    </row>
    <row r="788" spans="1:6" ht="14.85" customHeight="1">
      <c r="A788" s="5197"/>
      <c r="B788" s="5198"/>
      <c r="C788" s="5126"/>
      <c r="D788" s="5213"/>
      <c r="E788" s="5214"/>
      <c r="F788" s="5027"/>
    </row>
    <row r="789" spans="1:6" ht="14.85" customHeight="1">
      <c r="A789" s="5197"/>
      <c r="B789" s="5198"/>
      <c r="C789" s="5126"/>
      <c r="D789" s="5213"/>
      <c r="E789" s="5214"/>
      <c r="F789" s="5027"/>
    </row>
    <row r="790" spans="1:6" ht="14.85" customHeight="1">
      <c r="A790" s="5197"/>
      <c r="B790" s="5198"/>
      <c r="C790" s="5126"/>
      <c r="D790" s="5213"/>
      <c r="E790" s="5214"/>
      <c r="F790" s="5027"/>
    </row>
    <row r="791" spans="1:6" ht="14.85" customHeight="1">
      <c r="A791" s="5197"/>
      <c r="B791" s="5198"/>
      <c r="C791" s="5126"/>
      <c r="D791" s="5213"/>
      <c r="E791" s="5214"/>
      <c r="F791" s="5027"/>
    </row>
    <row r="792" spans="1:6" ht="14.85" customHeight="1">
      <c r="A792" s="5197"/>
      <c r="B792" s="5198"/>
      <c r="C792" s="5126"/>
      <c r="D792" s="5213"/>
      <c r="E792" s="5214"/>
      <c r="F792" s="5027"/>
    </row>
    <row r="793" spans="1:6" ht="14.85" customHeight="1">
      <c r="A793" s="5197"/>
      <c r="B793" s="5198"/>
      <c r="C793" s="5126"/>
      <c r="D793" s="5213"/>
      <c r="E793" s="5214"/>
      <c r="F793" s="5027"/>
    </row>
    <row r="794" spans="1:6" ht="14.85" customHeight="1">
      <c r="A794" s="5197"/>
      <c r="B794" s="5198"/>
      <c r="C794" s="5126"/>
      <c r="D794" s="5213"/>
      <c r="E794" s="5214"/>
      <c r="F794" s="5027"/>
    </row>
    <row r="795" spans="1:6" ht="14.85" customHeight="1">
      <c r="A795" s="5197"/>
      <c r="B795" s="5198"/>
      <c r="C795" s="5126"/>
      <c r="D795" s="5213"/>
      <c r="E795" s="5214"/>
      <c r="F795" s="5027"/>
    </row>
    <row r="796" spans="1:6" ht="14.85" customHeight="1">
      <c r="A796" s="5197"/>
      <c r="B796" s="5198"/>
      <c r="C796" s="5126"/>
      <c r="D796" s="5213"/>
      <c r="E796" s="5214"/>
      <c r="F796" s="5027"/>
    </row>
    <row r="797" spans="1:6" ht="14.85" customHeight="1">
      <c r="A797" s="5197"/>
      <c r="B797" s="5198"/>
      <c r="C797" s="5126"/>
      <c r="D797" s="5213"/>
      <c r="E797" s="5214"/>
      <c r="F797" s="5027"/>
    </row>
    <row r="798" spans="1:6" ht="14.85" customHeight="1">
      <c r="A798" s="5197"/>
      <c r="B798" s="5198"/>
      <c r="C798" s="5126"/>
      <c r="D798" s="5213"/>
      <c r="E798" s="5214"/>
      <c r="F798" s="5027"/>
    </row>
    <row r="799" spans="1:6" ht="14.85" customHeight="1">
      <c r="A799" s="5197"/>
      <c r="B799" s="5198"/>
      <c r="C799" s="5126"/>
      <c r="D799" s="5213"/>
      <c r="E799" s="5214"/>
      <c r="F799" s="5027"/>
    </row>
    <row r="800" spans="1:6" ht="14.85" customHeight="1">
      <c r="A800" s="5197"/>
      <c r="B800" s="5198"/>
      <c r="C800" s="5126"/>
      <c r="D800" s="5213"/>
      <c r="E800" s="5214"/>
      <c r="F800" s="5027"/>
    </row>
    <row r="801" spans="1:6" ht="14.85" customHeight="1">
      <c r="A801" s="5197"/>
      <c r="B801" s="5198"/>
      <c r="C801" s="5126"/>
      <c r="D801" s="5213"/>
      <c r="E801" s="5214"/>
      <c r="F801" s="5027"/>
    </row>
    <row r="802" spans="1:6" ht="14.85" customHeight="1">
      <c r="A802" s="5197"/>
      <c r="B802" s="5198"/>
      <c r="C802" s="5126"/>
      <c r="D802" s="5213"/>
      <c r="E802" s="5214"/>
      <c r="F802" s="5027"/>
    </row>
    <row r="803" spans="1:6" ht="14.85" customHeight="1">
      <c r="A803" s="5197"/>
      <c r="B803" s="5198"/>
      <c r="C803" s="5126"/>
      <c r="D803" s="5213"/>
      <c r="E803" s="5214"/>
      <c r="F803" s="5027"/>
    </row>
    <row r="804" spans="1:6" ht="14.85" customHeight="1">
      <c r="A804" s="5197"/>
      <c r="B804" s="5198"/>
      <c r="C804" s="5126"/>
      <c r="D804" s="5213"/>
      <c r="E804" s="5214"/>
      <c r="F804" s="5027"/>
    </row>
    <row r="805" spans="1:6" ht="14.85" customHeight="1">
      <c r="A805" s="5197"/>
      <c r="B805" s="5198"/>
      <c r="C805" s="5126"/>
      <c r="D805" s="5213"/>
      <c r="E805" s="5214"/>
      <c r="F805" s="5027"/>
    </row>
    <row r="806" spans="1:6" ht="14.85" customHeight="1">
      <c r="A806" s="5197"/>
      <c r="B806" s="5198"/>
      <c r="C806" s="5126"/>
      <c r="D806" s="5213"/>
      <c r="E806" s="5214"/>
      <c r="F806" s="5027"/>
    </row>
    <row r="807" spans="1:6" ht="14.85" customHeight="1">
      <c r="A807" s="5197"/>
      <c r="B807" s="5198"/>
      <c r="C807" s="5126"/>
      <c r="D807" s="5213"/>
      <c r="E807" s="5214"/>
      <c r="F807" s="5027"/>
    </row>
    <row r="808" spans="1:6" ht="14.85" customHeight="1">
      <c r="A808" s="5197"/>
      <c r="B808" s="5198"/>
      <c r="C808" s="5126"/>
      <c r="D808" s="5213"/>
      <c r="E808" s="5214"/>
      <c r="F808" s="5027"/>
    </row>
    <row r="809" spans="1:6" ht="14.85" customHeight="1">
      <c r="A809" s="5197"/>
      <c r="B809" s="5198"/>
      <c r="C809" s="5126"/>
      <c r="D809" s="5213"/>
      <c r="E809" s="5214"/>
      <c r="F809" s="5027"/>
    </row>
    <row r="810" spans="1:6" ht="14.85" customHeight="1">
      <c r="A810" s="5197"/>
      <c r="B810" s="5198"/>
      <c r="C810" s="5126"/>
      <c r="D810" s="5213"/>
      <c r="E810" s="5214"/>
      <c r="F810" s="5027"/>
    </row>
    <row r="811" spans="1:6" ht="14.85" customHeight="1">
      <c r="A811" s="5197"/>
      <c r="B811" s="5198"/>
      <c r="C811" s="5126"/>
      <c r="D811" s="5213"/>
      <c r="E811" s="5214"/>
      <c r="F811" s="5027"/>
    </row>
    <row r="812" spans="1:6" ht="14.85" customHeight="1">
      <c r="A812" s="5197"/>
      <c r="B812" s="5198"/>
      <c r="C812" s="5126"/>
      <c r="D812" s="5213"/>
      <c r="E812" s="5214"/>
      <c r="F812" s="5027"/>
    </row>
    <row r="813" spans="1:6" ht="14.85" customHeight="1">
      <c r="A813" s="5197"/>
      <c r="B813" s="5198"/>
      <c r="C813" s="5126"/>
      <c r="D813" s="5213"/>
      <c r="E813" s="5214"/>
      <c r="F813" s="5027"/>
    </row>
    <row r="814" spans="1:6" ht="14.85" customHeight="1">
      <c r="A814" s="5197"/>
      <c r="B814" s="5198"/>
      <c r="C814" s="5126"/>
      <c r="D814" s="5213"/>
      <c r="E814" s="5214"/>
      <c r="F814" s="5027"/>
    </row>
    <row r="815" spans="1:6" ht="14.85" customHeight="1">
      <c r="A815" s="5197"/>
      <c r="B815" s="5198"/>
      <c r="C815" s="5126"/>
      <c r="D815" s="5213"/>
      <c r="E815" s="5214"/>
      <c r="F815" s="5027"/>
    </row>
    <row r="816" spans="1:6" ht="14.85" customHeight="1">
      <c r="A816" s="5197"/>
      <c r="B816" s="5198"/>
      <c r="C816" s="5126"/>
      <c r="D816" s="5213"/>
      <c r="E816" s="5214"/>
      <c r="F816" s="5027"/>
    </row>
    <row r="817" spans="1:6" ht="14.85" customHeight="1">
      <c r="A817" s="5197"/>
      <c r="B817" s="5198"/>
      <c r="C817" s="5126"/>
      <c r="D817" s="5213"/>
      <c r="E817" s="5214"/>
      <c r="F817" s="5027"/>
    </row>
    <row r="818" spans="1:6" ht="14.85" customHeight="1">
      <c r="A818" s="5197"/>
      <c r="B818" s="5198"/>
      <c r="C818" s="5126"/>
      <c r="D818" s="5213"/>
      <c r="E818" s="5214"/>
      <c r="F818" s="5027"/>
    </row>
    <row r="819" spans="1:6" ht="14.85" customHeight="1">
      <c r="A819" s="5197"/>
      <c r="B819" s="5198"/>
      <c r="C819" s="5126"/>
      <c r="D819" s="5213"/>
      <c r="E819" s="5214"/>
      <c r="F819" s="5027"/>
    </row>
    <row r="820" spans="1:6" ht="14.85" customHeight="1">
      <c r="A820" s="5197"/>
      <c r="B820" s="5198"/>
      <c r="C820" s="5126"/>
      <c r="D820" s="5213"/>
      <c r="E820" s="5214"/>
      <c r="F820" s="5027"/>
    </row>
    <row r="821" spans="1:6" ht="14.85" customHeight="1">
      <c r="A821" s="5197"/>
      <c r="B821" s="5198"/>
      <c r="C821" s="5126"/>
      <c r="D821" s="5213"/>
      <c r="E821" s="5214"/>
      <c r="F821" s="5027"/>
    </row>
    <row r="822" spans="1:6" ht="14.85" customHeight="1">
      <c r="A822" s="5197"/>
      <c r="B822" s="5198"/>
      <c r="C822" s="5126"/>
      <c r="D822" s="5213"/>
      <c r="E822" s="5214"/>
      <c r="F822" s="5027"/>
    </row>
    <row r="823" spans="1:6" ht="14.85" customHeight="1">
      <c r="A823" s="5197"/>
      <c r="B823" s="5198"/>
      <c r="C823" s="5126"/>
      <c r="D823" s="5213"/>
      <c r="E823" s="5214"/>
      <c r="F823" s="5027"/>
    </row>
    <row r="824" spans="1:6" ht="14.85" customHeight="1">
      <c r="A824" s="5197"/>
      <c r="B824" s="5198"/>
      <c r="C824" s="5126"/>
      <c r="D824" s="5213"/>
      <c r="E824" s="5214"/>
      <c r="F824" s="5027"/>
    </row>
    <row r="825" spans="1:6" ht="14.85" customHeight="1">
      <c r="A825" s="5197"/>
      <c r="B825" s="5198"/>
      <c r="C825" s="5126"/>
      <c r="D825" s="5213"/>
      <c r="E825" s="5214"/>
      <c r="F825" s="5027"/>
    </row>
    <row r="826" spans="1:6" ht="14.85" customHeight="1">
      <c r="A826" s="5197"/>
      <c r="B826" s="5198"/>
      <c r="C826" s="5126"/>
      <c r="D826" s="5213"/>
      <c r="E826" s="5214"/>
      <c r="F826" s="5027"/>
    </row>
    <row r="827" spans="1:6" ht="14.85" customHeight="1">
      <c r="A827" s="5197"/>
      <c r="B827" s="5198"/>
      <c r="C827" s="5126"/>
      <c r="D827" s="5213"/>
      <c r="E827" s="5214"/>
      <c r="F827" s="5027"/>
    </row>
    <row r="828" spans="1:6" ht="14.85" customHeight="1">
      <c r="A828" s="5197"/>
      <c r="B828" s="5198"/>
      <c r="C828" s="5126"/>
      <c r="D828" s="5213"/>
      <c r="E828" s="5214"/>
      <c r="F828" s="5027"/>
    </row>
    <row r="829" spans="1:6" ht="14.85" customHeight="1">
      <c r="A829" s="5197"/>
      <c r="B829" s="5198"/>
      <c r="C829" s="5126"/>
      <c r="D829" s="5213"/>
      <c r="E829" s="5214"/>
      <c r="F829" s="5027"/>
    </row>
    <row r="830" spans="1:6" ht="14.85" customHeight="1">
      <c r="A830" s="5197"/>
      <c r="B830" s="5198"/>
      <c r="C830" s="5126"/>
      <c r="D830" s="5213"/>
      <c r="E830" s="5214"/>
      <c r="F830" s="5027"/>
    </row>
    <row r="831" spans="1:6" ht="14.85" customHeight="1">
      <c r="A831" s="5197"/>
      <c r="B831" s="5198"/>
      <c r="C831" s="5126"/>
      <c r="D831" s="5213"/>
      <c r="E831" s="5214"/>
      <c r="F831" s="5027"/>
    </row>
    <row r="832" spans="1:6" ht="14.85" customHeight="1">
      <c r="A832" s="5197"/>
      <c r="B832" s="5198"/>
      <c r="C832" s="5126"/>
      <c r="D832" s="5213"/>
      <c r="E832" s="5214"/>
      <c r="F832" s="5027"/>
    </row>
    <row r="833" spans="1:6" ht="14.85" customHeight="1">
      <c r="A833" s="5197"/>
      <c r="B833" s="5198"/>
      <c r="C833" s="5126"/>
      <c r="D833" s="5213"/>
      <c r="E833" s="5214"/>
      <c r="F833" s="5027"/>
    </row>
    <row r="834" spans="1:6" ht="14.85" customHeight="1">
      <c r="A834" s="5197"/>
      <c r="B834" s="5198"/>
      <c r="C834" s="5126"/>
      <c r="D834" s="5213"/>
      <c r="E834" s="5214"/>
      <c r="F834" s="5027"/>
    </row>
    <row r="835" spans="1:6" ht="14.85" customHeight="1">
      <c r="A835" s="5197"/>
      <c r="B835" s="5198"/>
      <c r="C835" s="5126"/>
      <c r="D835" s="5213"/>
      <c r="E835" s="5214"/>
      <c r="F835" s="5027"/>
    </row>
    <row r="836" spans="1:6" ht="14.85" customHeight="1">
      <c r="A836" s="5197"/>
      <c r="B836" s="5198"/>
      <c r="C836" s="5126"/>
      <c r="D836" s="5213"/>
      <c r="E836" s="5214"/>
      <c r="F836" s="5027"/>
    </row>
    <row r="837" spans="1:6" ht="14.85" customHeight="1">
      <c r="A837" s="5197"/>
      <c r="B837" s="5198"/>
      <c r="C837" s="5126"/>
      <c r="D837" s="5213"/>
      <c r="E837" s="5214"/>
      <c r="F837" s="5027"/>
    </row>
    <row r="838" spans="1:6" ht="14.85" customHeight="1">
      <c r="A838" s="5197"/>
      <c r="B838" s="5198"/>
      <c r="C838" s="5126"/>
      <c r="D838" s="5213"/>
      <c r="E838" s="5214"/>
      <c r="F838" s="5027"/>
    </row>
    <row r="839" spans="1:6" ht="14.85" customHeight="1">
      <c r="A839" s="5197"/>
      <c r="B839" s="5198"/>
      <c r="C839" s="5126"/>
      <c r="D839" s="5213"/>
      <c r="E839" s="5214"/>
      <c r="F839" s="5027"/>
    </row>
    <row r="840" spans="1:6" ht="14.85" customHeight="1">
      <c r="A840" s="5197"/>
      <c r="B840" s="5198"/>
      <c r="C840" s="5126"/>
      <c r="D840" s="5213"/>
      <c r="E840" s="5214"/>
      <c r="F840" s="5027"/>
    </row>
    <row r="841" spans="1:6" ht="14.85" customHeight="1">
      <c r="A841" s="5197"/>
      <c r="B841" s="5198"/>
      <c r="C841" s="5126"/>
      <c r="D841" s="5213"/>
      <c r="E841" s="5214"/>
      <c r="F841" s="5027"/>
    </row>
    <row r="842" spans="1:6" ht="14.85" customHeight="1">
      <c r="A842" s="5197"/>
      <c r="B842" s="5198"/>
      <c r="C842" s="5126"/>
      <c r="D842" s="5213"/>
      <c r="E842" s="5214"/>
      <c r="F842" s="5027"/>
    </row>
    <row r="843" spans="1:6" ht="14.85" customHeight="1">
      <c r="A843" s="5197"/>
      <c r="B843" s="5198"/>
      <c r="C843" s="5126"/>
      <c r="D843" s="5213"/>
      <c r="E843" s="5214"/>
      <c r="F843" s="5027"/>
    </row>
    <row r="844" spans="1:6" ht="14.85" customHeight="1">
      <c r="A844" s="5197"/>
      <c r="B844" s="5198"/>
      <c r="C844" s="5126"/>
      <c r="D844" s="5213"/>
      <c r="E844" s="5214"/>
      <c r="F844" s="5027"/>
    </row>
    <row r="845" spans="1:6" ht="14.85" customHeight="1">
      <c r="A845" s="5197"/>
      <c r="B845" s="5198"/>
      <c r="C845" s="5126"/>
      <c r="D845" s="5213"/>
      <c r="E845" s="5214"/>
      <c r="F845" s="5027"/>
    </row>
    <row r="846" spans="1:6" ht="14.85" customHeight="1">
      <c r="A846" s="5197"/>
      <c r="B846" s="5198"/>
      <c r="C846" s="5126"/>
      <c r="D846" s="5213"/>
      <c r="E846" s="5214"/>
      <c r="F846" s="5027"/>
    </row>
    <row r="847" spans="1:6" ht="14.85" customHeight="1">
      <c r="A847" s="5197"/>
      <c r="B847" s="5198"/>
      <c r="C847" s="5126"/>
      <c r="D847" s="5213"/>
      <c r="E847" s="5214"/>
      <c r="F847" s="5027"/>
    </row>
    <row r="848" spans="1:6" ht="14.85" customHeight="1">
      <c r="A848" s="5197"/>
      <c r="B848" s="5198"/>
      <c r="C848" s="5126"/>
      <c r="D848" s="5213"/>
      <c r="E848" s="5214"/>
      <c r="F848" s="5027"/>
    </row>
    <row r="849" spans="1:6" ht="14.85" customHeight="1">
      <c r="A849" s="5197"/>
      <c r="B849" s="5198"/>
      <c r="C849" s="5126"/>
      <c r="D849" s="5213"/>
      <c r="E849" s="5214"/>
      <c r="F849" s="5027"/>
    </row>
    <row r="850" spans="1:6" ht="14.85" customHeight="1">
      <c r="A850" s="5197"/>
      <c r="B850" s="5198"/>
      <c r="C850" s="5126"/>
      <c r="D850" s="5213"/>
      <c r="E850" s="5214"/>
      <c r="F850" s="5027"/>
    </row>
    <row r="851" spans="1:6" ht="14.85" customHeight="1">
      <c r="A851" s="5197"/>
      <c r="B851" s="5198"/>
      <c r="C851" s="5126"/>
      <c r="D851" s="5213"/>
      <c r="E851" s="5214"/>
      <c r="F851" s="5027"/>
    </row>
    <row r="852" spans="1:6" ht="14.85" customHeight="1">
      <c r="A852" s="5197"/>
      <c r="B852" s="5198"/>
      <c r="C852" s="5126"/>
      <c r="D852" s="5213"/>
      <c r="E852" s="5214"/>
      <c r="F852" s="5027"/>
    </row>
    <row r="853" spans="1:6" ht="14.85" customHeight="1">
      <c r="A853" s="5197"/>
      <c r="B853" s="5198"/>
      <c r="C853" s="5126"/>
      <c r="D853" s="5213"/>
      <c r="E853" s="5214"/>
      <c r="F853" s="5027"/>
    </row>
    <row r="854" spans="1:6" ht="14.85" customHeight="1">
      <c r="A854" s="5197"/>
      <c r="B854" s="5198"/>
      <c r="C854" s="5126"/>
      <c r="D854" s="5213"/>
      <c r="E854" s="5214"/>
      <c r="F854" s="5027"/>
    </row>
    <row r="855" spans="1:6" ht="14.85" customHeight="1">
      <c r="A855" s="5197"/>
      <c r="B855" s="5198"/>
      <c r="C855" s="5126"/>
      <c r="D855" s="5213"/>
      <c r="E855" s="5214"/>
      <c r="F855" s="5027"/>
    </row>
    <row r="856" spans="1:6" ht="14.85" customHeight="1">
      <c r="A856" s="5197"/>
      <c r="B856" s="5198"/>
      <c r="C856" s="5126"/>
      <c r="D856" s="5213"/>
      <c r="E856" s="5214"/>
      <c r="F856" s="5027"/>
    </row>
    <row r="857" spans="1:6" ht="14.85" customHeight="1">
      <c r="A857" s="5197"/>
      <c r="B857" s="5198"/>
      <c r="C857" s="5126"/>
      <c r="D857" s="5213"/>
      <c r="E857" s="5214"/>
      <c r="F857" s="5027"/>
    </row>
    <row r="858" spans="1:6" ht="14.85" customHeight="1">
      <c r="A858" s="5197"/>
      <c r="B858" s="5198"/>
      <c r="C858" s="5126"/>
      <c r="D858" s="5213"/>
      <c r="E858" s="5214"/>
      <c r="F858" s="5027"/>
    </row>
    <row r="859" spans="1:6" ht="14.85" customHeight="1">
      <c r="A859" s="5197"/>
      <c r="B859" s="5198"/>
      <c r="C859" s="5126"/>
      <c r="D859" s="5213"/>
      <c r="E859" s="5214"/>
      <c r="F859" s="5027"/>
    </row>
    <row r="860" spans="1:6" ht="14.85" customHeight="1">
      <c r="A860" s="5197"/>
      <c r="B860" s="5198"/>
      <c r="C860" s="5126"/>
      <c r="D860" s="5213"/>
      <c r="E860" s="5214"/>
      <c r="F860" s="5027"/>
    </row>
    <row r="861" spans="1:6" ht="14.85" customHeight="1">
      <c r="A861" s="5197"/>
      <c r="B861" s="5198"/>
      <c r="C861" s="5126"/>
      <c r="D861" s="5213"/>
      <c r="E861" s="5214"/>
      <c r="F861" s="5027"/>
    </row>
    <row r="862" spans="1:6" ht="14.85" customHeight="1">
      <c r="A862" s="5197"/>
      <c r="B862" s="5198"/>
      <c r="C862" s="5126"/>
      <c r="D862" s="5213"/>
      <c r="E862" s="5214"/>
      <c r="F862" s="5027"/>
    </row>
    <row r="863" spans="1:6" ht="14.85" customHeight="1">
      <c r="A863" s="5197"/>
      <c r="B863" s="5198"/>
      <c r="C863" s="5126"/>
      <c r="D863" s="5213"/>
      <c r="E863" s="5214"/>
      <c r="F863" s="5027"/>
    </row>
    <row r="864" spans="1:6" ht="14.85" customHeight="1">
      <c r="A864" s="5197"/>
      <c r="B864" s="5198"/>
      <c r="C864" s="5126"/>
      <c r="D864" s="5213"/>
      <c r="E864" s="5214"/>
      <c r="F864" s="5027"/>
    </row>
    <row r="865" spans="1:6" ht="14.85" customHeight="1">
      <c r="A865" s="5197"/>
      <c r="B865" s="5198"/>
      <c r="C865" s="5126"/>
      <c r="D865" s="5213"/>
      <c r="E865" s="5214"/>
      <c r="F865" s="5027"/>
    </row>
    <row r="866" spans="1:6" ht="14.85" customHeight="1">
      <c r="A866" s="5197"/>
      <c r="B866" s="5198"/>
      <c r="C866" s="5126"/>
      <c r="D866" s="5213"/>
      <c r="E866" s="5214"/>
      <c r="F866" s="5027"/>
    </row>
    <row r="867" spans="1:6" ht="14.85" customHeight="1">
      <c r="A867" s="5197"/>
      <c r="B867" s="5198"/>
      <c r="C867" s="5126"/>
      <c r="D867" s="5213"/>
      <c r="E867" s="5214"/>
      <c r="F867" s="5027"/>
    </row>
    <row r="868" spans="1:6" ht="14.85" customHeight="1">
      <c r="A868" s="5197"/>
      <c r="B868" s="5198"/>
      <c r="C868" s="5126"/>
      <c r="D868" s="5213"/>
      <c r="E868" s="5214"/>
      <c r="F868" s="5027"/>
    </row>
    <row r="869" spans="1:6" ht="14.85" customHeight="1">
      <c r="A869" s="5197"/>
      <c r="B869" s="5198"/>
      <c r="C869" s="5126"/>
      <c r="D869" s="5213"/>
      <c r="E869" s="5214"/>
      <c r="F869" s="5027"/>
    </row>
    <row r="870" spans="1:6" ht="14.85" customHeight="1">
      <c r="A870" s="5197"/>
      <c r="B870" s="5198"/>
      <c r="C870" s="5126"/>
      <c r="D870" s="5213"/>
      <c r="E870" s="5214"/>
      <c r="F870" s="5027"/>
    </row>
    <row r="871" spans="1:6" ht="14.85" customHeight="1">
      <c r="A871" s="5197"/>
      <c r="B871" s="5198"/>
      <c r="C871" s="5126"/>
      <c r="D871" s="5213"/>
      <c r="E871" s="5214"/>
      <c r="F871" s="5027"/>
    </row>
    <row r="872" spans="1:6" ht="14.85" customHeight="1">
      <c r="A872" s="5197"/>
      <c r="B872" s="5198"/>
      <c r="C872" s="5126"/>
      <c r="D872" s="5213"/>
      <c r="E872" s="5214"/>
      <c r="F872" s="5027"/>
    </row>
    <row r="873" spans="1:6" ht="14.85" customHeight="1">
      <c r="A873" s="5197"/>
      <c r="B873" s="5198"/>
      <c r="C873" s="5126"/>
      <c r="D873" s="5213"/>
      <c r="E873" s="5214"/>
      <c r="F873" s="5027"/>
    </row>
    <row r="874" spans="1:6" ht="14.85" customHeight="1">
      <c r="A874" s="5197"/>
      <c r="B874" s="5198"/>
      <c r="C874" s="5126"/>
      <c r="D874" s="5213"/>
      <c r="E874" s="5214"/>
      <c r="F874" s="5027"/>
    </row>
    <row r="875" spans="1:6" ht="14.85" customHeight="1">
      <c r="A875" s="5197"/>
      <c r="B875" s="5198"/>
      <c r="C875" s="5126"/>
      <c r="D875" s="5213"/>
      <c r="E875" s="5214"/>
      <c r="F875" s="5027"/>
    </row>
    <row r="876" spans="1:6" ht="14.85" customHeight="1">
      <c r="A876" s="5197"/>
      <c r="B876" s="5198"/>
      <c r="C876" s="5126"/>
      <c r="D876" s="5213"/>
      <c r="E876" s="5214"/>
      <c r="F876" s="5027"/>
    </row>
    <row r="877" spans="1:6" ht="14.85" customHeight="1">
      <c r="A877" s="5197"/>
      <c r="B877" s="5198"/>
      <c r="C877" s="5126"/>
      <c r="D877" s="5213"/>
      <c r="E877" s="5214"/>
      <c r="F877" s="5027"/>
    </row>
    <row r="878" spans="1:6" ht="14.85" customHeight="1">
      <c r="A878" s="5197"/>
      <c r="B878" s="5198"/>
      <c r="C878" s="5126"/>
      <c r="D878" s="5213"/>
      <c r="E878" s="5214"/>
      <c r="F878" s="5027"/>
    </row>
    <row r="879" spans="1:6" ht="14.85" customHeight="1">
      <c r="A879" s="5197"/>
      <c r="B879" s="5198"/>
      <c r="C879" s="5126"/>
      <c r="D879" s="5213"/>
      <c r="E879" s="5214"/>
      <c r="F879" s="5027"/>
    </row>
    <row r="880" spans="1:6" ht="14.85" customHeight="1">
      <c r="A880" s="5197"/>
      <c r="B880" s="5198"/>
      <c r="C880" s="5126"/>
      <c r="D880" s="5213"/>
      <c r="E880" s="5214"/>
      <c r="F880" s="5027"/>
    </row>
    <row r="881" spans="1:6" ht="14.85" customHeight="1">
      <c r="A881" s="5197"/>
      <c r="B881" s="5198"/>
      <c r="C881" s="5126"/>
      <c r="D881" s="5213"/>
      <c r="E881" s="5214"/>
      <c r="F881" s="5027"/>
    </row>
    <row r="882" spans="1:6" ht="14.85" customHeight="1">
      <c r="A882" s="5197"/>
      <c r="B882" s="5198"/>
      <c r="C882" s="5126"/>
      <c r="D882" s="5213"/>
      <c r="E882" s="5214"/>
      <c r="F882" s="5027"/>
    </row>
    <row r="883" spans="1:6" ht="14.85" customHeight="1">
      <c r="A883" s="5197"/>
      <c r="B883" s="5198"/>
      <c r="C883" s="5126"/>
      <c r="D883" s="5213"/>
      <c r="E883" s="5214"/>
      <c r="F883" s="5027"/>
    </row>
    <row r="884" spans="1:6" ht="14.85" customHeight="1">
      <c r="A884" s="5197"/>
      <c r="B884" s="5198"/>
      <c r="C884" s="5126"/>
      <c r="D884" s="5213"/>
      <c r="E884" s="5214"/>
      <c r="F884" s="5027"/>
    </row>
    <row r="885" spans="1:6" ht="14.85" customHeight="1">
      <c r="A885" s="5197"/>
      <c r="B885" s="5198"/>
      <c r="C885" s="5126"/>
      <c r="D885" s="5213"/>
      <c r="E885" s="5214"/>
      <c r="F885" s="5027"/>
    </row>
    <row r="886" spans="1:6" ht="14.85" customHeight="1">
      <c r="A886" s="5197"/>
      <c r="B886" s="5198"/>
      <c r="C886" s="5126"/>
      <c r="D886" s="5213"/>
      <c r="E886" s="5214"/>
      <c r="F886" s="5027"/>
    </row>
    <row r="887" spans="1:6" ht="14.85" customHeight="1">
      <c r="A887" s="5197"/>
      <c r="B887" s="5198"/>
      <c r="C887" s="5126"/>
      <c r="D887" s="5213"/>
      <c r="E887" s="5214"/>
      <c r="F887" s="5027"/>
    </row>
    <row r="888" spans="1:6" ht="14.85" customHeight="1">
      <c r="A888" s="5197"/>
      <c r="B888" s="5198"/>
      <c r="C888" s="5126"/>
      <c r="D888" s="5213"/>
      <c r="E888" s="5214"/>
      <c r="F888" s="5027"/>
    </row>
    <row r="889" spans="1:6" ht="14.85" customHeight="1">
      <c r="A889" s="5197"/>
      <c r="B889" s="5198"/>
      <c r="C889" s="5126"/>
      <c r="D889" s="5213"/>
      <c r="E889" s="5214"/>
      <c r="F889" s="5027"/>
    </row>
    <row r="890" spans="1:6" ht="14.85" customHeight="1">
      <c r="A890" s="5197"/>
      <c r="B890" s="5198"/>
      <c r="C890" s="5126"/>
      <c r="D890" s="5213"/>
      <c r="E890" s="5214"/>
      <c r="F890" s="5027"/>
    </row>
    <row r="891" spans="1:6" ht="14.85" customHeight="1">
      <c r="A891" s="5197"/>
      <c r="B891" s="5198"/>
      <c r="C891" s="5126"/>
      <c r="D891" s="5213"/>
      <c r="E891" s="5214"/>
      <c r="F891" s="5027"/>
    </row>
    <row r="892" spans="1:6" ht="14.85" customHeight="1">
      <c r="A892" s="5197"/>
      <c r="B892" s="5198"/>
      <c r="C892" s="5126"/>
      <c r="D892" s="5213"/>
      <c r="E892" s="5214"/>
      <c r="F892" s="5027"/>
    </row>
    <row r="893" spans="1:6" ht="14.85" customHeight="1">
      <c r="A893" s="5197"/>
      <c r="B893" s="5198"/>
      <c r="C893" s="5126"/>
      <c r="D893" s="5213"/>
      <c r="E893" s="5214"/>
      <c r="F893" s="5027"/>
    </row>
    <row r="894" spans="1:6" ht="14.85" customHeight="1">
      <c r="A894" s="5197"/>
      <c r="B894" s="5198"/>
      <c r="C894" s="5126"/>
      <c r="D894" s="5213"/>
      <c r="E894" s="5214"/>
      <c r="F894" s="5027"/>
    </row>
    <row r="895" spans="1:6" ht="14.85" customHeight="1">
      <c r="A895" s="5197"/>
      <c r="B895" s="5198"/>
      <c r="C895" s="5126"/>
      <c r="D895" s="5213"/>
      <c r="E895" s="5214"/>
      <c r="F895" s="5027"/>
    </row>
    <row r="896" spans="1:6" ht="14.85" customHeight="1">
      <c r="A896" s="5197"/>
      <c r="B896" s="5198"/>
      <c r="C896" s="5126"/>
      <c r="D896" s="5213"/>
      <c r="E896" s="5214"/>
      <c r="F896" s="5027"/>
    </row>
    <row r="897" spans="1:6" ht="14.85" customHeight="1">
      <c r="A897" s="5197"/>
      <c r="B897" s="5198"/>
      <c r="C897" s="5126"/>
      <c r="D897" s="5213"/>
      <c r="E897" s="5214"/>
      <c r="F897" s="5027"/>
    </row>
    <row r="898" spans="1:6" ht="14.85" customHeight="1">
      <c r="A898" s="5197"/>
      <c r="B898" s="5198"/>
      <c r="C898" s="5126"/>
      <c r="D898" s="5213"/>
      <c r="E898" s="5214"/>
      <c r="F898" s="5027"/>
    </row>
    <row r="899" spans="1:6" ht="14.85" customHeight="1">
      <c r="A899" s="5197"/>
      <c r="B899" s="5198"/>
      <c r="C899" s="5126"/>
      <c r="D899" s="5213"/>
      <c r="E899" s="5214"/>
      <c r="F899" s="5027"/>
    </row>
    <row r="900" spans="1:6" ht="14.85" customHeight="1">
      <c r="A900" s="5197"/>
      <c r="B900" s="5198"/>
      <c r="C900" s="5126"/>
      <c r="D900" s="5213"/>
      <c r="E900" s="5214"/>
      <c r="F900" s="5027"/>
    </row>
    <row r="901" spans="1:6" ht="14.85" customHeight="1">
      <c r="A901" s="5197"/>
      <c r="B901" s="5198"/>
      <c r="C901" s="5126"/>
      <c r="D901" s="5213"/>
      <c r="E901" s="5214"/>
      <c r="F901" s="5027"/>
    </row>
    <row r="902" spans="1:6" ht="14.85" customHeight="1">
      <c r="A902" s="5197"/>
      <c r="B902" s="5198"/>
      <c r="C902" s="5126"/>
      <c r="D902" s="5213"/>
      <c r="E902" s="5214"/>
      <c r="F902" s="5027"/>
    </row>
    <row r="903" spans="1:6" ht="14.85" customHeight="1">
      <c r="A903" s="5197"/>
      <c r="B903" s="5198"/>
      <c r="C903" s="5126"/>
      <c r="D903" s="5213"/>
      <c r="E903" s="5214"/>
      <c r="F903" s="5027"/>
    </row>
    <row r="904" spans="1:6" ht="14.85" customHeight="1">
      <c r="A904" s="5197"/>
      <c r="B904" s="5198"/>
      <c r="C904" s="5126"/>
      <c r="D904" s="5213"/>
      <c r="E904" s="5214"/>
      <c r="F904" s="5027"/>
    </row>
    <row r="905" spans="1:6" ht="14.85" customHeight="1">
      <c r="A905" s="5197"/>
      <c r="B905" s="5198"/>
      <c r="C905" s="5126"/>
      <c r="D905" s="5213"/>
      <c r="E905" s="5214"/>
      <c r="F905" s="5027"/>
    </row>
    <row r="906" spans="1:6" ht="14.85" customHeight="1">
      <c r="A906" s="5197"/>
      <c r="B906" s="5198"/>
      <c r="C906" s="5126"/>
      <c r="D906" s="5213"/>
      <c r="E906" s="5214"/>
      <c r="F906" s="5027"/>
    </row>
    <row r="907" spans="1:6" ht="14.85" customHeight="1">
      <c r="A907" s="5197"/>
      <c r="B907" s="5198"/>
      <c r="C907" s="5126"/>
      <c r="D907" s="5213"/>
      <c r="E907" s="5214"/>
      <c r="F907" s="5027"/>
    </row>
    <row r="908" spans="1:6" ht="14.85" customHeight="1">
      <c r="A908" s="5197"/>
      <c r="B908" s="5198"/>
      <c r="C908" s="5126"/>
      <c r="D908" s="5213"/>
      <c r="E908" s="5214"/>
      <c r="F908" s="5027"/>
    </row>
    <row r="909" spans="1:6" ht="14.85" customHeight="1">
      <c r="A909" s="5197"/>
      <c r="B909" s="5198"/>
      <c r="C909" s="5126"/>
      <c r="D909" s="5213"/>
      <c r="E909" s="5214"/>
      <c r="F909" s="5027"/>
    </row>
    <row r="910" spans="1:6" ht="14.85" customHeight="1">
      <c r="A910" s="5197"/>
      <c r="B910" s="5198"/>
      <c r="C910" s="5126"/>
      <c r="D910" s="5213"/>
      <c r="E910" s="5214"/>
      <c r="F910" s="5027"/>
    </row>
    <row r="911" spans="1:6" ht="14.85" customHeight="1">
      <c r="A911" s="5197"/>
      <c r="B911" s="5198"/>
      <c r="C911" s="5126"/>
      <c r="D911" s="5213"/>
      <c r="E911" s="5214"/>
      <c r="F911" s="5027"/>
    </row>
    <row r="912" spans="1:6" ht="14.85" customHeight="1">
      <c r="A912" s="5197"/>
      <c r="B912" s="5198"/>
      <c r="C912" s="5126"/>
      <c r="D912" s="5213"/>
      <c r="E912" s="5214"/>
      <c r="F912" s="5027"/>
    </row>
    <row r="913" spans="1:6" ht="14.85" customHeight="1">
      <c r="A913" s="5197"/>
      <c r="B913" s="5198"/>
      <c r="C913" s="5126"/>
      <c r="D913" s="5213"/>
      <c r="E913" s="5214"/>
      <c r="F913" s="5027"/>
    </row>
    <row r="914" spans="1:6" ht="14.85" customHeight="1">
      <c r="A914" s="5197"/>
      <c r="B914" s="5198"/>
      <c r="C914" s="5126"/>
      <c r="D914" s="5213"/>
      <c r="E914" s="5214"/>
      <c r="F914" s="5027"/>
    </row>
    <row r="915" spans="1:6" ht="14.85" customHeight="1">
      <c r="A915" s="5197"/>
      <c r="B915" s="5198"/>
      <c r="C915" s="5126"/>
      <c r="D915" s="5213"/>
      <c r="E915" s="5214"/>
      <c r="F915" s="5027"/>
    </row>
    <row r="916" spans="1:6" ht="14.85" customHeight="1">
      <c r="A916" s="5197"/>
      <c r="B916" s="5198"/>
      <c r="C916" s="5126"/>
      <c r="D916" s="5213"/>
      <c r="E916" s="5214"/>
      <c r="F916" s="5027"/>
    </row>
    <row r="917" spans="1:6" ht="14.85" customHeight="1">
      <c r="A917" s="5197"/>
      <c r="B917" s="5198"/>
      <c r="C917" s="5126"/>
      <c r="D917" s="5213"/>
      <c r="E917" s="5214"/>
      <c r="F917" s="5027"/>
    </row>
    <row r="918" spans="1:6" ht="14.85" customHeight="1">
      <c r="A918" s="5197"/>
      <c r="B918" s="5198"/>
      <c r="C918" s="5126"/>
      <c r="D918" s="5213"/>
      <c r="E918" s="5214"/>
      <c r="F918" s="5027"/>
    </row>
    <row r="919" spans="1:6" ht="14.85" customHeight="1">
      <c r="A919" s="5197"/>
      <c r="B919" s="5198"/>
      <c r="C919" s="5126"/>
      <c r="D919" s="5213"/>
      <c r="E919" s="5214"/>
      <c r="F919" s="5027"/>
    </row>
    <row r="920" spans="1:6" ht="14.85" customHeight="1">
      <c r="A920" s="5197"/>
      <c r="B920" s="5198"/>
      <c r="C920" s="5126"/>
      <c r="D920" s="5213"/>
      <c r="E920" s="5214"/>
      <c r="F920" s="5027"/>
    </row>
    <row r="921" spans="1:6" ht="14.85" customHeight="1">
      <c r="A921" s="5197"/>
      <c r="B921" s="5198"/>
      <c r="C921" s="5126"/>
      <c r="D921" s="5213"/>
      <c r="E921" s="5214"/>
      <c r="F921" s="5027"/>
    </row>
    <row r="922" spans="1:6" ht="14.85" customHeight="1">
      <c r="A922" s="5197"/>
      <c r="B922" s="5198"/>
      <c r="C922" s="5126"/>
      <c r="D922" s="5213"/>
      <c r="E922" s="5214"/>
      <c r="F922" s="5027"/>
    </row>
    <row r="923" spans="1:6" ht="14.85" customHeight="1">
      <c r="A923" s="5197"/>
      <c r="B923" s="5198"/>
      <c r="C923" s="5126"/>
      <c r="D923" s="5213"/>
      <c r="E923" s="5214"/>
      <c r="F923" s="5027"/>
    </row>
    <row r="924" spans="1:6" ht="14.85" customHeight="1">
      <c r="A924" s="5197"/>
      <c r="B924" s="5198"/>
      <c r="C924" s="5126"/>
      <c r="D924" s="5213"/>
      <c r="E924" s="5214"/>
      <c r="F924" s="5027"/>
    </row>
    <row r="925" spans="1:6" ht="14.85" customHeight="1">
      <c r="A925" s="5197"/>
      <c r="B925" s="5198"/>
      <c r="C925" s="5126"/>
      <c r="D925" s="5213"/>
      <c r="E925" s="5214"/>
      <c r="F925" s="5027"/>
    </row>
    <row r="926" spans="1:6" ht="14.85" customHeight="1">
      <c r="A926" s="5197"/>
      <c r="B926" s="5198"/>
      <c r="C926" s="5126"/>
      <c r="D926" s="5213"/>
      <c r="E926" s="5214"/>
      <c r="F926" s="5027"/>
    </row>
    <row r="927" spans="1:6" ht="14.85" customHeight="1">
      <c r="A927" s="5197"/>
      <c r="B927" s="5198"/>
      <c r="C927" s="5126"/>
      <c r="D927" s="5213"/>
      <c r="E927" s="5214"/>
      <c r="F927" s="5027"/>
    </row>
    <row r="928" spans="1:6" ht="14.85" customHeight="1">
      <c r="A928" s="5197"/>
      <c r="B928" s="5198"/>
      <c r="C928" s="5126"/>
      <c r="D928" s="5213"/>
      <c r="E928" s="5214"/>
      <c r="F928" s="5027"/>
    </row>
    <row r="929" spans="1:6" ht="14.85" customHeight="1">
      <c r="A929" s="5197"/>
      <c r="B929" s="5198"/>
      <c r="C929" s="5126"/>
      <c r="D929" s="5213"/>
      <c r="E929" s="5214"/>
      <c r="F929" s="5027"/>
    </row>
    <row r="930" spans="1:6" ht="14.85" customHeight="1">
      <c r="A930" s="5197"/>
      <c r="B930" s="5198"/>
      <c r="C930" s="5126"/>
      <c r="D930" s="5213"/>
      <c r="E930" s="5214"/>
      <c r="F930" s="5027"/>
    </row>
    <row r="931" spans="1:6" ht="14.85" customHeight="1">
      <c r="A931" s="5197"/>
      <c r="B931" s="5198"/>
      <c r="C931" s="5126"/>
      <c r="D931" s="5213"/>
      <c r="E931" s="5214"/>
      <c r="F931" s="5027"/>
    </row>
    <row r="932" spans="1:6" ht="14.85" customHeight="1">
      <c r="A932" s="5197"/>
      <c r="B932" s="5198"/>
      <c r="C932" s="5126"/>
      <c r="D932" s="5213"/>
      <c r="E932" s="5214"/>
      <c r="F932" s="5027"/>
    </row>
    <row r="933" spans="1:6" ht="14.85" customHeight="1">
      <c r="A933" s="5197"/>
      <c r="B933" s="5198"/>
      <c r="C933" s="5126"/>
      <c r="D933" s="5213"/>
      <c r="E933" s="5214"/>
      <c r="F933" s="5027"/>
    </row>
    <row r="934" spans="1:6" ht="14.85" customHeight="1">
      <c r="A934" s="5197"/>
      <c r="B934" s="5198"/>
      <c r="C934" s="5126"/>
      <c r="D934" s="5213"/>
      <c r="E934" s="5214"/>
      <c r="F934" s="5027"/>
    </row>
    <row r="935" spans="1:6" ht="14.85" customHeight="1">
      <c r="A935" s="5197"/>
      <c r="B935" s="5198"/>
      <c r="C935" s="5126"/>
      <c r="D935" s="5213"/>
      <c r="E935" s="5214"/>
      <c r="F935" s="5027"/>
    </row>
    <row r="936" spans="1:6" ht="14.85" customHeight="1">
      <c r="A936" s="5197"/>
      <c r="B936" s="5198"/>
      <c r="C936" s="5126"/>
      <c r="D936" s="5213"/>
      <c r="E936" s="5214"/>
      <c r="F936" s="5027"/>
    </row>
    <row r="937" spans="1:6" ht="14.85" customHeight="1">
      <c r="A937" s="5197"/>
      <c r="B937" s="5198"/>
      <c r="C937" s="5126"/>
      <c r="D937" s="5213"/>
      <c r="E937" s="5214"/>
      <c r="F937" s="5027"/>
    </row>
    <row r="938" spans="1:6" ht="14.85" customHeight="1">
      <c r="A938" s="5197"/>
      <c r="B938" s="5198"/>
      <c r="C938" s="5126"/>
      <c r="D938" s="5213"/>
      <c r="E938" s="5214"/>
      <c r="F938" s="5027"/>
    </row>
    <row r="939" spans="1:6" ht="14.85" customHeight="1">
      <c r="A939" s="5197"/>
      <c r="B939" s="5198"/>
      <c r="C939" s="5126"/>
      <c r="D939" s="5213"/>
      <c r="E939" s="5214"/>
      <c r="F939" s="5027"/>
    </row>
    <row r="940" spans="1:6" ht="14.85" customHeight="1">
      <c r="A940" s="5197"/>
      <c r="B940" s="5198"/>
      <c r="C940" s="5126"/>
      <c r="D940" s="5213"/>
      <c r="E940" s="5214"/>
      <c r="F940" s="5027"/>
    </row>
    <row r="941" spans="1:6" ht="14.85" customHeight="1">
      <c r="A941" s="5197"/>
      <c r="B941" s="5198"/>
      <c r="C941" s="5126"/>
      <c r="D941" s="5213"/>
      <c r="E941" s="5214"/>
      <c r="F941" s="5027"/>
    </row>
    <row r="942" spans="1:6" ht="14.85" customHeight="1">
      <c r="A942" s="5197"/>
      <c r="B942" s="5198"/>
      <c r="C942" s="5126"/>
      <c r="D942" s="5213"/>
      <c r="E942" s="5214"/>
      <c r="F942" s="5027"/>
    </row>
    <row r="943" spans="1:6" ht="14.85" customHeight="1">
      <c r="A943" s="5197"/>
      <c r="B943" s="5198"/>
      <c r="C943" s="5126"/>
      <c r="D943" s="5213"/>
      <c r="E943" s="5214"/>
      <c r="F943" s="5027"/>
    </row>
    <row r="944" spans="1:6" ht="14.85" customHeight="1">
      <c r="A944" s="5197"/>
      <c r="B944" s="5198"/>
      <c r="C944" s="5126"/>
      <c r="D944" s="5213"/>
      <c r="E944" s="5214"/>
      <c r="F944" s="5027"/>
    </row>
    <row r="945" spans="1:6" ht="14.85" customHeight="1">
      <c r="A945" s="5197"/>
      <c r="B945" s="5198"/>
      <c r="C945" s="5126"/>
      <c r="D945" s="5213"/>
      <c r="E945" s="5214"/>
      <c r="F945" s="5027"/>
    </row>
    <row r="946" spans="1:6" ht="14.85" customHeight="1">
      <c r="A946" s="5197"/>
      <c r="B946" s="5198"/>
      <c r="C946" s="5126"/>
      <c r="D946" s="5213"/>
      <c r="E946" s="5214"/>
      <c r="F946" s="5027"/>
    </row>
    <row r="947" spans="1:6" ht="14.85" customHeight="1">
      <c r="A947" s="5197"/>
      <c r="B947" s="5198"/>
      <c r="C947" s="5126"/>
      <c r="D947" s="5213"/>
      <c r="E947" s="5214"/>
      <c r="F947" s="5027"/>
    </row>
    <row r="948" spans="1:6" ht="14.85" customHeight="1">
      <c r="A948" s="5197"/>
      <c r="B948" s="5198"/>
      <c r="C948" s="5126"/>
      <c r="D948" s="5213"/>
      <c r="E948" s="5214"/>
      <c r="F948" s="5027"/>
    </row>
    <row r="949" spans="1:6" ht="14.85" customHeight="1">
      <c r="A949" s="5197"/>
      <c r="B949" s="5198"/>
      <c r="C949" s="5126"/>
      <c r="D949" s="5213"/>
      <c r="E949" s="5214"/>
      <c r="F949" s="5027"/>
    </row>
    <row r="950" spans="1:6" ht="14.85" customHeight="1">
      <c r="A950" s="5197"/>
      <c r="B950" s="5198"/>
      <c r="C950" s="5126"/>
      <c r="D950" s="5213"/>
      <c r="E950" s="5214"/>
      <c r="F950" s="5027"/>
    </row>
    <row r="951" spans="1:6" ht="14.85" customHeight="1">
      <c r="A951" s="5197"/>
      <c r="B951" s="5198"/>
      <c r="C951" s="5126"/>
      <c r="D951" s="5213"/>
      <c r="E951" s="5214"/>
      <c r="F951" s="5027"/>
    </row>
    <row r="952" spans="1:6" ht="14.85" customHeight="1">
      <c r="A952" s="5197"/>
      <c r="B952" s="5198"/>
      <c r="C952" s="5126"/>
      <c r="D952" s="5213"/>
      <c r="E952" s="5214"/>
      <c r="F952" s="5027"/>
    </row>
    <row r="953" spans="1:6" ht="14.85" customHeight="1">
      <c r="A953" s="5197"/>
      <c r="B953" s="5198"/>
      <c r="C953" s="5126"/>
      <c r="D953" s="5213"/>
      <c r="E953" s="5214"/>
      <c r="F953" s="5027"/>
    </row>
    <row r="954" spans="1:6" ht="14.85" customHeight="1">
      <c r="A954" s="5197"/>
      <c r="B954" s="5198"/>
      <c r="C954" s="5126"/>
      <c r="D954" s="5213"/>
      <c r="E954" s="5214"/>
      <c r="F954" s="5027"/>
    </row>
    <row r="955" spans="1:6" ht="14.85" customHeight="1">
      <c r="A955" s="5197"/>
      <c r="B955" s="5198"/>
      <c r="C955" s="5126"/>
      <c r="D955" s="5213"/>
      <c r="E955" s="5214"/>
      <c r="F955" s="5027"/>
    </row>
    <row r="956" spans="1:6" ht="14.85" customHeight="1">
      <c r="A956" s="5197"/>
      <c r="B956" s="5198"/>
      <c r="C956" s="5126"/>
      <c r="D956" s="5213"/>
      <c r="E956" s="5214"/>
      <c r="F956" s="5027"/>
    </row>
    <row r="957" spans="1:6" ht="14.85" customHeight="1">
      <c r="A957" s="5197"/>
      <c r="B957" s="5198"/>
      <c r="C957" s="5126"/>
      <c r="D957" s="5213"/>
      <c r="E957" s="5214"/>
      <c r="F957" s="5027"/>
    </row>
    <row r="958" spans="1:6" ht="14.85" customHeight="1">
      <c r="A958" s="5197"/>
      <c r="B958" s="5198"/>
      <c r="C958" s="5126"/>
      <c r="D958" s="5213"/>
      <c r="E958" s="5214"/>
      <c r="F958" s="5027"/>
    </row>
    <row r="959" spans="1:6" ht="14.85" customHeight="1">
      <c r="A959" s="5197"/>
      <c r="B959" s="5198"/>
      <c r="C959" s="5126"/>
      <c r="D959" s="5213"/>
      <c r="E959" s="5214"/>
      <c r="F959" s="5027"/>
    </row>
    <row r="960" spans="1:6" ht="14.85" customHeight="1">
      <c r="A960" s="5197"/>
      <c r="B960" s="5198"/>
      <c r="C960" s="5126"/>
      <c r="D960" s="5213"/>
      <c r="E960" s="5214"/>
      <c r="F960" s="5027"/>
    </row>
    <row r="961" spans="1:6" ht="14.85" customHeight="1">
      <c r="A961" s="5197"/>
      <c r="B961" s="5198"/>
      <c r="C961" s="5126"/>
      <c r="D961" s="5213"/>
      <c r="E961" s="5214"/>
      <c r="F961" s="5027"/>
    </row>
    <row r="962" spans="1:6" ht="14.85" customHeight="1">
      <c r="A962" s="5197"/>
      <c r="B962" s="5198"/>
      <c r="C962" s="5126"/>
      <c r="D962" s="5213"/>
      <c r="E962" s="5214"/>
      <c r="F962" s="5027"/>
    </row>
    <row r="963" spans="1:6" ht="14.85" customHeight="1">
      <c r="A963" s="5197"/>
      <c r="B963" s="5198"/>
      <c r="C963" s="5126"/>
      <c r="D963" s="5213"/>
      <c r="E963" s="5214"/>
      <c r="F963" s="5027"/>
    </row>
    <row r="964" spans="1:6" ht="14.85" customHeight="1">
      <c r="A964" s="5197"/>
      <c r="B964" s="5198"/>
      <c r="C964" s="5126"/>
      <c r="D964" s="5213"/>
      <c r="E964" s="5214"/>
      <c r="F964" s="5027"/>
    </row>
    <row r="965" spans="1:6" ht="14.85" customHeight="1">
      <c r="A965" s="5197"/>
      <c r="B965" s="5198"/>
      <c r="C965" s="5126"/>
      <c r="D965" s="5213"/>
      <c r="E965" s="5214"/>
      <c r="F965" s="5027"/>
    </row>
    <row r="966" spans="1:6" ht="14.85" customHeight="1">
      <c r="A966" s="5197"/>
      <c r="B966" s="5198"/>
      <c r="C966" s="5126"/>
      <c r="D966" s="5213"/>
      <c r="E966" s="5214"/>
      <c r="F966" s="5027"/>
    </row>
    <row r="967" spans="1:6" ht="14.85" customHeight="1">
      <c r="A967" s="5197"/>
      <c r="B967" s="5198"/>
      <c r="C967" s="5126"/>
      <c r="D967" s="5213"/>
      <c r="E967" s="5214"/>
      <c r="F967" s="5027"/>
    </row>
    <row r="968" spans="1:6" ht="14.85" customHeight="1">
      <c r="A968" s="5197"/>
      <c r="B968" s="5198"/>
      <c r="C968" s="5126"/>
      <c r="D968" s="5213"/>
      <c r="E968" s="5214"/>
      <c r="F968" s="5027"/>
    </row>
    <row r="969" spans="1:6" ht="14.85" customHeight="1">
      <c r="A969" s="5197"/>
      <c r="B969" s="5198"/>
      <c r="C969" s="5126"/>
      <c r="D969" s="5213"/>
      <c r="E969" s="5214"/>
      <c r="F969" s="5027"/>
    </row>
    <row r="970" spans="1:6" ht="14.85" customHeight="1">
      <c r="A970" s="5197"/>
      <c r="B970" s="5198"/>
      <c r="C970" s="5126"/>
      <c r="D970" s="5213"/>
      <c r="E970" s="5214"/>
      <c r="F970" s="5027"/>
    </row>
    <row r="971" spans="1:6" ht="14.85" customHeight="1">
      <c r="A971" s="5197"/>
      <c r="B971" s="5198"/>
      <c r="C971" s="5126"/>
      <c r="D971" s="5213"/>
      <c r="E971" s="5214"/>
      <c r="F971" s="5027"/>
    </row>
    <row r="972" spans="1:6" ht="14.85" customHeight="1">
      <c r="A972" s="5197"/>
      <c r="B972" s="5198"/>
      <c r="C972" s="5126"/>
      <c r="D972" s="5213"/>
      <c r="E972" s="5214"/>
      <c r="F972" s="5027"/>
    </row>
    <row r="973" spans="1:6" ht="14.85" customHeight="1">
      <c r="A973" s="5197"/>
      <c r="B973" s="5198"/>
      <c r="C973" s="5126"/>
      <c r="D973" s="5213"/>
      <c r="E973" s="5214"/>
      <c r="F973" s="5027"/>
    </row>
    <row r="974" spans="1:6" ht="14.85" customHeight="1">
      <c r="A974" s="5197"/>
      <c r="B974" s="5198"/>
      <c r="C974" s="5126"/>
      <c r="D974" s="5213"/>
      <c r="E974" s="5214"/>
      <c r="F974" s="5027"/>
    </row>
    <row r="975" spans="1:6" ht="14.85" customHeight="1">
      <c r="A975" s="5197"/>
      <c r="B975" s="5198"/>
      <c r="C975" s="5126"/>
      <c r="D975" s="5213"/>
      <c r="E975" s="5214"/>
      <c r="F975" s="5027"/>
    </row>
    <row r="976" spans="1:6" ht="14.85" customHeight="1">
      <c r="A976" s="5197"/>
      <c r="B976" s="5198"/>
      <c r="C976" s="5126"/>
      <c r="D976" s="5213"/>
      <c r="E976" s="5214"/>
      <c r="F976" s="5027"/>
    </row>
    <row r="977" spans="1:6" ht="14.85" customHeight="1">
      <c r="A977" s="5197"/>
      <c r="B977" s="5198"/>
      <c r="C977" s="5126"/>
      <c r="D977" s="5213"/>
      <c r="E977" s="5214"/>
      <c r="F977" s="5027"/>
    </row>
    <row r="978" spans="1:6" ht="14.85" customHeight="1">
      <c r="A978" s="5197"/>
      <c r="B978" s="5198"/>
      <c r="C978" s="5126"/>
      <c r="D978" s="5213"/>
      <c r="E978" s="5214"/>
      <c r="F978" s="5027"/>
    </row>
    <row r="979" spans="1:6" ht="14.85" customHeight="1">
      <c r="A979" s="5197"/>
      <c r="B979" s="5198"/>
      <c r="C979" s="5126"/>
      <c r="D979" s="5213"/>
      <c r="E979" s="5214"/>
      <c r="F979" s="5027"/>
    </row>
    <row r="980" spans="1:6" ht="14.85" customHeight="1">
      <c r="A980" s="5197"/>
      <c r="B980" s="5198"/>
      <c r="C980" s="5126"/>
      <c r="D980" s="5213"/>
      <c r="E980" s="5214"/>
      <c r="F980" s="5027"/>
    </row>
    <row r="981" spans="1:6" ht="14.85" customHeight="1">
      <c r="A981" s="5197"/>
      <c r="B981" s="5198"/>
      <c r="C981" s="5126"/>
      <c r="D981" s="5213"/>
      <c r="E981" s="5214"/>
      <c r="F981" s="5027"/>
    </row>
    <row r="982" spans="1:6" ht="14.85" customHeight="1">
      <c r="A982" s="5197"/>
      <c r="B982" s="5198"/>
      <c r="C982" s="5126"/>
      <c r="D982" s="5213"/>
      <c r="E982" s="5214"/>
      <c r="F982" s="5027"/>
    </row>
    <row r="983" spans="1:6" ht="14.85" customHeight="1">
      <c r="A983" s="5197"/>
      <c r="B983" s="5198"/>
      <c r="C983" s="5126"/>
      <c r="D983" s="5213"/>
      <c r="E983" s="5214"/>
      <c r="F983" s="5027"/>
    </row>
    <row r="984" spans="1:6" ht="14.85" customHeight="1">
      <c r="A984" s="5197"/>
      <c r="B984" s="5198"/>
      <c r="C984" s="5126"/>
      <c r="D984" s="5213"/>
      <c r="E984" s="5214"/>
      <c r="F984" s="5027"/>
    </row>
    <row r="985" spans="1:6" ht="14.85" customHeight="1">
      <c r="A985" s="5197"/>
      <c r="B985" s="5198"/>
      <c r="C985" s="5126"/>
      <c r="D985" s="5213"/>
      <c r="E985" s="5214"/>
      <c r="F985" s="5027"/>
    </row>
    <row r="986" spans="1:6" ht="14.85" customHeight="1">
      <c r="A986" s="5197"/>
      <c r="B986" s="5198"/>
      <c r="C986" s="5126"/>
      <c r="D986" s="5213"/>
      <c r="E986" s="5214"/>
      <c r="F986" s="5027"/>
    </row>
    <row r="987" spans="1:6" ht="14.85" customHeight="1">
      <c r="A987" s="5197"/>
      <c r="B987" s="5198"/>
      <c r="C987" s="5126"/>
      <c r="D987" s="5213"/>
      <c r="E987" s="5214"/>
      <c r="F987" s="5027"/>
    </row>
    <row r="988" spans="1:6" ht="14.85" customHeight="1">
      <c r="A988" s="5197"/>
      <c r="B988" s="5198"/>
      <c r="C988" s="5126"/>
      <c r="D988" s="5213"/>
      <c r="E988" s="5214"/>
      <c r="F988" s="5027"/>
    </row>
    <row r="989" spans="1:6" ht="14.85" customHeight="1">
      <c r="A989" s="5197"/>
      <c r="B989" s="5198"/>
      <c r="C989" s="5126"/>
      <c r="D989" s="5213"/>
      <c r="E989" s="5214"/>
      <c r="F989" s="5027"/>
    </row>
    <row r="990" spans="1:6" ht="14.85" customHeight="1">
      <c r="A990" s="5197"/>
      <c r="B990" s="5198"/>
      <c r="C990" s="5126"/>
      <c r="D990" s="5213"/>
      <c r="E990" s="5214"/>
      <c r="F990" s="5027"/>
    </row>
    <row r="991" spans="1:6" ht="14.85" customHeight="1">
      <c r="A991" s="5197"/>
      <c r="B991" s="5198"/>
      <c r="C991" s="5126"/>
      <c r="D991" s="5213"/>
      <c r="E991" s="5214"/>
      <c r="F991" s="5027"/>
    </row>
    <row r="992" spans="1:6" ht="14.85" customHeight="1">
      <c r="A992" s="5197"/>
      <c r="B992" s="5198"/>
      <c r="C992" s="5126"/>
      <c r="D992" s="5213"/>
      <c r="E992" s="5214"/>
      <c r="F992" s="5027"/>
    </row>
    <row r="993" spans="1:6" ht="14.85" customHeight="1">
      <c r="A993" s="5197"/>
      <c r="B993" s="5198"/>
      <c r="C993" s="5126"/>
      <c r="D993" s="5213"/>
      <c r="E993" s="5214"/>
      <c r="F993" s="5027"/>
    </row>
    <row r="994" spans="1:6" ht="14.85" customHeight="1">
      <c r="A994" s="5197"/>
      <c r="B994" s="5198"/>
      <c r="C994" s="5126"/>
      <c r="D994" s="5213"/>
      <c r="E994" s="5214"/>
      <c r="F994" s="5027"/>
    </row>
    <row r="995" spans="1:6" ht="14.85" customHeight="1">
      <c r="A995" s="5197"/>
      <c r="B995" s="5198"/>
      <c r="C995" s="5126"/>
      <c r="D995" s="5213"/>
      <c r="E995" s="5214"/>
      <c r="F995" s="5027"/>
    </row>
    <row r="996" spans="1:6" ht="14.85" customHeight="1">
      <c r="A996" s="5197"/>
      <c r="B996" s="5198"/>
      <c r="C996" s="5126"/>
      <c r="D996" s="5213"/>
      <c r="E996" s="5214"/>
      <c r="F996" s="5027"/>
    </row>
    <row r="997" spans="1:6" ht="14.85" customHeight="1">
      <c r="A997" s="5197"/>
      <c r="B997" s="5198"/>
      <c r="C997" s="5126"/>
      <c r="D997" s="5213"/>
      <c r="E997" s="5214"/>
      <c r="F997" s="5027"/>
    </row>
    <row r="998" spans="1:6" ht="14.85" customHeight="1">
      <c r="A998" s="5197"/>
      <c r="B998" s="5198"/>
      <c r="C998" s="5126"/>
      <c r="D998" s="5213"/>
      <c r="E998" s="5214"/>
      <c r="F998" s="5027"/>
    </row>
    <row r="999" spans="1:6" ht="14.85" customHeight="1">
      <c r="A999" s="5197"/>
      <c r="B999" s="5198"/>
      <c r="C999" s="5126"/>
      <c r="D999" s="5213"/>
      <c r="E999" s="5214"/>
      <c r="F999" s="5027"/>
    </row>
    <row r="1000" spans="1:6" ht="14.85" customHeight="1">
      <c r="A1000" s="5197"/>
      <c r="B1000" s="5198"/>
      <c r="C1000" s="5126"/>
      <c r="D1000" s="5213"/>
      <c r="E1000" s="5214"/>
      <c r="F1000" s="5027"/>
    </row>
    <row r="1001" spans="1:6" ht="14.85" customHeight="1">
      <c r="A1001" s="5197"/>
      <c r="B1001" s="5198"/>
      <c r="C1001" s="5126"/>
      <c r="D1001" s="5213"/>
      <c r="E1001" s="5214"/>
      <c r="F1001" s="5027"/>
    </row>
    <row r="1002" spans="1:6" ht="14.85" customHeight="1">
      <c r="A1002" s="5197"/>
      <c r="B1002" s="5198"/>
      <c r="C1002" s="5126"/>
      <c r="D1002" s="5213"/>
      <c r="E1002" s="5214"/>
      <c r="F1002" s="5027"/>
    </row>
    <row r="1003" spans="1:6" ht="14.85" customHeight="1">
      <c r="A1003" s="5197"/>
      <c r="B1003" s="5198"/>
      <c r="C1003" s="5126"/>
      <c r="D1003" s="5213"/>
      <c r="E1003" s="5214"/>
      <c r="F1003" s="5027"/>
    </row>
    <row r="1004" spans="1:6" ht="14.85" customHeight="1">
      <c r="A1004" s="5197"/>
      <c r="B1004" s="5198"/>
      <c r="C1004" s="5126"/>
      <c r="D1004" s="5213"/>
      <c r="E1004" s="5214"/>
      <c r="F1004" s="5027"/>
    </row>
    <row r="1005" spans="1:6" ht="14.85" customHeight="1">
      <c r="A1005" s="5197"/>
      <c r="B1005" s="5198"/>
      <c r="C1005" s="5126"/>
      <c r="D1005" s="5213"/>
      <c r="E1005" s="5214"/>
      <c r="F1005" s="5027"/>
    </row>
    <row r="1006" spans="1:6" ht="14.85" customHeight="1">
      <c r="A1006" s="5197"/>
      <c r="B1006" s="5198"/>
      <c r="C1006" s="5126"/>
      <c r="D1006" s="5213"/>
      <c r="E1006" s="5214"/>
      <c r="F1006" s="5027"/>
    </row>
    <row r="1007" spans="1:6" ht="14.85" customHeight="1">
      <c r="A1007" s="5197"/>
      <c r="B1007" s="5198"/>
      <c r="C1007" s="5126"/>
      <c r="D1007" s="5213"/>
      <c r="E1007" s="5214"/>
      <c r="F1007" s="5027"/>
    </row>
    <row r="1008" spans="1:6" ht="14.85" customHeight="1">
      <c r="A1008" s="5197"/>
      <c r="B1008" s="5198"/>
      <c r="C1008" s="5126"/>
      <c r="D1008" s="5213"/>
      <c r="E1008" s="5214"/>
      <c r="F1008" s="5027"/>
    </row>
    <row r="1009" spans="1:6" ht="14.85" customHeight="1">
      <c r="A1009" s="5197"/>
      <c r="B1009" s="5198"/>
      <c r="C1009" s="5126"/>
      <c r="D1009" s="5213"/>
      <c r="E1009" s="5214"/>
      <c r="F1009" s="5027"/>
    </row>
    <row r="1010" spans="1:6" ht="14.85" customHeight="1">
      <c r="A1010" s="5197"/>
      <c r="B1010" s="5198"/>
      <c r="C1010" s="5126"/>
      <c r="D1010" s="5213"/>
      <c r="E1010" s="5214"/>
      <c r="F1010" s="5027"/>
    </row>
    <row r="1011" spans="1:6" ht="14.85" customHeight="1">
      <c r="A1011" s="5197"/>
      <c r="B1011" s="5198"/>
      <c r="C1011" s="5126"/>
      <c r="D1011" s="5213"/>
      <c r="E1011" s="5214"/>
      <c r="F1011" s="5027"/>
    </row>
    <row r="1012" spans="1:6" ht="14.85" customHeight="1">
      <c r="A1012" s="5197"/>
      <c r="B1012" s="5198"/>
      <c r="C1012" s="5126"/>
      <c r="D1012" s="5213"/>
      <c r="E1012" s="5214"/>
      <c r="F1012" s="5027"/>
    </row>
    <row r="1013" spans="1:6" ht="14.85" customHeight="1">
      <c r="A1013" s="5197"/>
      <c r="B1013" s="5198"/>
      <c r="C1013" s="5126"/>
      <c r="D1013" s="5213"/>
      <c r="E1013" s="5214"/>
      <c r="F1013" s="5027"/>
    </row>
    <row r="1014" spans="1:6" ht="14.85" customHeight="1">
      <c r="A1014" s="5197"/>
      <c r="B1014" s="5198"/>
      <c r="C1014" s="5126"/>
      <c r="D1014" s="5213"/>
      <c r="E1014" s="5214"/>
      <c r="F1014" s="5027"/>
    </row>
    <row r="1015" spans="1:6" ht="14.85" customHeight="1">
      <c r="A1015" s="5197"/>
      <c r="B1015" s="5198"/>
      <c r="C1015" s="5126"/>
      <c r="D1015" s="5213"/>
      <c r="E1015" s="5214"/>
      <c r="F1015" s="5027"/>
    </row>
    <row r="1016" spans="1:6" ht="14.85" customHeight="1">
      <c r="A1016" s="5197"/>
      <c r="B1016" s="5198"/>
      <c r="C1016" s="5126"/>
      <c r="D1016" s="5213"/>
      <c r="E1016" s="5214"/>
      <c r="F1016" s="5027"/>
    </row>
    <row r="1017" spans="1:6" ht="14.85" customHeight="1">
      <c r="A1017" s="5197"/>
      <c r="B1017" s="5198"/>
      <c r="C1017" s="5126"/>
      <c r="D1017" s="5213"/>
      <c r="E1017" s="5214"/>
      <c r="F1017" s="5027"/>
    </row>
    <row r="1018" spans="1:6" ht="14.85" customHeight="1">
      <c r="A1018" s="5197"/>
      <c r="B1018" s="5198"/>
      <c r="C1018" s="5126"/>
      <c r="D1018" s="5213"/>
      <c r="E1018" s="5214"/>
      <c r="F1018" s="5027"/>
    </row>
    <row r="1019" spans="1:6" ht="14.85" customHeight="1">
      <c r="A1019" s="5197"/>
      <c r="B1019" s="5198"/>
      <c r="C1019" s="5126"/>
      <c r="D1019" s="5213"/>
      <c r="E1019" s="5214"/>
      <c r="F1019" s="5027"/>
    </row>
    <row r="1020" spans="1:6" ht="14.85" customHeight="1">
      <c r="A1020" s="5197"/>
      <c r="B1020" s="5198"/>
      <c r="C1020" s="5126"/>
      <c r="D1020" s="5213"/>
      <c r="E1020" s="5214"/>
      <c r="F1020" s="5027"/>
    </row>
    <row r="1021" spans="1:6" ht="14.85" customHeight="1">
      <c r="A1021" s="5197"/>
      <c r="B1021" s="5198"/>
      <c r="C1021" s="5126"/>
      <c r="D1021" s="5213"/>
      <c r="E1021" s="5214"/>
      <c r="F1021" s="5027"/>
    </row>
    <row r="1022" spans="1:6" ht="14.85" customHeight="1">
      <c r="A1022" s="5197"/>
      <c r="B1022" s="5198"/>
      <c r="C1022" s="5126"/>
      <c r="D1022" s="5213"/>
      <c r="E1022" s="5214"/>
      <c r="F1022" s="5027"/>
    </row>
    <row r="1023" spans="1:6" ht="14.85" customHeight="1">
      <c r="A1023" s="5197"/>
      <c r="B1023" s="5198"/>
      <c r="C1023" s="5126"/>
      <c r="D1023" s="5213"/>
      <c r="E1023" s="5214"/>
      <c r="F1023" s="5027"/>
    </row>
    <row r="1024" spans="1:6" ht="14.85" customHeight="1">
      <c r="A1024" s="5197"/>
      <c r="B1024" s="5198"/>
      <c r="C1024" s="5126"/>
      <c r="D1024" s="5213"/>
      <c r="E1024" s="5214"/>
      <c r="F1024" s="5027"/>
    </row>
    <row r="1025" spans="1:6" ht="14.85" customHeight="1">
      <c r="A1025" s="5197"/>
      <c r="B1025" s="5198"/>
      <c r="C1025" s="5126"/>
      <c r="D1025" s="5213"/>
      <c r="E1025" s="5214"/>
      <c r="F1025" s="5027"/>
    </row>
    <row r="1026" spans="1:6" ht="14.85" customHeight="1">
      <c r="A1026" s="5197"/>
      <c r="B1026" s="5198"/>
      <c r="C1026" s="5126"/>
      <c r="D1026" s="5213"/>
      <c r="E1026" s="5214"/>
      <c r="F1026" s="5027"/>
    </row>
    <row r="1027" spans="1:6" ht="14.85" customHeight="1">
      <c r="A1027" s="5197"/>
      <c r="B1027" s="5198"/>
      <c r="C1027" s="5126"/>
      <c r="D1027" s="5213"/>
      <c r="E1027" s="5214"/>
      <c r="F1027" s="5027"/>
    </row>
    <row r="1028" spans="1:6" ht="14.85" customHeight="1">
      <c r="A1028" s="5197"/>
      <c r="B1028" s="5198"/>
      <c r="C1028" s="5126"/>
      <c r="D1028" s="5213"/>
      <c r="E1028" s="5214"/>
      <c r="F1028" s="5027"/>
    </row>
    <row r="1029" spans="1:6" ht="14.85" customHeight="1">
      <c r="A1029" s="5197"/>
      <c r="B1029" s="5198"/>
      <c r="C1029" s="5126"/>
      <c r="D1029" s="5213"/>
      <c r="E1029" s="5214"/>
      <c r="F1029" s="5027"/>
    </row>
    <row r="1030" spans="1:6" ht="14.85" customHeight="1">
      <c r="A1030" s="5197"/>
      <c r="B1030" s="5198"/>
      <c r="C1030" s="5126"/>
      <c r="D1030" s="5213"/>
      <c r="E1030" s="5214"/>
      <c r="F1030" s="5027"/>
    </row>
    <row r="1031" spans="1:6" ht="14.85" customHeight="1">
      <c r="A1031" s="5197"/>
      <c r="B1031" s="5198"/>
      <c r="C1031" s="5126"/>
      <c r="D1031" s="5213"/>
      <c r="E1031" s="5214"/>
      <c r="F1031" s="5027"/>
    </row>
    <row r="1032" spans="1:6" ht="14.85" customHeight="1">
      <c r="A1032" s="5197"/>
      <c r="B1032" s="5198"/>
      <c r="C1032" s="5126"/>
      <c r="D1032" s="5213"/>
      <c r="E1032" s="5214"/>
      <c r="F1032" s="5027"/>
    </row>
    <row r="1033" spans="1:6" ht="14.85" customHeight="1">
      <c r="A1033" s="5197"/>
      <c r="B1033" s="5198"/>
      <c r="C1033" s="5126"/>
      <c r="D1033" s="5213"/>
      <c r="E1033" s="5214"/>
      <c r="F1033" s="5027"/>
    </row>
    <row r="1034" spans="1:6" ht="14.85" customHeight="1">
      <c r="A1034" s="5197"/>
      <c r="B1034" s="5198"/>
      <c r="C1034" s="5126"/>
      <c r="D1034" s="5213"/>
      <c r="E1034" s="5214"/>
      <c r="F1034" s="5027"/>
    </row>
    <row r="1035" spans="1:6" ht="14.85" customHeight="1">
      <c r="A1035" s="5197"/>
      <c r="B1035" s="5198"/>
      <c r="C1035" s="5126"/>
      <c r="D1035" s="5213"/>
      <c r="E1035" s="5214"/>
      <c r="F1035" s="5027"/>
    </row>
    <row r="1036" spans="1:6" ht="14.85" customHeight="1">
      <c r="A1036" s="5197"/>
      <c r="B1036" s="5198"/>
      <c r="C1036" s="5126"/>
      <c r="D1036" s="5213"/>
      <c r="E1036" s="5214"/>
      <c r="F1036" s="5027"/>
    </row>
    <row r="1037" spans="1:6" ht="14.85" customHeight="1">
      <c r="A1037" s="5197"/>
      <c r="B1037" s="5198"/>
      <c r="C1037" s="5126"/>
      <c r="D1037" s="5213"/>
      <c r="E1037" s="5214"/>
      <c r="F1037" s="5027"/>
    </row>
    <row r="1038" spans="1:6" ht="14.85" customHeight="1">
      <c r="A1038" s="5197"/>
      <c r="B1038" s="5198"/>
      <c r="C1038" s="5126"/>
      <c r="D1038" s="5213"/>
      <c r="E1038" s="5214"/>
      <c r="F1038" s="5027"/>
    </row>
    <row r="1039" spans="1:6" ht="14.85" customHeight="1">
      <c r="A1039" s="5197"/>
      <c r="B1039" s="5198"/>
      <c r="C1039" s="5126"/>
      <c r="D1039" s="5213"/>
      <c r="E1039" s="5214"/>
      <c r="F1039" s="5027"/>
    </row>
    <row r="1040" spans="1:6" ht="14.85" customHeight="1">
      <c r="A1040" s="5197"/>
      <c r="B1040" s="5198"/>
      <c r="C1040" s="5126"/>
      <c r="D1040" s="5213"/>
      <c r="E1040" s="5214"/>
      <c r="F1040" s="5027"/>
    </row>
    <row r="1041" spans="1:6" ht="14.85" customHeight="1">
      <c r="A1041" s="5197"/>
      <c r="B1041" s="5198"/>
      <c r="C1041" s="5126"/>
      <c r="D1041" s="5213"/>
      <c r="E1041" s="5214"/>
      <c r="F1041" s="5027"/>
    </row>
    <row r="1042" spans="1:6" ht="14.85" customHeight="1">
      <c r="A1042" s="5197"/>
      <c r="B1042" s="5198"/>
      <c r="C1042" s="5126"/>
      <c r="D1042" s="5213"/>
      <c r="E1042" s="5214"/>
      <c r="F1042" s="5027"/>
    </row>
    <row r="1043" spans="1:6" ht="14.85" customHeight="1">
      <c r="A1043" s="5197"/>
      <c r="B1043" s="5198"/>
      <c r="C1043" s="5126"/>
      <c r="D1043" s="5213"/>
      <c r="E1043" s="5214"/>
      <c r="F1043" s="5027"/>
    </row>
    <row r="1044" spans="1:6" ht="14.85" customHeight="1">
      <c r="A1044" s="5197"/>
      <c r="B1044" s="5198"/>
      <c r="C1044" s="5126"/>
      <c r="D1044" s="5213"/>
      <c r="E1044" s="5214"/>
      <c r="F1044" s="5027"/>
    </row>
    <row r="1045" spans="1:6" ht="14.85" customHeight="1">
      <c r="A1045" s="5197"/>
      <c r="B1045" s="5198"/>
      <c r="C1045" s="5126"/>
      <c r="D1045" s="5213"/>
      <c r="E1045" s="5214"/>
      <c r="F1045" s="5027"/>
    </row>
    <row r="1046" spans="1:6" ht="14.85" customHeight="1">
      <c r="A1046" s="5197"/>
      <c r="B1046" s="5198"/>
      <c r="C1046" s="5126"/>
      <c r="D1046" s="5213"/>
      <c r="E1046" s="5214"/>
      <c r="F1046" s="5027"/>
    </row>
    <row r="1047" spans="1:6" ht="14.85" customHeight="1">
      <c r="A1047" s="5197"/>
      <c r="B1047" s="5198"/>
      <c r="C1047" s="5126"/>
      <c r="D1047" s="5213"/>
      <c r="E1047" s="5214"/>
      <c r="F1047" s="5027"/>
    </row>
    <row r="1048" spans="1:6" ht="14.85" customHeight="1">
      <c r="A1048" s="5197"/>
      <c r="B1048" s="5198"/>
      <c r="C1048" s="5126"/>
      <c r="D1048" s="5213"/>
      <c r="E1048" s="5214"/>
      <c r="F1048" s="5027"/>
    </row>
    <row r="1049" spans="1:6" ht="14.85" customHeight="1">
      <c r="A1049" s="5197"/>
      <c r="B1049" s="5198"/>
      <c r="C1049" s="5126"/>
      <c r="D1049" s="5213"/>
      <c r="E1049" s="5214"/>
      <c r="F1049" s="5027"/>
    </row>
    <row r="1050" spans="1:6" ht="14.85" customHeight="1">
      <c r="A1050" s="5197"/>
      <c r="B1050" s="5198"/>
      <c r="C1050" s="5126"/>
      <c r="D1050" s="5213"/>
      <c r="E1050" s="5214"/>
      <c r="F1050" s="5027"/>
    </row>
    <row r="1051" spans="1:6" ht="14.85" customHeight="1">
      <c r="A1051" s="5197"/>
      <c r="B1051" s="5198"/>
      <c r="C1051" s="5126"/>
      <c r="D1051" s="5213"/>
      <c r="E1051" s="5214"/>
      <c r="F1051" s="5027"/>
    </row>
    <row r="1052" spans="1:6" ht="14.85" customHeight="1">
      <c r="A1052" s="5197"/>
      <c r="B1052" s="5198"/>
      <c r="C1052" s="5126"/>
      <c r="D1052" s="5213"/>
      <c r="E1052" s="5214"/>
      <c r="F1052" s="5027"/>
    </row>
    <row r="1053" spans="1:6" ht="14.85" customHeight="1">
      <c r="A1053" s="5197"/>
      <c r="B1053" s="5198"/>
      <c r="C1053" s="5126"/>
      <c r="D1053" s="5213"/>
      <c r="E1053" s="5214"/>
      <c r="F1053" s="5027"/>
    </row>
    <row r="1054" spans="1:6" ht="14.85" customHeight="1">
      <c r="A1054" s="5197"/>
      <c r="B1054" s="5198"/>
      <c r="C1054" s="5126"/>
      <c r="D1054" s="5213"/>
      <c r="E1054" s="5214"/>
      <c r="F1054" s="5027"/>
    </row>
    <row r="1055" spans="1:6" ht="14.85" customHeight="1">
      <c r="A1055" s="5197"/>
      <c r="B1055" s="5198"/>
      <c r="C1055" s="5126"/>
      <c r="D1055" s="5213"/>
      <c r="E1055" s="5214"/>
      <c r="F1055" s="5027"/>
    </row>
    <row r="1056" spans="1:6" ht="14.85" customHeight="1">
      <c r="A1056" s="5197"/>
      <c r="B1056" s="5198"/>
      <c r="C1056" s="5126"/>
      <c r="D1056" s="5213"/>
      <c r="E1056" s="5214"/>
      <c r="F1056" s="5027"/>
    </row>
    <row r="1057" spans="1:6" ht="14.85" customHeight="1">
      <c r="A1057" s="5197"/>
      <c r="B1057" s="5198"/>
      <c r="C1057" s="5126"/>
      <c r="D1057" s="5213"/>
      <c r="E1057" s="5214"/>
      <c r="F1057" s="5027"/>
    </row>
    <row r="1058" spans="1:6" ht="14.85" customHeight="1">
      <c r="A1058" s="5197"/>
      <c r="B1058" s="5198"/>
      <c r="C1058" s="5126"/>
      <c r="D1058" s="5213"/>
      <c r="E1058" s="5214"/>
      <c r="F1058" s="5027"/>
    </row>
    <row r="1059" spans="1:6" ht="14.85" customHeight="1">
      <c r="A1059" s="5197"/>
      <c r="B1059" s="5198"/>
      <c r="C1059" s="5126"/>
      <c r="D1059" s="5213"/>
      <c r="E1059" s="5214"/>
      <c r="F1059" s="5027"/>
    </row>
    <row r="1060" spans="1:6" ht="14.85" customHeight="1">
      <c r="A1060" s="5197"/>
      <c r="B1060" s="5198"/>
      <c r="C1060" s="5126"/>
      <c r="D1060" s="5213"/>
      <c r="E1060" s="5214"/>
      <c r="F1060" s="5027"/>
    </row>
    <row r="1061" spans="1:6" ht="14.85" customHeight="1">
      <c r="A1061" s="5197"/>
      <c r="B1061" s="5198"/>
      <c r="C1061" s="5126"/>
      <c r="D1061" s="5213"/>
      <c r="E1061" s="5214"/>
      <c r="F1061" s="5027"/>
    </row>
    <row r="1062" spans="1:6" ht="14.85" customHeight="1">
      <c r="A1062" s="5197"/>
      <c r="B1062" s="5198"/>
      <c r="C1062" s="5126"/>
      <c r="D1062" s="5213"/>
      <c r="E1062" s="5214"/>
      <c r="F1062" s="5027"/>
    </row>
    <row r="1063" spans="1:6" ht="14.85" customHeight="1">
      <c r="A1063" s="5197"/>
      <c r="B1063" s="5198"/>
      <c r="C1063" s="5126"/>
      <c r="D1063" s="5213"/>
      <c r="E1063" s="5214"/>
      <c r="F1063" s="5027"/>
    </row>
    <row r="1064" spans="1:6" ht="14.85" customHeight="1">
      <c r="A1064" s="5197"/>
      <c r="B1064" s="5198"/>
      <c r="C1064" s="5126"/>
      <c r="D1064" s="5213"/>
      <c r="E1064" s="5214"/>
      <c r="F1064" s="5027"/>
    </row>
    <row r="1065" spans="1:6" ht="14.85" customHeight="1">
      <c r="A1065" s="5197"/>
      <c r="B1065" s="5198"/>
      <c r="C1065" s="5126"/>
      <c r="D1065" s="5213"/>
      <c r="E1065" s="5214"/>
      <c r="F1065" s="5027"/>
    </row>
    <row r="1066" spans="1:6" ht="14.85" customHeight="1">
      <c r="A1066" s="5197"/>
      <c r="B1066" s="5198"/>
      <c r="C1066" s="5126"/>
      <c r="D1066" s="5213"/>
      <c r="E1066" s="5214"/>
      <c r="F1066" s="5027"/>
    </row>
    <row r="1067" spans="1:6" ht="14.85" customHeight="1">
      <c r="A1067" s="5197"/>
      <c r="B1067" s="5198"/>
      <c r="C1067" s="5126"/>
      <c r="D1067" s="5213"/>
      <c r="E1067" s="5214"/>
      <c r="F1067" s="5027"/>
    </row>
    <row r="1068" spans="1:6" ht="14.85" customHeight="1">
      <c r="A1068" s="5197"/>
      <c r="B1068" s="5198"/>
      <c r="C1068" s="5126"/>
      <c r="D1068" s="5213"/>
      <c r="E1068" s="5214"/>
      <c r="F1068" s="5027"/>
    </row>
    <row r="1069" spans="1:6" ht="14.85" customHeight="1">
      <c r="A1069" s="5197"/>
      <c r="B1069" s="5198"/>
      <c r="C1069" s="5126"/>
      <c r="D1069" s="5213"/>
      <c r="E1069" s="5214"/>
      <c r="F1069" s="5027"/>
    </row>
    <row r="1070" spans="1:6" ht="14.85" customHeight="1">
      <c r="A1070" s="5197"/>
      <c r="B1070" s="5198"/>
      <c r="C1070" s="5126"/>
      <c r="D1070" s="5213"/>
      <c r="E1070" s="5214"/>
      <c r="F1070" s="5027"/>
    </row>
    <row r="1071" spans="1:6" ht="14.85" customHeight="1">
      <c r="A1071" s="5197"/>
      <c r="B1071" s="5198"/>
      <c r="C1071" s="5126"/>
      <c r="D1071" s="5213"/>
      <c r="E1071" s="5214"/>
      <c r="F1071" s="5027"/>
    </row>
    <row r="1072" spans="1:6" ht="14.85" customHeight="1">
      <c r="A1072" s="5197"/>
      <c r="B1072" s="5198"/>
      <c r="C1072" s="5126"/>
      <c r="D1072" s="5213"/>
      <c r="E1072" s="5214"/>
      <c r="F1072" s="5027"/>
    </row>
    <row r="1073" spans="1:6" ht="14.85" customHeight="1">
      <c r="A1073" s="5197"/>
      <c r="B1073" s="5198"/>
      <c r="C1073" s="5126"/>
      <c r="D1073" s="5213"/>
      <c r="E1073" s="5214"/>
      <c r="F1073" s="5027"/>
    </row>
    <row r="1074" spans="1:6" ht="14.85" customHeight="1">
      <c r="A1074" s="5197"/>
      <c r="B1074" s="5198"/>
      <c r="C1074" s="5126"/>
      <c r="D1074" s="5213"/>
      <c r="E1074" s="5214"/>
      <c r="F1074" s="5027"/>
    </row>
    <row r="1075" spans="1:6" ht="14.85" customHeight="1">
      <c r="A1075" s="5197"/>
      <c r="B1075" s="5198"/>
      <c r="C1075" s="5126"/>
      <c r="D1075" s="5213"/>
      <c r="E1075" s="5214"/>
      <c r="F1075" s="5027"/>
    </row>
    <row r="1076" spans="1:6" ht="14.85" customHeight="1">
      <c r="A1076" s="5197"/>
      <c r="B1076" s="5198"/>
      <c r="C1076" s="5126"/>
      <c r="D1076" s="5213"/>
      <c r="E1076" s="5214"/>
      <c r="F1076" s="5027"/>
    </row>
    <row r="1077" spans="1:6" ht="14.85" customHeight="1">
      <c r="A1077" s="5197"/>
      <c r="B1077" s="5198"/>
      <c r="C1077" s="5126"/>
      <c r="D1077" s="5213"/>
      <c r="E1077" s="5214"/>
      <c r="F1077" s="5027"/>
    </row>
    <row r="1078" spans="1:6" ht="14.85" customHeight="1">
      <c r="A1078" s="5197"/>
      <c r="B1078" s="5198"/>
      <c r="C1078" s="5126"/>
      <c r="D1078" s="5213"/>
      <c r="E1078" s="5214"/>
      <c r="F1078" s="5027"/>
    </row>
    <row r="1079" spans="1:6" ht="14.85" customHeight="1">
      <c r="A1079" s="5197"/>
      <c r="B1079" s="5198"/>
      <c r="C1079" s="5126"/>
      <c r="D1079" s="5213"/>
      <c r="E1079" s="5214"/>
      <c r="F1079" s="5027"/>
    </row>
    <row r="1080" spans="1:6" ht="14.85" customHeight="1">
      <c r="A1080" s="5197"/>
      <c r="B1080" s="5198"/>
      <c r="C1080" s="5126"/>
      <c r="D1080" s="5213"/>
      <c r="E1080" s="5214"/>
      <c r="F1080" s="5027"/>
    </row>
    <row r="1081" spans="1:6" ht="14.85" customHeight="1">
      <c r="A1081" s="5197"/>
      <c r="B1081" s="5198"/>
      <c r="C1081" s="5126"/>
      <c r="D1081" s="5213"/>
      <c r="E1081" s="5214"/>
      <c r="F1081" s="5027"/>
    </row>
    <row r="1082" spans="1:6" ht="14.85" customHeight="1">
      <c r="A1082" s="5197"/>
      <c r="B1082" s="5198"/>
      <c r="C1082" s="5126"/>
      <c r="D1082" s="5213"/>
      <c r="E1082" s="5214"/>
      <c r="F1082" s="5027"/>
    </row>
    <row r="1083" spans="1:6" ht="14.85" customHeight="1">
      <c r="A1083" s="5197"/>
      <c r="B1083" s="5198"/>
      <c r="C1083" s="5126"/>
      <c r="D1083" s="5213"/>
      <c r="E1083" s="5214"/>
      <c r="F1083" s="5027"/>
    </row>
    <row r="1084" spans="1:6" ht="14.85" customHeight="1">
      <c r="A1084" s="5197"/>
      <c r="B1084" s="5198"/>
      <c r="C1084" s="5126"/>
      <c r="D1084" s="5213"/>
      <c r="E1084" s="5214"/>
      <c r="F1084" s="5027"/>
    </row>
    <row r="1085" spans="1:6" ht="14.85" customHeight="1">
      <c r="A1085" s="5197"/>
      <c r="B1085" s="5198"/>
      <c r="C1085" s="5126"/>
      <c r="D1085" s="5213"/>
      <c r="E1085" s="5214"/>
      <c r="F1085" s="5027"/>
    </row>
    <row r="1086" spans="1:6" ht="14.85" customHeight="1">
      <c r="A1086" s="5197"/>
      <c r="B1086" s="5198"/>
      <c r="C1086" s="5126"/>
      <c r="D1086" s="5213"/>
      <c r="E1086" s="5214"/>
      <c r="F1086" s="5027"/>
    </row>
    <row r="1087" spans="1:6" ht="14.85" customHeight="1">
      <c r="A1087" s="5197"/>
      <c r="B1087" s="5198"/>
      <c r="C1087" s="5126"/>
      <c r="D1087" s="5213"/>
      <c r="E1087" s="5214"/>
      <c r="F1087" s="5027"/>
    </row>
    <row r="1088" spans="1:6" ht="14.85" customHeight="1">
      <c r="A1088" s="5197"/>
      <c r="B1088" s="5198"/>
      <c r="C1088" s="5126"/>
      <c r="D1088" s="5213"/>
      <c r="E1088" s="5214"/>
      <c r="F1088" s="5027"/>
    </row>
    <row r="1089" spans="1:6" ht="14.85" customHeight="1">
      <c r="A1089" s="5197"/>
      <c r="B1089" s="5198"/>
      <c r="C1089" s="5126"/>
      <c r="D1089" s="5213"/>
      <c r="E1089" s="5214"/>
      <c r="F1089" s="5027"/>
    </row>
    <row r="1090" spans="1:6" ht="14.85" customHeight="1">
      <c r="A1090" s="5197"/>
      <c r="B1090" s="5198"/>
      <c r="C1090" s="5126"/>
      <c r="D1090" s="5213"/>
      <c r="E1090" s="5214"/>
      <c r="F1090" s="5027"/>
    </row>
    <row r="1091" spans="1:6" ht="14.85" customHeight="1">
      <c r="A1091" s="5197"/>
      <c r="B1091" s="5198"/>
      <c r="C1091" s="5126"/>
      <c r="D1091" s="5213"/>
      <c r="E1091" s="5214"/>
      <c r="F1091" s="5027"/>
    </row>
    <row r="1092" spans="1:6" ht="14.85" customHeight="1">
      <c r="A1092" s="5197"/>
      <c r="B1092" s="5198"/>
      <c r="C1092" s="5126"/>
      <c r="D1092" s="5213"/>
      <c r="E1092" s="5214"/>
      <c r="F1092" s="5027"/>
    </row>
    <row r="1093" spans="1:6" ht="14.85" customHeight="1">
      <c r="A1093" s="5197"/>
      <c r="B1093" s="5198"/>
      <c r="C1093" s="5126"/>
      <c r="D1093" s="5213"/>
      <c r="E1093" s="5214"/>
      <c r="F1093" s="5027"/>
    </row>
    <row r="1094" spans="1:6" ht="14.85" customHeight="1">
      <c r="A1094" s="5197"/>
      <c r="B1094" s="5198"/>
      <c r="C1094" s="5126"/>
      <c r="D1094" s="5213"/>
      <c r="E1094" s="5214"/>
      <c r="F1094" s="5027"/>
    </row>
    <row r="1095" spans="1:6" ht="14.85" customHeight="1">
      <c r="A1095" s="5197"/>
      <c r="B1095" s="5198"/>
      <c r="C1095" s="5126"/>
      <c r="D1095" s="5213"/>
      <c r="E1095" s="5214"/>
      <c r="F1095" s="5027"/>
    </row>
    <row r="1096" spans="1:6" ht="14.85" customHeight="1">
      <c r="A1096" s="5197"/>
      <c r="B1096" s="5198"/>
      <c r="C1096" s="5126"/>
      <c r="D1096" s="5213"/>
      <c r="E1096" s="5214"/>
      <c r="F1096" s="5027"/>
    </row>
    <row r="1097" spans="1:6" ht="14.85" customHeight="1">
      <c r="A1097" s="5197"/>
      <c r="B1097" s="5198"/>
      <c r="C1097" s="5126"/>
      <c r="D1097" s="5213"/>
      <c r="E1097" s="5214"/>
      <c r="F1097" s="5027"/>
    </row>
    <row r="1098" spans="1:6" ht="14.85" customHeight="1">
      <c r="A1098" s="5197"/>
      <c r="B1098" s="5198"/>
      <c r="C1098" s="5126"/>
      <c r="D1098" s="5213"/>
      <c r="E1098" s="5214"/>
      <c r="F1098" s="5027"/>
    </row>
    <row r="1099" spans="1:6" ht="14.85" customHeight="1">
      <c r="A1099" s="5197"/>
      <c r="B1099" s="5198"/>
      <c r="C1099" s="5126"/>
      <c r="D1099" s="5213"/>
      <c r="E1099" s="5214"/>
      <c r="F1099" s="5027"/>
    </row>
    <row r="1100" spans="1:6" ht="14.85" customHeight="1">
      <c r="A1100" s="5197"/>
      <c r="B1100" s="5198"/>
      <c r="C1100" s="5126"/>
      <c r="D1100" s="5213"/>
      <c r="E1100" s="5214"/>
      <c r="F1100" s="5027"/>
    </row>
    <row r="1101" spans="1:6" ht="14.85" customHeight="1">
      <c r="A1101" s="5197"/>
      <c r="B1101" s="5198"/>
      <c r="C1101" s="5126"/>
      <c r="D1101" s="5213"/>
      <c r="E1101" s="5214"/>
      <c r="F1101" s="5027"/>
    </row>
    <row r="1102" spans="1:6" ht="14.85" customHeight="1">
      <c r="A1102" s="5197"/>
      <c r="B1102" s="5198"/>
      <c r="C1102" s="5126"/>
      <c r="D1102" s="5213"/>
      <c r="E1102" s="5214"/>
      <c r="F1102" s="5027"/>
    </row>
    <row r="1103" spans="1:6" ht="14.85" customHeight="1">
      <c r="A1103" s="5197"/>
      <c r="B1103" s="5198"/>
      <c r="C1103" s="5126"/>
      <c r="D1103" s="5213"/>
      <c r="E1103" s="5214"/>
      <c r="F1103" s="5027"/>
    </row>
    <row r="1104" spans="1:6" ht="14.85" customHeight="1">
      <c r="A1104" s="5197"/>
      <c r="B1104" s="5198"/>
      <c r="C1104" s="5126"/>
      <c r="D1104" s="5213"/>
      <c r="E1104" s="5214"/>
      <c r="F1104" s="5027"/>
    </row>
    <row r="1105" spans="1:6" ht="14.85" customHeight="1">
      <c r="A1105" s="5197"/>
      <c r="B1105" s="5198"/>
      <c r="C1105" s="5126"/>
      <c r="D1105" s="5213"/>
      <c r="E1105" s="5214"/>
      <c r="F1105" s="5027"/>
    </row>
    <row r="1106" spans="1:6" ht="14.85" customHeight="1">
      <c r="A1106" s="5197"/>
      <c r="B1106" s="5198"/>
      <c r="C1106" s="5126"/>
      <c r="D1106" s="5213"/>
      <c r="E1106" s="5214"/>
      <c r="F1106" s="5027"/>
    </row>
    <row r="1107" spans="1:6" ht="14.85" customHeight="1">
      <c r="A1107" s="5197"/>
      <c r="B1107" s="5198"/>
      <c r="C1107" s="5126"/>
      <c r="D1107" s="5213"/>
      <c r="E1107" s="5214"/>
      <c r="F1107" s="5027"/>
    </row>
    <row r="1108" spans="1:6" ht="14.85" customHeight="1">
      <c r="A1108" s="5197"/>
      <c r="B1108" s="5198"/>
      <c r="C1108" s="5126"/>
      <c r="D1108" s="5213"/>
      <c r="E1108" s="5214"/>
      <c r="F1108" s="5027"/>
    </row>
    <row r="1109" spans="1:6" ht="14.85" customHeight="1">
      <c r="A1109" s="5197"/>
      <c r="B1109" s="5198"/>
      <c r="C1109" s="5126"/>
      <c r="D1109" s="5213"/>
      <c r="E1109" s="5214"/>
      <c r="F1109" s="5027"/>
    </row>
    <row r="1110" spans="1:6" ht="14.85" customHeight="1">
      <c r="A1110" s="5197"/>
      <c r="B1110" s="5198"/>
      <c r="C1110" s="5126"/>
      <c r="D1110" s="5213"/>
      <c r="E1110" s="5214"/>
      <c r="F1110" s="5027"/>
    </row>
    <row r="1111" spans="1:6" ht="14.85" customHeight="1">
      <c r="A1111" s="5197"/>
      <c r="B1111" s="5198"/>
      <c r="C1111" s="5126"/>
      <c r="D1111" s="5213"/>
      <c r="E1111" s="5214"/>
      <c r="F1111" s="5027"/>
    </row>
    <row r="1112" spans="1:6" ht="14.85" customHeight="1">
      <c r="A1112" s="5197"/>
      <c r="B1112" s="5198"/>
      <c r="C1112" s="5126"/>
      <c r="D1112" s="5213"/>
      <c r="E1112" s="5214"/>
      <c r="F1112" s="5027"/>
    </row>
    <row r="1113" spans="1:6" ht="14.85" customHeight="1">
      <c r="A1113" s="5197"/>
      <c r="B1113" s="5198"/>
      <c r="C1113" s="5126"/>
      <c r="D1113" s="5213"/>
      <c r="E1113" s="5214"/>
      <c r="F1113" s="5027"/>
    </row>
    <row r="1114" spans="1:6" ht="14.85" customHeight="1">
      <c r="A1114" s="5197"/>
      <c r="B1114" s="5198"/>
      <c r="C1114" s="5126"/>
      <c r="D1114" s="5213"/>
      <c r="E1114" s="5214"/>
      <c r="F1114" s="5027"/>
    </row>
    <row r="1115" spans="1:6" ht="14.85" customHeight="1">
      <c r="A1115" s="5197"/>
      <c r="B1115" s="5198"/>
      <c r="C1115" s="5126"/>
      <c r="D1115" s="5213"/>
      <c r="E1115" s="5214"/>
      <c r="F1115" s="5027"/>
    </row>
    <row r="1116" spans="1:6" ht="14.85" customHeight="1">
      <c r="A1116" s="5197"/>
      <c r="B1116" s="5198"/>
      <c r="C1116" s="5126"/>
      <c r="D1116" s="5213"/>
      <c r="E1116" s="5214"/>
      <c r="F1116" s="5027"/>
    </row>
    <row r="1117" spans="1:6" ht="14.85" customHeight="1">
      <c r="A1117" s="5197"/>
      <c r="B1117" s="5198"/>
      <c r="C1117" s="5126"/>
      <c r="D1117" s="5213"/>
      <c r="E1117" s="5214"/>
      <c r="F1117" s="5027"/>
    </row>
    <row r="1118" spans="1:6" ht="14.85" customHeight="1">
      <c r="A1118" s="5197"/>
      <c r="B1118" s="5198"/>
      <c r="C1118" s="5126"/>
      <c r="D1118" s="5213"/>
      <c r="E1118" s="5214"/>
      <c r="F1118" s="5027"/>
    </row>
    <row r="1119" spans="1:6" ht="14.85" customHeight="1">
      <c r="A1119" s="5197"/>
      <c r="B1119" s="5198"/>
      <c r="C1119" s="5126"/>
      <c r="D1119" s="5213"/>
      <c r="E1119" s="5214"/>
      <c r="F1119" s="5027"/>
    </row>
    <row r="1120" spans="1:6" ht="14.85" customHeight="1">
      <c r="A1120" s="5197"/>
      <c r="B1120" s="5198"/>
      <c r="C1120" s="5126"/>
      <c r="D1120" s="5213"/>
      <c r="E1120" s="5214"/>
      <c r="F1120" s="5027"/>
    </row>
    <row r="1121" spans="1:6" ht="14.85" customHeight="1">
      <c r="A1121" s="5197"/>
      <c r="B1121" s="5198"/>
      <c r="C1121" s="5126"/>
      <c r="D1121" s="5213"/>
      <c r="E1121" s="5214"/>
      <c r="F1121" s="5027"/>
    </row>
    <row r="1122" spans="1:6" ht="14.85" customHeight="1">
      <c r="A1122" s="5197"/>
      <c r="B1122" s="5198"/>
      <c r="C1122" s="5126"/>
      <c r="D1122" s="5213"/>
      <c r="E1122" s="5214"/>
      <c r="F1122" s="5027"/>
    </row>
    <row r="1123" spans="1:6" ht="14.85" customHeight="1">
      <c r="A1123" s="5197"/>
      <c r="B1123" s="5198"/>
      <c r="C1123" s="5126"/>
      <c r="D1123" s="5213"/>
      <c r="E1123" s="5214"/>
      <c r="F1123" s="5027"/>
    </row>
    <row r="1124" spans="1:6" ht="14.85" customHeight="1">
      <c r="A1124" s="5197"/>
      <c r="B1124" s="5198"/>
      <c r="C1124" s="5126"/>
      <c r="D1124" s="5213"/>
      <c r="E1124" s="5214"/>
      <c r="F1124" s="5027"/>
    </row>
    <row r="1125" spans="1:6" ht="14.85" customHeight="1">
      <c r="A1125" s="5197"/>
      <c r="B1125" s="5198"/>
      <c r="C1125" s="5126"/>
      <c r="D1125" s="5213"/>
      <c r="E1125" s="5214"/>
      <c r="F1125" s="5027"/>
    </row>
    <row r="1126" spans="1:6" ht="14.85" customHeight="1">
      <c r="A1126" s="5197"/>
      <c r="B1126" s="5198"/>
      <c r="C1126" s="5126"/>
      <c r="D1126" s="5213"/>
      <c r="E1126" s="5214"/>
      <c r="F1126" s="5027"/>
    </row>
    <row r="1127" spans="1:6" ht="14.85" customHeight="1">
      <c r="A1127" s="5197"/>
      <c r="B1127" s="5198"/>
      <c r="C1127" s="5126"/>
      <c r="D1127" s="5213"/>
      <c r="E1127" s="5214"/>
      <c r="F1127" s="5027"/>
    </row>
    <row r="1128" spans="1:6" ht="14.85" customHeight="1">
      <c r="A1128" s="5197"/>
      <c r="B1128" s="5198"/>
      <c r="C1128" s="5126"/>
      <c r="D1128" s="5213"/>
      <c r="E1128" s="5214"/>
      <c r="F1128" s="5027"/>
    </row>
    <row r="1129" spans="1:6" ht="14.85" customHeight="1">
      <c r="A1129" s="5197"/>
      <c r="B1129" s="5198"/>
      <c r="C1129" s="5126"/>
      <c r="D1129" s="5213"/>
      <c r="E1129" s="5214"/>
      <c r="F1129" s="5027"/>
    </row>
    <row r="1130" spans="1:6" ht="14.85" customHeight="1">
      <c r="A1130" s="5197"/>
      <c r="B1130" s="5198"/>
      <c r="C1130" s="5126"/>
      <c r="D1130" s="5213"/>
      <c r="E1130" s="5214"/>
      <c r="F1130" s="5027"/>
    </row>
    <row r="1131" spans="1:6" ht="14.85" customHeight="1">
      <c r="A1131" s="5197"/>
      <c r="B1131" s="5198"/>
      <c r="C1131" s="5126"/>
      <c r="D1131" s="5213"/>
      <c r="E1131" s="5214"/>
      <c r="F1131" s="5027"/>
    </row>
    <row r="1132" spans="1:6" ht="14.85" customHeight="1">
      <c r="A1132" s="5197"/>
      <c r="B1132" s="5198"/>
      <c r="C1132" s="5126"/>
      <c r="D1132" s="5213"/>
      <c r="E1132" s="5214"/>
      <c r="F1132" s="5027"/>
    </row>
    <row r="1133" spans="1:6" ht="14.85" customHeight="1">
      <c r="A1133" s="5197"/>
      <c r="B1133" s="5198"/>
      <c r="C1133" s="5126"/>
      <c r="D1133" s="5213"/>
      <c r="E1133" s="5214"/>
      <c r="F1133" s="5027"/>
    </row>
    <row r="1134" spans="1:6" ht="14.85" customHeight="1">
      <c r="A1134" s="5197"/>
      <c r="B1134" s="5198"/>
      <c r="C1134" s="5126"/>
      <c r="D1134" s="5213"/>
      <c r="E1134" s="5214"/>
      <c r="F1134" s="5027"/>
    </row>
    <row r="1135" spans="1:6" ht="14.85" customHeight="1">
      <c r="A1135" s="5197"/>
      <c r="B1135" s="5198"/>
      <c r="C1135" s="5126"/>
      <c r="D1135" s="5213"/>
      <c r="E1135" s="5214"/>
      <c r="F1135" s="5027"/>
    </row>
    <row r="1136" spans="1:6" ht="14.85" customHeight="1">
      <c r="A1136" s="5197"/>
      <c r="B1136" s="5198"/>
      <c r="C1136" s="5126"/>
      <c r="D1136" s="5213"/>
      <c r="E1136" s="5214"/>
      <c r="F1136" s="5027"/>
    </row>
    <row r="1137" spans="1:6" ht="14.85" customHeight="1">
      <c r="A1137" s="5197"/>
      <c r="B1137" s="5198"/>
      <c r="C1137" s="5126"/>
      <c r="D1137" s="5213"/>
      <c r="E1137" s="5214"/>
      <c r="F1137" s="5027"/>
    </row>
    <row r="1138" spans="1:6" ht="14.85" customHeight="1">
      <c r="A1138" s="5197"/>
      <c r="B1138" s="5198"/>
      <c r="C1138" s="5126"/>
      <c r="D1138" s="5213"/>
      <c r="E1138" s="5214"/>
      <c r="F1138" s="5027"/>
    </row>
    <row r="1139" spans="1:6" ht="14.85" customHeight="1">
      <c r="A1139" s="5197"/>
      <c r="B1139" s="5198"/>
      <c r="C1139" s="5126"/>
      <c r="D1139" s="5213"/>
      <c r="E1139" s="5214"/>
      <c r="F1139" s="5027"/>
    </row>
    <row r="1140" spans="1:6" ht="14.85" customHeight="1">
      <c r="A1140" s="5197"/>
      <c r="B1140" s="5198"/>
      <c r="C1140" s="5126"/>
      <c r="D1140" s="5213"/>
      <c r="E1140" s="5214"/>
      <c r="F1140" s="5027"/>
    </row>
    <row r="1141" spans="1:6" ht="14.85" customHeight="1">
      <c r="A1141" s="5197"/>
      <c r="B1141" s="5198"/>
      <c r="C1141" s="5126"/>
      <c r="D1141" s="5213"/>
      <c r="E1141" s="5214"/>
      <c r="F1141" s="5027"/>
    </row>
    <row r="1142" spans="1:6" ht="14.85" customHeight="1">
      <c r="A1142" s="5197"/>
      <c r="B1142" s="5198"/>
      <c r="C1142" s="5126"/>
      <c r="D1142" s="5213"/>
      <c r="E1142" s="5214"/>
      <c r="F1142" s="5027"/>
    </row>
    <row r="1143" spans="1:6" ht="14.85" customHeight="1">
      <c r="A1143" s="5197"/>
      <c r="B1143" s="5198"/>
      <c r="C1143" s="5126"/>
      <c r="D1143" s="5213"/>
      <c r="E1143" s="5214"/>
      <c r="F1143" s="5027"/>
    </row>
    <row r="1144" spans="1:6" ht="14.85" customHeight="1">
      <c r="A1144" s="5197"/>
      <c r="B1144" s="5198"/>
      <c r="C1144" s="5126"/>
      <c r="D1144" s="5213"/>
      <c r="E1144" s="5214"/>
      <c r="F1144" s="5027"/>
    </row>
    <row r="1145" spans="1:6" ht="14.85" customHeight="1">
      <c r="A1145" s="5197"/>
      <c r="B1145" s="5198"/>
      <c r="C1145" s="5126"/>
      <c r="D1145" s="5213"/>
      <c r="E1145" s="5214"/>
      <c r="F1145" s="5027"/>
    </row>
    <row r="1146" spans="1:6" ht="14.85" customHeight="1">
      <c r="A1146" s="5197"/>
      <c r="B1146" s="5198"/>
      <c r="C1146" s="5126"/>
      <c r="D1146" s="5213"/>
      <c r="E1146" s="5214"/>
      <c r="F1146" s="5027"/>
    </row>
    <row r="1147" spans="1:6" ht="14.85" customHeight="1">
      <c r="A1147" s="5197"/>
      <c r="B1147" s="5198"/>
      <c r="C1147" s="5126"/>
      <c r="D1147" s="5213"/>
      <c r="E1147" s="5214"/>
      <c r="F1147" s="5027"/>
    </row>
    <row r="1148" spans="1:6" ht="14.85" customHeight="1">
      <c r="A1148" s="5197"/>
      <c r="B1148" s="5198"/>
      <c r="C1148" s="5126"/>
      <c r="D1148" s="5213"/>
      <c r="E1148" s="5214"/>
      <c r="F1148" s="5027"/>
    </row>
    <row r="1149" spans="1:6" ht="14.85" customHeight="1">
      <c r="A1149" s="5197"/>
      <c r="B1149" s="5198"/>
      <c r="C1149" s="5126"/>
      <c r="D1149" s="5213"/>
      <c r="E1149" s="5214"/>
      <c r="F1149" s="5027"/>
    </row>
    <row r="1150" spans="1:6" ht="14.85" customHeight="1">
      <c r="A1150" s="5197"/>
      <c r="B1150" s="5198"/>
      <c r="C1150" s="5126"/>
      <c r="D1150" s="5213"/>
      <c r="E1150" s="5214"/>
      <c r="F1150" s="5027"/>
    </row>
    <row r="1151" spans="1:6" ht="14.85" customHeight="1">
      <c r="A1151" s="5197"/>
      <c r="B1151" s="5198"/>
      <c r="C1151" s="5126"/>
      <c r="D1151" s="5213"/>
      <c r="E1151" s="5214"/>
      <c r="F1151" s="5027"/>
    </row>
    <row r="1152" spans="1:6" ht="14.85" customHeight="1">
      <c r="A1152" s="5197"/>
      <c r="B1152" s="5198"/>
      <c r="C1152" s="5126"/>
      <c r="D1152" s="5213"/>
      <c r="E1152" s="5214"/>
      <c r="F1152" s="5027"/>
    </row>
    <row r="1153" spans="1:6" ht="14.85" customHeight="1">
      <c r="A1153" s="5197"/>
      <c r="B1153" s="5198"/>
      <c r="C1153" s="5126"/>
      <c r="D1153" s="5213"/>
      <c r="E1153" s="5214"/>
      <c r="F1153" s="5027"/>
    </row>
    <row r="1154" spans="1:6" ht="14.85" customHeight="1">
      <c r="A1154" s="5197"/>
      <c r="B1154" s="5198"/>
      <c r="C1154" s="5126"/>
      <c r="D1154" s="5213"/>
      <c r="E1154" s="5214"/>
      <c r="F1154" s="5027"/>
    </row>
    <row r="1155" spans="1:6" ht="14.85" customHeight="1">
      <c r="A1155" s="5197"/>
      <c r="B1155" s="5198"/>
      <c r="C1155" s="5126"/>
      <c r="D1155" s="5213"/>
      <c r="E1155" s="5214"/>
      <c r="F1155" s="5027"/>
    </row>
    <row r="1156" spans="1:6" ht="14.85" customHeight="1">
      <c r="A1156" s="5197"/>
      <c r="B1156" s="5198"/>
      <c r="C1156" s="5126"/>
      <c r="D1156" s="5213"/>
      <c r="E1156" s="5214"/>
      <c r="F1156" s="5027"/>
    </row>
    <row r="1157" spans="1:6" ht="14.85" customHeight="1">
      <c r="A1157" s="5197"/>
      <c r="B1157" s="5198"/>
      <c r="C1157" s="5126"/>
      <c r="D1157" s="5213"/>
      <c r="E1157" s="5214"/>
      <c r="F1157" s="5027"/>
    </row>
    <row r="1158" spans="1:6" ht="14.85" customHeight="1">
      <c r="A1158" s="5197"/>
      <c r="B1158" s="5198"/>
      <c r="C1158" s="5126"/>
      <c r="D1158" s="5213"/>
      <c r="E1158" s="5214"/>
      <c r="F1158" s="5027"/>
    </row>
    <row r="1159" spans="1:6" ht="14.85" customHeight="1">
      <c r="A1159" s="5197"/>
      <c r="B1159" s="5198"/>
      <c r="C1159" s="5126"/>
      <c r="D1159" s="5213"/>
      <c r="E1159" s="5214"/>
      <c r="F1159" s="5027"/>
    </row>
    <row r="1160" spans="1:6" ht="14.85" customHeight="1">
      <c r="A1160" s="5197"/>
      <c r="B1160" s="5198"/>
      <c r="C1160" s="5126"/>
      <c r="D1160" s="5213"/>
      <c r="E1160" s="5214"/>
      <c r="F1160" s="5027"/>
    </row>
    <row r="1161" spans="1:6" ht="14.85" customHeight="1">
      <c r="A1161" s="5197"/>
      <c r="B1161" s="5198"/>
      <c r="C1161" s="5126"/>
      <c r="D1161" s="5213"/>
      <c r="E1161" s="5214"/>
      <c r="F1161" s="5027"/>
    </row>
    <row r="1162" spans="1:6" ht="14.85" customHeight="1">
      <c r="A1162" s="5197"/>
      <c r="B1162" s="5198"/>
      <c r="C1162" s="5126"/>
      <c r="D1162" s="5213"/>
      <c r="E1162" s="5214"/>
      <c r="F1162" s="5027"/>
    </row>
    <row r="1163" spans="1:6" ht="14.85" customHeight="1">
      <c r="A1163" s="5197"/>
      <c r="B1163" s="5198"/>
      <c r="C1163" s="5126"/>
      <c r="D1163" s="5213"/>
      <c r="E1163" s="5214"/>
      <c r="F1163" s="5027"/>
    </row>
    <row r="1164" spans="1:6" ht="14.85" customHeight="1">
      <c r="A1164" s="5197"/>
      <c r="B1164" s="5198"/>
      <c r="C1164" s="5126"/>
      <c r="D1164" s="5213"/>
      <c r="E1164" s="5214"/>
      <c r="F1164" s="5027"/>
    </row>
    <row r="1165" spans="1:6" ht="14.85" customHeight="1">
      <c r="A1165" s="5197"/>
      <c r="B1165" s="5198"/>
      <c r="C1165" s="5126"/>
      <c r="D1165" s="5213"/>
      <c r="E1165" s="5214"/>
      <c r="F1165" s="5027"/>
    </row>
    <row r="1166" spans="1:6" ht="14.85" customHeight="1">
      <c r="A1166" s="5197"/>
      <c r="B1166" s="5198"/>
      <c r="C1166" s="5126"/>
      <c r="D1166" s="5213"/>
      <c r="E1166" s="5214"/>
      <c r="F1166" s="5027"/>
    </row>
    <row r="1167" spans="1:6" ht="14.85" customHeight="1">
      <c r="A1167" s="5197"/>
      <c r="B1167" s="5198"/>
      <c r="C1167" s="5126"/>
      <c r="D1167" s="5213"/>
      <c r="E1167" s="5214"/>
      <c r="F1167" s="5027"/>
    </row>
    <row r="1168" spans="1:6" ht="14.85" customHeight="1">
      <c r="A1168" s="5197"/>
      <c r="B1168" s="5198"/>
      <c r="C1168" s="5126"/>
      <c r="D1168" s="5213"/>
      <c r="E1168" s="5214"/>
      <c r="F1168" s="5027"/>
    </row>
    <row r="1169" spans="1:6" ht="14.85" customHeight="1">
      <c r="A1169" s="5197"/>
      <c r="B1169" s="5198"/>
      <c r="C1169" s="5126"/>
      <c r="D1169" s="5213"/>
      <c r="E1169" s="5214"/>
      <c r="F1169" s="5027"/>
    </row>
    <row r="1170" spans="1:6" ht="14.85" customHeight="1">
      <c r="A1170" s="5197"/>
      <c r="B1170" s="5198"/>
      <c r="C1170" s="5126"/>
      <c r="D1170" s="5213"/>
      <c r="E1170" s="5214"/>
      <c r="F1170" s="5027"/>
    </row>
    <row r="1171" spans="1:6" ht="14.85" customHeight="1">
      <c r="A1171" s="5197"/>
      <c r="B1171" s="5198"/>
      <c r="C1171" s="5126"/>
      <c r="D1171" s="5213"/>
      <c r="E1171" s="5214"/>
      <c r="F1171" s="5027"/>
    </row>
    <row r="1172" spans="1:6" ht="14.85" customHeight="1">
      <c r="A1172" s="5197"/>
      <c r="B1172" s="5198"/>
      <c r="C1172" s="5126"/>
      <c r="D1172" s="5213"/>
      <c r="E1172" s="5214"/>
      <c r="F1172" s="5027"/>
    </row>
    <row r="1173" spans="1:6" ht="14.85" customHeight="1">
      <c r="A1173" s="5197"/>
      <c r="B1173" s="5198"/>
      <c r="C1173" s="5126"/>
      <c r="D1173" s="5213"/>
      <c r="E1173" s="5214"/>
      <c r="F1173" s="5027"/>
    </row>
    <row r="1174" spans="1:6" ht="14.85" customHeight="1">
      <c r="A1174" s="5197"/>
      <c r="B1174" s="5198"/>
      <c r="C1174" s="5126"/>
      <c r="D1174" s="5213"/>
      <c r="E1174" s="5214"/>
      <c r="F1174" s="5027"/>
    </row>
    <row r="1175" spans="1:6" ht="14.85" customHeight="1">
      <c r="A1175" s="5197"/>
      <c r="B1175" s="5198"/>
      <c r="C1175" s="5126"/>
      <c r="D1175" s="5213"/>
      <c r="E1175" s="5214"/>
      <c r="F1175" s="5027"/>
    </row>
    <row r="1176" spans="1:6" ht="14.85" customHeight="1">
      <c r="A1176" s="5197"/>
      <c r="B1176" s="5198"/>
      <c r="C1176" s="5126"/>
      <c r="D1176" s="5213"/>
      <c r="E1176" s="5214"/>
      <c r="F1176" s="5027"/>
    </row>
    <row r="1177" spans="1:6" ht="14.85" customHeight="1">
      <c r="A1177" s="5197"/>
      <c r="B1177" s="5198"/>
      <c r="C1177" s="5126"/>
      <c r="D1177" s="5213"/>
      <c r="E1177" s="5214"/>
      <c r="F1177" s="5027"/>
    </row>
    <row r="1178" spans="1:6" ht="14.85" customHeight="1">
      <c r="A1178" s="5197"/>
      <c r="B1178" s="5198"/>
      <c r="C1178" s="5126"/>
      <c r="D1178" s="5213"/>
      <c r="E1178" s="5214"/>
      <c r="F1178" s="5027"/>
    </row>
    <row r="1179" spans="1:6" ht="14.85" customHeight="1">
      <c r="A1179" s="5197"/>
      <c r="B1179" s="5198"/>
      <c r="C1179" s="5126"/>
      <c r="D1179" s="5213"/>
      <c r="E1179" s="5214"/>
      <c r="F1179" s="5027"/>
    </row>
    <row r="1180" spans="1:6" ht="14.85" customHeight="1">
      <c r="A1180" s="5197"/>
      <c r="B1180" s="5198"/>
      <c r="C1180" s="5126"/>
      <c r="D1180" s="5213"/>
      <c r="E1180" s="5214"/>
      <c r="F1180" s="5027"/>
    </row>
    <row r="1181" spans="1:6" ht="14.85" customHeight="1">
      <c r="A1181" s="5197"/>
      <c r="B1181" s="5198"/>
      <c r="C1181" s="5126"/>
      <c r="D1181" s="5213"/>
      <c r="E1181" s="5214"/>
      <c r="F1181" s="5027"/>
    </row>
    <row r="1182" spans="1:6" ht="14.85" customHeight="1">
      <c r="A1182" s="5197"/>
      <c r="B1182" s="5198"/>
      <c r="C1182" s="5126"/>
      <c r="D1182" s="5213"/>
      <c r="E1182" s="5214"/>
      <c r="F1182" s="5027"/>
    </row>
    <row r="1183" spans="1:6" ht="14.85" customHeight="1">
      <c r="A1183" s="5197"/>
      <c r="B1183" s="5198"/>
      <c r="C1183" s="5126"/>
      <c r="D1183" s="5213"/>
      <c r="E1183" s="5214"/>
      <c r="F1183" s="5027"/>
    </row>
    <row r="1184" spans="1:6" ht="14.85" customHeight="1">
      <c r="A1184" s="5197"/>
      <c r="B1184" s="5198"/>
      <c r="C1184" s="5126"/>
      <c r="D1184" s="5213"/>
      <c r="E1184" s="5214"/>
      <c r="F1184" s="5027"/>
    </row>
    <row r="1185" spans="1:6" ht="14.85" customHeight="1">
      <c r="A1185" s="5197"/>
      <c r="B1185" s="5198"/>
      <c r="C1185" s="5126"/>
      <c r="D1185" s="5213"/>
      <c r="E1185" s="5214"/>
      <c r="F1185" s="5027"/>
    </row>
    <row r="1186" spans="1:6" ht="14.85" customHeight="1">
      <c r="A1186" s="5197"/>
      <c r="B1186" s="5198"/>
      <c r="C1186" s="5126"/>
      <c r="D1186" s="5213"/>
      <c r="E1186" s="5214"/>
      <c r="F1186" s="5027"/>
    </row>
    <row r="1187" spans="1:6" ht="14.85" customHeight="1">
      <c r="A1187" s="5197"/>
      <c r="B1187" s="5198"/>
      <c r="C1187" s="5126"/>
      <c r="D1187" s="5213"/>
      <c r="E1187" s="5214"/>
      <c r="F1187" s="5027"/>
    </row>
    <row r="1188" spans="1:6" ht="14.85" customHeight="1">
      <c r="A1188" s="5197"/>
      <c r="B1188" s="5198"/>
      <c r="C1188" s="5126"/>
      <c r="D1188" s="5213"/>
      <c r="E1188" s="5214"/>
      <c r="F1188" s="5027"/>
    </row>
    <row r="1189" spans="1:6" ht="14.85" customHeight="1">
      <c r="A1189" s="5197"/>
      <c r="B1189" s="5198"/>
      <c r="C1189" s="5126"/>
      <c r="D1189" s="5213"/>
      <c r="E1189" s="5214"/>
      <c r="F1189" s="5027"/>
    </row>
    <row r="1190" spans="1:6" ht="14.85" customHeight="1">
      <c r="A1190" s="5197"/>
      <c r="B1190" s="5198"/>
      <c r="C1190" s="5126"/>
      <c r="D1190" s="5213"/>
      <c r="E1190" s="5214"/>
      <c r="F1190" s="5027"/>
    </row>
    <row r="1191" spans="1:6" ht="14.85" customHeight="1">
      <c r="A1191" s="5197"/>
      <c r="B1191" s="5198"/>
      <c r="C1191" s="5126"/>
      <c r="D1191" s="5213"/>
      <c r="E1191" s="5214"/>
      <c r="F1191" s="5027"/>
    </row>
    <row r="1192" spans="1:6" ht="14.85" customHeight="1">
      <c r="A1192" s="5197"/>
      <c r="B1192" s="5198"/>
      <c r="C1192" s="5126"/>
      <c r="D1192" s="5213"/>
      <c r="E1192" s="5214"/>
      <c r="F1192" s="5027"/>
    </row>
    <row r="1193" spans="1:6" ht="14.85" customHeight="1">
      <c r="A1193" s="5197"/>
      <c r="B1193" s="5198"/>
      <c r="C1193" s="5126"/>
      <c r="D1193" s="5213"/>
      <c r="E1193" s="5214"/>
      <c r="F1193" s="5027"/>
    </row>
    <row r="1194" spans="1:6" ht="14.85" customHeight="1">
      <c r="A1194" s="5197"/>
      <c r="B1194" s="5198"/>
      <c r="C1194" s="5126"/>
      <c r="D1194" s="5213"/>
      <c r="E1194" s="5214"/>
      <c r="F1194" s="5027"/>
    </row>
    <row r="1195" spans="1:6" ht="14.85" customHeight="1">
      <c r="A1195" s="5197"/>
      <c r="B1195" s="5198"/>
      <c r="C1195" s="5126"/>
      <c r="D1195" s="5213"/>
      <c r="E1195" s="5214"/>
      <c r="F1195" s="5027"/>
    </row>
    <row r="1196" spans="1:6" ht="14.85" customHeight="1">
      <c r="A1196" s="5197"/>
      <c r="B1196" s="5198"/>
      <c r="C1196" s="5126"/>
      <c r="D1196" s="5213"/>
      <c r="E1196" s="5214"/>
      <c r="F1196" s="5027"/>
    </row>
    <row r="1197" spans="1:6" ht="14.85" customHeight="1">
      <c r="A1197" s="5197"/>
      <c r="B1197" s="5198"/>
      <c r="C1197" s="5126"/>
      <c r="D1197" s="5213"/>
      <c r="E1197" s="5214"/>
      <c r="F1197" s="5027"/>
    </row>
    <row r="1198" spans="1:6" ht="14.85" customHeight="1">
      <c r="A1198" s="5197"/>
      <c r="B1198" s="5198"/>
      <c r="C1198" s="5126"/>
      <c r="D1198" s="5213"/>
      <c r="E1198" s="5214"/>
      <c r="F1198" s="5027"/>
    </row>
    <row r="1199" spans="1:6" ht="14.85" customHeight="1">
      <c r="A1199" s="5197"/>
      <c r="B1199" s="5198"/>
      <c r="C1199" s="5126"/>
      <c r="D1199" s="5213"/>
      <c r="E1199" s="5214"/>
      <c r="F1199" s="5027"/>
    </row>
    <row r="1200" spans="1:6" ht="14.85" customHeight="1">
      <c r="A1200" s="5197"/>
      <c r="B1200" s="5198"/>
      <c r="C1200" s="5126"/>
      <c r="D1200" s="5213"/>
      <c r="E1200" s="5214"/>
      <c r="F1200" s="5027"/>
    </row>
    <row r="1201" spans="1:6" ht="14.85" customHeight="1">
      <c r="A1201" s="5197"/>
      <c r="B1201" s="5198"/>
      <c r="C1201" s="5126"/>
      <c r="D1201" s="5213"/>
      <c r="E1201" s="5214"/>
      <c r="F1201" s="5027"/>
    </row>
    <row r="1202" spans="1:6" ht="14.85" customHeight="1">
      <c r="A1202" s="5197"/>
      <c r="B1202" s="5198"/>
      <c r="C1202" s="5126"/>
      <c r="D1202" s="5213"/>
      <c r="E1202" s="5214"/>
      <c r="F1202" s="5027"/>
    </row>
    <row r="1203" spans="1:6" ht="14.85" customHeight="1">
      <c r="A1203" s="5197"/>
      <c r="B1203" s="5198"/>
      <c r="C1203" s="5126"/>
      <c r="D1203" s="5213"/>
      <c r="E1203" s="5214"/>
      <c r="F1203" s="5027"/>
    </row>
    <row r="1204" spans="1:6" ht="14.85" customHeight="1">
      <c r="A1204" s="5197"/>
      <c r="B1204" s="5198"/>
      <c r="C1204" s="5126"/>
      <c r="D1204" s="5213"/>
      <c r="E1204" s="5214"/>
      <c r="F1204" s="5027"/>
    </row>
    <row r="1205" spans="1:6" ht="14.85" customHeight="1">
      <c r="A1205" s="5197"/>
      <c r="B1205" s="5198"/>
      <c r="C1205" s="5126"/>
      <c r="D1205" s="5213"/>
      <c r="E1205" s="5214"/>
      <c r="F1205" s="5027"/>
    </row>
    <row r="1206" spans="1:6" ht="14.85" customHeight="1">
      <c r="A1206" s="5197"/>
      <c r="B1206" s="5198"/>
      <c r="C1206" s="5126"/>
      <c r="D1206" s="5213"/>
      <c r="E1206" s="5214"/>
      <c r="F1206" s="5027"/>
    </row>
    <row r="1207" spans="1:6" ht="14.85" customHeight="1">
      <c r="A1207" s="5197"/>
      <c r="B1207" s="5198"/>
      <c r="C1207" s="5126"/>
      <c r="D1207" s="5213"/>
      <c r="E1207" s="5214"/>
      <c r="F1207" s="5027"/>
    </row>
    <row r="1208" spans="1:6" ht="14.85" customHeight="1">
      <c r="A1208" s="5197"/>
      <c r="B1208" s="5198"/>
      <c r="C1208" s="5126"/>
      <c r="D1208" s="5213"/>
      <c r="E1208" s="5214"/>
      <c r="F1208" s="5027"/>
    </row>
    <row r="1209" spans="1:6" ht="14.85" customHeight="1">
      <c r="A1209" s="5197"/>
      <c r="B1209" s="5198"/>
      <c r="C1209" s="5126"/>
      <c r="D1209" s="5213"/>
      <c r="E1209" s="5214"/>
      <c r="F1209" s="5027"/>
    </row>
    <row r="1210" spans="1:6" ht="14.85" customHeight="1">
      <c r="A1210" s="5197"/>
      <c r="B1210" s="5198"/>
      <c r="C1210" s="5126"/>
      <c r="D1210" s="5213"/>
      <c r="E1210" s="5214"/>
      <c r="F1210" s="5027"/>
    </row>
    <row r="1211" spans="1:6" ht="14.85" customHeight="1">
      <c r="A1211" s="5197"/>
      <c r="B1211" s="5198"/>
      <c r="C1211" s="5126"/>
      <c r="D1211" s="5213"/>
      <c r="E1211" s="5214"/>
      <c r="F1211" s="5027"/>
    </row>
    <row r="1212" spans="1:6" ht="14.85" customHeight="1">
      <c r="A1212" s="5197"/>
      <c r="B1212" s="5198"/>
      <c r="C1212" s="5126"/>
      <c r="D1212" s="5213"/>
      <c r="E1212" s="5214"/>
      <c r="F1212" s="5027"/>
    </row>
    <row r="1213" spans="1:6" ht="14.85" customHeight="1">
      <c r="A1213" s="5197"/>
      <c r="B1213" s="5198"/>
      <c r="C1213" s="5126"/>
      <c r="D1213" s="5213"/>
      <c r="E1213" s="5214"/>
      <c r="F1213" s="5027"/>
    </row>
    <row r="1214" spans="1:6" ht="14.85" customHeight="1">
      <c r="A1214" s="5197"/>
      <c r="B1214" s="5198"/>
      <c r="C1214" s="5126"/>
      <c r="D1214" s="5213"/>
      <c r="E1214" s="5214"/>
      <c r="F1214" s="5027"/>
    </row>
    <row r="1215" spans="1:6" ht="14.85" customHeight="1">
      <c r="A1215" s="5197"/>
      <c r="B1215" s="5198"/>
      <c r="C1215" s="5126"/>
      <c r="D1215" s="5213"/>
      <c r="E1215" s="5214"/>
      <c r="F1215" s="5027"/>
    </row>
    <row r="1216" spans="1:6" ht="14.85" customHeight="1">
      <c r="A1216" s="5197"/>
      <c r="B1216" s="5198"/>
      <c r="C1216" s="5126"/>
      <c r="D1216" s="5213"/>
      <c r="E1216" s="5214"/>
      <c r="F1216" s="5027"/>
    </row>
    <row r="1217" spans="1:6" ht="14.85" customHeight="1">
      <c r="A1217" s="5197"/>
      <c r="B1217" s="5198"/>
      <c r="C1217" s="5126"/>
      <c r="D1217" s="5213"/>
      <c r="E1217" s="5214"/>
      <c r="F1217" s="5027"/>
    </row>
    <row r="1218" spans="1:6" ht="14.85" customHeight="1">
      <c r="A1218" s="5197"/>
      <c r="B1218" s="5198"/>
      <c r="C1218" s="5126"/>
      <c r="D1218" s="5213"/>
      <c r="E1218" s="5214"/>
      <c r="F1218" s="5027"/>
    </row>
    <row r="1219" spans="1:6" ht="14.85" customHeight="1">
      <c r="A1219" s="5197"/>
      <c r="B1219" s="5198"/>
      <c r="C1219" s="5126"/>
      <c r="D1219" s="5213"/>
      <c r="E1219" s="5214"/>
      <c r="F1219" s="5027"/>
    </row>
    <row r="1220" spans="1:6" ht="14.85" customHeight="1">
      <c r="A1220" s="5197"/>
      <c r="B1220" s="5198"/>
      <c r="C1220" s="5126"/>
      <c r="D1220" s="5213"/>
      <c r="E1220" s="5214"/>
      <c r="F1220" s="5027"/>
    </row>
    <row r="1221" spans="1:6" ht="14.85" customHeight="1">
      <c r="A1221" s="5197"/>
      <c r="B1221" s="5198"/>
      <c r="C1221" s="5126"/>
      <c r="D1221" s="5213"/>
      <c r="E1221" s="5214"/>
      <c r="F1221" s="5027"/>
    </row>
    <row r="1222" spans="1:6" ht="14.85" customHeight="1">
      <c r="A1222" s="5197"/>
      <c r="B1222" s="5198"/>
      <c r="C1222" s="5126"/>
      <c r="D1222" s="5213"/>
      <c r="E1222" s="5214"/>
      <c r="F1222" s="5027"/>
    </row>
    <row r="1223" spans="1:6" ht="14.85" customHeight="1">
      <c r="A1223" s="5197"/>
      <c r="B1223" s="5198"/>
      <c r="C1223" s="5126"/>
      <c r="D1223" s="5213"/>
      <c r="E1223" s="5214"/>
      <c r="F1223" s="5027"/>
    </row>
    <row r="1224" spans="1:6" ht="14.85" customHeight="1">
      <c r="A1224" s="5197"/>
      <c r="B1224" s="5198"/>
      <c r="C1224" s="5126"/>
      <c r="D1224" s="5213"/>
      <c r="E1224" s="5214"/>
      <c r="F1224" s="5027"/>
    </row>
    <row r="1225" spans="1:6" ht="14.85" customHeight="1">
      <c r="A1225" s="5197"/>
      <c r="B1225" s="5198"/>
      <c r="C1225" s="5126"/>
      <c r="D1225" s="5213"/>
      <c r="E1225" s="5214"/>
      <c r="F1225" s="5027"/>
    </row>
    <row r="1226" spans="1:6" ht="14.85" customHeight="1">
      <c r="A1226" s="5197"/>
      <c r="B1226" s="5198"/>
      <c r="C1226" s="5126"/>
      <c r="D1226" s="5213"/>
      <c r="E1226" s="5214"/>
      <c r="F1226" s="5027"/>
    </row>
    <row r="1227" spans="1:6" ht="14.85" customHeight="1">
      <c r="A1227" s="5197"/>
      <c r="B1227" s="5198"/>
      <c r="C1227" s="5126"/>
      <c r="D1227" s="5213"/>
      <c r="E1227" s="5214"/>
      <c r="F1227" s="5027"/>
    </row>
    <row r="1228" spans="1:6" ht="14.85" customHeight="1">
      <c r="A1228" s="5197"/>
      <c r="B1228" s="5198"/>
      <c r="C1228" s="5126"/>
      <c r="D1228" s="5213"/>
      <c r="E1228" s="5214"/>
      <c r="F1228" s="5027"/>
    </row>
    <row r="1229" spans="1:6" ht="14.85" customHeight="1">
      <c r="A1229" s="5197"/>
      <c r="B1229" s="5198"/>
      <c r="C1229" s="5126"/>
      <c r="D1229" s="5213"/>
      <c r="E1229" s="5214"/>
      <c r="F1229" s="5027"/>
    </row>
    <row r="1230" spans="1:6" ht="14.85" customHeight="1">
      <c r="A1230" s="5197"/>
      <c r="B1230" s="5198"/>
      <c r="C1230" s="5126"/>
      <c r="D1230" s="5213"/>
      <c r="E1230" s="5214"/>
      <c r="F1230" s="5027"/>
    </row>
    <row r="1231" spans="1:6" ht="14.85" customHeight="1">
      <c r="A1231" s="5197"/>
      <c r="B1231" s="5198"/>
      <c r="C1231" s="5126"/>
      <c r="D1231" s="5213"/>
      <c r="E1231" s="5214"/>
      <c r="F1231" s="5027"/>
    </row>
    <row r="1232" spans="1:6" ht="14.85" customHeight="1">
      <c r="A1232" s="5197"/>
      <c r="B1232" s="5198"/>
      <c r="C1232" s="5126"/>
      <c r="D1232" s="5213"/>
      <c r="E1232" s="5214"/>
      <c r="F1232" s="5027"/>
    </row>
    <row r="1233" spans="1:6" ht="14.85" customHeight="1">
      <c r="A1233" s="5197"/>
      <c r="B1233" s="5198"/>
      <c r="C1233" s="5126"/>
      <c r="D1233" s="5213"/>
      <c r="E1233" s="5214"/>
      <c r="F1233" s="5027"/>
    </row>
    <row r="1234" spans="1:6" ht="14.85" customHeight="1">
      <c r="A1234" s="5197"/>
      <c r="B1234" s="5198"/>
      <c r="C1234" s="5126"/>
      <c r="D1234" s="5213"/>
      <c r="E1234" s="5214"/>
      <c r="F1234" s="5027"/>
    </row>
    <row r="1235" spans="1:6" ht="14.85" customHeight="1">
      <c r="A1235" s="5197"/>
      <c r="B1235" s="5198"/>
      <c r="C1235" s="5126"/>
      <c r="D1235" s="5213"/>
      <c r="E1235" s="5214"/>
      <c r="F1235" s="5027"/>
    </row>
    <row r="1236" spans="1:6" ht="14.85" customHeight="1">
      <c r="A1236" s="5197"/>
      <c r="B1236" s="5198"/>
      <c r="C1236" s="5126"/>
      <c r="D1236" s="5213"/>
      <c r="E1236" s="5214"/>
      <c r="F1236" s="5027"/>
    </row>
    <row r="1237" spans="1:6" ht="14.85" customHeight="1">
      <c r="A1237" s="5197"/>
      <c r="B1237" s="5198"/>
      <c r="C1237" s="5126"/>
      <c r="D1237" s="5213"/>
      <c r="E1237" s="5214"/>
      <c r="F1237" s="5027"/>
    </row>
    <row r="1238" spans="1:6" ht="14.85" customHeight="1">
      <c r="A1238" s="5197"/>
      <c r="B1238" s="5198"/>
      <c r="C1238" s="5126"/>
      <c r="D1238" s="5213"/>
      <c r="E1238" s="5214"/>
      <c r="F1238" s="5027"/>
    </row>
    <row r="1239" spans="1:6" ht="14.85" customHeight="1">
      <c r="A1239" s="5197"/>
      <c r="B1239" s="5198"/>
      <c r="C1239" s="5126"/>
      <c r="D1239" s="5213"/>
      <c r="E1239" s="5214"/>
      <c r="F1239" s="5027"/>
    </row>
    <row r="1240" spans="1:6" ht="14.85" customHeight="1">
      <c r="A1240" s="5197"/>
      <c r="B1240" s="5198"/>
      <c r="C1240" s="5126"/>
      <c r="D1240" s="5213"/>
      <c r="E1240" s="5214"/>
      <c r="F1240" s="5027"/>
    </row>
    <row r="1241" spans="1:6" ht="14.85" customHeight="1">
      <c r="A1241" s="5197"/>
      <c r="B1241" s="5198"/>
      <c r="C1241" s="5126"/>
      <c r="D1241" s="5213"/>
      <c r="E1241" s="5214"/>
      <c r="F1241" s="5027"/>
    </row>
    <row r="1242" spans="1:6" ht="14.85" customHeight="1">
      <c r="A1242" s="5197"/>
      <c r="B1242" s="5198"/>
      <c r="C1242" s="5126"/>
      <c r="D1242" s="5126" t="s">
        <v>1797</v>
      </c>
      <c r="E1242" s="5214"/>
      <c r="F1242" s="5027"/>
    </row>
    <row r="1243" spans="1:6" ht="14.85" customHeight="1">
      <c r="A1243" s="5200"/>
      <c r="B1243" s="5207"/>
      <c r="D1243" s="5215"/>
      <c r="E1243" s="5216"/>
      <c r="F1243" s="5027"/>
    </row>
    <row r="1244" spans="1:6" ht="14.85" customHeight="1">
      <c r="A1244" s="5200"/>
      <c r="B1244" s="5207"/>
      <c r="D1244" s="5215"/>
      <c r="E1244" s="5216"/>
      <c r="F1244" s="5027"/>
    </row>
    <row r="1245" spans="1:6" ht="14.85" customHeight="1">
      <c r="A1245" s="5200"/>
      <c r="B1245" s="5207"/>
      <c r="D1245" s="5215"/>
      <c r="E1245" s="5216"/>
      <c r="F1245" s="5027"/>
    </row>
    <row r="1246" spans="1:6" ht="14.85" customHeight="1">
      <c r="A1246" s="5200"/>
      <c r="B1246" s="5207"/>
      <c r="D1246" s="5215"/>
      <c r="E1246" s="5216"/>
      <c r="F1246" s="5027"/>
    </row>
    <row r="1247" spans="1:6" ht="14.85" customHeight="1">
      <c r="A1247" s="5200"/>
      <c r="B1247" s="5207"/>
      <c r="D1247" s="5215"/>
      <c r="E1247" s="5216"/>
      <c r="F1247" s="5027"/>
    </row>
    <row r="1248" spans="1:6" ht="14.85" customHeight="1">
      <c r="A1248" s="5200"/>
      <c r="B1248" s="5207"/>
      <c r="D1248" s="5215"/>
      <c r="E1248" s="5216"/>
      <c r="F1248" s="5027"/>
    </row>
    <row r="1249" spans="1:6" ht="14.85" customHeight="1">
      <c r="A1249" s="5200"/>
      <c r="B1249" s="5207"/>
      <c r="D1249" s="5215"/>
      <c r="E1249" s="5216"/>
      <c r="F1249" s="5027"/>
    </row>
    <row r="1250" spans="1:6" ht="14.85" customHeight="1">
      <c r="A1250" s="5200"/>
      <c r="B1250" s="5207"/>
      <c r="D1250" s="5215"/>
      <c r="E1250" s="5216"/>
      <c r="F1250" s="5027"/>
    </row>
    <row r="1251" spans="1:6" ht="14.85" customHeight="1">
      <c r="A1251" s="5200"/>
      <c r="B1251" s="5207"/>
      <c r="D1251" s="5215"/>
      <c r="E1251" s="5216"/>
      <c r="F1251" s="5027"/>
    </row>
    <row r="1252" spans="1:6" ht="14.85" customHeight="1">
      <c r="A1252" s="5200"/>
      <c r="B1252" s="5207"/>
      <c r="D1252" s="5215"/>
      <c r="E1252" s="5216"/>
      <c r="F1252" s="5027"/>
    </row>
    <row r="1253" spans="1:6" ht="14.85" customHeight="1">
      <c r="A1253" s="5200"/>
      <c r="B1253" s="5207"/>
      <c r="D1253" s="5215"/>
      <c r="E1253" s="5216"/>
      <c r="F1253" s="5027"/>
    </row>
    <row r="1254" spans="1:6" ht="14.85" customHeight="1">
      <c r="A1254" s="5200"/>
      <c r="B1254" s="5207"/>
      <c r="D1254" s="5215"/>
      <c r="E1254" s="5216"/>
      <c r="F1254" s="5027"/>
    </row>
    <row r="1255" spans="1:6" ht="14.85" customHeight="1">
      <c r="A1255" s="5200"/>
      <c r="B1255" s="5207"/>
      <c r="D1255" s="5215"/>
      <c r="E1255" s="5216"/>
      <c r="F1255" s="5027"/>
    </row>
    <row r="1256" spans="1:6" ht="14.85" customHeight="1">
      <c r="A1256" s="5200"/>
      <c r="B1256" s="5207"/>
      <c r="D1256" s="5215"/>
      <c r="E1256" s="5216"/>
      <c r="F1256" s="5027"/>
    </row>
    <row r="1257" spans="1:6" ht="14.85" customHeight="1">
      <c r="A1257" s="5200"/>
      <c r="B1257" s="5207"/>
      <c r="D1257" s="5215"/>
      <c r="E1257" s="5216"/>
      <c r="F1257" s="5027"/>
    </row>
    <row r="1258" spans="1:6" ht="14.85" customHeight="1">
      <c r="A1258" s="5200"/>
      <c r="B1258" s="5207"/>
      <c r="D1258" s="5215"/>
      <c r="E1258" s="5216"/>
      <c r="F1258" s="5027"/>
    </row>
    <row r="1259" spans="1:6" ht="14.85" customHeight="1">
      <c r="A1259" s="5200"/>
      <c r="B1259" s="5207"/>
      <c r="D1259" s="5215"/>
      <c r="E1259" s="5216"/>
      <c r="F1259" s="5027"/>
    </row>
    <row r="1260" spans="1:6" ht="14.85" customHeight="1">
      <c r="A1260" s="5200"/>
      <c r="B1260" s="5207"/>
      <c r="D1260" s="5215"/>
      <c r="E1260" s="5216"/>
      <c r="F1260" s="5027"/>
    </row>
    <row r="1261" spans="1:6" ht="14.85" customHeight="1">
      <c r="A1261" s="5200"/>
      <c r="B1261" s="5207"/>
      <c r="D1261" s="5215"/>
      <c r="E1261" s="5216"/>
      <c r="F1261" s="5027"/>
    </row>
    <row r="1262" spans="1:6" ht="14.85" customHeight="1">
      <c r="A1262" s="5200"/>
      <c r="B1262" s="5207"/>
      <c r="D1262" s="5215"/>
      <c r="E1262" s="5216"/>
      <c r="F1262" s="5027"/>
    </row>
    <row r="1263" spans="1:6" ht="14.85" customHeight="1">
      <c r="A1263" s="5200"/>
      <c r="B1263" s="5207"/>
      <c r="D1263" s="5215"/>
      <c r="E1263" s="5216"/>
      <c r="F1263" s="5027"/>
    </row>
    <row r="1264" spans="1:6" ht="14.85" customHeight="1">
      <c r="A1264" s="5200"/>
      <c r="B1264" s="5207"/>
      <c r="D1264" s="5215"/>
      <c r="E1264" s="5216"/>
      <c r="F1264" s="5027"/>
    </row>
    <row r="1265" spans="1:6" ht="14.85" customHeight="1">
      <c r="A1265" s="5200"/>
      <c r="B1265" s="5207"/>
      <c r="D1265" s="5215"/>
      <c r="E1265" s="5216"/>
      <c r="F1265" s="5027"/>
    </row>
    <row r="1266" spans="1:6" ht="14.85" customHeight="1">
      <c r="A1266" s="5200"/>
      <c r="B1266" s="5207"/>
      <c r="D1266" s="5215"/>
      <c r="E1266" s="5216"/>
      <c r="F1266" s="5027"/>
    </row>
    <row r="1267" spans="1:6" ht="14.85" customHeight="1">
      <c r="A1267" s="5200"/>
      <c r="B1267" s="5207"/>
      <c r="D1267" s="5215"/>
      <c r="E1267" s="5216"/>
      <c r="F1267" s="5027"/>
    </row>
    <row r="1268" spans="1:6" ht="14.85" customHeight="1">
      <c r="A1268" s="5200"/>
      <c r="B1268" s="5207"/>
      <c r="D1268" s="5215"/>
      <c r="E1268" s="5216"/>
      <c r="F1268" s="5027"/>
    </row>
    <row r="1269" spans="1:6" ht="14.85" customHeight="1">
      <c r="A1269" s="5200"/>
      <c r="B1269" s="5207"/>
      <c r="D1269" s="5215"/>
      <c r="E1269" s="5216"/>
      <c r="F1269" s="5027"/>
    </row>
    <row r="1270" spans="1:6" ht="14.85" customHeight="1">
      <c r="A1270" s="5200"/>
      <c r="B1270" s="5207"/>
      <c r="D1270" s="5215"/>
      <c r="E1270" s="5216"/>
      <c r="F1270" s="5027"/>
    </row>
    <row r="1271" spans="1:6" ht="14.85" customHeight="1">
      <c r="A1271" s="5200"/>
      <c r="B1271" s="5207"/>
      <c r="D1271" s="5215"/>
      <c r="E1271" s="5216"/>
      <c r="F1271" s="5027"/>
    </row>
    <row r="1272" spans="1:6" ht="14.85" customHeight="1">
      <c r="A1272" s="5200"/>
      <c r="B1272" s="5207"/>
      <c r="D1272" s="5215"/>
      <c r="E1272" s="5216"/>
      <c r="F1272" s="5027"/>
    </row>
    <row r="1273" spans="1:6" ht="14.85" customHeight="1">
      <c r="A1273" s="5200"/>
      <c r="B1273" s="5207"/>
      <c r="D1273" s="5215"/>
      <c r="E1273" s="5216"/>
      <c r="F1273" s="5027"/>
    </row>
    <row r="1274" spans="1:6" ht="14.85" customHeight="1">
      <c r="A1274" s="5200"/>
      <c r="B1274" s="5207"/>
      <c r="D1274" s="5215"/>
      <c r="E1274" s="5216"/>
      <c r="F1274" s="5027"/>
    </row>
    <row r="1275" spans="1:6" ht="14.85" customHeight="1">
      <c r="A1275" s="5200"/>
      <c r="B1275" s="5207"/>
      <c r="D1275" s="5215"/>
      <c r="E1275" s="5216"/>
      <c r="F1275" s="5027"/>
    </row>
    <row r="1276" spans="1:6" ht="14.85" customHeight="1">
      <c r="A1276" s="5200"/>
      <c r="B1276" s="5207"/>
      <c r="D1276" s="5215"/>
      <c r="E1276" s="5216"/>
      <c r="F1276" s="5027"/>
    </row>
    <row r="1277" spans="1:6" ht="14.85" customHeight="1">
      <c r="A1277" s="5200"/>
      <c r="B1277" s="5207"/>
      <c r="D1277" s="5215"/>
      <c r="E1277" s="5216"/>
      <c r="F1277" s="5027"/>
    </row>
    <row r="1278" spans="1:6" ht="14.85" customHeight="1">
      <c r="A1278" s="5200"/>
      <c r="B1278" s="5207"/>
      <c r="D1278" s="5215"/>
      <c r="E1278" s="5216"/>
      <c r="F1278" s="5027"/>
    </row>
    <row r="1279" spans="1:6" ht="14.85" customHeight="1">
      <c r="A1279" s="5200"/>
      <c r="B1279" s="5207"/>
      <c r="D1279" s="5215"/>
      <c r="E1279" s="5216"/>
      <c r="F1279" s="5027"/>
    </row>
    <row r="1280" spans="1:6" ht="14.85" customHeight="1">
      <c r="A1280" s="5200"/>
      <c r="B1280" s="5207"/>
      <c r="D1280" s="5215"/>
      <c r="E1280" s="5216"/>
      <c r="F1280" s="5027"/>
    </row>
    <row r="1281" spans="1:6" ht="14.85" customHeight="1">
      <c r="A1281" s="5200"/>
      <c r="B1281" s="5207"/>
      <c r="D1281" s="5215"/>
      <c r="E1281" s="5216"/>
      <c r="F1281" s="5027"/>
    </row>
    <row r="1282" spans="1:6" ht="14.85" customHeight="1">
      <c r="A1282" s="5200"/>
      <c r="B1282" s="5207"/>
      <c r="D1282" s="5215"/>
      <c r="E1282" s="5216"/>
      <c r="F1282" s="5027"/>
    </row>
    <row r="1283" spans="1:6" ht="14.85" customHeight="1">
      <c r="A1283" s="5200"/>
      <c r="B1283" s="5207"/>
      <c r="D1283" s="5215"/>
      <c r="E1283" s="5216"/>
      <c r="F1283" s="5027"/>
    </row>
    <row r="1284" spans="1:6" ht="14.85" customHeight="1">
      <c r="A1284" s="5200"/>
      <c r="B1284" s="5207"/>
      <c r="D1284" s="5215"/>
      <c r="E1284" s="5216"/>
      <c r="F1284" s="5027"/>
    </row>
    <row r="1285" spans="1:6" ht="14.85" customHeight="1">
      <c r="A1285" s="5200"/>
      <c r="B1285" s="5207"/>
      <c r="D1285" s="5215"/>
      <c r="E1285" s="5216"/>
      <c r="F1285" s="5027"/>
    </row>
    <row r="1286" spans="1:6" ht="14.85" customHeight="1">
      <c r="A1286" s="5200"/>
      <c r="B1286" s="5207"/>
      <c r="D1286" s="5215"/>
      <c r="E1286" s="5216"/>
      <c r="F1286" s="5027"/>
    </row>
    <row r="1287" spans="1:6" ht="14.85" customHeight="1">
      <c r="A1287" s="5200"/>
      <c r="B1287" s="5207"/>
      <c r="D1287" s="5215"/>
      <c r="E1287" s="5216"/>
      <c r="F1287" s="5027"/>
    </row>
    <row r="1288" spans="1:6" ht="14.85" customHeight="1">
      <c r="A1288" s="5200"/>
      <c r="B1288" s="5207"/>
      <c r="D1288" s="5215"/>
      <c r="E1288" s="5216"/>
      <c r="F1288" s="5027"/>
    </row>
    <row r="1289" spans="1:6" ht="14.85" customHeight="1">
      <c r="A1289" s="5200"/>
      <c r="B1289" s="5207"/>
      <c r="D1289" s="5215"/>
      <c r="E1289" s="5216"/>
      <c r="F1289" s="5027"/>
    </row>
    <row r="1290" spans="1:6" ht="14.85" customHeight="1">
      <c r="A1290" s="5200"/>
      <c r="B1290" s="5207"/>
      <c r="D1290" s="5215"/>
      <c r="E1290" s="5216"/>
      <c r="F1290" s="5027"/>
    </row>
    <row r="1291" spans="1:6" ht="14.85" customHeight="1">
      <c r="A1291" s="5200"/>
      <c r="B1291" s="5207"/>
      <c r="D1291" s="5215"/>
      <c r="E1291" s="5216"/>
      <c r="F1291" s="5027"/>
    </row>
    <row r="1292" spans="1:6" ht="14.85" customHeight="1">
      <c r="A1292" s="5200"/>
      <c r="B1292" s="5207"/>
      <c r="D1292" s="5215"/>
      <c r="E1292" s="5216"/>
      <c r="F1292" s="5027"/>
    </row>
    <row r="1293" spans="1:6" ht="14.85" customHeight="1">
      <c r="A1293" s="5200"/>
      <c r="B1293" s="5207"/>
      <c r="D1293" s="5215"/>
      <c r="E1293" s="5216"/>
      <c r="F1293" s="5027"/>
    </row>
    <row r="1294" spans="1:6" ht="14.85" customHeight="1">
      <c r="A1294" s="5200"/>
      <c r="B1294" s="5207"/>
      <c r="D1294" s="5215"/>
      <c r="E1294" s="5216"/>
      <c r="F1294" s="5027"/>
    </row>
    <row r="1295" spans="1:6" ht="14.85" customHeight="1">
      <c r="A1295" s="5200"/>
      <c r="B1295" s="5207"/>
      <c r="D1295" s="5215"/>
      <c r="E1295" s="5216"/>
      <c r="F1295" s="5027"/>
    </row>
    <row r="1296" spans="1:6" ht="14.85" customHeight="1">
      <c r="A1296" s="5200"/>
      <c r="B1296" s="5207"/>
      <c r="D1296" s="5215"/>
      <c r="E1296" s="5216"/>
      <c r="F1296" s="5027"/>
    </row>
    <row r="1297" spans="1:6" ht="14.85" customHeight="1">
      <c r="A1297" s="5200"/>
      <c r="B1297" s="5207"/>
      <c r="D1297" s="5215"/>
      <c r="E1297" s="5216"/>
      <c r="F1297" s="5027"/>
    </row>
    <row r="1298" spans="1:6" ht="14.85" customHeight="1">
      <c r="A1298" s="5200"/>
      <c r="B1298" s="5207"/>
      <c r="D1298" s="5215"/>
      <c r="E1298" s="5216"/>
      <c r="F1298" s="5027"/>
    </row>
    <row r="1299" spans="1:6" ht="14.85" customHeight="1">
      <c r="A1299" s="5200"/>
      <c r="B1299" s="5207"/>
      <c r="D1299" s="5215"/>
      <c r="E1299" s="5216"/>
      <c r="F1299" s="5027"/>
    </row>
    <row r="1300" spans="1:6" ht="14.85" customHeight="1">
      <c r="A1300" s="5200"/>
      <c r="B1300" s="5207"/>
      <c r="D1300" s="5215"/>
      <c r="E1300" s="5216"/>
      <c r="F1300" s="5027"/>
    </row>
    <row r="1301" spans="1:6" ht="14.85" customHeight="1">
      <c r="A1301" s="5200"/>
      <c r="B1301" s="5207"/>
      <c r="D1301" s="5215"/>
      <c r="E1301" s="5216"/>
      <c r="F1301" s="5027"/>
    </row>
    <row r="1302" spans="1:6" ht="14.85" customHeight="1">
      <c r="A1302" s="5200"/>
      <c r="B1302" s="5207"/>
      <c r="D1302" s="5215"/>
      <c r="E1302" s="5216"/>
      <c r="F1302" s="5027"/>
    </row>
    <row r="1303" spans="1:6" ht="14.85" customHeight="1">
      <c r="A1303" s="5200"/>
      <c r="B1303" s="5207"/>
      <c r="D1303" s="5215"/>
      <c r="E1303" s="5216"/>
      <c r="F1303" s="5027"/>
    </row>
    <row r="1304" spans="1:6" ht="14.85" customHeight="1">
      <c r="A1304" s="5200"/>
      <c r="B1304" s="5207"/>
      <c r="D1304" s="5215"/>
      <c r="E1304" s="5216"/>
      <c r="F1304" s="5027"/>
    </row>
    <row r="1305" spans="1:6" ht="14.85" customHeight="1">
      <c r="A1305" s="5200"/>
      <c r="B1305" s="5207"/>
      <c r="D1305" s="5215"/>
      <c r="E1305" s="5216"/>
      <c r="F1305" s="5027"/>
    </row>
    <row r="1306" spans="1:6" ht="14.85" customHeight="1">
      <c r="A1306" s="5200"/>
      <c r="B1306" s="5207"/>
      <c r="D1306" s="5215"/>
      <c r="E1306" s="5216"/>
      <c r="F1306" s="5027"/>
    </row>
    <row r="1307" spans="1:6" ht="14.85" customHeight="1">
      <c r="A1307" s="5200"/>
      <c r="B1307" s="5207"/>
      <c r="D1307" s="5215"/>
      <c r="E1307" s="5216"/>
      <c r="F1307" s="5027"/>
    </row>
    <row r="1308" spans="1:6" ht="14.85" customHeight="1">
      <c r="A1308" s="5200"/>
      <c r="B1308" s="5207"/>
      <c r="D1308" s="5215"/>
      <c r="E1308" s="5216"/>
      <c r="F1308" s="5027"/>
    </row>
    <row r="1309" spans="1:6" ht="14.85" customHeight="1">
      <c r="A1309" s="5200"/>
      <c r="B1309" s="5207"/>
      <c r="D1309" s="5215"/>
      <c r="E1309" s="5216"/>
      <c r="F1309" s="5027"/>
    </row>
    <row r="1310" spans="1:6" ht="14.85" customHeight="1">
      <c r="A1310" s="5200"/>
      <c r="B1310" s="5207"/>
      <c r="D1310" s="5215"/>
      <c r="E1310" s="5216"/>
      <c r="F1310" s="5027"/>
    </row>
    <row r="1311" spans="1:6" ht="14.85" customHeight="1">
      <c r="A1311" s="5200"/>
      <c r="B1311" s="5207"/>
      <c r="D1311" s="5215"/>
      <c r="E1311" s="5216"/>
      <c r="F1311" s="5027"/>
    </row>
    <row r="1312" spans="1:6" ht="14.85" customHeight="1">
      <c r="A1312" s="5200"/>
      <c r="B1312" s="5207"/>
      <c r="D1312" s="5215"/>
      <c r="E1312" s="5216"/>
      <c r="F1312" s="5027"/>
    </row>
    <row r="1313" spans="1:6" ht="14.85" customHeight="1">
      <c r="A1313" s="5200"/>
      <c r="B1313" s="5207"/>
      <c r="D1313" s="5215"/>
      <c r="E1313" s="5216"/>
      <c r="F1313" s="5027"/>
    </row>
    <row r="1314" spans="1:6" ht="14.85" customHeight="1">
      <c r="A1314" s="5200"/>
      <c r="B1314" s="5207"/>
      <c r="D1314" s="5215"/>
      <c r="E1314" s="5216"/>
      <c r="F1314" s="5027"/>
    </row>
    <row r="1315" spans="1:6" ht="14.85" customHeight="1">
      <c r="A1315" s="5200"/>
      <c r="B1315" s="5207"/>
      <c r="D1315" s="5215"/>
      <c r="E1315" s="5216"/>
      <c r="F1315" s="5027"/>
    </row>
    <row r="1316" spans="1:6" ht="14.85" customHeight="1">
      <c r="A1316" s="5200"/>
      <c r="B1316" s="5207"/>
      <c r="D1316" s="5215"/>
      <c r="E1316" s="5216"/>
      <c r="F1316" s="5027"/>
    </row>
    <row r="1317" spans="1:6" ht="14.85" customHeight="1">
      <c r="A1317" s="5200"/>
      <c r="B1317" s="5207"/>
      <c r="D1317" s="5215"/>
      <c r="E1317" s="5216"/>
      <c r="F1317" s="5027"/>
    </row>
    <row r="1318" spans="1:6" ht="14.85" customHeight="1">
      <c r="A1318" s="5200"/>
      <c r="B1318" s="5207"/>
      <c r="D1318" s="5215"/>
      <c r="E1318" s="5216"/>
      <c r="F1318" s="5027"/>
    </row>
    <row r="1319" spans="1:6" ht="14.85" customHeight="1">
      <c r="A1319" s="5200"/>
      <c r="B1319" s="5207"/>
      <c r="D1319" s="5215"/>
      <c r="E1319" s="5216"/>
      <c r="F1319" s="5027"/>
    </row>
    <row r="1320" spans="1:6" ht="14.85" customHeight="1">
      <c r="A1320" s="5200"/>
      <c r="B1320" s="5207"/>
      <c r="D1320" s="5215"/>
      <c r="E1320" s="5216"/>
      <c r="F1320" s="5027"/>
    </row>
    <row r="1321" spans="1:6" ht="14.85" customHeight="1">
      <c r="A1321" s="5200"/>
      <c r="B1321" s="5207"/>
      <c r="D1321" s="5215"/>
      <c r="E1321" s="5216"/>
      <c r="F1321" s="5027"/>
    </row>
    <row r="1322" spans="1:6" ht="14.85" customHeight="1">
      <c r="A1322" s="5200"/>
      <c r="B1322" s="5207"/>
      <c r="D1322" s="5215"/>
      <c r="E1322" s="5216"/>
      <c r="F1322" s="5027"/>
    </row>
    <row r="1323" spans="1:6" ht="14.85" customHeight="1">
      <c r="A1323" s="5200"/>
      <c r="B1323" s="5207"/>
      <c r="D1323" s="5215"/>
      <c r="E1323" s="5216"/>
      <c r="F1323" s="5027"/>
    </row>
    <row r="1324" spans="1:6" ht="14.85" customHeight="1">
      <c r="A1324" s="5200"/>
      <c r="B1324" s="5207"/>
      <c r="D1324" s="5215"/>
      <c r="E1324" s="5216"/>
      <c r="F1324" s="5027"/>
    </row>
    <row r="1325" spans="1:6" ht="14.85" customHeight="1">
      <c r="A1325" s="5200"/>
      <c r="B1325" s="5207"/>
      <c r="D1325" s="5215"/>
      <c r="E1325" s="5216"/>
      <c r="F1325" s="5027"/>
    </row>
    <row r="1326" spans="1:6" ht="14.85" customHeight="1">
      <c r="A1326" s="5200"/>
      <c r="B1326" s="5207"/>
      <c r="D1326" s="5215"/>
      <c r="E1326" s="5216"/>
      <c r="F1326" s="5027"/>
    </row>
    <row r="1327" spans="1:6" ht="14.85" customHeight="1">
      <c r="A1327" s="5200"/>
      <c r="B1327" s="5207"/>
      <c r="D1327" s="5215"/>
      <c r="E1327" s="5216"/>
      <c r="F1327" s="5027"/>
    </row>
    <row r="1328" spans="1:6" ht="14.85" customHeight="1">
      <c r="A1328" s="5200"/>
      <c r="B1328" s="5207"/>
      <c r="D1328" s="5215"/>
      <c r="E1328" s="5216"/>
      <c r="F1328" s="5027"/>
    </row>
    <row r="1329" spans="1:6" ht="14.85" customHeight="1">
      <c r="A1329" s="5200"/>
      <c r="B1329" s="5207"/>
      <c r="D1329" s="5215"/>
      <c r="E1329" s="5216"/>
      <c r="F1329" s="5027"/>
    </row>
    <row r="1330" spans="1:6" ht="14.85" customHeight="1">
      <c r="A1330" s="5200"/>
      <c r="B1330" s="5207"/>
      <c r="D1330" s="5215"/>
      <c r="E1330" s="5216"/>
      <c r="F1330" s="5027"/>
    </row>
    <row r="1331" spans="1:6" ht="14.85" customHeight="1">
      <c r="A1331" s="5200"/>
      <c r="B1331" s="5207"/>
      <c r="D1331" s="5215"/>
      <c r="E1331" s="5216"/>
      <c r="F1331" s="5027"/>
    </row>
    <row r="1332" spans="1:6" ht="14.85" customHeight="1">
      <c r="A1332" s="5200"/>
      <c r="B1332" s="5207"/>
      <c r="D1332" s="5215"/>
      <c r="E1332" s="5216"/>
      <c r="F1332" s="5027"/>
    </row>
    <row r="1333" spans="1:6" ht="14.85" customHeight="1">
      <c r="A1333" s="5200"/>
      <c r="B1333" s="5207"/>
      <c r="D1333" s="5215"/>
      <c r="E1333" s="5216"/>
      <c r="F1333" s="5027"/>
    </row>
    <row r="1334" spans="1:6" ht="14.85" customHeight="1">
      <c r="A1334" s="5200"/>
      <c r="B1334" s="5207"/>
      <c r="D1334" s="5215"/>
      <c r="E1334" s="5216"/>
      <c r="F1334" s="5027"/>
    </row>
    <row r="1335" spans="1:6" ht="14.85" customHeight="1">
      <c r="A1335" s="5200"/>
      <c r="B1335" s="5207"/>
      <c r="D1335" s="5215"/>
      <c r="E1335" s="5216"/>
      <c r="F1335" s="5027"/>
    </row>
    <row r="1336" spans="1:6" ht="14.85" customHeight="1">
      <c r="A1336" s="5200"/>
      <c r="B1336" s="5207"/>
      <c r="D1336" s="5215"/>
      <c r="E1336" s="5216"/>
      <c r="F1336" s="5027"/>
    </row>
    <row r="1337" spans="1:6" ht="14.85" customHeight="1">
      <c r="A1337" s="5200"/>
      <c r="B1337" s="5207"/>
      <c r="D1337" s="5215"/>
      <c r="E1337" s="5216"/>
      <c r="F1337" s="5027"/>
    </row>
    <row r="1338" spans="1:6" ht="14.85" customHeight="1">
      <c r="A1338" s="5200"/>
      <c r="B1338" s="5207"/>
      <c r="D1338" s="5215"/>
      <c r="E1338" s="5216"/>
      <c r="F1338" s="5027"/>
    </row>
    <row r="1339" spans="1:6" ht="14.85" customHeight="1">
      <c r="A1339" s="5200"/>
      <c r="B1339" s="5207"/>
      <c r="D1339" s="5215"/>
      <c r="E1339" s="5216"/>
      <c r="F1339" s="5027"/>
    </row>
    <row r="1340" spans="1:6" ht="14.85" customHeight="1">
      <c r="A1340" s="5200"/>
      <c r="B1340" s="5207"/>
      <c r="D1340" s="5215"/>
      <c r="E1340" s="5216"/>
      <c r="F1340" s="5027"/>
    </row>
    <row r="1341" spans="1:6" ht="14.85" customHeight="1">
      <c r="A1341" s="5200"/>
      <c r="B1341" s="5207"/>
      <c r="D1341" s="5215"/>
      <c r="E1341" s="5216"/>
      <c r="F1341" s="5027"/>
    </row>
    <row r="1342" spans="1:6" ht="14.85" customHeight="1">
      <c r="A1342" s="5200"/>
      <c r="B1342" s="5207"/>
      <c r="D1342" s="5215"/>
      <c r="E1342" s="5216"/>
      <c r="F1342" s="5027"/>
    </row>
    <row r="1343" spans="1:6" ht="14.85" customHeight="1">
      <c r="A1343" s="5200"/>
      <c r="B1343" s="5207"/>
      <c r="D1343" s="5215"/>
      <c r="E1343" s="5216"/>
      <c r="F1343" s="5027"/>
    </row>
    <row r="1344" spans="1:6" ht="14.85" customHeight="1">
      <c r="A1344" s="5200"/>
      <c r="B1344" s="5207"/>
      <c r="D1344" s="5215"/>
      <c r="E1344" s="5216"/>
      <c r="F1344" s="5027"/>
    </row>
    <row r="1345" spans="1:6" ht="14.85" customHeight="1">
      <c r="A1345" s="5200"/>
      <c r="B1345" s="5207"/>
      <c r="D1345" s="5215"/>
      <c r="E1345" s="5216"/>
      <c r="F1345" s="5027"/>
    </row>
    <row r="1346" spans="1:6" ht="14.85" customHeight="1">
      <c r="A1346" s="5200"/>
      <c r="B1346" s="5207"/>
      <c r="D1346" s="5215"/>
      <c r="E1346" s="5216"/>
      <c r="F1346" s="5027"/>
    </row>
    <row r="1347" spans="1:6" ht="14.85" customHeight="1">
      <c r="A1347" s="5200"/>
      <c r="B1347" s="5207"/>
      <c r="D1347" s="5215"/>
      <c r="E1347" s="5216"/>
      <c r="F1347" s="5027"/>
    </row>
    <row r="1348" spans="1:6" ht="14.85" customHeight="1">
      <c r="A1348" s="5200"/>
      <c r="B1348" s="5207"/>
      <c r="D1348" s="5215"/>
      <c r="E1348" s="5216"/>
      <c r="F1348" s="5027"/>
    </row>
    <row r="1349" spans="1:6" ht="14.85" customHeight="1">
      <c r="A1349" s="5200"/>
      <c r="B1349" s="5207"/>
      <c r="D1349" s="5215"/>
      <c r="E1349" s="5216"/>
      <c r="F1349" s="5027"/>
    </row>
    <row r="1350" spans="1:6" ht="14.85" customHeight="1">
      <c r="A1350" s="5200"/>
      <c r="B1350" s="5207"/>
      <c r="D1350" s="5215"/>
      <c r="E1350" s="5216"/>
      <c r="F1350" s="5027"/>
    </row>
    <row r="1351" spans="1:6" ht="14.85" customHeight="1">
      <c r="A1351" s="5200"/>
      <c r="B1351" s="5207"/>
      <c r="D1351" s="5215"/>
      <c r="E1351" s="5216"/>
      <c r="F1351" s="5027"/>
    </row>
    <row r="1352" spans="1:6" ht="14.85" customHeight="1">
      <c r="A1352" s="5200"/>
      <c r="B1352" s="5207"/>
      <c r="D1352" s="5215"/>
      <c r="E1352" s="5216"/>
      <c r="F1352" s="5027"/>
    </row>
    <row r="1353" spans="1:6" ht="14.85" customHeight="1">
      <c r="A1353" s="5200"/>
      <c r="B1353" s="5207"/>
      <c r="D1353" s="5215"/>
      <c r="E1353" s="5216"/>
      <c r="F1353" s="5027"/>
    </row>
    <row r="1354" spans="1:6" ht="14.85" customHeight="1">
      <c r="A1354" s="5200"/>
      <c r="B1354" s="5207"/>
      <c r="D1354" s="5215"/>
      <c r="E1354" s="5216"/>
      <c r="F1354" s="5027"/>
    </row>
    <row r="1355" spans="1:6" ht="14.85" customHeight="1">
      <c r="A1355" s="5200"/>
      <c r="B1355" s="5207"/>
      <c r="D1355" s="5215"/>
      <c r="E1355" s="5216"/>
      <c r="F1355" s="5027"/>
    </row>
    <row r="1356" spans="1:6" ht="14.85" customHeight="1">
      <c r="A1356" s="5200"/>
      <c r="B1356" s="5207"/>
      <c r="D1356" s="5215"/>
      <c r="E1356" s="5216"/>
      <c r="F1356" s="5027"/>
    </row>
    <row r="1357" spans="1:6" ht="14.85" customHeight="1">
      <c r="A1357" s="5200"/>
      <c r="B1357" s="5207"/>
      <c r="D1357" s="5215"/>
      <c r="E1357" s="5216"/>
      <c r="F1357" s="5027"/>
    </row>
    <row r="1358" spans="1:6" ht="14.85" customHeight="1">
      <c r="A1358" s="5200"/>
      <c r="B1358" s="5207"/>
      <c r="D1358" s="5215"/>
      <c r="E1358" s="5216"/>
      <c r="F1358" s="5027"/>
    </row>
    <row r="1359" spans="1:6" ht="14.85" customHeight="1">
      <c r="A1359" s="5200"/>
      <c r="B1359" s="5207"/>
      <c r="D1359" s="5215"/>
      <c r="E1359" s="5216"/>
      <c r="F1359" s="5027"/>
    </row>
    <row r="1360" spans="1:6" ht="14.85" customHeight="1">
      <c r="A1360" s="5200"/>
      <c r="B1360" s="5207"/>
      <c r="D1360" s="5215"/>
      <c r="E1360" s="5216"/>
      <c r="F1360" s="5027"/>
    </row>
    <row r="1361" spans="1:6" ht="14.85" customHeight="1">
      <c r="A1361" s="5200"/>
      <c r="B1361" s="5207"/>
      <c r="D1361" s="5215"/>
      <c r="E1361" s="5216"/>
      <c r="F1361" s="5027"/>
    </row>
    <row r="1362" spans="1:6" ht="14.85" customHeight="1">
      <c r="A1362" s="5200"/>
      <c r="B1362" s="5207"/>
      <c r="D1362" s="5215"/>
      <c r="E1362" s="5216"/>
      <c r="F1362" s="5027"/>
    </row>
    <row r="1363" spans="1:6" ht="14.85" customHeight="1">
      <c r="A1363" s="5200"/>
      <c r="B1363" s="5207"/>
      <c r="D1363" s="5215"/>
      <c r="E1363" s="5216"/>
      <c r="F1363" s="5027"/>
    </row>
    <row r="1364" spans="1:6" ht="14.85" customHeight="1">
      <c r="A1364" s="5200"/>
      <c r="B1364" s="5207"/>
      <c r="D1364" s="5215"/>
      <c r="E1364" s="5216"/>
      <c r="F1364" s="5027"/>
    </row>
    <row r="1365" spans="1:6" ht="14.85" customHeight="1">
      <c r="A1365" s="5200"/>
      <c r="B1365" s="5207"/>
      <c r="D1365" s="5215"/>
      <c r="E1365" s="5216"/>
      <c r="F1365" s="5027"/>
    </row>
    <row r="1366" spans="1:6" ht="14.85" customHeight="1">
      <c r="A1366" s="5200"/>
      <c r="B1366" s="5207"/>
      <c r="D1366" s="5215"/>
      <c r="E1366" s="5216"/>
      <c r="F1366" s="5027"/>
    </row>
    <row r="1367" spans="1:6" ht="14.85" customHeight="1">
      <c r="A1367" s="5200"/>
      <c r="B1367" s="5207"/>
      <c r="D1367" s="5215"/>
      <c r="E1367" s="5216"/>
      <c r="F1367" s="5027"/>
    </row>
    <row r="1368" spans="1:6" ht="14.85" customHeight="1">
      <c r="A1368" s="5200"/>
      <c r="B1368" s="5207"/>
      <c r="D1368" s="5215"/>
      <c r="E1368" s="5216"/>
      <c r="F1368" s="5027"/>
    </row>
    <row r="1369" spans="1:6" ht="14.85" customHeight="1">
      <c r="A1369" s="5200"/>
      <c r="B1369" s="5207"/>
      <c r="D1369" s="5215"/>
      <c r="E1369" s="5216"/>
      <c r="F1369" s="5027"/>
    </row>
    <row r="1370" spans="1:6" ht="14.85" customHeight="1">
      <c r="A1370" s="5200"/>
      <c r="B1370" s="5207"/>
      <c r="D1370" s="5215"/>
      <c r="E1370" s="5216"/>
      <c r="F1370" s="5027"/>
    </row>
    <row r="1371" spans="1:6" ht="14.85" customHeight="1">
      <c r="A1371" s="5200"/>
      <c r="B1371" s="5207"/>
      <c r="D1371" s="5215"/>
      <c r="E1371" s="5216"/>
      <c r="F1371" s="5027"/>
    </row>
    <row r="1372" spans="1:6" ht="14.85" customHeight="1">
      <c r="A1372" s="5200"/>
      <c r="B1372" s="5207"/>
      <c r="D1372" s="5215"/>
      <c r="E1372" s="5216"/>
      <c r="F1372" s="5027"/>
    </row>
    <row r="1373" spans="1:6" ht="14.85" customHeight="1">
      <c r="A1373" s="5200"/>
      <c r="B1373" s="5207"/>
      <c r="D1373" s="5215"/>
      <c r="E1373" s="5216"/>
      <c r="F1373" s="5027"/>
    </row>
    <row r="1374" spans="1:6" ht="14.85" customHeight="1">
      <c r="A1374" s="5200"/>
      <c r="B1374" s="5207"/>
      <c r="D1374" s="5215"/>
      <c r="E1374" s="5216"/>
      <c r="F1374" s="5027"/>
    </row>
    <row r="1375" spans="1:6" ht="14.85" customHeight="1">
      <c r="A1375" s="5200"/>
      <c r="B1375" s="5207"/>
      <c r="D1375" s="5215"/>
      <c r="E1375" s="5216"/>
      <c r="F1375" s="5027"/>
    </row>
    <row r="1376" spans="1:6" ht="14.85" customHeight="1">
      <c r="A1376" s="5200"/>
      <c r="B1376" s="5207"/>
      <c r="D1376" s="5215"/>
      <c r="E1376" s="5216"/>
      <c r="F1376" s="5027"/>
    </row>
    <row r="1377" spans="1:6" ht="14.85" customHeight="1">
      <c r="A1377" s="5200"/>
      <c r="B1377" s="5207"/>
      <c r="D1377" s="5215"/>
      <c r="E1377" s="5216"/>
      <c r="F1377" s="5027"/>
    </row>
    <row r="1378" spans="1:6" ht="14.85" customHeight="1">
      <c r="A1378" s="5200"/>
      <c r="B1378" s="5207"/>
      <c r="D1378" s="5215"/>
      <c r="E1378" s="5216"/>
      <c r="F1378" s="5027"/>
    </row>
    <row r="1379" spans="1:6" ht="14.85" customHeight="1">
      <c r="A1379" s="5200"/>
      <c r="B1379" s="5207"/>
      <c r="D1379" s="5215"/>
      <c r="E1379" s="5216"/>
      <c r="F1379" s="5027"/>
    </row>
    <row r="1380" spans="1:6" ht="14.85" customHeight="1">
      <c r="A1380" s="5200"/>
      <c r="B1380" s="5207"/>
      <c r="D1380" s="5215"/>
      <c r="E1380" s="5216"/>
      <c r="F1380" s="5027"/>
    </row>
    <row r="1381" spans="1:6" ht="14.85" customHeight="1">
      <c r="A1381" s="5200"/>
      <c r="B1381" s="5207"/>
      <c r="D1381" s="5215"/>
      <c r="E1381" s="5216"/>
      <c r="F1381" s="5027"/>
    </row>
    <row r="1382" spans="1:6" ht="14.85" customHeight="1">
      <c r="A1382" s="5200"/>
      <c r="B1382" s="5207"/>
      <c r="D1382" s="5215"/>
      <c r="E1382" s="5216"/>
      <c r="F1382" s="5027"/>
    </row>
    <row r="1383" spans="1:6" ht="14.85" customHeight="1">
      <c r="A1383" s="5200"/>
      <c r="B1383" s="5207"/>
      <c r="D1383" s="5215"/>
      <c r="E1383" s="5216"/>
      <c r="F1383" s="5027"/>
    </row>
    <row r="1384" spans="1:6" ht="14.85" customHeight="1">
      <c r="A1384" s="5200"/>
      <c r="B1384" s="5207"/>
      <c r="D1384" s="5215"/>
      <c r="E1384" s="5216"/>
      <c r="F1384" s="5027"/>
    </row>
    <row r="1385" spans="1:6" ht="14.85" customHeight="1">
      <c r="A1385" s="5200"/>
      <c r="B1385" s="5207"/>
      <c r="D1385" s="5215"/>
      <c r="E1385" s="5216"/>
      <c r="F1385" s="5027"/>
    </row>
    <row r="1386" spans="1:6" ht="14.85" customHeight="1">
      <c r="A1386" s="5200"/>
      <c r="B1386" s="5207"/>
      <c r="D1386" s="5215"/>
      <c r="E1386" s="5216"/>
      <c r="F1386" s="5027"/>
    </row>
    <row r="1387" spans="1:6" ht="14.85" customHeight="1">
      <c r="A1387" s="5200"/>
      <c r="B1387" s="5207"/>
      <c r="D1387" s="5215"/>
      <c r="E1387" s="5216"/>
      <c r="F1387" s="5027"/>
    </row>
    <row r="1388" spans="1:6" ht="14.85" customHeight="1">
      <c r="A1388" s="5200"/>
      <c r="B1388" s="5207"/>
      <c r="D1388" s="5215"/>
      <c r="E1388" s="5216"/>
      <c r="F1388" s="5027"/>
    </row>
    <row r="1389" spans="1:6" ht="14.85" customHeight="1">
      <c r="A1389" s="5200"/>
      <c r="B1389" s="5207"/>
      <c r="D1389" s="5215"/>
      <c r="E1389" s="5216"/>
      <c r="F1389" s="5027"/>
    </row>
    <row r="1390" spans="1:6" ht="14.85" customHeight="1">
      <c r="A1390" s="5200"/>
      <c r="B1390" s="5207"/>
      <c r="D1390" s="5215"/>
      <c r="E1390" s="5216"/>
      <c r="F1390" s="5027"/>
    </row>
    <row r="1391" spans="1:6" ht="14.85" customHeight="1">
      <c r="A1391" s="5200"/>
      <c r="B1391" s="5207"/>
      <c r="D1391" s="5215"/>
      <c r="E1391" s="5216"/>
      <c r="F1391" s="5027"/>
    </row>
    <row r="1392" spans="1:6" ht="14.85" customHeight="1">
      <c r="A1392" s="5200"/>
      <c r="B1392" s="5207"/>
      <c r="D1392" s="5215"/>
      <c r="E1392" s="5216"/>
      <c r="F1392" s="5027"/>
    </row>
    <row r="1393" spans="1:6" ht="14.85" customHeight="1">
      <c r="A1393" s="5200"/>
      <c r="B1393" s="5207"/>
      <c r="D1393" s="5215"/>
      <c r="E1393" s="5216"/>
      <c r="F1393" s="5027"/>
    </row>
    <row r="1394" spans="1:6" ht="14.85" customHeight="1">
      <c r="A1394" s="5200"/>
      <c r="B1394" s="5207"/>
      <c r="D1394" s="5215"/>
      <c r="E1394" s="5216"/>
      <c r="F1394" s="5027"/>
    </row>
    <row r="1395" spans="1:6" ht="14.85" customHeight="1">
      <c r="A1395" s="5200"/>
      <c r="B1395" s="5207"/>
      <c r="D1395" s="5215"/>
      <c r="E1395" s="5216"/>
      <c r="F1395" s="5027"/>
    </row>
    <row r="1396" spans="1:6" ht="14.85" customHeight="1">
      <c r="A1396" s="5200"/>
      <c r="B1396" s="5207"/>
      <c r="D1396" s="5215"/>
      <c r="E1396" s="5216"/>
      <c r="F1396" s="5027"/>
    </row>
    <row r="1397" spans="1:6" ht="14.85" customHeight="1">
      <c r="A1397" s="5200"/>
      <c r="B1397" s="5207"/>
      <c r="D1397" s="5215"/>
      <c r="E1397" s="5216"/>
      <c r="F1397" s="5027"/>
    </row>
    <row r="1398" spans="1:6" ht="14.85" customHeight="1">
      <c r="A1398" s="5200"/>
      <c r="B1398" s="5207"/>
      <c r="D1398" s="5215"/>
      <c r="E1398" s="5216"/>
      <c r="F1398" s="5027"/>
    </row>
    <row r="1399" spans="1:6" ht="14.85" customHeight="1">
      <c r="A1399" s="5200"/>
      <c r="B1399" s="5207"/>
      <c r="D1399" s="5215"/>
      <c r="E1399" s="5216"/>
      <c r="F1399" s="5027"/>
    </row>
    <row r="1400" spans="1:6" ht="14.85" customHeight="1">
      <c r="A1400" s="5200"/>
      <c r="B1400" s="5207"/>
      <c r="D1400" s="5215"/>
      <c r="E1400" s="5216"/>
      <c r="F1400" s="5027"/>
    </row>
    <row r="1401" spans="1:6" ht="14.85" customHeight="1">
      <c r="A1401" s="5200"/>
      <c r="B1401" s="5207"/>
      <c r="D1401" s="5215"/>
      <c r="E1401" s="5216"/>
      <c r="F1401" s="5027"/>
    </row>
    <row r="1402" spans="1:6" ht="14.85" customHeight="1">
      <c r="A1402" s="5200"/>
      <c r="B1402" s="5207"/>
      <c r="D1402" s="5215"/>
      <c r="E1402" s="5216"/>
      <c r="F1402" s="5027"/>
    </row>
    <row r="1403" spans="1:6" ht="14.85" customHeight="1">
      <c r="A1403" s="5200"/>
      <c r="B1403" s="5207"/>
      <c r="D1403" s="5215"/>
      <c r="E1403" s="5216"/>
      <c r="F1403" s="5027"/>
    </row>
    <row r="1404" spans="1:6" ht="14.85" customHeight="1">
      <c r="A1404" s="5200"/>
      <c r="B1404" s="5207"/>
      <c r="D1404" s="5215"/>
      <c r="E1404" s="5216"/>
      <c r="F1404" s="5027"/>
    </row>
    <row r="1405" spans="1:6" ht="14.85" customHeight="1">
      <c r="A1405" s="5200"/>
      <c r="B1405" s="5207"/>
      <c r="D1405" s="5215"/>
      <c r="E1405" s="5216"/>
      <c r="F1405" s="5027"/>
    </row>
    <row r="1406" spans="1:6" ht="14.85" customHeight="1">
      <c r="A1406" s="5200"/>
      <c r="B1406" s="5207"/>
      <c r="D1406" s="5215"/>
      <c r="E1406" s="5216"/>
      <c r="F1406" s="5027"/>
    </row>
    <row r="1407" spans="1:6" ht="14.85" customHeight="1">
      <c r="A1407" s="5200"/>
      <c r="B1407" s="5207"/>
      <c r="D1407" s="5215"/>
      <c r="E1407" s="5216"/>
      <c r="F1407" s="5027"/>
    </row>
    <row r="1408" spans="1:6" ht="14.85" customHeight="1">
      <c r="A1408" s="5200"/>
      <c r="B1408" s="5207"/>
      <c r="D1408" s="5215"/>
      <c r="E1408" s="5216"/>
      <c r="F1408" s="5027"/>
    </row>
    <row r="1409" spans="1:6" ht="14.85" customHeight="1">
      <c r="A1409" s="5200"/>
      <c r="B1409" s="5207"/>
      <c r="D1409" s="5215"/>
      <c r="E1409" s="5216"/>
      <c r="F1409" s="5027"/>
    </row>
    <row r="1410" spans="1:6" ht="14.85" customHeight="1">
      <c r="A1410" s="5200"/>
      <c r="B1410" s="5207"/>
      <c r="D1410" s="5215"/>
      <c r="E1410" s="5216"/>
      <c r="F1410" s="5027"/>
    </row>
    <row r="1411" spans="1:6" ht="14.85" customHeight="1">
      <c r="A1411" s="5200"/>
      <c r="B1411" s="5207"/>
      <c r="D1411" s="5215"/>
      <c r="E1411" s="5216"/>
      <c r="F1411" s="5027"/>
    </row>
    <row r="1412" spans="1:6" ht="14.85" customHeight="1">
      <c r="A1412" s="5200"/>
      <c r="B1412" s="5207"/>
      <c r="D1412" s="5215"/>
      <c r="E1412" s="5216"/>
      <c r="F1412" s="5027"/>
    </row>
    <row r="1413" spans="1:6" ht="14.85" customHeight="1">
      <c r="A1413" s="5200"/>
      <c r="B1413" s="5207"/>
      <c r="D1413" s="5215"/>
      <c r="E1413" s="5216"/>
      <c r="F1413" s="5027"/>
    </row>
    <row r="1414" spans="1:6" ht="14.85" customHeight="1">
      <c r="A1414" s="5200"/>
      <c r="B1414" s="5207"/>
      <c r="D1414" s="5215"/>
      <c r="E1414" s="5216"/>
      <c r="F1414" s="5027"/>
    </row>
    <row r="1415" spans="1:6" ht="14.85" customHeight="1">
      <c r="A1415" s="5200"/>
      <c r="B1415" s="5207"/>
      <c r="D1415" s="5215"/>
      <c r="E1415" s="5216"/>
      <c r="F1415" s="5027"/>
    </row>
    <row r="1416" spans="1:6" ht="14.85" customHeight="1">
      <c r="A1416" s="5200"/>
      <c r="B1416" s="5207"/>
      <c r="D1416" s="5215"/>
      <c r="E1416" s="5216"/>
      <c r="F1416" s="5027"/>
    </row>
    <row r="1417" spans="1:6" ht="14.85" customHeight="1">
      <c r="A1417" s="5200"/>
      <c r="B1417" s="5207"/>
      <c r="D1417" s="5215"/>
      <c r="E1417" s="5216"/>
      <c r="F1417" s="5027"/>
    </row>
    <row r="1418" spans="1:6" ht="14.85" customHeight="1">
      <c r="A1418" s="5200"/>
      <c r="B1418" s="5207"/>
      <c r="D1418" s="5215"/>
      <c r="E1418" s="5216"/>
      <c r="F1418" s="5027"/>
    </row>
    <row r="1419" spans="1:6" ht="14.85" customHeight="1">
      <c r="A1419" s="5200"/>
      <c r="B1419" s="5207"/>
      <c r="D1419" s="5215"/>
      <c r="E1419" s="5216"/>
      <c r="F1419" s="5027"/>
    </row>
    <row r="1420" spans="1:6" ht="14.85" customHeight="1">
      <c r="A1420" s="5200"/>
      <c r="B1420" s="5207"/>
      <c r="D1420" s="5215"/>
      <c r="E1420" s="5216"/>
      <c r="F1420" s="5027"/>
    </row>
    <row r="1421" spans="1:6" ht="14.85" customHeight="1">
      <c r="A1421" s="5200"/>
      <c r="B1421" s="5207"/>
      <c r="D1421" s="5215"/>
      <c r="E1421" s="5216"/>
      <c r="F1421" s="5027"/>
    </row>
    <row r="1422" spans="1:6" ht="14.85" customHeight="1">
      <c r="A1422" s="5200"/>
      <c r="B1422" s="5207"/>
      <c r="D1422" s="5215"/>
      <c r="E1422" s="5216"/>
      <c r="F1422" s="5027"/>
    </row>
    <row r="1423" spans="1:6" ht="14.85" customHeight="1">
      <c r="A1423" s="5200"/>
      <c r="B1423" s="5207"/>
      <c r="D1423" s="5215"/>
      <c r="E1423" s="5216"/>
      <c r="F1423" s="5027"/>
    </row>
    <row r="1424" spans="1:6" ht="14.85" customHeight="1">
      <c r="A1424" s="5200"/>
      <c r="B1424" s="5207"/>
      <c r="D1424" s="5215"/>
      <c r="E1424" s="5216"/>
      <c r="F1424" s="5027"/>
    </row>
    <row r="1425" spans="1:6" ht="14.85" customHeight="1">
      <c r="A1425" s="5200"/>
      <c r="B1425" s="5207"/>
      <c r="D1425" s="5215"/>
      <c r="E1425" s="5216"/>
      <c r="F1425" s="5027"/>
    </row>
    <row r="1426" spans="1:6" ht="14.85" customHeight="1">
      <c r="A1426" s="5200"/>
      <c r="B1426" s="5207"/>
      <c r="D1426" s="5215"/>
      <c r="E1426" s="5216"/>
      <c r="F1426" s="5027"/>
    </row>
    <row r="1427" spans="1:6" ht="14.85" customHeight="1">
      <c r="A1427" s="5200"/>
      <c r="B1427" s="5207"/>
      <c r="D1427" s="5215"/>
      <c r="E1427" s="5216"/>
      <c r="F1427" s="5027"/>
    </row>
    <row r="1428" spans="1:6" ht="14.85" customHeight="1">
      <c r="A1428" s="5200"/>
      <c r="B1428" s="5207"/>
      <c r="D1428" s="5215"/>
      <c r="E1428" s="5216"/>
      <c r="F1428" s="5027"/>
    </row>
    <row r="1429" spans="1:6" ht="14.85" customHeight="1">
      <c r="A1429" s="5200"/>
      <c r="B1429" s="5207"/>
      <c r="D1429" s="5215"/>
      <c r="E1429" s="5216"/>
      <c r="F1429" s="5027"/>
    </row>
    <row r="1430" spans="1:6" ht="14.85" customHeight="1">
      <c r="A1430" s="5200"/>
      <c r="B1430" s="5207"/>
      <c r="D1430" s="5215"/>
      <c r="E1430" s="5216"/>
      <c r="F1430" s="5027"/>
    </row>
    <row r="1431" spans="1:6" ht="14.85" customHeight="1">
      <c r="A1431" s="5200"/>
      <c r="B1431" s="5207"/>
      <c r="D1431" s="5215"/>
      <c r="E1431" s="5216"/>
      <c r="F1431" s="5027"/>
    </row>
    <row r="1432" spans="1:6" ht="14.85" customHeight="1">
      <c r="A1432" s="5200"/>
      <c r="B1432" s="5207"/>
      <c r="D1432" s="5215"/>
      <c r="E1432" s="5216"/>
      <c r="F1432" s="5027"/>
    </row>
    <row r="1433" spans="1:6" ht="14.85" customHeight="1">
      <c r="A1433" s="5200"/>
      <c r="B1433" s="5207"/>
      <c r="D1433" s="5215"/>
      <c r="E1433" s="5216"/>
      <c r="F1433" s="5027"/>
    </row>
    <row r="1434" spans="1:6" ht="14.85" customHeight="1">
      <c r="A1434" s="5200"/>
      <c r="B1434" s="5207"/>
      <c r="D1434" s="5215"/>
      <c r="E1434" s="5216"/>
      <c r="F1434" s="5027"/>
    </row>
    <row r="1435" spans="1:6" ht="14.85" customHeight="1">
      <c r="A1435" s="5200"/>
      <c r="B1435" s="5207"/>
      <c r="D1435" s="5215"/>
      <c r="E1435" s="5216"/>
      <c r="F1435" s="5027"/>
    </row>
    <row r="1436" spans="1:6" ht="14.85" customHeight="1">
      <c r="A1436" s="5200"/>
      <c r="B1436" s="5207"/>
      <c r="D1436" s="5215"/>
      <c r="E1436" s="5216"/>
      <c r="F1436" s="5027"/>
    </row>
    <row r="1437" spans="1:6" ht="14.85" customHeight="1">
      <c r="A1437" s="5200"/>
      <c r="B1437" s="5207"/>
      <c r="D1437" s="5215"/>
      <c r="E1437" s="5216"/>
      <c r="F1437" s="5027"/>
    </row>
    <row r="1438" spans="1:6" ht="14.85" customHeight="1">
      <c r="A1438" s="5200"/>
      <c r="B1438" s="5207"/>
      <c r="D1438" s="5215"/>
      <c r="E1438" s="5216"/>
      <c r="F1438" s="5027"/>
    </row>
    <row r="1439" spans="1:6" ht="14.85" customHeight="1">
      <c r="A1439" s="5200"/>
      <c r="B1439" s="5207"/>
      <c r="D1439" s="5215"/>
      <c r="E1439" s="5216"/>
      <c r="F1439" s="5027"/>
    </row>
    <row r="1440" spans="1:6" ht="14.85" customHeight="1">
      <c r="A1440" s="5200"/>
      <c r="B1440" s="5207"/>
      <c r="D1440" s="5215"/>
      <c r="E1440" s="5216"/>
      <c r="F1440" s="5027"/>
    </row>
    <row r="1441" spans="1:6" ht="14.85" customHeight="1">
      <c r="A1441" s="5200"/>
      <c r="B1441" s="5207"/>
      <c r="D1441" s="5215"/>
      <c r="E1441" s="5216"/>
      <c r="F1441" s="5027"/>
    </row>
    <row r="1442" spans="1:6" ht="14.85" customHeight="1">
      <c r="A1442" s="5200"/>
      <c r="B1442" s="5207"/>
      <c r="D1442" s="5215"/>
      <c r="E1442" s="5216"/>
      <c r="F1442" s="5027"/>
    </row>
    <row r="1443" spans="1:6" ht="14.85" customHeight="1">
      <c r="A1443" s="5200"/>
      <c r="B1443" s="5207"/>
      <c r="D1443" s="5215"/>
      <c r="E1443" s="5216"/>
      <c r="F1443" s="5027"/>
    </row>
    <row r="1444" spans="1:6" ht="14.85" customHeight="1">
      <c r="A1444" s="5200"/>
      <c r="B1444" s="5207"/>
      <c r="D1444" s="5215"/>
      <c r="E1444" s="5216"/>
      <c r="F1444" s="5027"/>
    </row>
    <row r="1445" spans="1:6" ht="14.85" customHeight="1">
      <c r="A1445" s="5200"/>
      <c r="B1445" s="5207"/>
      <c r="D1445" s="5215"/>
      <c r="E1445" s="5216"/>
      <c r="F1445" s="5027"/>
    </row>
    <row r="1446" spans="1:6" ht="14.85" customHeight="1">
      <c r="A1446" s="5200"/>
      <c r="B1446" s="5207"/>
      <c r="D1446" s="5215"/>
      <c r="E1446" s="5216"/>
      <c r="F1446" s="5027"/>
    </row>
    <row r="1447" spans="1:6" ht="14.85" customHeight="1">
      <c r="A1447" s="5200"/>
      <c r="B1447" s="5207"/>
      <c r="D1447" s="5215"/>
      <c r="E1447" s="5216"/>
      <c r="F1447" s="5027"/>
    </row>
    <row r="1448" spans="1:6" ht="14.85" customHeight="1">
      <c r="A1448" s="5200"/>
      <c r="B1448" s="5207"/>
      <c r="D1448" s="5215"/>
      <c r="E1448" s="5216"/>
      <c r="F1448" s="5027"/>
    </row>
    <row r="1449" spans="1:6" ht="14.85" customHeight="1">
      <c r="A1449" s="5200"/>
      <c r="B1449" s="5207"/>
      <c r="D1449" s="5215"/>
      <c r="E1449" s="5216"/>
      <c r="F1449" s="5027"/>
    </row>
    <row r="1450" spans="1:6" ht="14.85" customHeight="1">
      <c r="A1450" s="5200"/>
      <c r="B1450" s="5207"/>
      <c r="D1450" s="5215"/>
      <c r="E1450" s="5216"/>
      <c r="F1450" s="5027"/>
    </row>
    <row r="1451" spans="1:6" ht="14.85" customHeight="1">
      <c r="A1451" s="5200"/>
      <c r="B1451" s="5207"/>
      <c r="D1451" s="5215"/>
      <c r="E1451" s="5216"/>
      <c r="F1451" s="5027"/>
    </row>
    <row r="1452" spans="1:6" ht="14.85" customHeight="1">
      <c r="A1452" s="5200"/>
      <c r="B1452" s="5207"/>
      <c r="D1452" s="5215"/>
      <c r="E1452" s="5216"/>
      <c r="F1452" s="5027"/>
    </row>
    <row r="1453" spans="1:6" ht="14.85" customHeight="1">
      <c r="A1453" s="5200"/>
      <c r="B1453" s="5207"/>
      <c r="D1453" s="5215"/>
      <c r="E1453" s="5216"/>
      <c r="F1453" s="5027"/>
    </row>
    <row r="1454" spans="1:6" ht="14.85" customHeight="1">
      <c r="A1454" s="5200"/>
      <c r="B1454" s="5207"/>
      <c r="D1454" s="5215"/>
      <c r="E1454" s="5216"/>
      <c r="F1454" s="5027"/>
    </row>
    <row r="1455" spans="1:6" ht="14.85" customHeight="1">
      <c r="A1455" s="5200"/>
      <c r="B1455" s="5207"/>
      <c r="D1455" s="5215"/>
      <c r="E1455" s="5216"/>
      <c r="F1455" s="5027"/>
    </row>
    <row r="1456" spans="1:6" ht="14.85" customHeight="1">
      <c r="A1456" s="5200"/>
      <c r="B1456" s="5207"/>
      <c r="D1456" s="5215"/>
      <c r="E1456" s="5216"/>
      <c r="F1456" s="5027"/>
    </row>
    <row r="1457" spans="1:6" ht="14.85" customHeight="1">
      <c r="A1457" s="5200"/>
      <c r="B1457" s="5207"/>
      <c r="D1457" s="5215"/>
      <c r="E1457" s="5216"/>
      <c r="F1457" s="5027"/>
    </row>
    <row r="1458" spans="1:6" ht="14.85" customHeight="1">
      <c r="A1458" s="5200"/>
      <c r="B1458" s="5207"/>
      <c r="D1458" s="5215"/>
      <c r="E1458" s="5216"/>
      <c r="F1458" s="5027"/>
    </row>
    <row r="1459" spans="1:6" ht="14.85" customHeight="1">
      <c r="A1459" s="5200"/>
      <c r="B1459" s="5207"/>
      <c r="D1459" s="5215"/>
      <c r="E1459" s="5216"/>
      <c r="F1459" s="5027"/>
    </row>
    <row r="1460" spans="1:6" ht="14.85" customHeight="1">
      <c r="A1460" s="5200"/>
      <c r="B1460" s="5207"/>
      <c r="D1460" s="5215"/>
      <c r="E1460" s="5216"/>
      <c r="F1460" s="5027"/>
    </row>
    <row r="1461" spans="1:6" ht="14.85" customHeight="1">
      <c r="A1461" s="5200"/>
      <c r="B1461" s="5207"/>
      <c r="D1461" s="5215"/>
      <c r="E1461" s="5216"/>
      <c r="F1461" s="5027"/>
    </row>
    <row r="1462" spans="1:6" ht="14.85" customHeight="1">
      <c r="A1462" s="5200"/>
      <c r="B1462" s="5207"/>
      <c r="D1462" s="5215"/>
      <c r="E1462" s="5216"/>
      <c r="F1462" s="5027"/>
    </row>
    <row r="1463" spans="1:6" ht="14.85" customHeight="1">
      <c r="A1463" s="5200"/>
      <c r="B1463" s="5207"/>
      <c r="D1463" s="5215"/>
      <c r="E1463" s="5216"/>
      <c r="F1463" s="5027"/>
    </row>
    <row r="1464" spans="1:6" ht="14.85" customHeight="1">
      <c r="A1464" s="5200"/>
      <c r="B1464" s="5207"/>
      <c r="D1464" s="5215"/>
      <c r="E1464" s="5216"/>
      <c r="F1464" s="5027"/>
    </row>
    <row r="1465" spans="1:6" ht="14.85" customHeight="1">
      <c r="A1465" s="5200"/>
      <c r="B1465" s="5207"/>
      <c r="D1465" s="5215"/>
      <c r="E1465" s="5216"/>
      <c r="F1465" s="5027"/>
    </row>
    <row r="1466" spans="1:6" ht="14.85" customHeight="1">
      <c r="A1466" s="5200"/>
      <c r="B1466" s="5207"/>
      <c r="D1466" s="5215"/>
      <c r="E1466" s="5216"/>
      <c r="F1466" s="5027"/>
    </row>
    <row r="1467" spans="1:6" ht="14.85" customHeight="1">
      <c r="A1467" s="5200"/>
      <c r="B1467" s="5207"/>
      <c r="D1467" s="5215"/>
      <c r="E1467" s="5216"/>
      <c r="F1467" s="5027"/>
    </row>
    <row r="1468" spans="1:6" ht="14.85" customHeight="1">
      <c r="A1468" s="5200"/>
      <c r="B1468" s="5207"/>
      <c r="D1468" s="5215"/>
      <c r="E1468" s="5216"/>
      <c r="F1468" s="5027"/>
    </row>
    <row r="1469" spans="1:6" ht="14.85" customHeight="1">
      <c r="A1469" s="5200"/>
      <c r="B1469" s="5207"/>
      <c r="D1469" s="5215"/>
      <c r="E1469" s="5216"/>
      <c r="F1469" s="5027"/>
    </row>
    <row r="1470" spans="1:6" ht="14.85" customHeight="1">
      <c r="A1470" s="5200"/>
      <c r="B1470" s="5207"/>
      <c r="D1470" s="5215"/>
      <c r="E1470" s="5216"/>
      <c r="F1470" s="5027"/>
    </row>
    <row r="1471" spans="1:6" ht="14.85" customHeight="1">
      <c r="A1471" s="5200"/>
      <c r="B1471" s="5207"/>
      <c r="D1471" s="5215"/>
      <c r="E1471" s="5216"/>
      <c r="F1471" s="5027"/>
    </row>
    <row r="1472" spans="1:6" ht="14.85" customHeight="1">
      <c r="A1472" s="5200"/>
      <c r="B1472" s="5207"/>
      <c r="D1472" s="5215"/>
      <c r="E1472" s="5216"/>
      <c r="F1472" s="5027"/>
    </row>
    <row r="1473" spans="1:6" ht="14.85" customHeight="1">
      <c r="A1473" s="5200"/>
      <c r="B1473" s="5207"/>
      <c r="D1473" s="5215"/>
      <c r="E1473" s="5216"/>
      <c r="F1473" s="5027"/>
    </row>
    <row r="1474" spans="1:6" ht="14.85" customHeight="1">
      <c r="A1474" s="5200"/>
      <c r="B1474" s="5207"/>
      <c r="D1474" s="5215"/>
      <c r="E1474" s="5216"/>
      <c r="F1474" s="5027"/>
    </row>
    <row r="1475" spans="1:6" ht="14.85" customHeight="1">
      <c r="A1475" s="5200"/>
      <c r="B1475" s="5207"/>
      <c r="D1475" s="5215"/>
      <c r="E1475" s="5216"/>
      <c r="F1475" s="5027"/>
    </row>
    <row r="1476" spans="1:6" ht="14.85" customHeight="1">
      <c r="A1476" s="5200"/>
      <c r="B1476" s="5207"/>
      <c r="D1476" s="5215"/>
      <c r="E1476" s="5216"/>
      <c r="F1476" s="5027"/>
    </row>
    <row r="1477" spans="1:6" ht="14.85" customHeight="1">
      <c r="A1477" s="5200"/>
      <c r="B1477" s="5207"/>
      <c r="D1477" s="5215"/>
      <c r="E1477" s="5216"/>
      <c r="F1477" s="5027"/>
    </row>
    <row r="1478" spans="1:6" ht="14.85" customHeight="1">
      <c r="A1478" s="5200"/>
      <c r="B1478" s="5207"/>
      <c r="D1478" s="5215"/>
      <c r="E1478" s="5216"/>
      <c r="F1478" s="5027"/>
    </row>
    <row r="1479" spans="1:6" ht="14.85" customHeight="1">
      <c r="A1479" s="5200"/>
      <c r="B1479" s="5207"/>
      <c r="D1479" s="5215"/>
      <c r="E1479" s="5216"/>
      <c r="F1479" s="5027"/>
    </row>
    <row r="1480" spans="1:6" ht="14.85" customHeight="1">
      <c r="A1480" s="5200"/>
      <c r="B1480" s="5207"/>
      <c r="D1480" s="5215"/>
      <c r="E1480" s="5216"/>
      <c r="F1480" s="5027"/>
    </row>
    <row r="1481" spans="1:6" ht="14.85" customHeight="1">
      <c r="A1481" s="5200"/>
      <c r="B1481" s="5207"/>
      <c r="D1481" s="5215"/>
      <c r="E1481" s="5216"/>
      <c r="F1481" s="5027"/>
    </row>
    <row r="1482" spans="1:6" ht="14.85" customHeight="1">
      <c r="A1482" s="5200"/>
      <c r="B1482" s="5207"/>
      <c r="D1482" s="5215"/>
      <c r="E1482" s="5216"/>
      <c r="F1482" s="5027"/>
    </row>
    <row r="1483" spans="1:6" ht="14.85" customHeight="1">
      <c r="A1483" s="5200"/>
      <c r="B1483" s="5207"/>
      <c r="D1483" s="5215"/>
      <c r="E1483" s="5216"/>
      <c r="F1483" s="5027"/>
    </row>
    <row r="1484" spans="1:6" ht="14.85" customHeight="1">
      <c r="A1484" s="5200"/>
      <c r="B1484" s="5207"/>
      <c r="D1484" s="5215"/>
      <c r="E1484" s="5216"/>
      <c r="F1484" s="5027"/>
    </row>
    <row r="1485" spans="1:6" ht="14.85" customHeight="1">
      <c r="A1485" s="5200"/>
      <c r="B1485" s="5207"/>
      <c r="D1485" s="5215"/>
      <c r="E1485" s="5216"/>
      <c r="F1485" s="5027"/>
    </row>
    <row r="1486" spans="1:6" ht="14.85" customHeight="1">
      <c r="A1486" s="5200"/>
      <c r="B1486" s="5207"/>
      <c r="D1486" s="5215"/>
      <c r="E1486" s="5216"/>
      <c r="F1486" s="5027"/>
    </row>
    <row r="1487" spans="1:6" ht="14.85" customHeight="1">
      <c r="A1487" s="5200"/>
      <c r="B1487" s="5207"/>
      <c r="D1487" s="5215"/>
      <c r="E1487" s="5216"/>
      <c r="F1487" s="5027"/>
    </row>
    <row r="1488" spans="1:6" ht="14.85" customHeight="1">
      <c r="A1488" s="5200"/>
      <c r="B1488" s="5207"/>
      <c r="D1488" s="5215"/>
      <c r="E1488" s="5216"/>
      <c r="F1488" s="5027"/>
    </row>
    <row r="1489" spans="1:6" ht="14.85" customHeight="1">
      <c r="A1489" s="5200"/>
      <c r="B1489" s="5207"/>
      <c r="D1489" s="5215"/>
      <c r="E1489" s="5216"/>
      <c r="F1489" s="5027"/>
    </row>
    <row r="1490" spans="1:6" ht="14.85" customHeight="1">
      <c r="A1490" s="5200"/>
      <c r="B1490" s="5207"/>
      <c r="D1490" s="5215"/>
      <c r="E1490" s="5216"/>
      <c r="F1490" s="5027"/>
    </row>
    <row r="1491" spans="1:6" ht="14.85" customHeight="1">
      <c r="A1491" s="5200"/>
      <c r="B1491" s="5207"/>
      <c r="D1491" s="5215"/>
      <c r="E1491" s="5216"/>
      <c r="F1491" s="5027"/>
    </row>
    <row r="1492" spans="1:6" ht="14.85" customHeight="1">
      <c r="A1492" s="5200"/>
      <c r="B1492" s="5207"/>
      <c r="D1492" s="5215"/>
      <c r="E1492" s="5216"/>
      <c r="F1492" s="5027"/>
    </row>
    <row r="1493" spans="1:6" ht="14.85" customHeight="1">
      <c r="A1493" s="5200"/>
      <c r="B1493" s="5207"/>
      <c r="D1493" s="5215"/>
      <c r="E1493" s="5216"/>
      <c r="F1493" s="5027"/>
    </row>
    <row r="1494" spans="1:6" ht="14.85" customHeight="1">
      <c r="A1494" s="5200"/>
      <c r="B1494" s="5207"/>
      <c r="D1494" s="5215"/>
      <c r="E1494" s="5216"/>
      <c r="F1494" s="5027"/>
    </row>
    <row r="1495" spans="1:6" ht="14.85" customHeight="1">
      <c r="A1495" s="5200"/>
      <c r="B1495" s="5207"/>
      <c r="D1495" s="5215"/>
      <c r="E1495" s="5216"/>
      <c r="F1495" s="5027"/>
    </row>
    <row r="1496" spans="1:6" ht="14.85" customHeight="1">
      <c r="A1496" s="5200"/>
      <c r="B1496" s="5207"/>
      <c r="D1496" s="5215"/>
      <c r="E1496" s="5216"/>
      <c r="F1496" s="5027"/>
    </row>
    <row r="1497" spans="1:6" ht="14.85" customHeight="1">
      <c r="A1497" s="5200"/>
      <c r="B1497" s="5207"/>
      <c r="D1497" s="5215"/>
      <c r="E1497" s="5216"/>
      <c r="F1497" s="5027"/>
    </row>
    <row r="1498" spans="1:6" ht="14.85" customHeight="1">
      <c r="A1498" s="5200"/>
      <c r="B1498" s="5207"/>
      <c r="D1498" s="5215"/>
      <c r="E1498" s="5216"/>
      <c r="F1498" s="5027"/>
    </row>
    <row r="1499" spans="1:6" ht="14.85" customHeight="1">
      <c r="A1499" s="5200"/>
      <c r="B1499" s="5207"/>
      <c r="D1499" s="5215"/>
      <c r="E1499" s="5216"/>
      <c r="F1499" s="5027"/>
    </row>
    <row r="1500" spans="1:6" ht="14.85" customHeight="1">
      <c r="A1500" s="5200"/>
      <c r="B1500" s="5207"/>
      <c r="D1500" s="5215"/>
      <c r="E1500" s="5216"/>
      <c r="F1500" s="5027"/>
    </row>
    <row r="1501" spans="1:6" ht="14.85" customHeight="1">
      <c r="A1501" s="5200"/>
      <c r="B1501" s="5207"/>
      <c r="D1501" s="5215"/>
      <c r="E1501" s="5216"/>
      <c r="F1501" s="5027"/>
    </row>
    <row r="1502" spans="1:6" ht="14.85" customHeight="1">
      <c r="A1502" s="5200"/>
      <c r="B1502" s="5207"/>
      <c r="D1502" s="5215"/>
      <c r="E1502" s="5216"/>
      <c r="F1502" s="5027"/>
    </row>
    <row r="1503" spans="1:6" ht="14.85" customHeight="1">
      <c r="A1503" s="5200"/>
      <c r="B1503" s="5207"/>
      <c r="D1503" s="5215"/>
      <c r="E1503" s="5216"/>
      <c r="F1503" s="5027"/>
    </row>
    <row r="1504" spans="1:6" ht="14.85" customHeight="1">
      <c r="A1504" s="5200"/>
      <c r="B1504" s="5207"/>
      <c r="D1504" s="5215"/>
      <c r="E1504" s="5216"/>
      <c r="F1504" s="5027"/>
    </row>
    <row r="1505" spans="1:6" ht="14.85" customHeight="1">
      <c r="A1505" s="5200"/>
      <c r="B1505" s="5207"/>
      <c r="D1505" s="5215"/>
      <c r="E1505" s="5216"/>
      <c r="F1505" s="5027"/>
    </row>
    <row r="1506" spans="1:6" ht="14.85" customHeight="1">
      <c r="A1506" s="5200"/>
      <c r="B1506" s="5207"/>
      <c r="D1506" s="5215"/>
      <c r="E1506" s="5216"/>
      <c r="F1506" s="5027"/>
    </row>
    <row r="1507" spans="1:6" ht="14.85" customHeight="1">
      <c r="A1507" s="5200"/>
      <c r="B1507" s="5207"/>
      <c r="D1507" s="5215"/>
      <c r="E1507" s="5216"/>
      <c r="F1507" s="5027"/>
    </row>
    <row r="1508" spans="1:6" ht="14.85" customHeight="1">
      <c r="A1508" s="5200"/>
      <c r="B1508" s="5207"/>
      <c r="D1508" s="5215"/>
      <c r="E1508" s="5216"/>
      <c r="F1508" s="5027"/>
    </row>
    <row r="1509" spans="1:6" ht="14.85" customHeight="1">
      <c r="A1509" s="5200"/>
      <c r="B1509" s="5207"/>
      <c r="D1509" s="5215"/>
      <c r="E1509" s="5216"/>
      <c r="F1509" s="5027"/>
    </row>
    <row r="1510" spans="1:6" ht="14.85" customHeight="1">
      <c r="A1510" s="5200"/>
      <c r="B1510" s="5207"/>
      <c r="D1510" s="5215"/>
      <c r="E1510" s="5216"/>
      <c r="F1510" s="5027"/>
    </row>
    <row r="1511" spans="1:6" ht="14.85" customHeight="1">
      <c r="A1511" s="5200"/>
      <c r="B1511" s="5207"/>
      <c r="D1511" s="5215"/>
      <c r="E1511" s="5216"/>
      <c r="F1511" s="5027"/>
    </row>
    <row r="1512" spans="1:6" ht="14.85" customHeight="1">
      <c r="A1512" s="5200"/>
      <c r="B1512" s="5207"/>
      <c r="D1512" s="5215"/>
      <c r="E1512" s="5216"/>
      <c r="F1512" s="5027"/>
    </row>
    <row r="1513" spans="1:6" ht="14.85" customHeight="1">
      <c r="A1513" s="5200"/>
      <c r="B1513" s="5207"/>
      <c r="D1513" s="5215"/>
      <c r="E1513" s="5216"/>
      <c r="F1513" s="5027"/>
    </row>
    <row r="1514" spans="1:6" ht="14.85" customHeight="1">
      <c r="A1514" s="5200"/>
      <c r="B1514" s="5207"/>
      <c r="D1514" s="5215"/>
      <c r="E1514" s="5216"/>
      <c r="F1514" s="5027"/>
    </row>
    <row r="1515" spans="1:6" ht="14.85" customHeight="1">
      <c r="A1515" s="5200"/>
      <c r="B1515" s="5207"/>
      <c r="D1515" s="5215"/>
      <c r="E1515" s="5216"/>
      <c r="F1515" s="5027"/>
    </row>
    <row r="1516" spans="1:6" ht="14.85" customHeight="1">
      <c r="A1516" s="5200"/>
      <c r="B1516" s="5207"/>
      <c r="D1516" s="5215"/>
      <c r="E1516" s="5216"/>
      <c r="F1516" s="5027"/>
    </row>
    <row r="1517" spans="1:6" ht="14.85" customHeight="1">
      <c r="A1517" s="5200"/>
      <c r="B1517" s="5207"/>
      <c r="D1517" s="5215"/>
      <c r="E1517" s="5216"/>
      <c r="F1517" s="5027"/>
    </row>
    <row r="1518" spans="1:6" ht="14.85" customHeight="1">
      <c r="A1518" s="5200"/>
      <c r="B1518" s="5207"/>
      <c r="D1518" s="5215"/>
      <c r="E1518" s="5216"/>
      <c r="F1518" s="5027"/>
    </row>
    <row r="1519" spans="1:6" ht="14.85" customHeight="1">
      <c r="A1519" s="5200"/>
      <c r="B1519" s="5207"/>
      <c r="D1519" s="5215"/>
      <c r="E1519" s="5216"/>
      <c r="F1519" s="5027"/>
    </row>
    <row r="1520" spans="1:6" ht="14.85" customHeight="1">
      <c r="A1520" s="5200"/>
      <c r="B1520" s="5207"/>
      <c r="D1520" s="5215"/>
      <c r="E1520" s="5216"/>
      <c r="F1520" s="5027"/>
    </row>
    <row r="1521" spans="1:6" ht="14.85" customHeight="1">
      <c r="A1521" s="5200"/>
      <c r="B1521" s="5207"/>
      <c r="D1521" s="5215"/>
      <c r="E1521" s="5216"/>
      <c r="F1521" s="5027"/>
    </row>
    <row r="1522" spans="1:6" ht="14.85" customHeight="1">
      <c r="A1522" s="5200"/>
      <c r="B1522" s="5207"/>
      <c r="D1522" s="5215"/>
      <c r="E1522" s="5216"/>
      <c r="F1522" s="5027"/>
    </row>
    <row r="1523" spans="1:6" ht="14.85" customHeight="1">
      <c r="A1523" s="5200"/>
      <c r="B1523" s="5207"/>
      <c r="D1523" s="5215"/>
      <c r="E1523" s="5216"/>
      <c r="F1523" s="5027"/>
    </row>
    <row r="1524" spans="1:6" ht="14.85" customHeight="1">
      <c r="A1524" s="5200"/>
      <c r="B1524" s="5207"/>
      <c r="D1524" s="5215"/>
      <c r="E1524" s="5216"/>
      <c r="F1524" s="5027"/>
    </row>
    <row r="1525" spans="1:6" ht="14.85" customHeight="1">
      <c r="A1525" s="5200"/>
      <c r="B1525" s="5207"/>
      <c r="D1525" s="5215"/>
      <c r="E1525" s="5216"/>
      <c r="F1525" s="5027"/>
    </row>
    <row r="1526" spans="1:6" ht="14.85" customHeight="1">
      <c r="A1526" s="5200"/>
      <c r="B1526" s="5207"/>
      <c r="D1526" s="5215"/>
      <c r="E1526" s="5216"/>
      <c r="F1526" s="5027"/>
    </row>
    <row r="1527" spans="1:6" ht="14.85" customHeight="1">
      <c r="A1527" s="5200"/>
      <c r="B1527" s="5207"/>
      <c r="D1527" s="5215"/>
      <c r="E1527" s="5216"/>
      <c r="F1527" s="5027"/>
    </row>
    <row r="1528" spans="1:6" ht="14.85" customHeight="1">
      <c r="A1528" s="5200"/>
      <c r="B1528" s="5207"/>
      <c r="D1528" s="5215"/>
      <c r="E1528" s="5216"/>
      <c r="F1528" s="5027"/>
    </row>
    <row r="1529" spans="1:6" ht="14.85" customHeight="1">
      <c r="A1529" s="5200"/>
      <c r="B1529" s="5207"/>
      <c r="D1529" s="5215"/>
      <c r="E1529" s="5216"/>
      <c r="F1529" s="5027"/>
    </row>
    <row r="1530" spans="1:6" ht="14.85" customHeight="1">
      <c r="A1530" s="5200"/>
      <c r="B1530" s="5207"/>
      <c r="D1530" s="5215"/>
      <c r="E1530" s="5216"/>
      <c r="F1530" s="5027"/>
    </row>
    <row r="1531" spans="1:6" ht="14.85" customHeight="1">
      <c r="A1531" s="5200"/>
      <c r="B1531" s="5207"/>
      <c r="D1531" s="5215"/>
      <c r="E1531" s="5216"/>
      <c r="F1531" s="5027"/>
    </row>
    <row r="1532" spans="1:6" ht="14.85" customHeight="1">
      <c r="A1532" s="5200"/>
      <c r="B1532" s="5207"/>
      <c r="D1532" s="5215"/>
      <c r="E1532" s="5216"/>
      <c r="F1532" s="5027"/>
    </row>
    <row r="1533" spans="1:6" ht="14.85" customHeight="1">
      <c r="A1533" s="5200"/>
      <c r="B1533" s="5207"/>
      <c r="D1533" s="5215"/>
      <c r="E1533" s="5216"/>
      <c r="F1533" s="5027"/>
    </row>
    <row r="1534" spans="1:6" ht="14.85" customHeight="1">
      <c r="A1534" s="5200"/>
      <c r="B1534" s="5207"/>
      <c r="D1534" s="5215"/>
      <c r="E1534" s="5216"/>
      <c r="F1534" s="5027"/>
    </row>
    <row r="1535" spans="1:6" ht="14.85" customHeight="1">
      <c r="A1535" s="5200"/>
      <c r="B1535" s="5207"/>
      <c r="D1535" s="5215"/>
      <c r="E1535" s="5216"/>
      <c r="F1535" s="5027"/>
    </row>
    <row r="1536" spans="1:6" ht="14.85" customHeight="1">
      <c r="A1536" s="5200"/>
      <c r="B1536" s="5207"/>
      <c r="D1536" s="5215"/>
      <c r="E1536" s="5216"/>
      <c r="F1536" s="5027"/>
    </row>
    <row r="1537" spans="1:6" ht="14.85" customHeight="1">
      <c r="A1537" s="5200"/>
      <c r="B1537" s="5207"/>
      <c r="D1537" s="5215"/>
      <c r="E1537" s="5216"/>
      <c r="F1537" s="5027"/>
    </row>
    <row r="1538" spans="1:6" ht="14.85" customHeight="1">
      <c r="A1538" s="5200"/>
      <c r="B1538" s="5207"/>
      <c r="D1538" s="5215"/>
      <c r="E1538" s="5216"/>
      <c r="F1538" s="5027"/>
    </row>
    <row r="1539" spans="1:6" ht="14.85" customHeight="1">
      <c r="A1539" s="5200"/>
      <c r="B1539" s="5207"/>
      <c r="D1539" s="5215"/>
      <c r="E1539" s="5216"/>
      <c r="F1539" s="5027"/>
    </row>
    <row r="1540" spans="1:6" ht="14.85" customHeight="1">
      <c r="A1540" s="5200"/>
      <c r="B1540" s="5207"/>
      <c r="D1540" s="5215"/>
      <c r="E1540" s="5216"/>
      <c r="F1540" s="5027"/>
    </row>
    <row r="1541" spans="1:6" ht="14.85" customHeight="1">
      <c r="A1541" s="5200"/>
      <c r="B1541" s="5207"/>
      <c r="D1541" s="5215"/>
      <c r="E1541" s="5216"/>
      <c r="F1541" s="5027"/>
    </row>
    <row r="1542" spans="1:6" ht="14.85" customHeight="1">
      <c r="A1542" s="5200"/>
      <c r="B1542" s="5207"/>
      <c r="D1542" s="5215"/>
      <c r="E1542" s="5216"/>
      <c r="F1542" s="5027"/>
    </row>
    <row r="1543" spans="1:6" ht="14.85" customHeight="1">
      <c r="A1543" s="5200"/>
      <c r="B1543" s="5207"/>
      <c r="D1543" s="5215"/>
      <c r="E1543" s="5216"/>
      <c r="F1543" s="5027"/>
    </row>
    <row r="1544" spans="1:6" ht="14.85" customHeight="1">
      <c r="A1544" s="5200"/>
      <c r="B1544" s="5207"/>
      <c r="D1544" s="5215"/>
      <c r="E1544" s="5216"/>
      <c r="F1544" s="5027"/>
    </row>
    <row r="1545" spans="1:6" ht="14.85" customHeight="1">
      <c r="A1545" s="5200"/>
      <c r="B1545" s="5207"/>
      <c r="D1545" s="5027"/>
      <c r="E1545" s="5027"/>
      <c r="F1545" s="5027"/>
    </row>
    <row r="1546" spans="1:6" ht="14.85" customHeight="1">
      <c r="A1546" s="5200"/>
      <c r="B1546" s="5207"/>
      <c r="D1546" s="5027"/>
      <c r="E1546" s="5027"/>
      <c r="F1546" s="5027"/>
    </row>
    <row r="1547" spans="1:6" ht="14.85" customHeight="1">
      <c r="A1547" s="5200"/>
      <c r="B1547" s="5207"/>
      <c r="D1547" s="5027"/>
      <c r="E1547" s="5027"/>
      <c r="F1547" s="5027"/>
    </row>
    <row r="1548" spans="1:6" ht="14.85" customHeight="1">
      <c r="A1548" s="5200"/>
      <c r="B1548" s="5207"/>
      <c r="D1548" s="5027"/>
      <c r="E1548" s="5027"/>
      <c r="F1548" s="5027"/>
    </row>
    <row r="1549" spans="1:6" ht="14.85" customHeight="1">
      <c r="A1549" s="5200"/>
      <c r="B1549" s="5207"/>
      <c r="D1549" s="5027"/>
      <c r="E1549" s="5027"/>
      <c r="F1549" s="5027"/>
    </row>
    <row r="1550" spans="1:6" ht="14.85" customHeight="1">
      <c r="A1550" s="5200"/>
      <c r="B1550" s="5207"/>
      <c r="D1550" s="5027"/>
      <c r="E1550" s="5027"/>
      <c r="F1550" s="5027"/>
    </row>
    <row r="1551" spans="1:6" ht="14.85" customHeight="1">
      <c r="A1551" s="5200"/>
      <c r="B1551" s="5207"/>
      <c r="D1551" s="5027"/>
      <c r="E1551" s="5027"/>
      <c r="F1551" s="5027"/>
    </row>
    <row r="1552" spans="1:6" ht="14.85" customHeight="1">
      <c r="A1552" s="5200"/>
      <c r="B1552" s="5207"/>
      <c r="D1552" s="5027"/>
      <c r="E1552" s="5027"/>
      <c r="F1552" s="5027"/>
    </row>
    <row r="1553" spans="1:6" ht="14.85" customHeight="1">
      <c r="A1553" s="5200"/>
      <c r="B1553" s="5207"/>
      <c r="D1553" s="5027"/>
      <c r="E1553" s="5027"/>
      <c r="F1553" s="5027"/>
    </row>
    <row r="1554" spans="1:6" ht="14.85" customHeight="1">
      <c r="A1554" s="5200"/>
      <c r="B1554" s="5207"/>
      <c r="D1554" s="5027"/>
      <c r="E1554" s="5027"/>
      <c r="F1554" s="5027"/>
    </row>
    <row r="1555" spans="1:6" ht="14.85" customHeight="1">
      <c r="A1555" s="5200"/>
      <c r="B1555" s="5207"/>
      <c r="D1555" s="5027"/>
      <c r="E1555" s="5027"/>
      <c r="F1555" s="5027"/>
    </row>
    <row r="1556" spans="1:6" ht="14.85" customHeight="1">
      <c r="A1556" s="5200"/>
      <c r="B1556" s="5207"/>
      <c r="D1556" s="5027"/>
      <c r="E1556" s="5027"/>
      <c r="F1556" s="5027"/>
    </row>
    <row r="1557" spans="1:6" ht="14.85" customHeight="1">
      <c r="A1557" s="5200"/>
      <c r="B1557" s="5207"/>
      <c r="D1557" s="5027"/>
      <c r="E1557" s="5027"/>
      <c r="F1557" s="5027"/>
    </row>
    <row r="1558" spans="1:6" ht="14.85" customHeight="1">
      <c r="A1558" s="5200"/>
      <c r="B1558" s="5207"/>
      <c r="D1558" s="5027"/>
      <c r="E1558" s="5027"/>
      <c r="F1558" s="5027"/>
    </row>
    <row r="1559" spans="1:6" ht="14.85" customHeight="1">
      <c r="A1559" s="5200"/>
      <c r="B1559" s="5207"/>
      <c r="D1559" s="5027"/>
      <c r="E1559" s="5027"/>
      <c r="F1559" s="5027"/>
    </row>
    <row r="1560" spans="1:6" ht="14.85" customHeight="1">
      <c r="A1560" s="5200"/>
      <c r="B1560" s="5207"/>
      <c r="D1560" s="5027"/>
      <c r="E1560" s="5027"/>
      <c r="F1560" s="5027"/>
    </row>
    <row r="1561" spans="1:6" ht="14.85" customHeight="1">
      <c r="A1561" s="5200"/>
      <c r="B1561" s="5207"/>
      <c r="D1561" s="5027"/>
      <c r="E1561" s="5027"/>
      <c r="F1561" s="5027"/>
    </row>
    <row r="1562" spans="1:6" ht="14.85" customHeight="1">
      <c r="A1562" s="5200"/>
      <c r="B1562" s="5207"/>
      <c r="D1562" s="5027"/>
      <c r="E1562" s="5027"/>
      <c r="F1562" s="5027"/>
    </row>
    <row r="1563" spans="1:6" ht="14.85" customHeight="1">
      <c r="A1563" s="5200"/>
      <c r="B1563" s="5207"/>
      <c r="D1563" s="5027"/>
      <c r="E1563" s="5027"/>
      <c r="F1563" s="5027"/>
    </row>
    <row r="1564" spans="1:6" ht="14.85" customHeight="1">
      <c r="A1564" s="5200"/>
      <c r="B1564" s="5207"/>
      <c r="D1564" s="5027"/>
      <c r="E1564" s="5027"/>
      <c r="F1564" s="5027"/>
    </row>
    <row r="1565" spans="1:6" ht="14.85" customHeight="1">
      <c r="A1565" s="5200"/>
      <c r="B1565" s="5207"/>
      <c r="D1565" s="5027"/>
      <c r="E1565" s="5027"/>
      <c r="F1565" s="5027"/>
    </row>
    <row r="1566" spans="1:6" ht="14.85" customHeight="1">
      <c r="A1566" s="5200"/>
      <c r="B1566" s="5207"/>
      <c r="D1566" s="5027"/>
      <c r="E1566" s="5027"/>
      <c r="F1566" s="5027"/>
    </row>
    <row r="1567" spans="1:6" ht="14.85" customHeight="1">
      <c r="A1567" s="5200"/>
      <c r="B1567" s="5207"/>
      <c r="D1567" s="5027"/>
      <c r="E1567" s="5027"/>
      <c r="F1567" s="5027"/>
    </row>
    <row r="1568" spans="1:6" ht="14.85" customHeight="1">
      <c r="A1568" s="5200"/>
      <c r="B1568" s="5207"/>
      <c r="D1568" s="5027"/>
      <c r="E1568" s="5027"/>
      <c r="F1568" s="5027"/>
    </row>
    <row r="1569" spans="1:6" ht="14.85" customHeight="1">
      <c r="A1569" s="5200"/>
      <c r="B1569" s="5207"/>
      <c r="D1569" s="5027"/>
      <c r="E1569" s="5027"/>
      <c r="F1569" s="5027"/>
    </row>
    <row r="1570" spans="1:6" ht="14.85" customHeight="1">
      <c r="A1570" s="5200"/>
      <c r="B1570" s="5207"/>
      <c r="D1570" s="5027"/>
      <c r="E1570" s="5027"/>
      <c r="F1570" s="5027"/>
    </row>
    <row r="1571" spans="1:6" ht="14.85" customHeight="1">
      <c r="A1571" s="5200"/>
      <c r="B1571" s="5207"/>
      <c r="D1571" s="5027"/>
      <c r="E1571" s="5027"/>
      <c r="F1571" s="5027"/>
    </row>
    <row r="1572" spans="1:6" ht="14.85" customHeight="1">
      <c r="A1572" s="5200"/>
      <c r="B1572" s="5207"/>
      <c r="D1572" s="5027"/>
      <c r="E1572" s="5027"/>
      <c r="F1572" s="5027"/>
    </row>
    <row r="1573" spans="1:6" ht="14.85" customHeight="1">
      <c r="A1573" s="5200"/>
      <c r="B1573" s="5207"/>
      <c r="D1573" s="5027"/>
      <c r="E1573" s="5027"/>
      <c r="F1573" s="5027"/>
    </row>
    <row r="1574" spans="1:6" ht="14.85" customHeight="1">
      <c r="A1574" s="5200"/>
      <c r="B1574" s="5207"/>
      <c r="D1574" s="5027"/>
      <c r="E1574" s="5027"/>
      <c r="F1574" s="5027"/>
    </row>
    <row r="1575" spans="1:6" ht="14.85" customHeight="1">
      <c r="A1575" s="5200"/>
      <c r="B1575" s="5207"/>
      <c r="D1575" s="5027"/>
      <c r="E1575" s="5027"/>
      <c r="F1575" s="5027"/>
    </row>
    <row r="1576" spans="1:6" ht="14.85" customHeight="1">
      <c r="A1576" s="5200"/>
      <c r="B1576" s="5207"/>
      <c r="D1576" s="5027"/>
      <c r="E1576" s="5027"/>
      <c r="F1576" s="5027"/>
    </row>
    <row r="1577" spans="1:6" ht="14.85" customHeight="1">
      <c r="A1577" s="5200"/>
      <c r="B1577" s="5207"/>
      <c r="D1577" s="5027"/>
      <c r="E1577" s="5027"/>
      <c r="F1577" s="5027"/>
    </row>
    <row r="1578" spans="1:6" ht="14.85" customHeight="1">
      <c r="A1578" s="5200"/>
      <c r="B1578" s="5207"/>
      <c r="D1578" s="5027"/>
      <c r="E1578" s="5027"/>
      <c r="F1578" s="5027"/>
    </row>
    <row r="1579" spans="1:6" ht="14.85" customHeight="1">
      <c r="A1579" s="5200"/>
      <c r="B1579" s="5207"/>
      <c r="D1579" s="5027"/>
      <c r="E1579" s="5027"/>
      <c r="F1579" s="5027"/>
    </row>
    <row r="1580" spans="1:6" ht="14.85" customHeight="1">
      <c r="A1580" s="5200"/>
      <c r="B1580" s="5207"/>
      <c r="F1580" s="5027"/>
    </row>
    <row r="1581" spans="1:6" ht="14.85" customHeight="1">
      <c r="A1581" s="5200"/>
      <c r="B1581" s="5207"/>
      <c r="F1581" s="5027"/>
    </row>
    <row r="1582" spans="1:6" ht="14.85" customHeight="1">
      <c r="A1582" s="5200"/>
      <c r="B1582" s="5207"/>
      <c r="F1582" s="5027"/>
    </row>
    <row r="1583" spans="1:6" ht="14.85" customHeight="1">
      <c r="A1583" s="5200"/>
      <c r="B1583" s="5207"/>
      <c r="F1583" s="5027"/>
    </row>
    <row r="1584" spans="1:6" ht="14.85" customHeight="1">
      <c r="A1584" s="5200"/>
      <c r="B1584" s="5207"/>
    </row>
    <row r="1585" spans="1:2" ht="14.85" customHeight="1">
      <c r="A1585" s="5200"/>
      <c r="B1585" s="5207"/>
    </row>
    <row r="1586" spans="1:2" ht="14.85" customHeight="1">
      <c r="A1586" s="5200"/>
      <c r="B1586" s="5207"/>
    </row>
    <row r="1587" spans="1:2" ht="14.85" customHeight="1">
      <c r="A1587" s="5200"/>
      <c r="B1587" s="5207"/>
    </row>
    <row r="1588" spans="1:2" ht="14.85" customHeight="1">
      <c r="A1588" s="5200"/>
      <c r="B1588" s="5207"/>
    </row>
    <row r="1589" spans="1:2" ht="14.85" customHeight="1">
      <c r="A1589" s="5200"/>
      <c r="B1589" s="5207"/>
    </row>
    <row r="1590" spans="1:2" ht="14.85" customHeight="1">
      <c r="A1590" s="5200"/>
      <c r="B1590" s="5207"/>
    </row>
    <row r="1591" spans="1:2" ht="14.85" customHeight="1">
      <c r="A1591" s="5200"/>
      <c r="B1591" s="5207"/>
    </row>
    <row r="1592" spans="1:2" ht="14.85" customHeight="1">
      <c r="A1592" s="5200"/>
      <c r="B1592" s="5207"/>
    </row>
    <row r="1593" spans="1:2" ht="14.85" customHeight="1">
      <c r="A1593" s="5200"/>
      <c r="B1593" s="5207"/>
    </row>
    <row r="1594" spans="1:2" ht="14.85" customHeight="1">
      <c r="A1594" s="5200"/>
      <c r="B1594" s="5207"/>
    </row>
    <row r="1595" spans="1:2" ht="14.85" customHeight="1">
      <c r="A1595" s="5200"/>
      <c r="B1595" s="5207"/>
    </row>
    <row r="1596" spans="1:2" ht="14.85" customHeight="1">
      <c r="A1596" s="5200"/>
      <c r="B1596" s="5207"/>
    </row>
    <row r="1597" spans="1:2" ht="14.85" customHeight="1">
      <c r="A1597" s="5200"/>
      <c r="B1597" s="5207"/>
    </row>
    <row r="1598" spans="1:2" ht="14.85" customHeight="1">
      <c r="A1598" s="5200"/>
      <c r="B1598" s="5207"/>
    </row>
    <row r="1599" spans="1:2" ht="14.85" customHeight="1">
      <c r="A1599" s="5200"/>
      <c r="B1599" s="5207"/>
    </row>
    <row r="1600" spans="1:2" ht="14.85" customHeight="1">
      <c r="A1600" s="5200"/>
      <c r="B1600" s="5207"/>
    </row>
    <row r="1601" spans="1:2" ht="14.85" customHeight="1">
      <c r="A1601" s="5200"/>
      <c r="B1601" s="5207"/>
    </row>
    <row r="1602" spans="1:2" ht="14.85" customHeight="1">
      <c r="A1602" s="5200"/>
      <c r="B1602" s="5207"/>
    </row>
    <row r="1603" spans="1:2" ht="14.85" customHeight="1">
      <c r="A1603" s="5200"/>
      <c r="B1603" s="5207"/>
    </row>
    <row r="1604" spans="1:2" ht="14.85" customHeight="1">
      <c r="A1604" s="5200"/>
      <c r="B1604" s="5207"/>
    </row>
    <row r="1605" spans="1:2" ht="14.85" customHeight="1">
      <c r="A1605" s="5200"/>
      <c r="B1605" s="5207"/>
    </row>
    <row r="1606" spans="1:2" ht="14.85" customHeight="1">
      <c r="A1606" s="5200"/>
      <c r="B1606" s="5207"/>
    </row>
    <row r="1607" spans="1:2" ht="14.85" customHeight="1">
      <c r="A1607" s="5200"/>
      <c r="B1607" s="5207"/>
    </row>
    <row r="1608" spans="1:2" ht="14.85" customHeight="1">
      <c r="A1608" s="5200"/>
      <c r="B1608" s="5207"/>
    </row>
    <row r="1609" spans="1:2" ht="14.85" customHeight="1">
      <c r="A1609" s="5200"/>
      <c r="B1609" s="5207"/>
    </row>
    <row r="1610" spans="1:2" ht="14.85" customHeight="1">
      <c r="A1610" s="5200"/>
      <c r="B1610" s="5207"/>
    </row>
    <row r="1611" spans="1:2" ht="14.85" customHeight="1">
      <c r="A1611" s="5200"/>
      <c r="B1611" s="5207"/>
    </row>
    <row r="1612" spans="1:2" ht="14.85" customHeight="1">
      <c r="A1612" s="5200"/>
      <c r="B1612" s="5207"/>
    </row>
    <row r="1613" spans="1:2" ht="14.85" customHeight="1">
      <c r="A1613" s="5200"/>
      <c r="B1613" s="5207"/>
    </row>
    <row r="1614" spans="1:2" ht="14.85" customHeight="1">
      <c r="A1614" s="5200"/>
      <c r="B1614" s="5207"/>
    </row>
    <row r="1615" spans="1:2" ht="14.85" customHeight="1">
      <c r="A1615" s="5200"/>
      <c r="B1615" s="5207"/>
    </row>
    <row r="1616" spans="1:2" ht="14.85" customHeight="1">
      <c r="A1616" s="5200"/>
      <c r="B1616" s="5207"/>
    </row>
    <row r="1617" spans="1:2" ht="14.85" customHeight="1">
      <c r="A1617" s="5200"/>
      <c r="B1617" s="5207"/>
    </row>
    <row r="1618" spans="1:2" ht="14.85" customHeight="1">
      <c r="A1618" s="5200"/>
      <c r="B1618" s="5207"/>
    </row>
    <row r="1619" spans="1:2" ht="14.85" customHeight="1">
      <c r="A1619" s="5200"/>
      <c r="B1619" s="5207"/>
    </row>
    <row r="1620" spans="1:2" ht="14.85" customHeight="1">
      <c r="A1620" s="5200"/>
      <c r="B1620" s="5207"/>
    </row>
    <row r="1621" spans="1:2" ht="14.85" customHeight="1">
      <c r="A1621" s="5200"/>
      <c r="B1621" s="5207"/>
    </row>
    <row r="1622" spans="1:2" ht="14.85" customHeight="1">
      <c r="A1622" s="5200"/>
      <c r="B1622" s="5207"/>
    </row>
    <row r="1623" spans="1:2" ht="14.85" customHeight="1">
      <c r="A1623" s="5200"/>
      <c r="B1623" s="5207"/>
    </row>
    <row r="1624" spans="1:2" ht="14.85" customHeight="1">
      <c r="A1624" s="5200"/>
      <c r="B1624" s="5207"/>
    </row>
    <row r="1625" spans="1:2" ht="14.85" customHeight="1">
      <c r="A1625" s="5200"/>
      <c r="B1625" s="5207"/>
    </row>
    <row r="1626" spans="1:2" ht="14.85" customHeight="1">
      <c r="A1626" s="5200"/>
      <c r="B1626" s="5207"/>
    </row>
    <row r="1627" spans="1:2" ht="14.85" customHeight="1">
      <c r="A1627" s="5200"/>
      <c r="B1627" s="5207"/>
    </row>
    <row r="1628" spans="1:2" ht="14.85" customHeight="1">
      <c r="A1628" s="5200"/>
      <c r="B1628" s="5207"/>
    </row>
    <row r="1629" spans="1:2" ht="14.85" customHeight="1">
      <c r="A1629" s="5200"/>
      <c r="B1629" s="5207"/>
    </row>
    <row r="1630" spans="1:2" ht="14.85" customHeight="1">
      <c r="A1630" s="5200"/>
      <c r="B1630" s="5207"/>
    </row>
    <row r="1631" spans="1:2" ht="14.85" customHeight="1">
      <c r="A1631" s="5200"/>
      <c r="B1631" s="5207"/>
    </row>
    <row r="1632" spans="1:2" ht="14.85" customHeight="1">
      <c r="A1632" s="5200"/>
      <c r="B1632" s="5207"/>
    </row>
    <row r="1633" spans="1:2" ht="14.85" customHeight="1">
      <c r="A1633" s="5200"/>
      <c r="B1633" s="5207"/>
    </row>
    <row r="1634" spans="1:2" ht="14.85" customHeight="1">
      <c r="A1634" s="5200"/>
      <c r="B1634" s="5207"/>
    </row>
    <row r="1635" spans="1:2" ht="14.85" customHeight="1">
      <c r="A1635" s="5200"/>
      <c r="B1635" s="5207"/>
    </row>
    <row r="1636" spans="1:2" ht="14.85" customHeight="1">
      <c r="A1636" s="5200"/>
      <c r="B1636" s="5207"/>
    </row>
    <row r="1637" spans="1:2" ht="14.85" customHeight="1">
      <c r="A1637" s="5200"/>
      <c r="B1637" s="5207"/>
    </row>
    <row r="1638" spans="1:2" ht="14.85" customHeight="1">
      <c r="A1638" s="5200"/>
      <c r="B1638" s="5207"/>
    </row>
    <row r="1639" spans="1:2" ht="14.85" customHeight="1">
      <c r="A1639" s="5200"/>
      <c r="B1639" s="5207"/>
    </row>
    <row r="1640" spans="1:2" ht="14.85" customHeight="1">
      <c r="A1640" s="5200"/>
      <c r="B1640" s="5207"/>
    </row>
    <row r="1641" spans="1:2" ht="14.85" customHeight="1">
      <c r="A1641" s="5200"/>
      <c r="B1641" s="5207"/>
    </row>
    <row r="1642" spans="1:2" ht="14.85" customHeight="1">
      <c r="A1642" s="5200"/>
      <c r="B1642" s="5207"/>
    </row>
    <row r="1643" spans="1:2" ht="14.85" customHeight="1">
      <c r="A1643" s="5200"/>
      <c r="B1643" s="5207"/>
    </row>
    <row r="1644" spans="1:2" ht="14.85" customHeight="1">
      <c r="A1644" s="5200"/>
      <c r="B1644" s="5207"/>
    </row>
    <row r="1645" spans="1:2" ht="14.85" customHeight="1">
      <c r="A1645" s="5200"/>
      <c r="B1645" s="5207"/>
    </row>
    <row r="1646" spans="1:2" ht="14.85" customHeight="1">
      <c r="A1646" s="5200"/>
      <c r="B1646" s="5207"/>
    </row>
    <row r="1647" spans="1:2" ht="14.85" customHeight="1">
      <c r="A1647" s="5200"/>
      <c r="B1647" s="5207"/>
    </row>
    <row r="1648" spans="1:2" ht="14.85" customHeight="1">
      <c r="A1648" s="5200"/>
      <c r="B1648" s="5207"/>
    </row>
    <row r="1649" spans="1:2" ht="14.85" customHeight="1">
      <c r="A1649" s="5200"/>
      <c r="B1649" s="5207"/>
    </row>
    <row r="1650" spans="1:2" ht="14.85" customHeight="1">
      <c r="A1650" s="5200"/>
      <c r="B1650" s="5207"/>
    </row>
    <row r="1651" spans="1:2" ht="14.85" customHeight="1">
      <c r="A1651" s="5200"/>
      <c r="B1651" s="5207"/>
    </row>
    <row r="1652" spans="1:2" ht="14.85" customHeight="1">
      <c r="A1652" s="5200"/>
      <c r="B1652" s="5207"/>
    </row>
    <row r="1653" spans="1:2" ht="14.85" customHeight="1">
      <c r="A1653" s="5200"/>
      <c r="B1653" s="5207"/>
    </row>
    <row r="1654" spans="1:2" ht="14.85" customHeight="1">
      <c r="A1654" s="5200"/>
      <c r="B1654" s="5207"/>
    </row>
    <row r="1655" spans="1:2" ht="14.85" customHeight="1">
      <c r="A1655" s="5200"/>
      <c r="B1655" s="5207"/>
    </row>
    <row r="1656" spans="1:2" ht="14.85" customHeight="1">
      <c r="A1656" s="5200"/>
      <c r="B1656" s="5207"/>
    </row>
    <row r="1657" spans="1:2" ht="14.85" customHeight="1">
      <c r="A1657" s="5200"/>
      <c r="B1657" s="5207"/>
    </row>
    <row r="1658" spans="1:2" ht="14.85" customHeight="1">
      <c r="A1658" s="5200"/>
      <c r="B1658" s="5207"/>
    </row>
    <row r="1659" spans="1:2" ht="14.85" customHeight="1">
      <c r="A1659" s="5200"/>
      <c r="B1659" s="5207"/>
    </row>
    <row r="1660" spans="1:2" ht="14.85" customHeight="1">
      <c r="A1660" s="5200"/>
      <c r="B1660" s="5207"/>
    </row>
    <row r="1661" spans="1:2" ht="14.85" customHeight="1">
      <c r="A1661" s="5200"/>
      <c r="B1661" s="5207"/>
    </row>
    <row r="1662" spans="1:2" ht="14.85" customHeight="1">
      <c r="A1662" s="5200"/>
      <c r="B1662" s="5207"/>
    </row>
    <row r="1663" spans="1:2" ht="14.85" customHeight="1">
      <c r="A1663" s="5200"/>
      <c r="B1663" s="5207"/>
    </row>
    <row r="1664" spans="1:2" ht="14.85" customHeight="1">
      <c r="A1664" s="5200"/>
      <c r="B1664" s="5207"/>
    </row>
    <row r="1665" spans="1:2" ht="14.85" customHeight="1">
      <c r="A1665" s="5200"/>
      <c r="B1665" s="5207"/>
    </row>
    <row r="1666" spans="1:2" ht="14.85" customHeight="1">
      <c r="A1666" s="5200"/>
      <c r="B1666" s="5207"/>
    </row>
    <row r="1667" spans="1:2" ht="14.85" customHeight="1">
      <c r="A1667" s="5200"/>
      <c r="B1667" s="5207"/>
    </row>
    <row r="1668" spans="1:2" ht="14.85" customHeight="1">
      <c r="A1668" s="5200"/>
      <c r="B1668" s="5207"/>
    </row>
    <row r="1669" spans="1:2" ht="14.85" customHeight="1">
      <c r="A1669" s="5200"/>
      <c r="B1669" s="5207"/>
    </row>
    <row r="1670" spans="1:2" ht="14.85" customHeight="1">
      <c r="A1670" s="5200"/>
      <c r="B1670" s="5207"/>
    </row>
    <row r="1671" spans="1:2" ht="14.85" customHeight="1">
      <c r="A1671" s="5200"/>
      <c r="B1671" s="5207"/>
    </row>
    <row r="1672" spans="1:2" ht="14.85" customHeight="1">
      <c r="A1672" s="5200"/>
      <c r="B1672" s="5207"/>
    </row>
    <row r="1673" spans="1:2" ht="14.85" customHeight="1">
      <c r="A1673" s="5200"/>
      <c r="B1673" s="5207"/>
    </row>
    <row r="1674" spans="1:2" ht="14.85" customHeight="1">
      <c r="A1674" s="5200"/>
      <c r="B1674" s="5207"/>
    </row>
    <row r="1675" spans="1:2" ht="14.85" customHeight="1">
      <c r="A1675" s="5200"/>
      <c r="B1675" s="5207"/>
    </row>
    <row r="1676" spans="1:2" ht="14.85" customHeight="1">
      <c r="A1676" s="5200"/>
      <c r="B1676" s="5207"/>
    </row>
    <row r="1677" spans="1:2" ht="14.85" customHeight="1">
      <c r="A1677" s="5200"/>
      <c r="B1677" s="5207"/>
    </row>
    <row r="1678" spans="1:2" ht="14.85" customHeight="1">
      <c r="A1678" s="5200"/>
      <c r="B1678" s="5207"/>
    </row>
    <row r="1679" spans="1:2" ht="14.85" customHeight="1">
      <c r="A1679" s="5200"/>
      <c r="B1679" s="5207"/>
    </row>
    <row r="1680" spans="1:2" ht="14.85" customHeight="1">
      <c r="A1680" s="5200"/>
      <c r="B1680" s="5207"/>
    </row>
    <row r="1681" spans="1:2" ht="14.85" customHeight="1">
      <c r="A1681" s="5200"/>
      <c r="B1681" s="5207"/>
    </row>
    <row r="1682" spans="1:2" ht="14.85" customHeight="1">
      <c r="A1682" s="5200"/>
      <c r="B1682" s="5207"/>
    </row>
    <row r="1683" spans="1:2" ht="14.85" customHeight="1">
      <c r="A1683" s="5200"/>
      <c r="B1683" s="5207"/>
    </row>
    <row r="1684" spans="1:2" ht="14.85" customHeight="1">
      <c r="A1684" s="5200"/>
      <c r="B1684" s="5207"/>
    </row>
    <row r="1685" spans="1:2" ht="14.85" customHeight="1">
      <c r="A1685" s="5200"/>
      <c r="B1685" s="5207"/>
    </row>
    <row r="1686" spans="1:2" ht="14.85" customHeight="1">
      <c r="A1686" s="5200"/>
      <c r="B1686" s="5207"/>
    </row>
    <row r="1687" spans="1:2" ht="14.85" customHeight="1">
      <c r="A1687" s="5200"/>
      <c r="B1687" s="5207"/>
    </row>
    <row r="1688" spans="1:2" ht="14.85" customHeight="1">
      <c r="A1688" s="5200"/>
      <c r="B1688" s="5207"/>
    </row>
    <row r="1689" spans="1:2" ht="14.85" customHeight="1">
      <c r="A1689" s="5200"/>
      <c r="B1689" s="5207"/>
    </row>
    <row r="1690" spans="1:2" ht="14.85" customHeight="1">
      <c r="A1690" s="5200"/>
      <c r="B1690" s="5207"/>
    </row>
    <row r="1691" spans="1:2" ht="14.85" customHeight="1">
      <c r="A1691" s="5200"/>
      <c r="B1691" s="5207"/>
    </row>
    <row r="1692" spans="1:2" ht="14.85" customHeight="1">
      <c r="A1692" s="5200"/>
      <c r="B1692" s="5207"/>
    </row>
    <row r="1693" spans="1:2" ht="14.85" customHeight="1">
      <c r="A1693" s="5200"/>
      <c r="B1693" s="5207"/>
    </row>
    <row r="1694" spans="1:2" ht="14.85" customHeight="1">
      <c r="A1694" s="5200"/>
      <c r="B1694" s="5207"/>
    </row>
    <row r="1695" spans="1:2" ht="14.85" customHeight="1">
      <c r="A1695" s="5200"/>
      <c r="B1695" s="5207"/>
    </row>
    <row r="1696" spans="1:2" ht="14.85" customHeight="1">
      <c r="A1696" s="5200"/>
      <c r="B1696" s="5207"/>
    </row>
    <row r="1697" spans="1:2" ht="14.85" customHeight="1">
      <c r="A1697" s="5200"/>
      <c r="B1697" s="5207"/>
    </row>
    <row r="1698" spans="1:2" ht="14.85" customHeight="1">
      <c r="A1698" s="5200"/>
      <c r="B1698" s="5207"/>
    </row>
    <row r="1699" spans="1:2" ht="14.85" customHeight="1">
      <c r="A1699" s="5200"/>
      <c r="B1699" s="5207"/>
    </row>
    <row r="1700" spans="1:2" ht="14.85" customHeight="1">
      <c r="A1700" s="5200"/>
      <c r="B1700" s="5207"/>
    </row>
    <row r="1701" spans="1:2" ht="14.85" customHeight="1">
      <c r="A1701" s="5200"/>
      <c r="B1701" s="5207"/>
    </row>
    <row r="1702" spans="1:2" ht="14.85" customHeight="1">
      <c r="A1702" s="5200"/>
      <c r="B1702" s="5207"/>
    </row>
    <row r="1703" spans="1:2" ht="14.85" customHeight="1">
      <c r="A1703" s="5200"/>
      <c r="B1703" s="5207"/>
    </row>
    <row r="1704" spans="1:2" ht="14.85" customHeight="1">
      <c r="A1704" s="5200"/>
      <c r="B1704" s="5207"/>
    </row>
    <row r="1705" spans="1:2" ht="14.85" customHeight="1">
      <c r="A1705" s="5200"/>
      <c r="B1705" s="5207"/>
    </row>
    <row r="1706" spans="1:2" ht="14.85" customHeight="1">
      <c r="A1706" s="5200"/>
      <c r="B1706" s="5207"/>
    </row>
    <row r="1707" spans="1:2" ht="14.85" customHeight="1">
      <c r="A1707" s="5200"/>
      <c r="B1707" s="5207"/>
    </row>
    <row r="1708" spans="1:2" ht="14.85" customHeight="1">
      <c r="A1708" s="5200"/>
      <c r="B1708" s="5207"/>
    </row>
    <row r="1709" spans="1:2" ht="14.85" customHeight="1">
      <c r="A1709" s="5200"/>
      <c r="B1709" s="5207"/>
    </row>
    <row r="1710" spans="1:2" ht="14.85" customHeight="1">
      <c r="A1710" s="5200"/>
      <c r="B1710" s="5207"/>
    </row>
    <row r="1711" spans="1:2" ht="14.85" customHeight="1">
      <c r="A1711" s="5200"/>
      <c r="B1711" s="5207"/>
    </row>
    <row r="1712" spans="1:2" ht="14.85" customHeight="1">
      <c r="A1712" s="5200"/>
      <c r="B1712" s="5207"/>
    </row>
    <row r="1713" spans="1:2" ht="14.85" customHeight="1">
      <c r="A1713" s="5200"/>
      <c r="B1713" s="5207"/>
    </row>
    <row r="1714" spans="1:2" ht="14.85" customHeight="1">
      <c r="A1714" s="5200"/>
      <c r="B1714" s="5207"/>
    </row>
    <row r="1715" spans="1:2" ht="14.85" customHeight="1">
      <c r="A1715" s="5200"/>
      <c r="B1715" s="5207"/>
    </row>
    <row r="1716" spans="1:2" ht="14.85" customHeight="1">
      <c r="A1716" s="5200"/>
      <c r="B1716" s="5207"/>
    </row>
    <row r="1717" spans="1:2" ht="14.85" customHeight="1">
      <c r="A1717" s="5200"/>
      <c r="B1717" s="5207"/>
    </row>
    <row r="1718" spans="1:2" ht="14.85" customHeight="1">
      <c r="A1718" s="5200"/>
      <c r="B1718" s="5207"/>
    </row>
    <row r="1719" spans="1:2" ht="14.85" customHeight="1">
      <c r="A1719" s="5200"/>
      <c r="B1719" s="5207"/>
    </row>
    <row r="1720" spans="1:2" ht="14.85" customHeight="1">
      <c r="A1720" s="5200"/>
      <c r="B1720" s="5207"/>
    </row>
    <row r="1721" spans="1:2" ht="14.85" customHeight="1">
      <c r="A1721" s="5200"/>
      <c r="B1721" s="5207"/>
    </row>
    <row r="1722" spans="1:2" ht="14.85" customHeight="1">
      <c r="A1722" s="5200"/>
      <c r="B1722" s="5207"/>
    </row>
    <row r="1723" spans="1:2" ht="14.85" customHeight="1">
      <c r="A1723" s="5200"/>
      <c r="B1723" s="5207"/>
    </row>
    <row r="1724" spans="1:2" ht="14.85" customHeight="1">
      <c r="A1724" s="5200"/>
      <c r="B1724" s="5207"/>
    </row>
    <row r="1725" spans="1:2" ht="14.85" customHeight="1">
      <c r="A1725" s="5200"/>
      <c r="B1725" s="5207"/>
    </row>
    <row r="1726" spans="1:2" ht="14.85" customHeight="1">
      <c r="A1726" s="5200"/>
      <c r="B1726" s="5207"/>
    </row>
    <row r="1727" spans="1:2" ht="14.85" customHeight="1">
      <c r="A1727" s="5200"/>
      <c r="B1727" s="5207"/>
    </row>
    <row r="1728" spans="1:2" ht="14.85" customHeight="1">
      <c r="A1728" s="5200"/>
      <c r="B1728" s="5207"/>
    </row>
    <row r="1729" spans="1:2" ht="14.85" customHeight="1">
      <c r="A1729" s="5200"/>
      <c r="B1729" s="5207"/>
    </row>
    <row r="1730" spans="1:2" ht="14.85" customHeight="1">
      <c r="A1730" s="5200"/>
      <c r="B1730" s="5207"/>
    </row>
    <row r="1731" spans="1:2" ht="14.85" customHeight="1">
      <c r="A1731" s="5200"/>
      <c r="B1731" s="5207"/>
    </row>
    <row r="1732" spans="1:2" ht="14.85" customHeight="1">
      <c r="A1732" s="5200"/>
      <c r="B1732" s="5207"/>
    </row>
    <row r="1733" spans="1:2" ht="14.85" customHeight="1">
      <c r="A1733" s="5200"/>
      <c r="B1733" s="5207"/>
    </row>
    <row r="1734" spans="1:2" ht="14.85" customHeight="1">
      <c r="A1734" s="5200"/>
      <c r="B1734" s="5207"/>
    </row>
    <row r="1735" spans="1:2" ht="14.85" customHeight="1">
      <c r="A1735" s="5200"/>
      <c r="B1735" s="5207"/>
    </row>
    <row r="1736" spans="1:2" ht="14.85" customHeight="1">
      <c r="A1736" s="5200"/>
      <c r="B1736" s="5207"/>
    </row>
    <row r="1737" spans="1:2" ht="14.85" customHeight="1">
      <c r="A1737" s="5200"/>
      <c r="B1737" s="5207"/>
    </row>
    <row r="1738" spans="1:2" ht="14.85" customHeight="1">
      <c r="A1738" s="5200"/>
      <c r="B1738" s="5207"/>
    </row>
    <row r="1739" spans="1:2" ht="14.85" customHeight="1">
      <c r="A1739" s="5200"/>
      <c r="B1739" s="5207"/>
    </row>
    <row r="1740" spans="1:2" ht="14.85" customHeight="1">
      <c r="A1740" s="5200"/>
      <c r="B1740" s="5207"/>
    </row>
    <row r="1741" spans="1:2" ht="14.85" customHeight="1">
      <c r="A1741" s="5200"/>
      <c r="B1741" s="5207"/>
    </row>
    <row r="1742" spans="1:2" ht="14.85" customHeight="1">
      <c r="A1742" s="5200"/>
      <c r="B1742" s="5207"/>
    </row>
    <row r="1743" spans="1:2" ht="14.85" customHeight="1">
      <c r="A1743" s="5200"/>
      <c r="B1743" s="5207"/>
    </row>
    <row r="1744" spans="1:2" ht="14.85" customHeight="1">
      <c r="A1744" s="5200"/>
      <c r="B1744" s="5207"/>
    </row>
    <row r="1745" spans="1:2" ht="14.85" customHeight="1">
      <c r="A1745" s="5200"/>
      <c r="B1745" s="5207"/>
    </row>
    <row r="1746" spans="1:2" ht="14.85" customHeight="1">
      <c r="A1746" s="5200"/>
      <c r="B1746" s="5207"/>
    </row>
    <row r="1747" spans="1:2" ht="14.85" customHeight="1">
      <c r="A1747" s="5200"/>
      <c r="B1747" s="5207"/>
    </row>
    <row r="1748" spans="1:2" ht="14.85" customHeight="1">
      <c r="A1748" s="5200"/>
      <c r="B1748" s="5207"/>
    </row>
    <row r="1749" spans="1:2" ht="14.85" customHeight="1">
      <c r="A1749" s="5200"/>
      <c r="B1749" s="5207"/>
    </row>
    <row r="1750" spans="1:2" ht="14.85" customHeight="1">
      <c r="A1750" s="5200"/>
      <c r="B1750" s="5207"/>
    </row>
    <row r="1751" spans="1:2" ht="14.85" customHeight="1">
      <c r="A1751" s="5200"/>
      <c r="B1751" s="5207"/>
    </row>
    <row r="1752" spans="1:2" ht="14.85" customHeight="1">
      <c r="A1752" s="5200"/>
      <c r="B1752" s="5207"/>
    </row>
    <row r="1753" spans="1:2" ht="14.85" customHeight="1">
      <c r="A1753" s="5200"/>
      <c r="B1753" s="5207"/>
    </row>
    <row r="1754" spans="1:2" ht="14.85" customHeight="1">
      <c r="A1754" s="5200"/>
      <c r="B1754" s="5207"/>
    </row>
    <row r="1755" spans="1:2" ht="14.85" customHeight="1">
      <c r="A1755" s="5200"/>
      <c r="B1755" s="5207"/>
    </row>
    <row r="1756" spans="1:2" ht="14.85" customHeight="1">
      <c r="A1756" s="5200"/>
      <c r="B1756" s="5207"/>
    </row>
    <row r="1757" spans="1:2" ht="14.85" customHeight="1">
      <c r="A1757" s="5200"/>
      <c r="B1757" s="5207"/>
    </row>
    <row r="1758" spans="1:2" ht="14.85" customHeight="1">
      <c r="A1758" s="5200"/>
      <c r="B1758" s="5207"/>
    </row>
    <row r="1759" spans="1:2" ht="14.85" customHeight="1">
      <c r="A1759" s="5200"/>
      <c r="B1759" s="5207"/>
    </row>
    <row r="1760" spans="1:2" ht="14.85" customHeight="1">
      <c r="A1760" s="5200"/>
      <c r="B1760" s="5207"/>
    </row>
    <row r="1761" spans="1:2" ht="14.85" customHeight="1">
      <c r="A1761" s="5200"/>
      <c r="B1761" s="5207"/>
    </row>
    <row r="1762" spans="1:2" ht="14.85" customHeight="1">
      <c r="A1762" s="5200"/>
      <c r="B1762" s="5207"/>
    </row>
    <row r="1763" spans="1:2" ht="14.85" customHeight="1">
      <c r="A1763" s="5200"/>
      <c r="B1763" s="5207"/>
    </row>
    <row r="1764" spans="1:2" ht="14.85" customHeight="1">
      <c r="A1764" s="5200"/>
      <c r="B1764" s="5207"/>
    </row>
    <row r="1765" spans="1:2" ht="14.85" customHeight="1">
      <c r="A1765" s="5200"/>
      <c r="B1765" s="5207"/>
    </row>
    <row r="1766" spans="1:2" ht="14.85" customHeight="1">
      <c r="A1766" s="5200"/>
      <c r="B1766" s="5207"/>
    </row>
    <row r="1767" spans="1:2" ht="14.85" customHeight="1">
      <c r="A1767" s="5200"/>
      <c r="B1767" s="5207"/>
    </row>
    <row r="1768" spans="1:2" ht="14.85" customHeight="1">
      <c r="A1768" s="5200"/>
      <c r="B1768" s="5207"/>
    </row>
    <row r="1769" spans="1:2" ht="14.85" customHeight="1">
      <c r="A1769" s="5200"/>
      <c r="B1769" s="5207"/>
    </row>
    <row r="1770" spans="1:2" ht="14.85" customHeight="1">
      <c r="A1770" s="5200"/>
      <c r="B1770" s="5207"/>
    </row>
    <row r="1771" spans="1:2" ht="14.85" customHeight="1">
      <c r="A1771" s="5200"/>
      <c r="B1771" s="5207"/>
    </row>
    <row r="1772" spans="1:2" ht="14.85" customHeight="1">
      <c r="A1772" s="5200"/>
      <c r="B1772" s="5207"/>
    </row>
    <row r="1773" spans="1:2" ht="14.85" customHeight="1">
      <c r="A1773" s="5200"/>
      <c r="B1773" s="5207"/>
    </row>
    <row r="1774" spans="1:2" ht="14.85" customHeight="1">
      <c r="A1774" s="5200"/>
      <c r="B1774" s="5207"/>
    </row>
    <row r="1775" spans="1:2" ht="14.85" customHeight="1">
      <c r="A1775" s="5200"/>
      <c r="B1775" s="5207"/>
    </row>
    <row r="1776" spans="1:2" ht="14.85" customHeight="1">
      <c r="A1776" s="5200"/>
      <c r="B1776" s="5207"/>
    </row>
    <row r="1777" spans="1:2" ht="14.85" customHeight="1">
      <c r="A1777" s="5200"/>
      <c r="B1777" s="5207"/>
    </row>
    <row r="1778" spans="1:2" ht="14.85" customHeight="1">
      <c r="A1778" s="5200"/>
      <c r="B1778" s="5207"/>
    </row>
    <row r="1779" spans="1:2" ht="14.85" customHeight="1">
      <c r="A1779" s="5200"/>
      <c r="B1779" s="5207"/>
    </row>
    <row r="1780" spans="1:2" ht="14.85" customHeight="1">
      <c r="A1780" s="5200"/>
      <c r="B1780" s="5207"/>
    </row>
    <row r="1781" spans="1:2" ht="14.85" customHeight="1">
      <c r="A1781" s="5200"/>
      <c r="B1781" s="5207"/>
    </row>
    <row r="1782" spans="1:2" ht="14.85" customHeight="1">
      <c r="A1782" s="5200"/>
      <c r="B1782" s="5207"/>
    </row>
    <row r="1783" spans="1:2" ht="14.85" customHeight="1">
      <c r="A1783" s="5200"/>
      <c r="B1783" s="5207"/>
    </row>
    <row r="1784" spans="1:2" ht="14.85" customHeight="1">
      <c r="A1784" s="5200"/>
      <c r="B1784" s="5207"/>
    </row>
    <row r="1785" spans="1:2" ht="14.85" customHeight="1">
      <c r="A1785" s="5200"/>
      <c r="B1785" s="5207"/>
    </row>
    <row r="1786" spans="1:2" ht="14.85" customHeight="1">
      <c r="A1786" s="5200"/>
      <c r="B1786" s="5207"/>
    </row>
    <row r="1787" spans="1:2" ht="14.85" customHeight="1">
      <c r="A1787" s="5200"/>
      <c r="B1787" s="5207"/>
    </row>
    <row r="1788" spans="1:2" ht="14.85" customHeight="1">
      <c r="A1788" s="5200"/>
      <c r="B1788" s="5207"/>
    </row>
    <row r="1789" spans="1:2" ht="14.85" customHeight="1">
      <c r="A1789" s="5200"/>
      <c r="B1789" s="5207"/>
    </row>
    <row r="1790" spans="1:2" ht="14.85" customHeight="1">
      <c r="A1790" s="5200"/>
      <c r="B1790" s="5207"/>
    </row>
    <row r="1791" spans="1:2" ht="14.85" customHeight="1">
      <c r="A1791" s="5200"/>
      <c r="B1791" s="5207"/>
    </row>
    <row r="1792" spans="1:2" ht="14.85" customHeight="1">
      <c r="A1792" s="5200"/>
      <c r="B1792" s="5207"/>
    </row>
    <row r="1793" spans="1:2" ht="14.85" customHeight="1">
      <c r="A1793" s="5200"/>
      <c r="B1793" s="5207"/>
    </row>
    <row r="1794" spans="1:2" ht="14.85" customHeight="1">
      <c r="A1794" s="5200"/>
      <c r="B1794" s="5207"/>
    </row>
    <row r="1795" spans="1:2" ht="14.85" customHeight="1">
      <c r="A1795" s="5200"/>
      <c r="B1795" s="5207"/>
    </row>
    <row r="1796" spans="1:2" ht="14.85" customHeight="1">
      <c r="A1796" s="5200"/>
      <c r="B1796" s="5207"/>
    </row>
    <row r="1797" spans="1:2" ht="14.85" customHeight="1">
      <c r="A1797" s="5200"/>
      <c r="B1797" s="5207"/>
    </row>
    <row r="1798" spans="1:2" ht="14.85" customHeight="1">
      <c r="A1798" s="5200"/>
      <c r="B1798" s="5207"/>
    </row>
    <row r="1799" spans="1:2" ht="14.85" customHeight="1">
      <c r="A1799" s="5200"/>
      <c r="B1799" s="5207"/>
    </row>
    <row r="1800" spans="1:2" ht="14.85" customHeight="1">
      <c r="A1800" s="5200"/>
      <c r="B1800" s="5207"/>
    </row>
    <row r="1801" spans="1:2" ht="14.85" customHeight="1">
      <c r="A1801" s="5200"/>
      <c r="B1801" s="5207"/>
    </row>
    <row r="1802" spans="1:2" ht="14.85" customHeight="1">
      <c r="A1802" s="5200"/>
      <c r="B1802" s="5207"/>
    </row>
    <row r="1803" spans="1:2" ht="14.85" customHeight="1">
      <c r="A1803" s="5200"/>
      <c r="B1803" s="5207"/>
    </row>
    <row r="1804" spans="1:2" ht="14.85" customHeight="1">
      <c r="A1804" s="5200"/>
      <c r="B1804" s="5207"/>
    </row>
    <row r="1805" spans="1:2" ht="14.85" customHeight="1">
      <c r="A1805" s="5200"/>
      <c r="B1805" s="5207"/>
    </row>
    <row r="1806" spans="1:2" ht="14.85" customHeight="1">
      <c r="A1806" s="5200"/>
      <c r="B1806" s="5207"/>
    </row>
    <row r="1807" spans="1:2" ht="14.85" customHeight="1">
      <c r="A1807" s="5200"/>
      <c r="B1807" s="5207"/>
    </row>
    <row r="1808" spans="1:2" ht="14.85" customHeight="1">
      <c r="A1808" s="5200"/>
      <c r="B1808" s="5207"/>
    </row>
    <row r="1809" spans="1:2" ht="14.85" customHeight="1">
      <c r="A1809" s="5200"/>
      <c r="B1809" s="5207"/>
    </row>
    <row r="1810" spans="1:2" ht="14.85" customHeight="1">
      <c r="A1810" s="5200"/>
      <c r="B1810" s="5207"/>
    </row>
    <row r="1811" spans="1:2" ht="14.85" customHeight="1">
      <c r="A1811" s="5200"/>
      <c r="B1811" s="5207"/>
    </row>
    <row r="1812" spans="1:2" ht="14.85" customHeight="1">
      <c r="A1812" s="5200"/>
      <c r="B1812" s="5207"/>
    </row>
    <row r="1813" spans="1:2" ht="14.85" customHeight="1">
      <c r="A1813" s="5200"/>
      <c r="B1813" s="5207"/>
    </row>
    <row r="1814" spans="1:2" ht="14.85" customHeight="1">
      <c r="A1814" s="5200"/>
      <c r="B1814" s="5207"/>
    </row>
    <row r="1815" spans="1:2" ht="14.85" customHeight="1">
      <c r="A1815" s="5200"/>
      <c r="B1815" s="5207"/>
    </row>
    <row r="1816" spans="1:2" ht="14.85" customHeight="1">
      <c r="A1816" s="5200"/>
      <c r="B1816" s="5207"/>
    </row>
    <row r="1817" spans="1:2" ht="14.85" customHeight="1">
      <c r="A1817" s="5200"/>
      <c r="B1817" s="5207"/>
    </row>
    <row r="1818" spans="1:2" ht="14.85" customHeight="1">
      <c r="A1818" s="5200"/>
      <c r="B1818" s="5207"/>
    </row>
    <row r="1819" spans="1:2" ht="14.85" customHeight="1">
      <c r="A1819" s="5200"/>
      <c r="B1819" s="5207"/>
    </row>
    <row r="1820" spans="1:2" ht="14.85" customHeight="1">
      <c r="A1820" s="5200"/>
      <c r="B1820" s="5207"/>
    </row>
    <row r="1821" spans="1:2" ht="14.85" customHeight="1">
      <c r="A1821" s="5200"/>
      <c r="B1821" s="5207"/>
    </row>
    <row r="1822" spans="1:2" ht="14.85" customHeight="1">
      <c r="A1822" s="5200"/>
      <c r="B1822" s="5207"/>
    </row>
    <row r="1823" spans="1:2" ht="14.85" customHeight="1">
      <c r="A1823" s="5200"/>
      <c r="B1823" s="5207"/>
    </row>
    <row r="1824" spans="1:2" ht="14.85" customHeight="1">
      <c r="A1824" s="5200"/>
      <c r="B1824" s="5207"/>
    </row>
    <row r="1825" spans="1:2" ht="14.85" customHeight="1">
      <c r="A1825" s="5200"/>
      <c r="B1825" s="5207"/>
    </row>
    <row r="1826" spans="1:2" ht="14.85" customHeight="1">
      <c r="A1826" s="5200"/>
      <c r="B1826" s="5207"/>
    </row>
    <row r="1827" spans="1:2" ht="14.85" customHeight="1">
      <c r="A1827" s="5200"/>
      <c r="B1827" s="5207"/>
    </row>
    <row r="1828" spans="1:2" ht="14.85" customHeight="1">
      <c r="A1828" s="5200"/>
      <c r="B1828" s="5207"/>
    </row>
    <row r="1829" spans="1:2" ht="14.85" customHeight="1">
      <c r="A1829" s="5200"/>
      <c r="B1829" s="5207"/>
    </row>
    <row r="1830" spans="1:2" ht="14.85" customHeight="1">
      <c r="A1830" s="5200"/>
      <c r="B1830" s="5207"/>
    </row>
    <row r="1831" spans="1:2" ht="14.85" customHeight="1">
      <c r="A1831" s="5200"/>
      <c r="B1831" s="5207"/>
    </row>
    <row r="1832" spans="1:2" ht="14.85" customHeight="1">
      <c r="A1832" s="5200"/>
      <c r="B1832" s="5207"/>
    </row>
    <row r="1833" spans="1:2" ht="14.85" customHeight="1">
      <c r="A1833" s="5200"/>
      <c r="B1833" s="5207"/>
    </row>
    <row r="1834" spans="1:2" ht="14.85" customHeight="1">
      <c r="A1834" s="5200"/>
      <c r="B1834" s="5207"/>
    </row>
    <row r="1835" spans="1:2" ht="14.85" customHeight="1">
      <c r="A1835" s="5200"/>
      <c r="B1835" s="5207"/>
    </row>
    <row r="1836" spans="1:2" ht="14.85" customHeight="1">
      <c r="A1836" s="5200"/>
      <c r="B1836" s="5207"/>
    </row>
    <row r="1837" spans="1:2" ht="14.85" customHeight="1">
      <c r="A1837" s="5200"/>
      <c r="B1837" s="5207"/>
    </row>
    <row r="1838" spans="1:2" ht="14.85" customHeight="1">
      <c r="A1838" s="5200"/>
      <c r="B1838" s="5207"/>
    </row>
    <row r="1839" spans="1:2" ht="14.85" customHeight="1">
      <c r="A1839" s="5200"/>
      <c r="B1839" s="5207"/>
    </row>
    <row r="1840" spans="1:2" ht="14.85" customHeight="1">
      <c r="A1840" s="5200"/>
      <c r="B1840" s="5207"/>
    </row>
    <row r="1841" spans="1:2" ht="14.85" customHeight="1">
      <c r="A1841" s="5200"/>
      <c r="B1841" s="5207"/>
    </row>
    <row r="1842" spans="1:2" ht="14.85" customHeight="1">
      <c r="A1842" s="5200"/>
      <c r="B1842" s="5207"/>
    </row>
    <row r="1843" spans="1:2" ht="14.85" customHeight="1">
      <c r="A1843" s="5200"/>
      <c r="B1843" s="5207"/>
    </row>
    <row r="1844" spans="1:2" ht="14.85" customHeight="1">
      <c r="A1844" s="5200"/>
      <c r="B1844" s="5207"/>
    </row>
    <row r="1845" spans="1:2" ht="14.85" customHeight="1">
      <c r="A1845" s="5200"/>
      <c r="B1845" s="5207"/>
    </row>
    <row r="1846" spans="1:2" ht="14.85" customHeight="1">
      <c r="A1846" s="5200"/>
      <c r="B1846" s="5207"/>
    </row>
    <row r="1847" spans="1:2" ht="14.85" customHeight="1">
      <c r="A1847" s="5200"/>
      <c r="B1847" s="5207"/>
    </row>
    <row r="1848" spans="1:2" ht="14.85" customHeight="1">
      <c r="A1848" s="5200"/>
      <c r="B1848" s="5207"/>
    </row>
    <row r="1849" spans="1:2" ht="14.85" customHeight="1">
      <c r="A1849" s="5200"/>
      <c r="B1849" s="5207"/>
    </row>
    <row r="1850" spans="1:2" ht="14.85" customHeight="1">
      <c r="A1850" s="5200"/>
      <c r="B1850" s="5207"/>
    </row>
    <row r="1851" spans="1:2" ht="14.85" customHeight="1">
      <c r="A1851" s="5200"/>
      <c r="B1851" s="5207"/>
    </row>
    <row r="1852" spans="1:2" ht="14.85" customHeight="1">
      <c r="A1852" s="5200"/>
      <c r="B1852" s="5207"/>
    </row>
    <row r="1853" spans="1:2" ht="14.85" customHeight="1">
      <c r="A1853" s="5200"/>
      <c r="B1853" s="5207"/>
    </row>
    <row r="1854" spans="1:2" ht="14.85" customHeight="1">
      <c r="A1854" s="5200"/>
      <c r="B1854" s="5207"/>
    </row>
    <row r="1855" spans="1:2" ht="14.85" customHeight="1">
      <c r="A1855" s="5200"/>
      <c r="B1855" s="5207"/>
    </row>
    <row r="1856" spans="1:2" ht="14.85" customHeight="1">
      <c r="A1856" s="5200"/>
      <c r="B1856" s="5207"/>
    </row>
    <row r="1857" spans="1:2" ht="14.85" customHeight="1">
      <c r="A1857" s="5200"/>
      <c r="B1857" s="5207"/>
    </row>
    <row r="1858" spans="1:2" ht="14.85" customHeight="1">
      <c r="A1858" s="5200"/>
      <c r="B1858" s="5207"/>
    </row>
    <row r="1859" spans="1:2" ht="14.85" customHeight="1">
      <c r="A1859" s="5200"/>
      <c r="B1859" s="5207"/>
    </row>
    <row r="1860" spans="1:2" ht="14.85" customHeight="1">
      <c r="A1860" s="5200"/>
      <c r="B1860" s="5207"/>
    </row>
    <row r="1861" spans="1:2" ht="14.85" customHeight="1">
      <c r="A1861" s="5200"/>
      <c r="B1861" s="5207"/>
    </row>
    <row r="1862" spans="1:2" ht="14.85" customHeight="1">
      <c r="A1862" s="5200"/>
      <c r="B1862" s="5207"/>
    </row>
    <row r="1863" spans="1:2" ht="14.85" customHeight="1">
      <c r="A1863" s="5200"/>
      <c r="B1863" s="5207"/>
    </row>
    <row r="1864" spans="1:2" ht="14.85" customHeight="1">
      <c r="A1864" s="5200"/>
      <c r="B1864" s="5207"/>
    </row>
    <row r="1865" spans="1:2" ht="14.85" customHeight="1">
      <c r="A1865" s="5200"/>
      <c r="B1865" s="5207"/>
    </row>
    <row r="1866" spans="1:2" ht="14.85" customHeight="1">
      <c r="A1866" s="5200"/>
      <c r="B1866" s="5207"/>
    </row>
    <row r="1867" spans="1:2" ht="14.85" customHeight="1">
      <c r="A1867" s="5200"/>
      <c r="B1867" s="5207"/>
    </row>
    <row r="1868" spans="1:2" ht="14.85" customHeight="1">
      <c r="A1868" s="5200"/>
      <c r="B1868" s="5207"/>
    </row>
    <row r="1869" spans="1:2" ht="14.85" customHeight="1">
      <c r="A1869" s="5200"/>
      <c r="B1869" s="5207"/>
    </row>
    <row r="1870" spans="1:2" ht="14.85" customHeight="1">
      <c r="A1870" s="5200"/>
      <c r="B1870" s="5207"/>
    </row>
    <row r="1871" spans="1:2" ht="14.85" customHeight="1">
      <c r="A1871" s="5200"/>
      <c r="B1871" s="5207"/>
    </row>
    <row r="1872" spans="1:2" ht="14.85" customHeight="1">
      <c r="A1872" s="5200"/>
      <c r="B1872" s="5207"/>
    </row>
    <row r="1873" spans="1:2" ht="14.85" customHeight="1">
      <c r="A1873" s="5200"/>
      <c r="B1873" s="5207"/>
    </row>
    <row r="1874" spans="1:2" ht="14.85" customHeight="1">
      <c r="A1874" s="5200"/>
      <c r="B1874" s="5207"/>
    </row>
    <row r="1875" spans="1:2" ht="14.85" customHeight="1">
      <c r="A1875" s="5200"/>
      <c r="B1875" s="5207"/>
    </row>
    <row r="1876" spans="1:2" ht="14.85" customHeight="1">
      <c r="A1876" s="5200"/>
      <c r="B1876" s="5207"/>
    </row>
    <row r="1877" spans="1:2" ht="14.85" customHeight="1">
      <c r="A1877" s="5200"/>
      <c r="B1877" s="5207"/>
    </row>
    <row r="1878" spans="1:2" ht="14.85" customHeight="1">
      <c r="A1878" s="5200"/>
      <c r="B1878" s="5207"/>
    </row>
    <row r="1879" spans="1:2" ht="14.85" customHeight="1">
      <c r="A1879" s="5200"/>
      <c r="B1879" s="5207"/>
    </row>
    <row r="1880" spans="1:2" ht="14.85" customHeight="1">
      <c r="A1880" s="5200"/>
      <c r="B1880" s="5207"/>
    </row>
    <row r="1881" spans="1:2" ht="14.85" customHeight="1">
      <c r="A1881" s="5200"/>
      <c r="B1881" s="5207"/>
    </row>
    <row r="1882" spans="1:2" ht="14.85" customHeight="1">
      <c r="A1882" s="5200"/>
      <c r="B1882" s="5207"/>
    </row>
    <row r="1883" spans="1:2" ht="14.85" customHeight="1">
      <c r="A1883" s="5200"/>
      <c r="B1883" s="5207"/>
    </row>
    <row r="1884" spans="1:2" ht="14.85" customHeight="1">
      <c r="A1884" s="5200"/>
      <c r="B1884" s="5207"/>
    </row>
    <row r="1885" spans="1:2" ht="14.85" customHeight="1">
      <c r="A1885" s="5200"/>
      <c r="B1885" s="5207"/>
    </row>
    <row r="1886" spans="1:2" ht="14.85" customHeight="1">
      <c r="A1886" s="5200"/>
      <c r="B1886" s="5207"/>
    </row>
    <row r="1887" spans="1:2" ht="14.85" customHeight="1">
      <c r="A1887" s="5200"/>
      <c r="B1887" s="5207"/>
    </row>
    <row r="1888" spans="1:2" ht="14.85" customHeight="1">
      <c r="A1888" s="5200"/>
      <c r="B1888" s="5207"/>
    </row>
    <row r="1889" spans="1:2" ht="14.85" customHeight="1">
      <c r="A1889" s="5200"/>
      <c r="B1889" s="5207"/>
    </row>
    <row r="1890" spans="1:2" ht="14.85" customHeight="1">
      <c r="A1890" s="5200"/>
      <c r="B1890" s="5207"/>
    </row>
    <row r="1891" spans="1:2" ht="14.85" customHeight="1">
      <c r="A1891" s="5200"/>
      <c r="B1891" s="5207"/>
    </row>
    <row r="1892" spans="1:2" ht="14.85" customHeight="1">
      <c r="A1892" s="5200"/>
      <c r="B1892" s="5207"/>
    </row>
    <row r="1893" spans="1:2" ht="14.85" customHeight="1">
      <c r="A1893" s="5200"/>
      <c r="B1893" s="5207"/>
    </row>
    <row r="1894" spans="1:2" ht="14.85" customHeight="1">
      <c r="A1894" s="5200"/>
      <c r="B1894" s="5207"/>
    </row>
    <row r="1895" spans="1:2" ht="14.85" customHeight="1">
      <c r="A1895" s="5200"/>
      <c r="B1895" s="5207"/>
    </row>
    <row r="1896" spans="1:2" ht="14.85" customHeight="1">
      <c r="A1896" s="5200"/>
      <c r="B1896" s="5207"/>
    </row>
    <row r="1897" spans="1:2" ht="14.85" customHeight="1">
      <c r="A1897" s="5200"/>
      <c r="B1897" s="5207"/>
    </row>
    <row r="1898" spans="1:2" ht="14.85" customHeight="1">
      <c r="A1898" s="5200"/>
      <c r="B1898" s="5207"/>
    </row>
    <row r="1899" spans="1:2" ht="14.85" customHeight="1">
      <c r="A1899" s="5200"/>
      <c r="B1899" s="5207"/>
    </row>
    <row r="1900" spans="1:2" ht="14.85" customHeight="1">
      <c r="A1900" s="5200"/>
      <c r="B1900" s="5207"/>
    </row>
    <row r="1901" spans="1:2" ht="14.85" customHeight="1">
      <c r="A1901" s="5200"/>
      <c r="B1901" s="5207"/>
    </row>
    <row r="1902" spans="1:2" ht="14.85" customHeight="1">
      <c r="A1902" s="5200"/>
      <c r="B1902" s="5207"/>
    </row>
    <row r="1903" spans="1:2" ht="14.85" customHeight="1">
      <c r="A1903" s="5200"/>
      <c r="B1903" s="5207"/>
    </row>
    <row r="1904" spans="1:2" ht="14.85" customHeight="1">
      <c r="A1904" s="5200"/>
      <c r="B1904" s="5207"/>
    </row>
    <row r="1905" spans="1:2" ht="14.85" customHeight="1">
      <c r="A1905" s="5200"/>
      <c r="B1905" s="5207"/>
    </row>
    <row r="1906" spans="1:2" ht="14.85" customHeight="1">
      <c r="A1906" s="5200"/>
      <c r="B1906" s="5207"/>
    </row>
    <row r="1907" spans="1:2" ht="14.85" customHeight="1">
      <c r="A1907" s="5200"/>
      <c r="B1907" s="5207"/>
    </row>
    <row r="1908" spans="1:2" ht="14.85" customHeight="1">
      <c r="A1908" s="5200"/>
      <c r="B1908" s="5207"/>
    </row>
    <row r="1909" spans="1:2" ht="14.85" customHeight="1">
      <c r="A1909" s="5200"/>
      <c r="B1909" s="5207"/>
    </row>
    <row r="1910" spans="1:2" ht="14.85" customHeight="1">
      <c r="A1910" s="5200"/>
      <c r="B1910" s="5207"/>
    </row>
    <row r="1911" spans="1:2" ht="14.85" customHeight="1">
      <c r="A1911" s="5200"/>
      <c r="B1911" s="5207"/>
    </row>
    <row r="1912" spans="1:2" ht="14.85" customHeight="1">
      <c r="A1912" s="5200"/>
      <c r="B1912" s="5207"/>
    </row>
    <row r="1913" spans="1:2" ht="14.85" customHeight="1">
      <c r="A1913" s="5200"/>
      <c r="B1913" s="5207"/>
    </row>
    <row r="1914" spans="1:2" ht="14.85" customHeight="1">
      <c r="A1914" s="5200"/>
      <c r="B1914" s="5207"/>
    </row>
    <row r="1915" spans="1:2" ht="14.85" customHeight="1">
      <c r="A1915" s="5200"/>
      <c r="B1915" s="5207"/>
    </row>
    <row r="1916" spans="1:2" ht="14.85" customHeight="1">
      <c r="A1916" s="5200"/>
      <c r="B1916" s="5207"/>
    </row>
    <row r="1917" spans="1:2" ht="14.85" customHeight="1">
      <c r="A1917" s="5200"/>
      <c r="B1917" s="5207"/>
    </row>
    <row r="1918" spans="1:2" ht="14.85" customHeight="1">
      <c r="A1918" s="5200"/>
      <c r="B1918" s="5207"/>
    </row>
    <row r="1919" spans="1:2" ht="14.85" customHeight="1">
      <c r="A1919" s="5200"/>
      <c r="B1919" s="5207"/>
    </row>
    <row r="1920" spans="1:2" ht="14.85" customHeight="1">
      <c r="A1920" s="5200"/>
      <c r="B1920" s="5207"/>
    </row>
    <row r="1921" spans="1:2" ht="14.85" customHeight="1">
      <c r="A1921" s="5200"/>
      <c r="B1921" s="5207"/>
    </row>
    <row r="1922" spans="1:2" ht="14.85" customHeight="1">
      <c r="A1922" s="5200"/>
      <c r="B1922" s="5207"/>
    </row>
    <row r="1923" spans="1:2" ht="14.85" customHeight="1">
      <c r="A1923" s="5200"/>
      <c r="B1923" s="5207"/>
    </row>
    <row r="1924" spans="1:2" ht="14.85" customHeight="1">
      <c r="A1924" s="5200"/>
      <c r="B1924" s="5207"/>
    </row>
    <row r="1925" spans="1:2" ht="14.85" customHeight="1">
      <c r="A1925" s="5200"/>
      <c r="B1925" s="5207"/>
    </row>
    <row r="1926" spans="1:2" ht="14.85" customHeight="1">
      <c r="A1926" s="5200"/>
      <c r="B1926" s="5207"/>
    </row>
    <row r="1927" spans="1:2" ht="14.85" customHeight="1">
      <c r="A1927" s="5200"/>
      <c r="B1927" s="5207"/>
    </row>
    <row r="1928" spans="1:2" ht="14.85" customHeight="1">
      <c r="A1928" s="5200"/>
      <c r="B1928" s="5207"/>
    </row>
    <row r="1929" spans="1:2" ht="14.85" customHeight="1">
      <c r="A1929" s="5200"/>
      <c r="B1929" s="5207"/>
    </row>
    <row r="1930" spans="1:2" ht="14.85" customHeight="1">
      <c r="A1930" s="5200"/>
      <c r="B1930" s="5207"/>
    </row>
    <row r="1931" spans="1:2" ht="14.85" customHeight="1">
      <c r="A1931" s="5200"/>
      <c r="B1931" s="5207"/>
    </row>
    <row r="1932" spans="1:2" ht="14.85" customHeight="1">
      <c r="A1932" s="5200"/>
      <c r="B1932" s="5207"/>
    </row>
    <row r="1933" spans="1:2" ht="14.85" customHeight="1">
      <c r="A1933" s="5200"/>
      <c r="B1933" s="5207"/>
    </row>
    <row r="1934" spans="1:2" ht="14.85" customHeight="1">
      <c r="A1934" s="5200"/>
      <c r="B1934" s="5207"/>
    </row>
    <row r="1935" spans="1:2" ht="14.85" customHeight="1">
      <c r="A1935" s="5200"/>
      <c r="B1935" s="5207"/>
    </row>
    <row r="1936" spans="1:2" ht="14.85" customHeight="1">
      <c r="A1936" s="5200"/>
      <c r="B1936" s="5207"/>
    </row>
    <row r="1937" spans="1:2" ht="14.85" customHeight="1">
      <c r="A1937" s="5200"/>
      <c r="B1937" s="5207"/>
    </row>
    <row r="1938" spans="1:2" ht="14.85" customHeight="1">
      <c r="A1938" s="5200"/>
      <c r="B1938" s="5207"/>
    </row>
    <row r="1939" spans="1:2" ht="14.85" customHeight="1">
      <c r="A1939" s="5200"/>
      <c r="B1939" s="5207"/>
    </row>
    <row r="1940" spans="1:2" ht="14.85" customHeight="1">
      <c r="A1940" s="5200"/>
      <c r="B1940" s="5207"/>
    </row>
    <row r="1941" spans="1:2" ht="14.85" customHeight="1">
      <c r="A1941" s="5200"/>
      <c r="B1941" s="5207"/>
    </row>
    <row r="1942" spans="1:2" ht="14.85" customHeight="1">
      <c r="A1942" s="5200"/>
      <c r="B1942" s="5207"/>
    </row>
    <row r="1943" spans="1:2" ht="14.85" customHeight="1">
      <c r="A1943" s="5200"/>
      <c r="B1943" s="5207"/>
    </row>
    <row r="1944" spans="1:2" ht="14.85" customHeight="1">
      <c r="A1944" s="5200"/>
      <c r="B1944" s="5207"/>
    </row>
    <row r="1945" spans="1:2" ht="14.85" customHeight="1">
      <c r="A1945" s="5200"/>
      <c r="B1945" s="5207"/>
    </row>
    <row r="1946" spans="1:2" ht="14.85" customHeight="1">
      <c r="A1946" s="5200"/>
      <c r="B1946" s="5207"/>
    </row>
    <row r="1947" spans="1:2" ht="14.85" customHeight="1">
      <c r="A1947" s="5200"/>
      <c r="B1947" s="5207"/>
    </row>
    <row r="1948" spans="1:2" ht="14.85" customHeight="1">
      <c r="A1948" s="5200"/>
      <c r="B1948" s="5207"/>
    </row>
    <row r="1949" spans="1:2" ht="14.85" customHeight="1">
      <c r="A1949" s="5200"/>
      <c r="B1949" s="5207"/>
    </row>
    <row r="1950" spans="1:2" ht="14.85" customHeight="1">
      <c r="A1950" s="5200"/>
      <c r="B1950" s="5207"/>
    </row>
    <row r="1951" spans="1:2" ht="14.85" customHeight="1">
      <c r="A1951" s="5200"/>
      <c r="B1951" s="5207"/>
    </row>
    <row r="1952" spans="1:2" ht="14.85" customHeight="1">
      <c r="A1952" s="5200"/>
      <c r="B1952" s="5207"/>
    </row>
    <row r="1953" spans="1:2" ht="14.85" customHeight="1">
      <c r="A1953" s="5200"/>
      <c r="B1953" s="5207"/>
    </row>
    <row r="1954" spans="1:2" ht="14.85" customHeight="1">
      <c r="A1954" s="5200"/>
      <c r="B1954" s="5207"/>
    </row>
    <row r="1955" spans="1:2" ht="14.85" customHeight="1">
      <c r="A1955" s="5200"/>
      <c r="B1955" s="5207"/>
    </row>
    <row r="1956" spans="1:2" ht="14.85" customHeight="1">
      <c r="A1956" s="5200"/>
      <c r="B1956" s="5207"/>
    </row>
    <row r="1957" spans="1:2" ht="14.85" customHeight="1">
      <c r="A1957" s="5200"/>
      <c r="B1957" s="5207"/>
    </row>
    <row r="1958" spans="1:2" ht="14.85" customHeight="1">
      <c r="A1958" s="5200"/>
      <c r="B1958" s="5207"/>
    </row>
    <row r="1959" spans="1:2" ht="14.85" customHeight="1">
      <c r="A1959" s="5200"/>
      <c r="B1959" s="5207"/>
    </row>
    <row r="1960" spans="1:2" ht="14.85" customHeight="1">
      <c r="A1960" s="5200"/>
      <c r="B1960" s="5207"/>
    </row>
    <row r="1961" spans="1:2" ht="14.85" customHeight="1">
      <c r="A1961" s="5200"/>
      <c r="B1961" s="5207"/>
    </row>
    <row r="1962" spans="1:2" ht="14.85" customHeight="1">
      <c r="A1962" s="5200"/>
      <c r="B1962" s="5207"/>
    </row>
    <row r="1963" spans="1:2" ht="14.85" customHeight="1">
      <c r="A1963" s="5200"/>
      <c r="B1963" s="5207"/>
    </row>
    <row r="1964" spans="1:2" ht="14.85" customHeight="1">
      <c r="A1964" s="5200"/>
      <c r="B1964" s="5207"/>
    </row>
    <row r="1965" spans="1:2" ht="14.85" customHeight="1">
      <c r="A1965" s="5200"/>
      <c r="B1965" s="5207"/>
    </row>
    <row r="1966" spans="1:2" ht="14.85" customHeight="1">
      <c r="A1966" s="5200"/>
      <c r="B1966" s="5207"/>
    </row>
    <row r="1967" spans="1:2" ht="14.85" customHeight="1">
      <c r="A1967" s="5200"/>
      <c r="B1967" s="5207"/>
    </row>
    <row r="1968" spans="1:2" ht="14.85" customHeight="1">
      <c r="A1968" s="5200"/>
      <c r="B1968" s="5207"/>
    </row>
    <row r="1969" spans="1:2" ht="14.85" customHeight="1">
      <c r="A1969" s="5200"/>
      <c r="B1969" s="5207"/>
    </row>
    <row r="1970" spans="1:2" ht="14.85" customHeight="1">
      <c r="A1970" s="5200"/>
      <c r="B1970" s="5207"/>
    </row>
    <row r="1971" spans="1:2" ht="14.85" customHeight="1">
      <c r="A1971" s="5200"/>
      <c r="B1971" s="5207"/>
    </row>
    <row r="1972" spans="1:2" ht="14.85" customHeight="1">
      <c r="A1972" s="5200"/>
      <c r="B1972" s="5207"/>
    </row>
    <row r="1973" spans="1:2" ht="14.85" customHeight="1">
      <c r="A1973" s="5200"/>
      <c r="B1973" s="5207"/>
    </row>
    <row r="1974" spans="1:2" ht="14.85" customHeight="1">
      <c r="A1974" s="5200"/>
      <c r="B1974" s="5207"/>
    </row>
    <row r="1975" spans="1:2" ht="14.85" customHeight="1">
      <c r="A1975" s="5200"/>
      <c r="B1975" s="5207"/>
    </row>
    <row r="1976" spans="1:2" ht="14.85" customHeight="1">
      <c r="A1976" s="5200"/>
      <c r="B1976" s="5207"/>
    </row>
    <row r="1977" spans="1:2" ht="14.85" customHeight="1">
      <c r="A1977" s="5200"/>
      <c r="B1977" s="5207"/>
    </row>
    <row r="1978" spans="1:2" ht="14.85" customHeight="1">
      <c r="A1978" s="5200"/>
      <c r="B1978" s="5207"/>
    </row>
    <row r="1979" spans="1:2" ht="14.85" customHeight="1">
      <c r="A1979" s="5200"/>
      <c r="B1979" s="5207"/>
    </row>
    <row r="1980" spans="1:2" ht="14.85" customHeight="1">
      <c r="A1980" s="5200"/>
      <c r="B1980" s="5207"/>
    </row>
    <row r="1981" spans="1:2" ht="14.85" customHeight="1">
      <c r="A1981" s="5200"/>
      <c r="B1981" s="5207"/>
    </row>
    <row r="1982" spans="1:2" ht="14.85" customHeight="1">
      <c r="A1982" s="5200"/>
      <c r="B1982" s="5207"/>
    </row>
    <row r="1983" spans="1:2" ht="14.85" customHeight="1">
      <c r="A1983" s="5200"/>
      <c r="B1983" s="5207"/>
    </row>
    <row r="1984" spans="1:2" ht="14.85" customHeight="1">
      <c r="A1984" s="5200"/>
      <c r="B1984" s="5207"/>
    </row>
    <row r="1985" spans="1:2" ht="14.85" customHeight="1">
      <c r="A1985" s="5200"/>
      <c r="B1985" s="5207"/>
    </row>
    <row r="1986" spans="1:2" ht="14.85" customHeight="1">
      <c r="A1986" s="5200"/>
      <c r="B1986" s="5207"/>
    </row>
    <row r="1987" spans="1:2" ht="14.85" customHeight="1">
      <c r="A1987" s="5200"/>
      <c r="B1987" s="5207"/>
    </row>
    <row r="1988" spans="1:2" ht="14.85" customHeight="1">
      <c r="A1988" s="5200"/>
      <c r="B1988" s="5207"/>
    </row>
    <row r="1989" spans="1:2" ht="14.85" customHeight="1">
      <c r="A1989" s="5200"/>
      <c r="B1989" s="5207"/>
    </row>
    <row r="1990" spans="1:2" ht="14.85" customHeight="1">
      <c r="A1990" s="5200"/>
      <c r="B1990" s="5207"/>
    </row>
    <row r="1991" spans="1:2" ht="14.85" customHeight="1">
      <c r="A1991" s="5200"/>
      <c r="B1991" s="5207"/>
    </row>
    <row r="1992" spans="1:2" ht="14.85" customHeight="1">
      <c r="A1992" s="5200"/>
      <c r="B1992" s="5207"/>
    </row>
    <row r="1993" spans="1:2" ht="14.85" customHeight="1">
      <c r="A1993" s="5200"/>
      <c r="B1993" s="5207"/>
    </row>
    <row r="1994" spans="1:2" ht="14.85" customHeight="1">
      <c r="A1994" s="5200"/>
      <c r="B1994" s="5207"/>
    </row>
    <row r="1995" spans="1:2" ht="14.85" customHeight="1">
      <c r="A1995" s="5200"/>
      <c r="B1995" s="5207"/>
    </row>
    <row r="1996" spans="1:2" ht="14.85" customHeight="1">
      <c r="A1996" s="5200"/>
      <c r="B1996" s="5207"/>
    </row>
    <row r="1997" spans="1:2" ht="14.85" customHeight="1">
      <c r="A1997" s="5200"/>
      <c r="B1997" s="5207"/>
    </row>
    <row r="1998" spans="1:2" ht="14.85" customHeight="1">
      <c r="A1998" s="5200"/>
      <c r="B1998" s="5207"/>
    </row>
    <row r="1999" spans="1:2" ht="14.85" customHeight="1">
      <c r="A1999" s="5200"/>
      <c r="B1999" s="5207"/>
    </row>
    <row r="2000" spans="1:2" ht="14.85" customHeight="1">
      <c r="A2000" s="5200"/>
      <c r="B2000" s="5207"/>
    </row>
    <row r="2001" spans="1:2" ht="14.85" customHeight="1">
      <c r="A2001" s="5200"/>
      <c r="B2001" s="5207"/>
    </row>
    <row r="2002" spans="1:2" ht="14.85" customHeight="1">
      <c r="A2002" s="5200"/>
      <c r="B2002" s="5207"/>
    </row>
    <row r="2003" spans="1:2" ht="14.85" customHeight="1">
      <c r="A2003" s="5200"/>
      <c r="B2003" s="5207"/>
    </row>
    <row r="2004" spans="1:2" ht="14.85" customHeight="1">
      <c r="A2004" s="5200"/>
      <c r="B2004" s="5207"/>
    </row>
    <row r="2005" spans="1:2" ht="14.85" customHeight="1">
      <c r="A2005" s="5200"/>
      <c r="B2005" s="5207"/>
    </row>
    <row r="2006" spans="1:2" ht="14.85" customHeight="1">
      <c r="A2006" s="5200"/>
      <c r="B2006" s="5207"/>
    </row>
    <row r="2007" spans="1:2" ht="14.85" customHeight="1">
      <c r="A2007" s="5200"/>
      <c r="B2007" s="5207"/>
    </row>
    <row r="2008" spans="1:2" ht="14.85" customHeight="1">
      <c r="A2008" s="5200"/>
      <c r="B2008" s="5207"/>
    </row>
    <row r="2009" spans="1:2" ht="14.85" customHeight="1">
      <c r="A2009" s="5200"/>
      <c r="B2009" s="5207"/>
    </row>
    <row r="2010" spans="1:2" ht="14.85" customHeight="1">
      <c r="A2010" s="5200"/>
      <c r="B2010" s="5207"/>
    </row>
    <row r="2011" spans="1:2" ht="14.85" customHeight="1">
      <c r="A2011" s="5200"/>
      <c r="B2011" s="5207"/>
    </row>
    <row r="2012" spans="1:2" ht="14.85" customHeight="1">
      <c r="A2012" s="5200"/>
      <c r="B2012" s="5207"/>
    </row>
    <row r="2013" spans="1:2" ht="14.85" customHeight="1">
      <c r="A2013" s="5200"/>
      <c r="B2013" s="5207"/>
    </row>
    <row r="2014" spans="1:2" ht="14.85" customHeight="1">
      <c r="A2014" s="5200"/>
      <c r="B2014" s="5207"/>
    </row>
    <row r="2015" spans="1:2" ht="14.85" customHeight="1">
      <c r="A2015" s="5200"/>
      <c r="B2015" s="5207"/>
    </row>
    <row r="2016" spans="1:2" ht="14.85" customHeight="1">
      <c r="A2016" s="5200"/>
      <c r="B2016" s="5207"/>
    </row>
    <row r="2017" spans="1:2" ht="14.85" customHeight="1">
      <c r="A2017" s="5200"/>
      <c r="B2017" s="5207"/>
    </row>
    <row r="2018" spans="1:2" ht="14.85" customHeight="1">
      <c r="A2018" s="5200"/>
      <c r="B2018" s="5207"/>
    </row>
    <row r="2019" spans="1:2" ht="14.85" customHeight="1">
      <c r="A2019" s="5200"/>
      <c r="B2019" s="5207"/>
    </row>
    <row r="2020" spans="1:2" ht="14.85" customHeight="1">
      <c r="A2020" s="5200"/>
      <c r="B2020" s="5207"/>
    </row>
    <row r="2021" spans="1:2" ht="14.85" customHeight="1">
      <c r="A2021" s="5200"/>
      <c r="B2021" s="5207"/>
    </row>
    <row r="2022" spans="1:2" ht="14.85" customHeight="1">
      <c r="A2022" s="5200"/>
      <c r="B2022" s="5207"/>
    </row>
    <row r="2023" spans="1:2" ht="14.85" customHeight="1">
      <c r="A2023" s="5200"/>
      <c r="B2023" s="5207"/>
    </row>
    <row r="2024" spans="1:2" ht="14.85" customHeight="1">
      <c r="A2024" s="5200"/>
      <c r="B2024" s="5207"/>
    </row>
    <row r="2025" spans="1:2" ht="14.85" customHeight="1">
      <c r="A2025" s="5200"/>
      <c r="B2025" s="5207"/>
    </row>
    <row r="2026" spans="1:2" ht="14.85" customHeight="1">
      <c r="A2026" s="5200"/>
      <c r="B2026" s="5207"/>
    </row>
    <row r="2027" spans="1:2" ht="14.85" customHeight="1">
      <c r="A2027" s="5200"/>
      <c r="B2027" s="5207"/>
    </row>
    <row r="2028" spans="1:2" ht="14.85" customHeight="1">
      <c r="A2028" s="5200"/>
      <c r="B2028" s="5207"/>
    </row>
    <row r="2029" spans="1:2" ht="14.85" customHeight="1">
      <c r="A2029" s="5200"/>
      <c r="B2029" s="5207"/>
    </row>
    <row r="2030" spans="1:2" ht="14.85" customHeight="1">
      <c r="A2030" s="5200"/>
      <c r="B2030" s="5207"/>
    </row>
    <row r="2031" spans="1:2" ht="14.85" customHeight="1">
      <c r="A2031" s="5200"/>
      <c r="B2031" s="5207"/>
    </row>
    <row r="2032" spans="1:2" ht="14.85" customHeight="1">
      <c r="A2032" s="5200"/>
      <c r="B2032" s="5207"/>
    </row>
    <row r="2033" spans="1:2" ht="14.85" customHeight="1">
      <c r="A2033" s="5200"/>
      <c r="B2033" s="5207"/>
    </row>
    <row r="2034" spans="1:2" ht="14.85" customHeight="1">
      <c r="A2034" s="5200"/>
      <c r="B2034" s="5207"/>
    </row>
    <row r="2035" spans="1:2" ht="14.85" customHeight="1">
      <c r="A2035" s="5200"/>
      <c r="B2035" s="5207"/>
    </row>
    <row r="2036" spans="1:2" ht="14.85" customHeight="1">
      <c r="A2036" s="5200"/>
      <c r="B2036" s="5207"/>
    </row>
    <row r="2037" spans="1:2" ht="14.85" customHeight="1">
      <c r="A2037" s="5200"/>
      <c r="B2037" s="5207"/>
    </row>
    <row r="2038" spans="1:2" ht="14.85" customHeight="1">
      <c r="A2038" s="5200"/>
      <c r="B2038" s="5207"/>
    </row>
    <row r="2039" spans="1:2" ht="14.85" customHeight="1">
      <c r="A2039" s="5200"/>
      <c r="B2039" s="5207"/>
    </row>
    <row r="2040" spans="1:2" ht="14.85" customHeight="1">
      <c r="A2040" s="5200"/>
      <c r="B2040" s="5207"/>
    </row>
    <row r="2041" spans="1:2" ht="14.85" customHeight="1">
      <c r="A2041" s="5200"/>
      <c r="B2041" s="5207"/>
    </row>
    <row r="2042" spans="1:2" ht="14.85" customHeight="1">
      <c r="A2042" s="5200"/>
      <c r="B2042" s="5207"/>
    </row>
    <row r="2043" spans="1:2" ht="14.85" customHeight="1">
      <c r="A2043" s="5200"/>
      <c r="B2043" s="5207"/>
    </row>
    <row r="2044" spans="1:2" ht="14.85" customHeight="1">
      <c r="A2044" s="5200"/>
      <c r="B2044" s="5207"/>
    </row>
    <row r="2045" spans="1:2" ht="14.85" customHeight="1">
      <c r="A2045" s="5200"/>
      <c r="B2045" s="5207"/>
    </row>
    <row r="2046" spans="1:2" ht="14.85" customHeight="1">
      <c r="A2046" s="5200"/>
      <c r="B2046" s="5207"/>
    </row>
    <row r="2047" spans="1:2" ht="14.85" customHeight="1">
      <c r="A2047" s="5200"/>
      <c r="B2047" s="5207"/>
    </row>
    <row r="2048" spans="1:2" ht="14.85" customHeight="1">
      <c r="A2048" s="5200"/>
      <c r="B2048" s="5207"/>
    </row>
    <row r="2049" spans="1:2" ht="14.85" customHeight="1">
      <c r="A2049" s="5200"/>
      <c r="B2049" s="5207"/>
    </row>
    <row r="2050" spans="1:2" ht="14.85" customHeight="1">
      <c r="A2050" s="5200"/>
      <c r="B2050" s="5207"/>
    </row>
    <row r="2051" spans="1:2" ht="14.85" customHeight="1">
      <c r="A2051" s="5200"/>
      <c r="B2051" s="5207"/>
    </row>
    <row r="2052" spans="1:2" ht="14.85" customHeight="1">
      <c r="A2052" s="5200"/>
      <c r="B2052" s="5207"/>
    </row>
    <row r="2053" spans="1:2" ht="14.85" customHeight="1">
      <c r="A2053" s="5200"/>
      <c r="B2053" s="5207"/>
    </row>
    <row r="2054" spans="1:2" ht="14.85" customHeight="1">
      <c r="A2054" s="5200"/>
      <c r="B2054" s="5207"/>
    </row>
    <row r="2055" spans="1:2" ht="14.85" customHeight="1">
      <c r="A2055" s="5200"/>
      <c r="B2055" s="5207"/>
    </row>
    <row r="2056" spans="1:2" ht="14.85" customHeight="1">
      <c r="A2056" s="5200"/>
      <c r="B2056" s="5207"/>
    </row>
    <row r="2057" spans="1:2" ht="14.85" customHeight="1">
      <c r="A2057" s="5200"/>
      <c r="B2057" s="5207"/>
    </row>
    <row r="2058" spans="1:2" ht="14.85" customHeight="1">
      <c r="A2058" s="5200"/>
      <c r="B2058" s="5207"/>
    </row>
    <row r="2059" spans="1:2" ht="14.85" customHeight="1">
      <c r="A2059" s="5200"/>
      <c r="B2059" s="5207"/>
    </row>
    <row r="2060" spans="1:2" ht="14.85" customHeight="1">
      <c r="A2060" s="5200"/>
      <c r="B2060" s="5207"/>
    </row>
    <row r="2061" spans="1:2" ht="14.85" customHeight="1">
      <c r="A2061" s="5200"/>
      <c r="B2061" s="5207"/>
    </row>
    <row r="2062" spans="1:2" ht="14.85" customHeight="1">
      <c r="A2062" s="5200"/>
      <c r="B2062" s="5207"/>
    </row>
    <row r="2063" spans="1:2" ht="14.85" customHeight="1">
      <c r="A2063" s="5200"/>
      <c r="B2063" s="5207"/>
    </row>
    <row r="2064" spans="1:2" ht="14.85" customHeight="1">
      <c r="A2064" s="5200"/>
      <c r="B2064" s="5207"/>
    </row>
    <row r="2065" spans="1:2" ht="14.85" customHeight="1">
      <c r="A2065" s="5200"/>
      <c r="B2065" s="5207"/>
    </row>
    <row r="2066" spans="1:2" ht="14.85" customHeight="1">
      <c r="A2066" s="5200"/>
      <c r="B2066" s="5207"/>
    </row>
    <row r="2067" spans="1:2" ht="14.85" customHeight="1">
      <c r="A2067" s="5200"/>
      <c r="B2067" s="5207"/>
    </row>
    <row r="2068" spans="1:2" ht="14.85" customHeight="1">
      <c r="A2068" s="5200"/>
      <c r="B2068" s="5207"/>
    </row>
    <row r="2069" spans="1:2" ht="14.85" customHeight="1">
      <c r="A2069" s="5200"/>
      <c r="B2069" s="5207"/>
    </row>
    <row r="2070" spans="1:2" ht="14.85" customHeight="1">
      <c r="A2070" s="5200"/>
      <c r="B2070" s="5207"/>
    </row>
    <row r="2071" spans="1:2" ht="14.85" customHeight="1">
      <c r="A2071" s="5200"/>
      <c r="B2071" s="5207"/>
    </row>
    <row r="2072" spans="1:2" ht="14.85" customHeight="1">
      <c r="A2072" s="5200"/>
      <c r="B2072" s="5207"/>
    </row>
    <row r="2073" spans="1:2" ht="14.85" customHeight="1">
      <c r="A2073" s="5200"/>
      <c r="B2073" s="5207"/>
    </row>
    <row r="2074" spans="1:2" ht="14.85" customHeight="1">
      <c r="A2074" s="5200"/>
      <c r="B2074" s="5207"/>
    </row>
    <row r="2075" spans="1:2" ht="14.85" customHeight="1">
      <c r="A2075" s="5200"/>
      <c r="B2075" s="5207"/>
    </row>
    <row r="2076" spans="1:2" ht="14.85" customHeight="1">
      <c r="A2076" s="5200"/>
      <c r="B2076" s="5207"/>
    </row>
    <row r="2077" spans="1:2" ht="14.85" customHeight="1">
      <c r="A2077" s="5200"/>
      <c r="B2077" s="5207"/>
    </row>
    <row r="2078" spans="1:2" ht="14.85" customHeight="1">
      <c r="A2078" s="5200"/>
      <c r="B2078" s="5207"/>
    </row>
    <row r="2079" spans="1:2" ht="14.85" customHeight="1">
      <c r="A2079" s="5200"/>
      <c r="B2079" s="5207"/>
    </row>
    <row r="2080" spans="1:2" ht="14.85" customHeight="1">
      <c r="A2080" s="5200"/>
      <c r="B2080" s="5207"/>
    </row>
    <row r="2081" spans="1:2" ht="14.85" customHeight="1">
      <c r="A2081" s="5200"/>
      <c r="B2081" s="5207"/>
    </row>
    <row r="2082" spans="1:2" ht="14.85" customHeight="1">
      <c r="A2082" s="5200"/>
      <c r="B2082" s="5207"/>
    </row>
    <row r="2083" spans="1:2" ht="14.85" customHeight="1">
      <c r="A2083" s="5200"/>
      <c r="B2083" s="5207"/>
    </row>
    <row r="2084" spans="1:2" ht="14.85" customHeight="1">
      <c r="A2084" s="5200"/>
      <c r="B2084" s="5207"/>
    </row>
    <row r="2085" spans="1:2" ht="14.85" customHeight="1">
      <c r="A2085" s="5200"/>
      <c r="B2085" s="5207"/>
    </row>
    <row r="2086" spans="1:2" ht="14.85" customHeight="1">
      <c r="A2086" s="5200"/>
      <c r="B2086" s="5207"/>
    </row>
    <row r="2087" spans="1:2" ht="14.85" customHeight="1">
      <c r="A2087" s="5200"/>
      <c r="B2087" s="5207"/>
    </row>
    <row r="2088" spans="1:2" ht="14.85" customHeight="1">
      <c r="A2088" s="5200"/>
      <c r="B2088" s="5207"/>
    </row>
    <row r="2089" spans="1:2" ht="14.85" customHeight="1">
      <c r="A2089" s="5200"/>
      <c r="B2089" s="5207"/>
    </row>
    <row r="2090" spans="1:2" ht="14.85" customHeight="1">
      <c r="A2090" s="5200"/>
      <c r="B2090" s="5207"/>
    </row>
    <row r="2091" spans="1:2" ht="14.85" customHeight="1">
      <c r="A2091" s="5217"/>
      <c r="B2091" s="5218"/>
    </row>
    <row r="2092" spans="1:2" ht="14.85" customHeight="1">
      <c r="A2092" s="5217"/>
      <c r="B2092" s="5218"/>
    </row>
    <row r="2093" spans="1:2" ht="14.85" customHeight="1">
      <c r="A2093" s="5217"/>
      <c r="B2093" s="5218"/>
    </row>
    <row r="2094" spans="1:2" ht="14.85" customHeight="1">
      <c r="A2094" s="5217"/>
      <c r="B2094" s="5218"/>
    </row>
    <row r="2095" spans="1:2" ht="14.85" customHeight="1">
      <c r="A2095" s="5217"/>
      <c r="B2095" s="5218"/>
    </row>
    <row r="2096" spans="1:2" ht="14.85" customHeight="1">
      <c r="A2096" s="5217"/>
      <c r="B2096" s="5218"/>
    </row>
    <row r="2097" spans="1:2" ht="14.85" customHeight="1">
      <c r="A2097" s="5217"/>
      <c r="B2097" s="5218"/>
    </row>
    <row r="2098" spans="1:2" ht="14.85" customHeight="1">
      <c r="A2098" s="5217"/>
      <c r="B2098" s="5218"/>
    </row>
    <row r="2099" spans="1:2" ht="14.85" customHeight="1">
      <c r="A2099" s="5217"/>
      <c r="B2099" s="5218"/>
    </row>
    <row r="2100" spans="1:2" ht="14.85" customHeight="1">
      <c r="A2100" s="5217"/>
      <c r="B2100" s="5218"/>
    </row>
    <row r="2101" spans="1:2" ht="14.85" customHeight="1">
      <c r="A2101" s="5217"/>
      <c r="B2101" s="5218"/>
    </row>
    <row r="2102" spans="1:2" ht="14.85" customHeight="1">
      <c r="A2102" s="5217"/>
      <c r="B2102" s="5218"/>
    </row>
    <row r="2103" spans="1:2" ht="14.85" customHeight="1">
      <c r="A2103" s="5217"/>
      <c r="B2103" s="5218"/>
    </row>
    <row r="2104" spans="1:2" ht="14.85" customHeight="1">
      <c r="A2104" s="5217"/>
      <c r="B2104" s="5218"/>
    </row>
    <row r="2105" spans="1:2" ht="14.85" customHeight="1">
      <c r="A2105" s="5217"/>
      <c r="B2105" s="5218"/>
    </row>
    <row r="2106" spans="1:2" ht="14.85" customHeight="1">
      <c r="A2106" s="5217"/>
      <c r="B2106" s="5218"/>
    </row>
    <row r="2107" spans="1:2" ht="14.85" customHeight="1">
      <c r="A2107" s="5217"/>
      <c r="B2107" s="5218"/>
    </row>
    <row r="2108" spans="1:2" ht="14.85" customHeight="1">
      <c r="A2108" s="5217"/>
      <c r="B2108" s="5218"/>
    </row>
    <row r="2109" spans="1:2" ht="14.85" customHeight="1">
      <c r="A2109" s="5217"/>
      <c r="B2109" s="5218"/>
    </row>
    <row r="2110" spans="1:2" ht="14.85" customHeight="1">
      <c r="A2110" s="5217"/>
      <c r="B2110" s="5218"/>
    </row>
    <row r="2111" spans="1:2" ht="14.85" customHeight="1">
      <c r="A2111" s="5217"/>
      <c r="B2111" s="5218"/>
    </row>
    <row r="2112" spans="1:2" ht="14.85" customHeight="1">
      <c r="A2112" s="5217"/>
      <c r="B2112" s="5218"/>
    </row>
    <row r="2113" spans="1:2" ht="14.85" customHeight="1">
      <c r="A2113" s="5217"/>
      <c r="B2113" s="5218"/>
    </row>
    <row r="2114" spans="1:2" ht="14.85" customHeight="1">
      <c r="A2114" s="5217"/>
      <c r="B2114" s="5218"/>
    </row>
    <row r="2115" spans="1:2" ht="14.85" customHeight="1">
      <c r="A2115" s="5217"/>
      <c r="B2115" s="5218"/>
    </row>
    <row r="2116" spans="1:2" ht="14.85" customHeight="1">
      <c r="A2116" s="5217"/>
      <c r="B2116" s="5218"/>
    </row>
    <row r="2117" spans="1:2" ht="14.85" customHeight="1">
      <c r="A2117" s="5217"/>
      <c r="B2117" s="5218"/>
    </row>
    <row r="2118" spans="1:2" ht="14.85" customHeight="1">
      <c r="A2118" s="5217"/>
      <c r="B2118" s="5218"/>
    </row>
    <row r="2119" spans="1:2" ht="14.85" customHeight="1">
      <c r="A2119" s="5217"/>
      <c r="B2119" s="5218"/>
    </row>
    <row r="2120" spans="1:2" ht="14.85" customHeight="1">
      <c r="A2120" s="5217"/>
      <c r="B2120" s="5218"/>
    </row>
    <row r="2121" spans="1:2" ht="14.85" customHeight="1">
      <c r="A2121" s="5217"/>
      <c r="B2121" s="5218"/>
    </row>
    <row r="2122" spans="1:2" ht="14.85" customHeight="1">
      <c r="A2122" s="5217"/>
      <c r="B2122" s="5218"/>
    </row>
    <row r="2123" spans="1:2" ht="14.85" customHeight="1">
      <c r="A2123" s="5217"/>
      <c r="B2123" s="5218"/>
    </row>
    <row r="2124" spans="1:2" ht="14.85" customHeight="1">
      <c r="A2124" s="5217"/>
      <c r="B2124" s="5218"/>
    </row>
    <row r="2125" spans="1:2" ht="14.85" customHeight="1">
      <c r="A2125" s="5217"/>
      <c r="B2125" s="5218"/>
    </row>
    <row r="2126" spans="1:2" ht="14.85" customHeight="1">
      <c r="A2126" s="5217"/>
      <c r="B2126" s="5218"/>
    </row>
    <row r="2127" spans="1:2" ht="14.85" customHeight="1">
      <c r="A2127" s="5217"/>
      <c r="B2127" s="5218"/>
    </row>
    <row r="2128" spans="1:2" ht="14.85" customHeight="1">
      <c r="A2128" s="5217"/>
      <c r="B2128" s="5218"/>
    </row>
    <row r="2129" spans="1:2" ht="14.85" customHeight="1">
      <c r="A2129" s="5217"/>
      <c r="B2129" s="5218"/>
    </row>
    <row r="2130" spans="1:2" ht="14.85" customHeight="1">
      <c r="A2130" s="5217"/>
      <c r="B2130" s="5218"/>
    </row>
    <row r="2131" spans="1:2" ht="14.85" customHeight="1">
      <c r="A2131" s="5217"/>
      <c r="B2131" s="5218"/>
    </row>
    <row r="2132" spans="1:2" ht="14.85" customHeight="1">
      <c r="A2132" s="5217"/>
      <c r="B2132" s="5218"/>
    </row>
    <row r="2133" spans="1:2" ht="14.85" customHeight="1">
      <c r="A2133" s="5217"/>
      <c r="B2133" s="5218"/>
    </row>
    <row r="2134" spans="1:2" ht="14.85" customHeight="1">
      <c r="A2134" s="5217"/>
      <c r="B2134" s="5218"/>
    </row>
    <row r="2135" spans="1:2" ht="14.85" customHeight="1">
      <c r="A2135" s="5217"/>
      <c r="B2135" s="5218"/>
    </row>
    <row r="2136" spans="1:2" ht="14.85" customHeight="1">
      <c r="A2136" s="5217"/>
      <c r="B2136" s="5218"/>
    </row>
    <row r="2137" spans="1:2" ht="14.85" customHeight="1">
      <c r="A2137" s="5217"/>
      <c r="B2137" s="5218"/>
    </row>
    <row r="2138" spans="1:2" ht="14.85" customHeight="1">
      <c r="A2138" s="5217"/>
      <c r="B2138" s="5218"/>
    </row>
    <row r="2139" spans="1:2" ht="14.85" customHeight="1">
      <c r="A2139" s="5217"/>
      <c r="B2139" s="5218"/>
    </row>
    <row r="2140" spans="1:2" ht="14.85" customHeight="1">
      <c r="A2140" s="5217"/>
      <c r="B2140" s="5218"/>
    </row>
    <row r="2141" spans="1:2" ht="14.85" customHeight="1">
      <c r="A2141" s="5217"/>
      <c r="B2141" s="5218"/>
    </row>
    <row r="2142" spans="1:2" ht="14.85" customHeight="1">
      <c r="A2142" s="5217"/>
      <c r="B2142" s="5218"/>
    </row>
    <row r="2143" spans="1:2" ht="14.85" customHeight="1">
      <c r="A2143" s="5217"/>
      <c r="B2143" s="5218"/>
    </row>
    <row r="2144" spans="1:2" ht="14.85" customHeight="1">
      <c r="A2144" s="5217"/>
      <c r="B2144" s="5218"/>
    </row>
    <row r="2145" spans="1:2" ht="14.85" customHeight="1">
      <c r="A2145" s="5217"/>
      <c r="B2145" s="5218"/>
    </row>
    <row r="2146" spans="1:2" ht="14.85" customHeight="1">
      <c r="A2146" s="5217"/>
      <c r="B2146" s="5218"/>
    </row>
    <row r="2147" spans="1:2" ht="14.85" customHeight="1">
      <c r="A2147" s="5217"/>
      <c r="B2147" s="5218"/>
    </row>
    <row r="2148" spans="1:2" ht="14.85" customHeight="1">
      <c r="A2148" s="5217"/>
      <c r="B2148" s="5218"/>
    </row>
    <row r="2149" spans="1:2" ht="14.85" customHeight="1">
      <c r="A2149" s="5217"/>
      <c r="B2149" s="5218"/>
    </row>
    <row r="2150" spans="1:2" ht="14.85" customHeight="1">
      <c r="A2150" s="5217"/>
      <c r="B2150" s="5218"/>
    </row>
    <row r="2151" spans="1:2" ht="14.85" customHeight="1">
      <c r="A2151" s="5217"/>
      <c r="B2151" s="5218"/>
    </row>
    <row r="2152" spans="1:2" ht="14.85" customHeight="1">
      <c r="A2152" s="5217"/>
      <c r="B2152" s="5218"/>
    </row>
    <row r="2153" spans="1:2" ht="14.85" customHeight="1">
      <c r="A2153" s="5217"/>
      <c r="B2153" s="5218"/>
    </row>
    <row r="2154" spans="1:2" ht="14.85" customHeight="1">
      <c r="A2154" s="5217"/>
      <c r="B2154" s="5218"/>
    </row>
    <row r="2155" spans="1:2" ht="14.85" customHeight="1">
      <c r="A2155" s="5217"/>
      <c r="B2155" s="5218"/>
    </row>
    <row r="2156" spans="1:2" ht="14.85" customHeight="1">
      <c r="A2156" s="5217"/>
      <c r="B2156" s="5218"/>
    </row>
    <row r="2157" spans="1:2" ht="14.85" customHeight="1">
      <c r="A2157" s="5217"/>
      <c r="B2157" s="5218"/>
    </row>
    <row r="2158" spans="1:2" ht="14.85" customHeight="1">
      <c r="A2158" s="5217"/>
      <c r="B2158" s="5218"/>
    </row>
    <row r="2159" spans="1:2" ht="14.85" customHeight="1">
      <c r="A2159" s="5217"/>
      <c r="B2159" s="5218"/>
    </row>
    <row r="2160" spans="1:2" ht="14.85" customHeight="1">
      <c r="A2160" s="5217"/>
      <c r="B2160" s="5218"/>
    </row>
    <row r="2161" spans="1:2" ht="14.85" customHeight="1">
      <c r="A2161" s="5217"/>
      <c r="B2161" s="5218"/>
    </row>
    <row r="2162" spans="1:2" ht="14.85" customHeight="1">
      <c r="A2162" s="5217"/>
      <c r="B2162" s="5218"/>
    </row>
    <row r="2163" spans="1:2" ht="14.85" customHeight="1">
      <c r="A2163" s="5217"/>
      <c r="B2163" s="5218"/>
    </row>
    <row r="2164" spans="1:2" ht="14.85" customHeight="1">
      <c r="A2164" s="5217"/>
      <c r="B2164" s="5218"/>
    </row>
    <row r="2165" spans="1:2" ht="14.85" customHeight="1">
      <c r="A2165" s="5217"/>
      <c r="B2165" s="5218"/>
    </row>
    <row r="2166" spans="1:2" ht="14.85" customHeight="1">
      <c r="A2166" s="5217"/>
      <c r="B2166" s="5218"/>
    </row>
    <row r="2167" spans="1:2" ht="14.85" customHeight="1">
      <c r="A2167" s="5217"/>
      <c r="B2167" s="5218"/>
    </row>
    <row r="2168" spans="1:2" ht="14.85" customHeight="1">
      <c r="A2168" s="5217"/>
      <c r="B2168" s="5218"/>
    </row>
    <row r="2169" spans="1:2" ht="14.85" customHeight="1">
      <c r="A2169" s="5217"/>
      <c r="B2169" s="5218"/>
    </row>
    <row r="2170" spans="1:2" ht="14.85" customHeight="1">
      <c r="A2170" s="5217"/>
      <c r="B2170" s="5218"/>
    </row>
    <row r="2171" spans="1:2" ht="14.85" customHeight="1">
      <c r="A2171" s="5217"/>
      <c r="B2171" s="5218"/>
    </row>
    <row r="2172" spans="1:2" ht="14.85" customHeight="1">
      <c r="A2172" s="5217"/>
      <c r="B2172" s="5218"/>
    </row>
    <row r="2173" spans="1:2" ht="14.85" customHeight="1">
      <c r="A2173" s="5217"/>
      <c r="B2173" s="5218"/>
    </row>
    <row r="2174" spans="1:2" ht="14.85" customHeight="1">
      <c r="A2174" s="5217"/>
      <c r="B2174" s="5218"/>
    </row>
    <row r="2175" spans="1:2" ht="14.85" customHeight="1">
      <c r="A2175" s="5217"/>
      <c r="B2175" s="5218"/>
    </row>
    <row r="2176" spans="1:2" ht="14.85" customHeight="1">
      <c r="A2176" s="5217"/>
      <c r="B2176" s="5218"/>
    </row>
    <row r="2177" spans="1:2" ht="14.85" customHeight="1">
      <c r="A2177" s="5217"/>
      <c r="B2177" s="5218"/>
    </row>
    <row r="2178" spans="1:2" ht="14.85" customHeight="1">
      <c r="A2178" s="5217"/>
      <c r="B2178" s="5218"/>
    </row>
    <row r="2179" spans="1:2" ht="14.85" customHeight="1">
      <c r="A2179" s="5217"/>
      <c r="B2179" s="5218"/>
    </row>
    <row r="2180" spans="1:2" ht="14.85" customHeight="1">
      <c r="A2180" s="5217"/>
      <c r="B2180" s="5218"/>
    </row>
    <row r="2181" spans="1:2" ht="14.85" customHeight="1">
      <c r="A2181" s="5217"/>
      <c r="B2181" s="5218"/>
    </row>
    <row r="2182" spans="1:2" ht="14.85" customHeight="1">
      <c r="A2182" s="5217"/>
      <c r="B2182" s="5218"/>
    </row>
    <row r="2183" spans="1:2" ht="14.85" customHeight="1">
      <c r="A2183" s="5217"/>
      <c r="B2183" s="5218"/>
    </row>
    <row r="2184" spans="1:2" ht="14.85" customHeight="1">
      <c r="A2184" s="5217"/>
      <c r="B2184" s="5218"/>
    </row>
    <row r="2185" spans="1:2" ht="14.85" customHeight="1">
      <c r="A2185" s="5217"/>
      <c r="B2185" s="5218"/>
    </row>
    <row r="2186" spans="1:2" ht="14.85" customHeight="1">
      <c r="A2186" s="5217"/>
      <c r="B2186" s="5218"/>
    </row>
    <row r="2187" spans="1:2" ht="14.85" customHeight="1">
      <c r="A2187" s="5217"/>
      <c r="B2187" s="5218"/>
    </row>
    <row r="2188" spans="1:2" ht="14.85" customHeight="1">
      <c r="A2188" s="5217"/>
      <c r="B2188" s="5218"/>
    </row>
    <row r="2189" spans="1:2" ht="14.85" customHeight="1">
      <c r="A2189" s="5217"/>
      <c r="B2189" s="5218"/>
    </row>
    <row r="2190" spans="1:2" ht="14.85" customHeight="1">
      <c r="A2190" s="5217"/>
      <c r="B2190" s="5218"/>
    </row>
    <row r="2191" spans="1:2" ht="14.85" customHeight="1">
      <c r="A2191" s="5217"/>
      <c r="B2191" s="5218"/>
    </row>
    <row r="2192" spans="1:2" ht="14.85" customHeight="1">
      <c r="A2192" s="5217"/>
      <c r="B2192" s="5218"/>
    </row>
    <row r="2193" spans="1:2" ht="14.85" customHeight="1">
      <c r="A2193" s="5217"/>
      <c r="B2193" s="5218"/>
    </row>
    <row r="2194" spans="1:2" ht="14.85" customHeight="1">
      <c r="A2194" s="5217"/>
      <c r="B2194" s="5218"/>
    </row>
    <row r="2195" spans="1:2" ht="14.85" customHeight="1">
      <c r="A2195" s="5217"/>
      <c r="B2195" s="5218"/>
    </row>
    <row r="2196" spans="1:2" ht="14.85" customHeight="1">
      <c r="A2196" s="5217"/>
      <c r="B2196" s="5218"/>
    </row>
    <row r="2197" spans="1:2" ht="14.85" customHeight="1">
      <c r="A2197" s="5217"/>
      <c r="B2197" s="5218"/>
    </row>
    <row r="2198" spans="1:2" ht="14.85" customHeight="1">
      <c r="A2198" s="5217"/>
      <c r="B2198" s="5218"/>
    </row>
    <row r="2199" spans="1:2" ht="14.85" customHeight="1">
      <c r="A2199" s="5217"/>
      <c r="B2199" s="5218"/>
    </row>
    <row r="2200" spans="1:2" ht="14.85" customHeight="1">
      <c r="A2200" s="5217"/>
      <c r="B2200" s="5218"/>
    </row>
    <row r="2201" spans="1:2" ht="14.85" customHeight="1">
      <c r="A2201" s="5217"/>
      <c r="B2201" s="5218"/>
    </row>
    <row r="2202" spans="1:2" ht="14.85" customHeight="1">
      <c r="A2202" s="5217"/>
      <c r="B2202" s="5218"/>
    </row>
    <row r="2203" spans="1:2" ht="14.85" customHeight="1">
      <c r="A2203" s="5217"/>
      <c r="B2203" s="5218"/>
    </row>
    <row r="2204" spans="1:2" ht="14.85" customHeight="1">
      <c r="A2204" s="5217"/>
      <c r="B2204" s="5218"/>
    </row>
    <row r="2205" spans="1:2" ht="14.85" customHeight="1">
      <c r="A2205" s="5217"/>
      <c r="B2205" s="5218"/>
    </row>
    <row r="2206" spans="1:2" ht="14.85" customHeight="1">
      <c r="A2206" s="5217"/>
      <c r="B2206" s="5218"/>
    </row>
    <row r="2207" spans="1:2" ht="14.85" customHeight="1">
      <c r="A2207" s="5217"/>
      <c r="B2207" s="5218"/>
    </row>
    <row r="2208" spans="1:2" ht="14.85" customHeight="1">
      <c r="A2208" s="5217"/>
      <c r="B2208" s="5218"/>
    </row>
    <row r="2209" spans="1:2" ht="14.85" customHeight="1">
      <c r="A2209" s="5217"/>
      <c r="B2209" s="5218"/>
    </row>
    <row r="2210" spans="1:2" ht="14.85" customHeight="1">
      <c r="A2210" s="5217"/>
      <c r="B2210" s="5218"/>
    </row>
    <row r="2211" spans="1:2" ht="14.85" customHeight="1">
      <c r="A2211" s="5217"/>
      <c r="B2211" s="5218"/>
    </row>
    <row r="2212" spans="1:2" ht="14.85" customHeight="1">
      <c r="A2212" s="5217"/>
      <c r="B2212" s="5218"/>
    </row>
    <row r="2213" spans="1:2" ht="14.85" customHeight="1">
      <c r="A2213" s="5217"/>
      <c r="B2213" s="5218"/>
    </row>
    <row r="2214" spans="1:2" ht="14.85" customHeight="1">
      <c r="A2214" s="5217"/>
      <c r="B2214" s="5218"/>
    </row>
    <row r="2215" spans="1:2" ht="14.85" customHeight="1">
      <c r="A2215" s="5217"/>
      <c r="B2215" s="5218"/>
    </row>
    <row r="2216" spans="1:2" ht="14.85" customHeight="1">
      <c r="A2216" s="5217"/>
      <c r="B2216" s="5218"/>
    </row>
    <row r="2217" spans="1:2" ht="14.85" customHeight="1">
      <c r="A2217" s="5217"/>
      <c r="B2217" s="5218"/>
    </row>
    <row r="2218" spans="1:2" ht="14.85" customHeight="1">
      <c r="A2218" s="5217"/>
      <c r="B2218" s="5218"/>
    </row>
    <row r="2219" spans="1:2" ht="14.85" customHeight="1">
      <c r="A2219" s="5217"/>
      <c r="B2219" s="5218"/>
    </row>
    <row r="2220" spans="1:2" ht="14.85" customHeight="1">
      <c r="A2220" s="5217"/>
      <c r="B2220" s="5218"/>
    </row>
    <row r="2221" spans="1:2" ht="14.85" customHeight="1">
      <c r="A2221" s="5217"/>
      <c r="B2221" s="5218"/>
    </row>
    <row r="2222" spans="1:2" ht="14.85" customHeight="1">
      <c r="A2222" s="5217"/>
      <c r="B2222" s="5218"/>
    </row>
    <row r="2223" spans="1:2" ht="14.85" customHeight="1">
      <c r="A2223" s="5217"/>
      <c r="B2223" s="5218"/>
    </row>
    <row r="2224" spans="1:2" ht="14.85" customHeight="1">
      <c r="A2224" s="5217"/>
      <c r="B2224" s="5218"/>
    </row>
    <row r="2225" spans="1:2" ht="14.85" customHeight="1">
      <c r="A2225" s="5217"/>
      <c r="B2225" s="5218"/>
    </row>
    <row r="2226" spans="1:2" ht="14.85" customHeight="1">
      <c r="A2226" s="5217"/>
      <c r="B2226" s="5218"/>
    </row>
    <row r="2227" spans="1:2" ht="14.85" customHeight="1">
      <c r="A2227" s="5217"/>
      <c r="B2227" s="5218"/>
    </row>
    <row r="2228" spans="1:2" ht="14.85" customHeight="1">
      <c r="A2228" s="5217"/>
      <c r="B2228" s="5218"/>
    </row>
    <row r="2229" spans="1:2" ht="14.85" customHeight="1">
      <c r="A2229" s="5217"/>
      <c r="B2229" s="5218"/>
    </row>
    <row r="2230" spans="1:2" ht="14.85" customHeight="1">
      <c r="A2230" s="5217"/>
      <c r="B2230" s="5218"/>
    </row>
    <row r="2231" spans="1:2" ht="14.85" customHeight="1">
      <c r="A2231" s="5217"/>
      <c r="B2231" s="5218"/>
    </row>
    <row r="2232" spans="1:2" ht="14.85" customHeight="1">
      <c r="A2232" s="5217"/>
      <c r="B2232" s="5218"/>
    </row>
    <row r="2233" spans="1:2" ht="14.85" customHeight="1">
      <c r="A2233" s="5217"/>
      <c r="B2233" s="5218"/>
    </row>
    <row r="2234" spans="1:2" ht="14.85" customHeight="1">
      <c r="A2234" s="5217"/>
      <c r="B2234" s="5218"/>
    </row>
    <row r="2235" spans="1:2" ht="14.85" customHeight="1">
      <c r="A2235" s="5217"/>
      <c r="B2235" s="5218"/>
    </row>
    <row r="2236" spans="1:2" ht="14.85" customHeight="1">
      <c r="A2236" s="5217"/>
      <c r="B2236" s="5218"/>
    </row>
    <row r="2237" spans="1:2" ht="14.85" customHeight="1">
      <c r="A2237" s="5217"/>
      <c r="B2237" s="5218"/>
    </row>
    <row r="2238" spans="1:2" ht="14.85" customHeight="1">
      <c r="A2238" s="5217"/>
      <c r="B2238" s="5218"/>
    </row>
    <row r="2239" spans="1:2" ht="14.85" customHeight="1">
      <c r="A2239" s="5217"/>
      <c r="B2239" s="5218"/>
    </row>
    <row r="2240" spans="1:2" ht="14.85" customHeight="1">
      <c r="A2240" s="5217"/>
      <c r="B2240" s="5218"/>
    </row>
    <row r="2241" spans="1:2" ht="14.85" customHeight="1">
      <c r="A2241" s="5217"/>
      <c r="B2241" s="5218"/>
    </row>
    <row r="2242" spans="1:2" ht="14.85" customHeight="1">
      <c r="A2242" s="5217"/>
      <c r="B2242" s="5218"/>
    </row>
    <row r="2243" spans="1:2" ht="14.85" customHeight="1">
      <c r="A2243" s="5217"/>
      <c r="B2243" s="5218"/>
    </row>
    <row r="2244" spans="1:2" ht="14.85" customHeight="1">
      <c r="A2244" s="5217"/>
      <c r="B2244" s="5218"/>
    </row>
    <row r="2245" spans="1:2" ht="14.85" customHeight="1">
      <c r="A2245" s="5217"/>
      <c r="B2245" s="5218"/>
    </row>
    <row r="2246" spans="1:2" ht="14.85" customHeight="1">
      <c r="A2246" s="5217"/>
      <c r="B2246" s="5218"/>
    </row>
    <row r="2247" spans="1:2" ht="14.85" customHeight="1">
      <c r="A2247" s="5217"/>
      <c r="B2247" s="5218"/>
    </row>
    <row r="2248" spans="1:2" ht="14.85" customHeight="1">
      <c r="A2248" s="5217"/>
      <c r="B2248" s="5218"/>
    </row>
    <row r="2249" spans="1:2" ht="14.85" customHeight="1">
      <c r="A2249" s="5217"/>
      <c r="B2249" s="5218"/>
    </row>
    <row r="2250" spans="1:2" ht="14.85" customHeight="1">
      <c r="A2250" s="5217"/>
      <c r="B2250" s="5218"/>
    </row>
    <row r="2251" spans="1:2" ht="14.85" customHeight="1">
      <c r="A2251" s="5217"/>
      <c r="B2251" s="5218"/>
    </row>
    <row r="2252" spans="1:2" ht="14.85" customHeight="1">
      <c r="A2252" s="5217"/>
      <c r="B2252" s="5218"/>
    </row>
    <row r="2253" spans="1:2" ht="14.85" customHeight="1">
      <c r="A2253" s="5217"/>
      <c r="B2253" s="5218"/>
    </row>
    <row r="2254" spans="1:2" ht="14.85" customHeight="1">
      <c r="A2254" s="5217"/>
      <c r="B2254" s="5218"/>
    </row>
    <row r="2255" spans="1:2" ht="14.85" customHeight="1">
      <c r="A2255" s="5217"/>
      <c r="B2255" s="5218"/>
    </row>
    <row r="2256" spans="1:2" ht="14.85" customHeight="1">
      <c r="A2256" s="5217"/>
      <c r="B2256" s="5218"/>
    </row>
    <row r="2257" spans="1:2" ht="14.85" customHeight="1">
      <c r="A2257" s="5217"/>
      <c r="B2257" s="5218"/>
    </row>
    <row r="2258" spans="1:2" ht="14.85" customHeight="1">
      <c r="A2258" s="5217"/>
      <c r="B2258" s="5218"/>
    </row>
    <row r="2259" spans="1:2" ht="14.85" customHeight="1">
      <c r="A2259" s="5217"/>
      <c r="B2259" s="5218"/>
    </row>
    <row r="2260" spans="1:2" ht="14.85" customHeight="1">
      <c r="A2260" s="5217"/>
      <c r="B2260" s="5218"/>
    </row>
    <row r="2261" spans="1:2" ht="14.85" customHeight="1">
      <c r="A2261" s="5217"/>
      <c r="B2261" s="5218"/>
    </row>
    <row r="2262" spans="1:2" ht="14.85" customHeight="1">
      <c r="A2262" s="5217"/>
      <c r="B2262" s="5218"/>
    </row>
    <row r="2263" spans="1:2" ht="14.85" customHeight="1">
      <c r="A2263" s="5217"/>
      <c r="B2263" s="5218"/>
    </row>
    <row r="2264" spans="1:2" ht="14.85" customHeight="1">
      <c r="A2264" s="5217"/>
      <c r="B2264" s="5218"/>
    </row>
    <row r="2265" spans="1:2" ht="14.85" customHeight="1">
      <c r="A2265" s="5217"/>
      <c r="B2265" s="5218"/>
    </row>
    <row r="2266" spans="1:2" ht="14.85" customHeight="1">
      <c r="A2266" s="5217"/>
      <c r="B2266" s="5218"/>
    </row>
    <row r="2267" spans="1:2" ht="14.85" customHeight="1">
      <c r="A2267" s="5217"/>
      <c r="B2267" s="5218"/>
    </row>
    <row r="2268" spans="1:2" ht="14.85" customHeight="1">
      <c r="A2268" s="5217"/>
      <c r="B2268" s="5218"/>
    </row>
    <row r="2269" spans="1:2" ht="14.85" customHeight="1">
      <c r="A2269" s="5217"/>
      <c r="B2269" s="5218"/>
    </row>
    <row r="2270" spans="1:2" ht="14.85" customHeight="1">
      <c r="A2270" s="5217"/>
      <c r="B2270" s="5218"/>
    </row>
    <row r="2271" spans="1:2" ht="14.85" customHeight="1">
      <c r="A2271" s="5217"/>
      <c r="B2271" s="5218"/>
    </row>
    <row r="2272" spans="1:2" ht="14.85" customHeight="1">
      <c r="A2272" s="5217"/>
      <c r="B2272" s="5218"/>
    </row>
    <row r="2273" spans="1:2" ht="14.85" customHeight="1">
      <c r="A2273" s="5217"/>
      <c r="B2273" s="5218"/>
    </row>
    <row r="2274" spans="1:2" ht="14.85" customHeight="1">
      <c r="A2274" s="5217"/>
      <c r="B2274" s="5218"/>
    </row>
    <row r="2275" spans="1:2" ht="14.85" customHeight="1">
      <c r="A2275" s="5217"/>
      <c r="B2275" s="5218"/>
    </row>
    <row r="2276" spans="1:2" ht="14.85" customHeight="1">
      <c r="A2276" s="5217"/>
      <c r="B2276" s="5218"/>
    </row>
    <row r="2277" spans="1:2" ht="14.85" customHeight="1">
      <c r="A2277" s="5217"/>
      <c r="B2277" s="5218"/>
    </row>
    <row r="2278" spans="1:2" ht="14.85" customHeight="1">
      <c r="A2278" s="5217"/>
      <c r="B2278" s="5218"/>
    </row>
    <row r="2279" spans="1:2" ht="14.85" customHeight="1">
      <c r="A2279" s="5217"/>
      <c r="B2279" s="5218"/>
    </row>
    <row r="2280" spans="1:2" ht="14.85" customHeight="1">
      <c r="A2280" s="5217"/>
      <c r="B2280" s="5218"/>
    </row>
    <row r="2281" spans="1:2" ht="14.85" customHeight="1">
      <c r="A2281" s="5217"/>
      <c r="B2281" s="5218"/>
    </row>
    <row r="2282" spans="1:2" ht="14.85" customHeight="1">
      <c r="A2282" s="5217"/>
      <c r="B2282" s="5218"/>
    </row>
    <row r="2283" spans="1:2" ht="14.85" customHeight="1">
      <c r="A2283" s="5217"/>
      <c r="B2283" s="5218"/>
    </row>
    <row r="2284" spans="1:2" ht="14.85" customHeight="1">
      <c r="A2284" s="5217"/>
      <c r="B2284" s="5218"/>
    </row>
    <row r="2285" spans="1:2" ht="14.85" customHeight="1">
      <c r="A2285" s="5217"/>
      <c r="B2285" s="5218"/>
    </row>
    <row r="2286" spans="1:2" ht="14.85" customHeight="1">
      <c r="A2286" s="5217"/>
      <c r="B2286" s="5218"/>
    </row>
    <row r="2287" spans="1:2" ht="14.85" customHeight="1">
      <c r="A2287" s="5217"/>
      <c r="B2287" s="5218"/>
    </row>
    <row r="2288" spans="1:2" ht="14.85" customHeight="1">
      <c r="A2288" s="5217"/>
      <c r="B2288" s="5218"/>
    </row>
    <row r="2289" spans="1:2" ht="14.85" customHeight="1">
      <c r="A2289" s="5217"/>
      <c r="B2289" s="5218"/>
    </row>
    <row r="2290" spans="1:2" ht="14.85" customHeight="1">
      <c r="A2290" s="5217"/>
      <c r="B2290" s="5218"/>
    </row>
    <row r="2291" spans="1:2" ht="14.85" customHeight="1">
      <c r="A2291" s="5217"/>
      <c r="B2291" s="5218"/>
    </row>
    <row r="2292" spans="1:2" ht="14.85" customHeight="1">
      <c r="A2292" s="5217"/>
      <c r="B2292" s="5218"/>
    </row>
    <row r="2293" spans="1:2" ht="14.85" customHeight="1">
      <c r="A2293" s="5217"/>
      <c r="B2293" s="5218"/>
    </row>
    <row r="2294" spans="1:2" ht="14.85" customHeight="1">
      <c r="A2294" s="5217"/>
      <c r="B2294" s="5218"/>
    </row>
    <row r="2295" spans="1:2" ht="14.85" customHeight="1">
      <c r="A2295" s="5217"/>
      <c r="B2295" s="5218"/>
    </row>
    <row r="2296" spans="1:2" ht="14.85" customHeight="1">
      <c r="A2296" s="5217"/>
      <c r="B2296" s="5218"/>
    </row>
    <row r="2297" spans="1:2" ht="14.85" customHeight="1">
      <c r="A2297" s="5217"/>
      <c r="B2297" s="5218"/>
    </row>
    <row r="2298" spans="1:2" ht="14.85" customHeight="1">
      <c r="A2298" s="5217"/>
      <c r="B2298" s="5218"/>
    </row>
    <row r="2299" spans="1:2" ht="14.85" customHeight="1">
      <c r="A2299" s="5217"/>
      <c r="B2299" s="5218"/>
    </row>
    <row r="2300" spans="1:2" ht="14.85" customHeight="1">
      <c r="A2300" s="5217"/>
      <c r="B2300" s="5218"/>
    </row>
    <row r="2301" spans="1:2" ht="14.85" customHeight="1">
      <c r="A2301" s="5217"/>
      <c r="B2301" s="5218"/>
    </row>
    <row r="2302" spans="1:2" ht="14.85" customHeight="1">
      <c r="A2302" s="5217"/>
      <c r="B2302" s="5218"/>
    </row>
    <row r="2303" spans="1:2" ht="14.85" customHeight="1">
      <c r="A2303" s="5217"/>
      <c r="B2303" s="5218"/>
    </row>
    <row r="2304" spans="1:2" ht="14.85" customHeight="1">
      <c r="A2304" s="5217"/>
      <c r="B2304" s="5218"/>
    </row>
    <row r="2305" spans="1:2" ht="14.85" customHeight="1">
      <c r="A2305" s="5217"/>
      <c r="B2305" s="5218"/>
    </row>
    <row r="2306" spans="1:2" ht="14.85" customHeight="1">
      <c r="A2306" s="5217"/>
      <c r="B2306" s="5218"/>
    </row>
    <row r="2307" spans="1:2" ht="14.85" customHeight="1">
      <c r="A2307" s="5217"/>
      <c r="B2307" s="5218"/>
    </row>
    <row r="2308" spans="1:2" ht="14.85" customHeight="1">
      <c r="A2308" s="5217"/>
      <c r="B2308" s="5218"/>
    </row>
    <row r="2309" spans="1:2" ht="14.85" customHeight="1">
      <c r="A2309" s="5217"/>
      <c r="B2309" s="5218"/>
    </row>
    <row r="2310" spans="1:2" ht="14.85" customHeight="1">
      <c r="A2310" s="5217"/>
      <c r="B2310" s="5218"/>
    </row>
    <row r="2311" spans="1:2" ht="14.85" customHeight="1">
      <c r="A2311" s="5217"/>
      <c r="B2311" s="5218"/>
    </row>
    <row r="2312" spans="1:2" ht="14.85" customHeight="1">
      <c r="A2312" s="5217"/>
      <c r="B2312" s="5218"/>
    </row>
    <row r="2313" spans="1:2" ht="14.85" customHeight="1">
      <c r="A2313" s="5217"/>
      <c r="B2313" s="5218"/>
    </row>
    <row r="2314" spans="1:2" ht="14.85" customHeight="1">
      <c r="A2314" s="5217"/>
      <c r="B2314" s="5218"/>
    </row>
    <row r="2315" spans="1:2" ht="14.85" customHeight="1">
      <c r="A2315" s="5217"/>
      <c r="B2315" s="5218"/>
    </row>
    <row r="2316" spans="1:2" ht="14.85" customHeight="1">
      <c r="A2316" s="5217"/>
      <c r="B2316" s="5218"/>
    </row>
    <row r="2317" spans="1:2" ht="14.85" customHeight="1">
      <c r="A2317" s="5217"/>
      <c r="B2317" s="5218"/>
    </row>
    <row r="2318" spans="1:2" ht="14.85" customHeight="1">
      <c r="A2318" s="5217"/>
      <c r="B2318" s="5218"/>
    </row>
    <row r="2319" spans="1:2" ht="14.85" customHeight="1">
      <c r="A2319" s="5217"/>
      <c r="B2319" s="5218"/>
    </row>
    <row r="2320" spans="1:2" ht="14.85" customHeight="1">
      <c r="A2320" s="5217"/>
      <c r="B2320" s="5218"/>
    </row>
    <row r="2321" spans="1:2" ht="14.85" customHeight="1">
      <c r="A2321" s="5217"/>
      <c r="B2321" s="5218"/>
    </row>
    <row r="2322" spans="1:2" ht="14.85" customHeight="1">
      <c r="A2322" s="5217"/>
      <c r="B2322" s="5218"/>
    </row>
    <row r="2323" spans="1:2" ht="14.85" customHeight="1">
      <c r="A2323" s="5217"/>
      <c r="B2323" s="5218"/>
    </row>
    <row r="2324" spans="1:2" ht="14.85" customHeight="1">
      <c r="A2324" s="5217"/>
      <c r="B2324" s="5218"/>
    </row>
    <row r="2325" spans="1:2" ht="14.85" customHeight="1">
      <c r="A2325" s="5217"/>
      <c r="B2325" s="5218"/>
    </row>
    <row r="2326" spans="1:2" ht="14.85" customHeight="1">
      <c r="A2326" s="5217"/>
      <c r="B2326" s="5218"/>
    </row>
    <row r="2327" spans="1:2" ht="14.85" customHeight="1">
      <c r="A2327" s="5217"/>
      <c r="B2327" s="5218"/>
    </row>
    <row r="2328" spans="1:2" ht="14.85" customHeight="1">
      <c r="A2328" s="5217"/>
      <c r="B2328" s="5218"/>
    </row>
    <row r="2329" spans="1:2" ht="14.85" customHeight="1">
      <c r="A2329" s="5217"/>
      <c r="B2329" s="5218"/>
    </row>
    <row r="2330" spans="1:2" ht="14.85" customHeight="1">
      <c r="A2330" s="5217"/>
      <c r="B2330" s="5218"/>
    </row>
    <row r="2331" spans="1:2" ht="14.85" customHeight="1">
      <c r="A2331" s="5217"/>
      <c r="B2331" s="5218"/>
    </row>
    <row r="2332" spans="1:2" ht="14.85" customHeight="1">
      <c r="A2332" s="5217"/>
      <c r="B2332" s="5218"/>
    </row>
    <row r="2333" spans="1:2" ht="14.85" customHeight="1">
      <c r="A2333" s="5217"/>
      <c r="B2333" s="5218"/>
    </row>
    <row r="2334" spans="1:2" ht="14.85" customHeight="1">
      <c r="A2334" s="5217"/>
      <c r="B2334" s="5218"/>
    </row>
    <row r="2335" spans="1:2" ht="14.85" customHeight="1">
      <c r="A2335" s="5217"/>
      <c r="B2335" s="5218"/>
    </row>
    <row r="2336" spans="1:2" ht="14.85" customHeight="1">
      <c r="A2336" s="5217"/>
      <c r="B2336" s="5218"/>
    </row>
    <row r="2337" spans="1:2" ht="14.85" customHeight="1">
      <c r="A2337" s="5217"/>
      <c r="B2337" s="5218"/>
    </row>
    <row r="2338" spans="1:2" ht="14.85" customHeight="1">
      <c r="A2338" s="5217"/>
      <c r="B2338" s="5218"/>
    </row>
    <row r="2339" spans="1:2" ht="14.85" customHeight="1">
      <c r="A2339" s="5217"/>
      <c r="B2339" s="5218"/>
    </row>
    <row r="2340" spans="1:2" ht="14.85" customHeight="1">
      <c r="A2340" s="5217"/>
      <c r="B2340" s="5218"/>
    </row>
    <row r="2341" spans="1:2" ht="14.85" customHeight="1">
      <c r="A2341" s="5217"/>
      <c r="B2341" s="5218"/>
    </row>
    <row r="2342" spans="1:2" ht="14.85" customHeight="1">
      <c r="A2342" s="5217"/>
      <c r="B2342" s="5218"/>
    </row>
    <row r="2343" spans="1:2" ht="14.85" customHeight="1">
      <c r="A2343" s="5217"/>
      <c r="B2343" s="5218"/>
    </row>
    <row r="2344" spans="1:2" ht="14.85" customHeight="1">
      <c r="A2344" s="5217"/>
      <c r="B2344" s="5218"/>
    </row>
    <row r="2345" spans="1:2" ht="14.85" customHeight="1">
      <c r="A2345" s="5217"/>
      <c r="B2345" s="5218"/>
    </row>
    <row r="2346" spans="1:2" ht="14.85" customHeight="1">
      <c r="A2346" s="5217"/>
      <c r="B2346" s="5218"/>
    </row>
    <row r="2347" spans="1:2" ht="14.85" customHeight="1">
      <c r="A2347" s="5217"/>
      <c r="B2347" s="5218"/>
    </row>
    <row r="2348" spans="1:2" ht="14.85" customHeight="1">
      <c r="A2348" s="5217"/>
      <c r="B2348" s="5218"/>
    </row>
    <row r="2349" spans="1:2" ht="14.85" customHeight="1">
      <c r="A2349" s="5217"/>
      <c r="B2349" s="5218"/>
    </row>
    <row r="2350" spans="1:2" ht="14.85" customHeight="1">
      <c r="A2350" s="5217"/>
      <c r="B2350" s="5218"/>
    </row>
    <row r="2351" spans="1:2" ht="14.85" customHeight="1">
      <c r="A2351" s="5217"/>
      <c r="B2351" s="5218"/>
    </row>
    <row r="2352" spans="1:2" ht="14.85" customHeight="1">
      <c r="A2352" s="5217"/>
      <c r="B2352" s="5218"/>
    </row>
    <row r="2353" spans="1:2" ht="14.85" customHeight="1">
      <c r="A2353" s="5217"/>
      <c r="B2353" s="5218"/>
    </row>
    <row r="2354" spans="1:2" ht="14.85" customHeight="1">
      <c r="A2354" s="5217"/>
      <c r="B2354" s="5218"/>
    </row>
    <row r="2355" spans="1:2" ht="14.85" customHeight="1">
      <c r="A2355" s="5217"/>
      <c r="B2355" s="5218"/>
    </row>
    <row r="2356" spans="1:2" ht="14.85" customHeight="1">
      <c r="A2356" s="5217"/>
      <c r="B2356" s="5218"/>
    </row>
    <row r="2357" spans="1:2" ht="14.85" customHeight="1">
      <c r="A2357" s="5217"/>
      <c r="B2357" s="5218"/>
    </row>
    <row r="2358" spans="1:2" ht="14.85" customHeight="1">
      <c r="A2358" s="5217"/>
      <c r="B2358" s="5218"/>
    </row>
    <row r="2359" spans="1:2" ht="14.85" customHeight="1">
      <c r="A2359" s="5217"/>
      <c r="B2359" s="5218"/>
    </row>
    <row r="2360" spans="1:2" ht="14.85" customHeight="1">
      <c r="A2360" s="5217"/>
      <c r="B2360" s="5218"/>
    </row>
    <row r="2361" spans="1:2" ht="14.85" customHeight="1">
      <c r="A2361" s="5217"/>
      <c r="B2361" s="5218"/>
    </row>
    <row r="2362" spans="1:2" ht="14.85" customHeight="1">
      <c r="A2362" s="5217"/>
      <c r="B2362" s="5218"/>
    </row>
    <row r="2363" spans="1:2" ht="14.85" customHeight="1">
      <c r="A2363" s="5217"/>
      <c r="B2363" s="5218"/>
    </row>
    <row r="2364" spans="1:2" ht="14.85" customHeight="1">
      <c r="A2364" s="5217"/>
      <c r="B2364" s="5218"/>
    </row>
    <row r="2365" spans="1:2" ht="14.85" customHeight="1">
      <c r="A2365" s="5217"/>
      <c r="B2365" s="5218"/>
    </row>
    <row r="2366" spans="1:2" ht="14.85" customHeight="1">
      <c r="A2366" s="5217"/>
      <c r="B2366" s="5218"/>
    </row>
    <row r="2367" spans="1:2" ht="14.85" customHeight="1">
      <c r="A2367" s="5217"/>
      <c r="B2367" s="5218"/>
    </row>
    <row r="2368" spans="1:2" ht="14.85" customHeight="1">
      <c r="A2368" s="5217"/>
      <c r="B2368" s="5218"/>
    </row>
    <row r="2369" spans="1:2" ht="14.85" customHeight="1">
      <c r="A2369" s="5217"/>
      <c r="B2369" s="5218"/>
    </row>
    <row r="2370" spans="1:2" ht="14.85" customHeight="1">
      <c r="A2370" s="5217"/>
      <c r="B2370" s="5218"/>
    </row>
    <row r="2371" spans="1:2" ht="14.85" customHeight="1">
      <c r="A2371" s="5217"/>
      <c r="B2371" s="5218"/>
    </row>
    <row r="2372" spans="1:2" ht="14.85" customHeight="1">
      <c r="A2372" s="5217"/>
      <c r="B2372" s="5218"/>
    </row>
    <row r="2373" spans="1:2" ht="14.85" customHeight="1">
      <c r="A2373" s="5217"/>
      <c r="B2373" s="5218"/>
    </row>
    <row r="2374" spans="1:2" ht="14.85" customHeight="1">
      <c r="A2374" s="5217"/>
      <c r="B2374" s="5218"/>
    </row>
    <row r="2375" spans="1:2" ht="14.85" customHeight="1">
      <c r="A2375" s="5217"/>
      <c r="B2375" s="5218"/>
    </row>
    <row r="2376" spans="1:2" ht="14.85" customHeight="1">
      <c r="A2376" s="5217"/>
      <c r="B2376" s="5218"/>
    </row>
    <row r="2377" spans="1:2" ht="14.85" customHeight="1">
      <c r="A2377" s="5217"/>
      <c r="B2377" s="5218"/>
    </row>
    <row r="2378" spans="1:2" ht="14.85" customHeight="1">
      <c r="A2378" s="5217"/>
      <c r="B2378" s="5218"/>
    </row>
    <row r="2379" spans="1:2" ht="14.85" customHeight="1">
      <c r="A2379" s="5217"/>
      <c r="B2379" s="5218"/>
    </row>
    <row r="2380" spans="1:2" ht="14.85" customHeight="1">
      <c r="A2380" s="5217"/>
      <c r="B2380" s="5218"/>
    </row>
    <row r="2381" spans="1:2" ht="14.85" customHeight="1">
      <c r="A2381" s="5217"/>
      <c r="B2381" s="5218"/>
    </row>
    <row r="2382" spans="1:2" ht="14.85" customHeight="1">
      <c r="A2382" s="5217"/>
      <c r="B2382" s="5218"/>
    </row>
    <row r="2383" spans="1:2" ht="14.85" customHeight="1">
      <c r="A2383" s="5217"/>
      <c r="B2383" s="5218"/>
    </row>
    <row r="2384" spans="1:2" ht="14.85" customHeight="1">
      <c r="A2384" s="5217"/>
      <c r="B2384" s="5218"/>
    </row>
    <row r="2385" spans="1:2" ht="14.85" customHeight="1">
      <c r="A2385" s="5217"/>
      <c r="B2385" s="5218"/>
    </row>
    <row r="2386" spans="1:2" ht="14.85" customHeight="1">
      <c r="A2386" s="5217"/>
      <c r="B2386" s="5218"/>
    </row>
    <row r="2387" spans="1:2" ht="14.85" customHeight="1">
      <c r="A2387" s="5217"/>
      <c r="B2387" s="5218"/>
    </row>
    <row r="2388" spans="1:2" ht="14.85" customHeight="1">
      <c r="A2388" s="5217"/>
      <c r="B2388" s="5218"/>
    </row>
    <row r="2389" spans="1:2" ht="14.85" customHeight="1">
      <c r="A2389" s="5217"/>
      <c r="B2389" s="5218"/>
    </row>
    <row r="2390" spans="1:2" ht="14.85" customHeight="1">
      <c r="A2390" s="5217"/>
      <c r="B2390" s="5218"/>
    </row>
    <row r="2391" spans="1:2" ht="14.85" customHeight="1">
      <c r="A2391" s="5217"/>
      <c r="B2391" s="5218"/>
    </row>
    <row r="2392" spans="1:2" ht="14.85" customHeight="1">
      <c r="A2392" s="5217"/>
      <c r="B2392" s="5218"/>
    </row>
    <row r="2393" spans="1:2" ht="14.85" customHeight="1">
      <c r="A2393" s="5217"/>
      <c r="B2393" s="5218"/>
    </row>
    <row r="2394" spans="1:2" ht="14.85" customHeight="1">
      <c r="A2394" s="5217"/>
      <c r="B2394" s="5218"/>
    </row>
    <row r="2395" spans="1:2" ht="14.85" customHeight="1">
      <c r="A2395" s="5217"/>
      <c r="B2395" s="5218"/>
    </row>
    <row r="2396" spans="1:2" ht="14.85" customHeight="1">
      <c r="A2396" s="5217"/>
      <c r="B2396" s="5218"/>
    </row>
    <row r="2397" spans="1:2" ht="14.85" customHeight="1">
      <c r="A2397" s="5217"/>
      <c r="B2397" s="5218"/>
    </row>
    <row r="2398" spans="1:2" ht="14.85" customHeight="1">
      <c r="A2398" s="5217"/>
      <c r="B2398" s="5218"/>
    </row>
    <row r="2399" spans="1:2" ht="14.85" customHeight="1">
      <c r="A2399" s="5217"/>
      <c r="B2399" s="5218"/>
    </row>
    <row r="2400" spans="1:2" ht="14.85" customHeight="1">
      <c r="A2400" s="5217"/>
      <c r="B2400" s="5218"/>
    </row>
    <row r="2401" spans="1:2" ht="14.85" customHeight="1">
      <c r="A2401" s="5217"/>
      <c r="B2401" s="5218"/>
    </row>
    <row r="2402" spans="1:2" ht="14.85" customHeight="1">
      <c r="A2402" s="5217"/>
      <c r="B2402" s="5218"/>
    </row>
    <row r="2403" spans="1:2" ht="14.85" customHeight="1">
      <c r="A2403" s="5217"/>
      <c r="B2403" s="5218"/>
    </row>
    <row r="2404" spans="1:2" ht="14.85" customHeight="1">
      <c r="A2404" s="5217"/>
      <c r="B2404" s="5218"/>
    </row>
    <row r="2405" spans="1:2" ht="14.85" customHeight="1">
      <c r="A2405" s="5217"/>
      <c r="B2405" s="5218"/>
    </row>
    <row r="2406" spans="1:2" ht="14.85" customHeight="1">
      <c r="A2406" s="5217"/>
      <c r="B2406" s="5218"/>
    </row>
    <row r="2407" spans="1:2" ht="14.85" customHeight="1">
      <c r="A2407" s="5217"/>
      <c r="B2407" s="5218"/>
    </row>
    <row r="2408" spans="1:2" ht="14.85" customHeight="1">
      <c r="A2408" s="5217"/>
      <c r="B2408" s="5218"/>
    </row>
    <row r="2409" spans="1:2" ht="14.85" customHeight="1">
      <c r="A2409" s="5217"/>
      <c r="B2409" s="5218"/>
    </row>
    <row r="2410" spans="1:2" ht="14.85" customHeight="1">
      <c r="A2410" s="5217"/>
      <c r="B2410" s="5218"/>
    </row>
    <row r="2411" spans="1:2" ht="14.85" customHeight="1">
      <c r="A2411" s="5217"/>
      <c r="B2411" s="5218"/>
    </row>
    <row r="2412" spans="1:2" ht="14.85" customHeight="1">
      <c r="A2412" s="5217"/>
      <c r="B2412" s="5218"/>
    </row>
    <row r="2413" spans="1:2" ht="14.85" customHeight="1">
      <c r="A2413" s="5217"/>
      <c r="B2413" s="5218"/>
    </row>
    <row r="2414" spans="1:2" ht="14.85" customHeight="1">
      <c r="A2414" s="5217"/>
      <c r="B2414" s="5218"/>
    </row>
    <row r="2415" spans="1:2" ht="14.85" customHeight="1">
      <c r="A2415" s="5217"/>
      <c r="B2415" s="5218"/>
    </row>
    <row r="2416" spans="1:2" ht="14.85" customHeight="1">
      <c r="A2416" s="5217"/>
      <c r="B2416" s="5218"/>
    </row>
    <row r="2417" spans="1:2" ht="14.85" customHeight="1">
      <c r="A2417" s="5217"/>
      <c r="B2417" s="5218"/>
    </row>
    <row r="2418" spans="1:2" ht="14.85" customHeight="1">
      <c r="A2418" s="5217"/>
      <c r="B2418" s="5218"/>
    </row>
    <row r="2419" spans="1:2" ht="14.85" customHeight="1">
      <c r="A2419" s="5217"/>
      <c r="B2419" s="5218"/>
    </row>
    <row r="2420" spans="1:2" ht="14.85" customHeight="1">
      <c r="A2420" s="5217"/>
      <c r="B2420" s="5218"/>
    </row>
    <row r="2421" spans="1:2" ht="14.85" customHeight="1">
      <c r="A2421" s="5217"/>
      <c r="B2421" s="5218"/>
    </row>
    <row r="2422" spans="1:2" ht="14.85" customHeight="1">
      <c r="A2422" s="5217"/>
      <c r="B2422" s="5218"/>
    </row>
    <row r="2423" spans="1:2" ht="14.85" customHeight="1">
      <c r="A2423" s="5217"/>
      <c r="B2423" s="5218"/>
    </row>
    <row r="2424" spans="1:2" ht="14.85" customHeight="1">
      <c r="A2424" s="5217"/>
      <c r="B2424" s="5218"/>
    </row>
    <row r="2425" spans="1:2" ht="14.85" customHeight="1">
      <c r="A2425" s="5217"/>
      <c r="B2425" s="5218"/>
    </row>
    <row r="2426" spans="1:2" ht="14.85" customHeight="1">
      <c r="A2426" s="5217"/>
      <c r="B2426" s="5218"/>
    </row>
    <row r="2427" spans="1:2" ht="14.85" customHeight="1">
      <c r="A2427" s="5217"/>
      <c r="B2427" s="5218"/>
    </row>
    <row r="2428" spans="1:2" ht="14.85" customHeight="1">
      <c r="A2428" s="5217"/>
      <c r="B2428" s="5218"/>
    </row>
    <row r="2429" spans="1:2" ht="14.85" customHeight="1">
      <c r="A2429" s="5217"/>
      <c r="B2429" s="5218"/>
    </row>
    <row r="2430" spans="1:2" ht="14.85" customHeight="1">
      <c r="A2430" s="5217"/>
      <c r="B2430" s="5218"/>
    </row>
    <row r="2431" spans="1:2" ht="14.85" customHeight="1">
      <c r="A2431" s="5217"/>
      <c r="B2431" s="5218"/>
    </row>
    <row r="2432" spans="1:2" ht="14.85" customHeight="1">
      <c r="A2432" s="5217"/>
      <c r="B2432" s="5218"/>
    </row>
    <row r="2433" spans="1:2" ht="14.85" customHeight="1">
      <c r="A2433" s="5217"/>
      <c r="B2433" s="5218"/>
    </row>
    <row r="2434" spans="1:2" ht="14.85" customHeight="1">
      <c r="A2434" s="5217"/>
      <c r="B2434" s="5218"/>
    </row>
    <row r="2435" spans="1:2" ht="14.85" customHeight="1">
      <c r="A2435" s="5217"/>
      <c r="B2435" s="5218"/>
    </row>
    <row r="2436" spans="1:2" ht="14.85" customHeight="1">
      <c r="A2436" s="5217"/>
      <c r="B2436" s="5218"/>
    </row>
    <row r="2437" spans="1:2" ht="14.85" customHeight="1">
      <c r="A2437" s="5217"/>
      <c r="B2437" s="5218"/>
    </row>
    <row r="2438" spans="1:2" ht="14.85" customHeight="1">
      <c r="A2438" s="5217"/>
      <c r="B2438" s="5218"/>
    </row>
    <row r="2439" spans="1:2" ht="14.85" customHeight="1">
      <c r="A2439" s="5217"/>
      <c r="B2439" s="5218"/>
    </row>
    <row r="2440" spans="1:2" ht="14.85" customHeight="1">
      <c r="A2440" s="5217"/>
      <c r="B2440" s="5218"/>
    </row>
    <row r="2441" spans="1:2" ht="14.85" customHeight="1">
      <c r="A2441" s="5217"/>
      <c r="B2441" s="5218"/>
    </row>
    <row r="2442" spans="1:2" ht="14.85" customHeight="1">
      <c r="A2442" s="5217"/>
      <c r="B2442" s="5218"/>
    </row>
    <row r="2443" spans="1:2" ht="14.85" customHeight="1">
      <c r="A2443" s="5217"/>
      <c r="B2443" s="5218"/>
    </row>
    <row r="2444" spans="1:2" ht="14.85" customHeight="1">
      <c r="A2444" s="5217"/>
      <c r="B2444" s="5218"/>
    </row>
    <row r="2445" spans="1:2" ht="14.85" customHeight="1">
      <c r="A2445" s="5217"/>
      <c r="B2445" s="5218"/>
    </row>
    <row r="2446" spans="1:2" ht="14.85" customHeight="1">
      <c r="A2446" s="5217"/>
      <c r="B2446" s="5218"/>
    </row>
    <row r="2447" spans="1:2" ht="14.85" customHeight="1">
      <c r="A2447" s="5217"/>
      <c r="B2447" s="5218"/>
    </row>
    <row r="2448" spans="1:2" ht="14.85" customHeight="1">
      <c r="A2448" s="5217"/>
      <c r="B2448" s="5218"/>
    </row>
    <row r="2449" spans="1:2" ht="14.85" customHeight="1">
      <c r="A2449" s="5217"/>
      <c r="B2449" s="5218"/>
    </row>
    <row r="2450" spans="1:2" ht="14.85" customHeight="1">
      <c r="A2450" s="5217"/>
      <c r="B2450" s="5218"/>
    </row>
    <row r="2451" spans="1:2" ht="14.85" customHeight="1">
      <c r="A2451" s="5217"/>
      <c r="B2451" s="5218"/>
    </row>
    <row r="2452" spans="1:2" ht="14.85" customHeight="1">
      <c r="A2452" s="5217"/>
      <c r="B2452" s="5218"/>
    </row>
    <row r="2453" spans="1:2" ht="14.85" customHeight="1">
      <c r="A2453" s="5217"/>
      <c r="B2453" s="5218"/>
    </row>
    <row r="2454" spans="1:2" ht="14.85" customHeight="1">
      <c r="A2454" s="5217"/>
      <c r="B2454" s="5218"/>
    </row>
    <row r="2455" spans="1:2" ht="14.85" customHeight="1">
      <c r="A2455" s="5217"/>
      <c r="B2455" s="5218"/>
    </row>
    <row r="2456" spans="1:2" ht="14.85" customHeight="1">
      <c r="A2456" s="5217"/>
      <c r="B2456" s="5218"/>
    </row>
    <row r="2457" spans="1:2" ht="14.85" customHeight="1">
      <c r="A2457" s="5217"/>
      <c r="B2457" s="5218"/>
    </row>
    <row r="2458" spans="1:2" ht="14.85" customHeight="1">
      <c r="A2458" s="5217"/>
      <c r="B2458" s="5218"/>
    </row>
    <row r="2459" spans="1:2" ht="14.85" customHeight="1">
      <c r="A2459" s="5217"/>
      <c r="B2459" s="5218"/>
    </row>
    <row r="2460" spans="1:2" ht="14.85" customHeight="1">
      <c r="A2460" s="5217"/>
      <c r="B2460" s="5218"/>
    </row>
    <row r="2461" spans="1:2" ht="14.85" customHeight="1">
      <c r="A2461" s="5217"/>
      <c r="B2461" s="5218"/>
    </row>
    <row r="2462" spans="1:2" ht="14.85" customHeight="1">
      <c r="A2462" s="5217"/>
      <c r="B2462" s="5218"/>
    </row>
    <row r="2463" spans="1:2" ht="14.85" customHeight="1">
      <c r="A2463" s="5217"/>
      <c r="B2463" s="5218"/>
    </row>
    <row r="2464" spans="1:2" ht="14.85" customHeight="1">
      <c r="A2464" s="5217"/>
      <c r="B2464" s="5218"/>
    </row>
    <row r="2465" spans="1:2" ht="14.85" customHeight="1">
      <c r="A2465" s="5217"/>
      <c r="B2465" s="5218"/>
    </row>
    <row r="2466" spans="1:2" ht="14.85" customHeight="1">
      <c r="A2466" s="5217"/>
      <c r="B2466" s="5218"/>
    </row>
    <row r="2467" spans="1:2" ht="14.85" customHeight="1">
      <c r="A2467" s="5217"/>
      <c r="B2467" s="5218"/>
    </row>
    <row r="2468" spans="1:2" ht="14.85" customHeight="1">
      <c r="A2468" s="5217"/>
      <c r="B2468" s="5218"/>
    </row>
    <row r="2469" spans="1:2" ht="14.85" customHeight="1">
      <c r="A2469" s="5217"/>
      <c r="B2469" s="5218"/>
    </row>
    <row r="2470" spans="1:2" ht="14.85" customHeight="1">
      <c r="A2470" s="5217"/>
      <c r="B2470" s="5218"/>
    </row>
    <row r="2471" spans="1:2" ht="14.85" customHeight="1">
      <c r="A2471" s="5217"/>
      <c r="B2471" s="5218"/>
    </row>
    <row r="2472" spans="1:2" ht="14.85" customHeight="1">
      <c r="A2472" s="5217"/>
      <c r="B2472" s="5218"/>
    </row>
    <row r="2473" spans="1:2" ht="14.85" customHeight="1">
      <c r="A2473" s="5217"/>
      <c r="B2473" s="5218"/>
    </row>
    <row r="2474" spans="1:2" ht="14.85" customHeight="1">
      <c r="A2474" s="5217"/>
      <c r="B2474" s="5218"/>
    </row>
    <row r="2475" spans="1:2" ht="14.85" customHeight="1">
      <c r="A2475" s="5217"/>
      <c r="B2475" s="5218"/>
    </row>
    <row r="2476" spans="1:2" ht="14.85" customHeight="1">
      <c r="A2476" s="5217"/>
      <c r="B2476" s="5218"/>
    </row>
    <row r="2477" spans="1:2" ht="14.85" customHeight="1">
      <c r="A2477" s="5217"/>
      <c r="B2477" s="5218"/>
    </row>
    <row r="2478" spans="1:2" ht="14.85" customHeight="1">
      <c r="A2478" s="5217"/>
      <c r="B2478" s="5218"/>
    </row>
    <row r="2479" spans="1:2" ht="14.85" customHeight="1">
      <c r="A2479" s="5217"/>
      <c r="B2479" s="5218"/>
    </row>
    <row r="2480" spans="1:2" ht="14.85" customHeight="1">
      <c r="A2480" s="5217"/>
      <c r="B2480" s="5218"/>
    </row>
    <row r="2481" spans="1:2" ht="14.85" customHeight="1">
      <c r="A2481" s="5217"/>
      <c r="B2481" s="5218"/>
    </row>
    <row r="2482" spans="1:2" ht="14.85" customHeight="1">
      <c r="A2482" s="5217"/>
      <c r="B2482" s="5218"/>
    </row>
    <row r="2483" spans="1:2" ht="14.85" customHeight="1">
      <c r="A2483" s="5217"/>
      <c r="B2483" s="5218"/>
    </row>
    <row r="2484" spans="1:2" ht="14.85" customHeight="1">
      <c r="A2484" s="5217"/>
      <c r="B2484" s="5218"/>
    </row>
    <row r="2485" spans="1:2" ht="14.85" customHeight="1">
      <c r="A2485" s="5217"/>
      <c r="B2485" s="5218"/>
    </row>
    <row r="2486" spans="1:2" ht="14.85" customHeight="1">
      <c r="A2486" s="5217"/>
      <c r="B2486" s="5218"/>
    </row>
    <row r="2487" spans="1:2" ht="14.85" customHeight="1">
      <c r="A2487" s="5217"/>
      <c r="B2487" s="5218"/>
    </row>
    <row r="2488" spans="1:2" ht="14.85" customHeight="1">
      <c r="A2488" s="5217"/>
      <c r="B2488" s="5218"/>
    </row>
    <row r="2489" spans="1:2" ht="14.85" customHeight="1">
      <c r="A2489" s="5217"/>
      <c r="B2489" s="5218"/>
    </row>
    <row r="2490" spans="1:2" ht="14.85" customHeight="1">
      <c r="A2490" s="5217"/>
      <c r="B2490" s="5218"/>
    </row>
    <row r="2491" spans="1:2" ht="14.85" customHeight="1">
      <c r="A2491" s="5217"/>
      <c r="B2491" s="5218"/>
    </row>
    <row r="2492" spans="1:2" ht="14.85" customHeight="1">
      <c r="A2492" s="5217"/>
      <c r="B2492" s="5218"/>
    </row>
    <row r="2493" spans="1:2" ht="14.85" customHeight="1">
      <c r="A2493" s="5217"/>
      <c r="B2493" s="5218"/>
    </row>
    <row r="2494" spans="1:2" ht="14.85" customHeight="1">
      <c r="A2494" s="5217"/>
      <c r="B2494" s="5218"/>
    </row>
    <row r="2495" spans="1:2" ht="14.85" customHeight="1">
      <c r="A2495" s="5217"/>
      <c r="B2495" s="5218"/>
    </row>
    <row r="2496" spans="1:2" ht="14.85" customHeight="1">
      <c r="A2496" s="5217"/>
      <c r="B2496" s="5218"/>
    </row>
    <row r="2497" spans="1:2" ht="14.85" customHeight="1">
      <c r="A2497" s="5217"/>
      <c r="B2497" s="5218"/>
    </row>
    <row r="2498" spans="1:2" ht="14.85" customHeight="1">
      <c r="A2498" s="5217"/>
      <c r="B2498" s="5218"/>
    </row>
    <row r="2499" spans="1:2" ht="14.85" customHeight="1">
      <c r="A2499" s="5217"/>
      <c r="B2499" s="5218"/>
    </row>
    <row r="2500" spans="1:2" ht="14.85" customHeight="1">
      <c r="A2500" s="5217"/>
      <c r="B2500" s="5218"/>
    </row>
    <row r="2501" spans="1:2" ht="14.85" customHeight="1">
      <c r="A2501" s="5217"/>
      <c r="B2501" s="5218"/>
    </row>
    <row r="2502" spans="1:2" ht="14.85" customHeight="1">
      <c r="A2502" s="5217"/>
      <c r="B2502" s="5218"/>
    </row>
    <row r="2503" spans="1:2" ht="14.85" customHeight="1">
      <c r="A2503" s="5217"/>
      <c r="B2503" s="5218"/>
    </row>
    <row r="2504" spans="1:2" ht="14.85" customHeight="1">
      <c r="A2504" s="5217"/>
      <c r="B2504" s="5218"/>
    </row>
    <row r="2505" spans="1:2" ht="14.85" customHeight="1">
      <c r="A2505" s="5217"/>
      <c r="B2505" s="5218"/>
    </row>
    <row r="2506" spans="1:2" ht="14.85" customHeight="1">
      <c r="A2506" s="5217"/>
      <c r="B2506" s="5218"/>
    </row>
    <row r="2507" spans="1:2" ht="14.85" customHeight="1">
      <c r="A2507" s="5217"/>
      <c r="B2507" s="5218"/>
    </row>
    <row r="2508" spans="1:2" ht="14.85" customHeight="1">
      <c r="A2508" s="5217"/>
      <c r="B2508" s="5218"/>
    </row>
    <row r="2509" spans="1:2" ht="14.85" customHeight="1">
      <c r="A2509" s="5217"/>
      <c r="B2509" s="5218"/>
    </row>
    <row r="2510" spans="1:2" ht="14.85" customHeight="1">
      <c r="A2510" s="5217"/>
      <c r="B2510" s="5218"/>
    </row>
    <row r="2511" spans="1:2" ht="14.85" customHeight="1">
      <c r="A2511" s="5217"/>
      <c r="B2511" s="5218"/>
    </row>
    <row r="2512" spans="1:2" ht="14.85" customHeight="1">
      <c r="A2512" s="5217"/>
      <c r="B2512" s="5218"/>
    </row>
    <row r="2513" spans="1:2" ht="14.85" customHeight="1">
      <c r="A2513" s="5217"/>
      <c r="B2513" s="5218"/>
    </row>
    <row r="2514" spans="1:2" ht="14.85" customHeight="1">
      <c r="A2514" s="5217"/>
      <c r="B2514" s="5218"/>
    </row>
    <row r="2515" spans="1:2" ht="14.85" customHeight="1">
      <c r="A2515" s="5217"/>
      <c r="B2515" s="5218"/>
    </row>
    <row r="2516" spans="1:2" ht="14.85" customHeight="1">
      <c r="A2516" s="5217"/>
      <c r="B2516" s="5218"/>
    </row>
    <row r="2517" spans="1:2" ht="14.85" customHeight="1">
      <c r="A2517" s="5217"/>
      <c r="B2517" s="5218"/>
    </row>
    <row r="2518" spans="1:2" ht="14.85" customHeight="1">
      <c r="A2518" s="5217"/>
      <c r="B2518" s="5218"/>
    </row>
    <row r="2519" spans="1:2" ht="14.85" customHeight="1">
      <c r="A2519" s="5217"/>
      <c r="B2519" s="5218"/>
    </row>
    <row r="2520" spans="1:2" ht="14.85" customHeight="1">
      <c r="A2520" s="5217"/>
      <c r="B2520" s="5218"/>
    </row>
    <row r="2521" spans="1:2" ht="14.85" customHeight="1">
      <c r="A2521" s="5217"/>
      <c r="B2521" s="5218"/>
    </row>
    <row r="2522" spans="1:2" ht="14.85" customHeight="1">
      <c r="A2522" s="5217"/>
      <c r="B2522" s="5218"/>
    </row>
    <row r="2523" spans="1:2" ht="14.85" customHeight="1">
      <c r="A2523" s="5217"/>
      <c r="B2523" s="5218"/>
    </row>
    <row r="2524" spans="1:2" ht="14.85" customHeight="1">
      <c r="A2524" s="5217"/>
      <c r="B2524" s="5218"/>
    </row>
    <row r="2525" spans="1:2" ht="14.85" customHeight="1">
      <c r="A2525" s="5217"/>
      <c r="B2525" s="5218"/>
    </row>
    <row r="2526" spans="1:2" ht="14.85" customHeight="1">
      <c r="A2526" s="5217"/>
      <c r="B2526" s="5218"/>
    </row>
    <row r="2527" spans="1:2" ht="14.85" customHeight="1">
      <c r="A2527" s="5217"/>
      <c r="B2527" s="5218"/>
    </row>
    <row r="2528" spans="1:2" ht="14.85" customHeight="1">
      <c r="A2528" s="5217"/>
      <c r="B2528" s="5218"/>
    </row>
    <row r="2529" spans="1:2" ht="14.85" customHeight="1">
      <c r="A2529" s="5217"/>
      <c r="B2529" s="5218"/>
    </row>
    <row r="2530" spans="1:2" ht="14.85" customHeight="1">
      <c r="A2530" s="5217"/>
      <c r="B2530" s="5218"/>
    </row>
    <row r="2531" spans="1:2" ht="14.85" customHeight="1">
      <c r="A2531" s="5217"/>
      <c r="B2531" s="5218"/>
    </row>
    <row r="2532" spans="1:2" ht="14.85" customHeight="1">
      <c r="A2532" s="5217"/>
      <c r="B2532" s="5218"/>
    </row>
    <row r="2533" spans="1:2" ht="14.85" customHeight="1">
      <c r="A2533" s="5217"/>
      <c r="B2533" s="5218"/>
    </row>
    <row r="2534" spans="1:2" ht="14.85" customHeight="1">
      <c r="A2534" s="5217"/>
      <c r="B2534" s="5218"/>
    </row>
    <row r="2535" spans="1:2" ht="14.85" customHeight="1">
      <c r="A2535" s="5217"/>
      <c r="B2535" s="5218"/>
    </row>
    <row r="2536" spans="1:2" ht="14.85" customHeight="1">
      <c r="A2536" s="5217"/>
      <c r="B2536" s="5218"/>
    </row>
    <row r="2537" spans="1:2" ht="14.85" customHeight="1">
      <c r="A2537" s="5217"/>
      <c r="B2537" s="5218"/>
    </row>
    <row r="2538" spans="1:2" ht="14.85" customHeight="1">
      <c r="A2538" s="5217"/>
      <c r="B2538" s="5218"/>
    </row>
    <row r="2539" spans="1:2" ht="14.85" customHeight="1">
      <c r="A2539" s="5217"/>
      <c r="B2539" s="5218"/>
    </row>
    <row r="2540" spans="1:2" ht="14.85" customHeight="1">
      <c r="A2540" s="5217"/>
      <c r="B2540" s="5218"/>
    </row>
    <row r="2541" spans="1:2" ht="14.85" customHeight="1">
      <c r="A2541" s="5217"/>
      <c r="B2541" s="5218"/>
    </row>
    <row r="2542" spans="1:2" ht="14.85" customHeight="1">
      <c r="A2542" s="5217"/>
      <c r="B2542" s="5218"/>
    </row>
    <row r="2543" spans="1:2" ht="14.85" customHeight="1">
      <c r="A2543" s="5217"/>
      <c r="B2543" s="5218"/>
    </row>
    <row r="2544" spans="1:2" ht="14.85" customHeight="1">
      <c r="A2544" s="5217"/>
      <c r="B2544" s="5218"/>
    </row>
    <row r="2545" spans="1:2" ht="14.85" customHeight="1">
      <c r="A2545" s="5217"/>
      <c r="B2545" s="5218"/>
    </row>
    <row r="2546" spans="1:2" ht="14.85" customHeight="1">
      <c r="A2546" s="5217"/>
      <c r="B2546" s="5218"/>
    </row>
    <row r="2547" spans="1:2" ht="14.85" customHeight="1">
      <c r="A2547" s="5217"/>
      <c r="B2547" s="5218"/>
    </row>
    <row r="2548" spans="1:2" ht="14.85" customHeight="1">
      <c r="A2548" s="5217"/>
      <c r="B2548" s="5218"/>
    </row>
    <row r="2549" spans="1:2" ht="14.85" customHeight="1">
      <c r="A2549" s="5217"/>
      <c r="B2549" s="5218"/>
    </row>
    <row r="2550" spans="1:2" ht="14.85" customHeight="1">
      <c r="A2550" s="5217"/>
      <c r="B2550" s="5218"/>
    </row>
    <row r="2551" spans="1:2" ht="14.85" customHeight="1">
      <c r="A2551" s="5217"/>
      <c r="B2551" s="5218"/>
    </row>
    <row r="2552" spans="1:2" ht="14.85" customHeight="1">
      <c r="A2552" s="5217"/>
      <c r="B2552" s="5218"/>
    </row>
    <row r="2553" spans="1:2" ht="14.85" customHeight="1">
      <c r="A2553" s="5217"/>
      <c r="B2553" s="5218"/>
    </row>
    <row r="2554" spans="1:2" ht="14.85" customHeight="1">
      <c r="A2554" s="5217"/>
      <c r="B2554" s="5218"/>
    </row>
    <row r="2555" spans="1:2" ht="14.85" customHeight="1">
      <c r="A2555" s="5217"/>
      <c r="B2555" s="5218"/>
    </row>
    <row r="2556" spans="1:2" ht="14.85" customHeight="1">
      <c r="A2556" s="5217"/>
      <c r="B2556" s="5218"/>
    </row>
    <row r="2557" spans="1:2" ht="14.85" customHeight="1">
      <c r="A2557" s="5217"/>
      <c r="B2557" s="5218"/>
    </row>
    <row r="2558" spans="1:2" ht="14.85" customHeight="1">
      <c r="A2558" s="5217"/>
      <c r="B2558" s="5218"/>
    </row>
    <row r="2559" spans="1:2" ht="14.85" customHeight="1">
      <c r="A2559" s="5217"/>
      <c r="B2559" s="5218"/>
    </row>
    <row r="2560" spans="1:2" ht="14.85" customHeight="1">
      <c r="A2560" s="5217"/>
      <c r="B2560" s="5218"/>
    </row>
    <row r="2561" spans="1:2" ht="14.85" customHeight="1">
      <c r="A2561" s="5217"/>
      <c r="B2561" s="5218"/>
    </row>
    <row r="2562" spans="1:2" ht="14.85" customHeight="1">
      <c r="A2562" s="5217"/>
      <c r="B2562" s="5218"/>
    </row>
    <row r="2563" spans="1:2" ht="14.85" customHeight="1">
      <c r="A2563" s="5217"/>
      <c r="B2563" s="5218"/>
    </row>
    <row r="2564" spans="1:2" ht="14.85" customHeight="1">
      <c r="A2564" s="5217"/>
      <c r="B2564" s="5218"/>
    </row>
    <row r="2565" spans="1:2" ht="14.85" customHeight="1">
      <c r="A2565" s="5217"/>
      <c r="B2565" s="5218"/>
    </row>
    <row r="2566" spans="1:2" ht="14.85" customHeight="1">
      <c r="A2566" s="5217"/>
      <c r="B2566" s="5218"/>
    </row>
    <row r="2567" spans="1:2" ht="14.85" customHeight="1">
      <c r="A2567" s="5217"/>
      <c r="B2567" s="5218"/>
    </row>
    <row r="2568" spans="1:2" ht="14.85" customHeight="1">
      <c r="A2568" s="5217"/>
      <c r="B2568" s="5218"/>
    </row>
    <row r="2569" spans="1:2" ht="14.85" customHeight="1">
      <c r="A2569" s="5217"/>
      <c r="B2569" s="5218"/>
    </row>
    <row r="2570" spans="1:2" ht="14.85" customHeight="1">
      <c r="A2570" s="5217"/>
      <c r="B2570" s="5218"/>
    </row>
    <row r="2571" spans="1:2" ht="14.85" customHeight="1">
      <c r="A2571" s="5217"/>
      <c r="B2571" s="5218"/>
    </row>
    <row r="2572" spans="1:2" ht="14.85" customHeight="1">
      <c r="A2572" s="5217"/>
      <c r="B2572" s="5218"/>
    </row>
    <row r="2573" spans="1:2" ht="14.85" customHeight="1">
      <c r="A2573" s="5217"/>
      <c r="B2573" s="5218"/>
    </row>
    <row r="2574" spans="1:2" ht="14.85" customHeight="1">
      <c r="A2574" s="5217"/>
      <c r="B2574" s="5218"/>
    </row>
    <row r="2575" spans="1:2" ht="14.85" customHeight="1">
      <c r="A2575" s="5217"/>
      <c r="B2575" s="5218"/>
    </row>
    <row r="2576" spans="1:2" ht="14.85" customHeight="1">
      <c r="A2576" s="5217"/>
      <c r="B2576" s="5218"/>
    </row>
    <row r="2577" spans="1:2" ht="14.85" customHeight="1">
      <c r="A2577" s="5217"/>
      <c r="B2577" s="5218"/>
    </row>
    <row r="2578" spans="1:2" ht="14.85" customHeight="1">
      <c r="A2578" s="5217"/>
      <c r="B2578" s="5218"/>
    </row>
    <row r="2579" spans="1:2" ht="14.85" customHeight="1">
      <c r="A2579" s="5217"/>
      <c r="B2579" s="5218"/>
    </row>
    <row r="2580" spans="1:2" ht="14.85" customHeight="1">
      <c r="A2580" s="5217"/>
      <c r="B2580" s="5218"/>
    </row>
    <row r="2581" spans="1:2" ht="14.85" customHeight="1">
      <c r="A2581" s="5217"/>
      <c r="B2581" s="5218"/>
    </row>
    <row r="2582" spans="1:2" ht="14.85" customHeight="1">
      <c r="A2582" s="5217"/>
      <c r="B2582" s="5218"/>
    </row>
    <row r="2583" spans="1:2" ht="14.85" customHeight="1">
      <c r="A2583" s="5217"/>
      <c r="B2583" s="5218"/>
    </row>
    <row r="2584" spans="1:2" ht="14.85" customHeight="1">
      <c r="A2584" s="5217"/>
      <c r="B2584" s="5218"/>
    </row>
    <row r="2585" spans="1:2" ht="14.85" customHeight="1">
      <c r="A2585" s="5217"/>
      <c r="B2585" s="5218"/>
    </row>
    <row r="2586" spans="1:2" ht="14.85" customHeight="1">
      <c r="A2586" s="5217"/>
      <c r="B2586" s="5218"/>
    </row>
    <row r="2587" spans="1:2" ht="14.85" customHeight="1">
      <c r="A2587" s="5217"/>
      <c r="B2587" s="5218"/>
    </row>
    <row r="2588" spans="1:2" ht="14.85" customHeight="1">
      <c r="A2588" s="5217"/>
      <c r="B2588" s="5218"/>
    </row>
    <row r="2589" spans="1:2" ht="14.85" customHeight="1">
      <c r="A2589" s="5217"/>
      <c r="B2589" s="5218"/>
    </row>
    <row r="2590" spans="1:2" ht="14.85" customHeight="1">
      <c r="A2590" s="5217"/>
      <c r="B2590" s="5218"/>
    </row>
    <row r="2591" spans="1:2" ht="14.85" customHeight="1">
      <c r="A2591" s="5217"/>
      <c r="B2591" s="5218"/>
    </row>
    <row r="2592" spans="1:2" ht="14.85" customHeight="1">
      <c r="A2592" s="5217"/>
      <c r="B2592" s="5218"/>
    </row>
    <row r="2593" spans="1:2" ht="14.85" customHeight="1">
      <c r="A2593" s="5217"/>
      <c r="B2593" s="5218"/>
    </row>
    <row r="2594" spans="1:2" ht="14.85" customHeight="1">
      <c r="A2594" s="5217"/>
      <c r="B2594" s="5218"/>
    </row>
    <row r="2595" spans="1:2" ht="14.85" customHeight="1">
      <c r="A2595" s="5217"/>
      <c r="B2595" s="5218"/>
    </row>
    <row r="2596" spans="1:2" ht="14.85" customHeight="1">
      <c r="A2596" s="5217"/>
      <c r="B2596" s="5218"/>
    </row>
    <row r="2597" spans="1:2" ht="14.85" customHeight="1">
      <c r="A2597" s="5217"/>
      <c r="B2597" s="5218"/>
    </row>
    <row r="2598" spans="1:2" ht="14.85" customHeight="1">
      <c r="A2598" s="5217"/>
      <c r="B2598" s="5218"/>
    </row>
    <row r="2599" spans="1:2" ht="14.85" customHeight="1">
      <c r="A2599" s="5217"/>
      <c r="B2599" s="5218"/>
    </row>
    <row r="2600" spans="1:2" ht="14.85" customHeight="1">
      <c r="A2600" s="5217"/>
      <c r="B2600" s="5218"/>
    </row>
    <row r="2601" spans="1:2" ht="14.85" customHeight="1">
      <c r="A2601" s="5217"/>
      <c r="B2601" s="5218"/>
    </row>
    <row r="2602" spans="1:2" ht="14.85" customHeight="1">
      <c r="A2602" s="5217"/>
      <c r="B2602" s="5218"/>
    </row>
    <row r="2603" spans="1:2" ht="14.85" customHeight="1">
      <c r="A2603" s="5217"/>
      <c r="B2603" s="5218"/>
    </row>
    <row r="2604" spans="1:2" ht="14.85" customHeight="1">
      <c r="A2604" s="5217"/>
      <c r="B2604" s="5218"/>
    </row>
    <row r="2605" spans="1:2" ht="14.85" customHeight="1">
      <c r="A2605" s="5217"/>
      <c r="B2605" s="5218"/>
    </row>
    <row r="2606" spans="1:2" ht="14.85" customHeight="1">
      <c r="A2606" s="5217"/>
      <c r="B2606" s="5218"/>
    </row>
    <row r="2607" spans="1:2" ht="14.85" customHeight="1">
      <c r="A2607" s="5217"/>
      <c r="B2607" s="5218"/>
    </row>
    <row r="2608" spans="1:2" ht="14.85" customHeight="1">
      <c r="A2608" s="5217"/>
      <c r="B2608" s="5218"/>
    </row>
    <row r="2609" spans="1:2" ht="14.85" customHeight="1">
      <c r="A2609" s="5217"/>
      <c r="B2609" s="5218"/>
    </row>
    <row r="2610" spans="1:2" ht="14.85" customHeight="1">
      <c r="A2610" s="5217"/>
      <c r="B2610" s="5218"/>
    </row>
    <row r="2611" spans="1:2" ht="14.85" customHeight="1">
      <c r="A2611" s="5217"/>
      <c r="B2611" s="5218"/>
    </row>
    <row r="2612" spans="1:2" ht="14.85" customHeight="1">
      <c r="A2612" s="5217"/>
      <c r="B2612" s="5218"/>
    </row>
    <row r="2613" spans="1:2" ht="14.85" customHeight="1">
      <c r="A2613" s="5217"/>
      <c r="B2613" s="5218"/>
    </row>
    <row r="2614" spans="1:2" ht="14.85" customHeight="1">
      <c r="A2614" s="5217"/>
      <c r="B2614" s="5218"/>
    </row>
    <row r="2615" spans="1:2" ht="14.85" customHeight="1">
      <c r="A2615" s="5217"/>
      <c r="B2615" s="5218"/>
    </row>
    <row r="2616" spans="1:2" ht="14.85" customHeight="1">
      <c r="A2616" s="5217"/>
      <c r="B2616" s="5218"/>
    </row>
    <row r="2617" spans="1:2" ht="14.85" customHeight="1">
      <c r="A2617" s="5217"/>
      <c r="B2617" s="5218"/>
    </row>
    <row r="2618" spans="1:2" ht="14.85" customHeight="1">
      <c r="A2618" s="5217"/>
      <c r="B2618" s="5218"/>
    </row>
    <row r="2619" spans="1:2" ht="14.85" customHeight="1">
      <c r="A2619" s="5217"/>
      <c r="B2619" s="5218"/>
    </row>
    <row r="2620" spans="1:2" ht="14.85" customHeight="1">
      <c r="A2620" s="5217"/>
      <c r="B2620" s="5218"/>
    </row>
    <row r="2621" spans="1:2" ht="14.85" customHeight="1">
      <c r="A2621" s="5217"/>
      <c r="B2621" s="5218"/>
    </row>
    <row r="2622" spans="1:2" ht="14.85" customHeight="1">
      <c r="A2622" s="5217"/>
      <c r="B2622" s="5218"/>
    </row>
    <row r="2623" spans="1:2" ht="14.85" customHeight="1">
      <c r="A2623" s="5217"/>
      <c r="B2623" s="5218"/>
    </row>
    <row r="2624" spans="1:2" ht="14.85" customHeight="1">
      <c r="A2624" s="5217"/>
      <c r="B2624" s="5218"/>
    </row>
    <row r="2625" spans="1:2" ht="14.85" customHeight="1">
      <c r="A2625" s="5217"/>
      <c r="B2625" s="5218"/>
    </row>
    <row r="2626" spans="1:2" ht="14.85" customHeight="1">
      <c r="A2626" s="5217"/>
      <c r="B2626" s="5218"/>
    </row>
    <row r="2627" spans="1:2" ht="14.85" customHeight="1">
      <c r="A2627" s="5217"/>
      <c r="B2627" s="5218"/>
    </row>
    <row r="2628" spans="1:2" ht="14.85" customHeight="1">
      <c r="A2628" s="5217"/>
      <c r="B2628" s="5218"/>
    </row>
    <row r="2629" spans="1:2" ht="14.85" customHeight="1">
      <c r="A2629" s="5217"/>
      <c r="B2629" s="5218"/>
    </row>
    <row r="2630" spans="1:2" ht="14.85" customHeight="1">
      <c r="A2630" s="5217"/>
      <c r="B2630" s="5218"/>
    </row>
    <row r="2631" spans="1:2" ht="14.85" customHeight="1">
      <c r="A2631" s="5217"/>
      <c r="B2631" s="5218"/>
    </row>
    <row r="2632" spans="1:2" ht="14.85" customHeight="1">
      <c r="A2632" s="5217"/>
      <c r="B2632" s="5218"/>
    </row>
    <row r="2633" spans="1:2" ht="14.85" customHeight="1">
      <c r="A2633" s="5217"/>
      <c r="B2633" s="5218"/>
    </row>
    <row r="2634" spans="1:2" ht="14.85" customHeight="1">
      <c r="A2634" s="5217"/>
      <c r="B2634" s="5218"/>
    </row>
    <row r="2635" spans="1:2" ht="14.85" customHeight="1">
      <c r="A2635" s="5217"/>
      <c r="B2635" s="5218"/>
    </row>
    <row r="2636" spans="1:2" ht="14.85" customHeight="1">
      <c r="A2636" s="5217"/>
      <c r="B2636" s="5218"/>
    </row>
    <row r="2637" spans="1:2" ht="14.85" customHeight="1">
      <c r="A2637" s="5217"/>
      <c r="B2637" s="5218"/>
    </row>
    <row r="2638" spans="1:2" ht="14.85" customHeight="1">
      <c r="A2638" s="5217"/>
      <c r="B2638" s="5218"/>
    </row>
    <row r="2639" spans="1:2" ht="14.85" customHeight="1">
      <c r="A2639" s="5217"/>
      <c r="B2639" s="5218"/>
    </row>
    <row r="2640" spans="1:2" ht="14.85" customHeight="1">
      <c r="A2640" s="5217"/>
      <c r="B2640" s="5218"/>
    </row>
    <row r="2641" spans="1:2" ht="14.85" customHeight="1">
      <c r="A2641" s="5217"/>
      <c r="B2641" s="5218"/>
    </row>
    <row r="2642" spans="1:2" ht="14.85" customHeight="1">
      <c r="A2642" s="5217"/>
      <c r="B2642" s="5218"/>
    </row>
    <row r="2643" spans="1:2" ht="14.85" customHeight="1">
      <c r="A2643" s="5217"/>
      <c r="B2643" s="5218"/>
    </row>
    <row r="2644" spans="1:2" ht="14.85" customHeight="1">
      <c r="A2644" s="5217"/>
      <c r="B2644" s="5218"/>
    </row>
    <row r="2645" spans="1:2" ht="14.85" customHeight="1">
      <c r="A2645" s="5217"/>
      <c r="B2645" s="5218"/>
    </row>
    <row r="2646" spans="1:2" ht="14.85" customHeight="1">
      <c r="A2646" s="5217"/>
      <c r="B2646" s="5218"/>
    </row>
    <row r="2647" spans="1:2" ht="14.85" customHeight="1">
      <c r="A2647" s="5217"/>
      <c r="B2647" s="5218"/>
    </row>
    <row r="2648" spans="1:2" ht="14.85" customHeight="1">
      <c r="A2648" s="5217"/>
      <c r="B2648" s="5218"/>
    </row>
    <row r="2649" spans="1:2" ht="14.85" customHeight="1">
      <c r="A2649" s="5217"/>
      <c r="B2649" s="5218"/>
    </row>
    <row r="2650" spans="1:2" ht="14.85" customHeight="1">
      <c r="A2650" s="5217"/>
      <c r="B2650" s="5218"/>
    </row>
    <row r="2651" spans="1:2" ht="14.85" customHeight="1">
      <c r="A2651" s="5217"/>
      <c r="B2651" s="5218"/>
    </row>
    <row r="2652" spans="1:2" ht="14.85" customHeight="1">
      <c r="A2652" s="5217"/>
      <c r="B2652" s="5218"/>
    </row>
    <row r="2653" spans="1:2" ht="14.85" customHeight="1">
      <c r="A2653" s="5217"/>
      <c r="B2653" s="5218"/>
    </row>
    <row r="2654" spans="1:2" ht="14.85" customHeight="1">
      <c r="A2654" s="5217"/>
      <c r="B2654" s="5218"/>
    </row>
    <row r="2655" spans="1:2" ht="14.85" customHeight="1">
      <c r="A2655" s="5217"/>
      <c r="B2655" s="5218"/>
    </row>
    <row r="2656" spans="1:2" ht="14.85" customHeight="1">
      <c r="A2656" s="5217"/>
      <c r="B2656" s="5218"/>
    </row>
    <row r="2657" spans="1:2" ht="14.85" customHeight="1">
      <c r="A2657" s="5217"/>
      <c r="B2657" s="5218"/>
    </row>
    <row r="2658" spans="1:2" ht="14.85" customHeight="1">
      <c r="A2658" s="5217"/>
      <c r="B2658" s="5218"/>
    </row>
    <row r="2659" spans="1:2" ht="14.85" customHeight="1">
      <c r="A2659" s="5217"/>
      <c r="B2659" s="5218"/>
    </row>
    <row r="2660" spans="1:2" ht="14.85" customHeight="1">
      <c r="A2660" s="5217"/>
      <c r="B2660" s="5218"/>
    </row>
    <row r="2661" spans="1:2" ht="14.85" customHeight="1">
      <c r="A2661" s="5217"/>
      <c r="B2661" s="5218"/>
    </row>
    <row r="2662" spans="1:2" ht="14.85" customHeight="1">
      <c r="A2662" s="5217"/>
      <c r="B2662" s="5218"/>
    </row>
    <row r="2663" spans="1:2" ht="14.85" customHeight="1">
      <c r="A2663" s="5217"/>
      <c r="B2663" s="5218"/>
    </row>
    <row r="2664" spans="1:2" ht="14.85" customHeight="1">
      <c r="A2664" s="5217"/>
      <c r="B2664" s="5218"/>
    </row>
    <row r="2665" spans="1:2" ht="14.85" customHeight="1">
      <c r="A2665" s="5217"/>
      <c r="B2665" s="5218"/>
    </row>
    <row r="2666" spans="1:2" ht="14.85" customHeight="1">
      <c r="A2666" s="5217"/>
      <c r="B2666" s="5218"/>
    </row>
    <row r="2667" spans="1:2" ht="14.85" customHeight="1">
      <c r="A2667" s="5217"/>
      <c r="B2667" s="5218"/>
    </row>
    <row r="2668" spans="1:2" ht="14.85" customHeight="1">
      <c r="A2668" s="5217"/>
      <c r="B2668" s="5218"/>
    </row>
    <row r="2669" spans="1:2" ht="14.85" customHeight="1">
      <c r="A2669" s="5217"/>
      <c r="B2669" s="5218"/>
    </row>
    <row r="2670" spans="1:2" ht="14.85" customHeight="1">
      <c r="A2670" s="5217"/>
      <c r="B2670" s="5218"/>
    </row>
    <row r="2671" spans="1:2" ht="14.85" customHeight="1">
      <c r="A2671" s="5217"/>
      <c r="B2671" s="5218"/>
    </row>
    <row r="2672" spans="1:2" ht="14.85" customHeight="1">
      <c r="A2672" s="5217"/>
      <c r="B2672" s="5218"/>
    </row>
    <row r="2673" spans="1:2" ht="14.85" customHeight="1">
      <c r="A2673" s="5217"/>
      <c r="B2673" s="5218"/>
    </row>
    <row r="2674" spans="1:2" ht="14.85" customHeight="1">
      <c r="A2674" s="5217"/>
      <c r="B2674" s="5218"/>
    </row>
    <row r="2675" spans="1:2" ht="14.85" customHeight="1">
      <c r="A2675" s="5217"/>
      <c r="B2675" s="5218"/>
    </row>
    <row r="2676" spans="1:2" ht="14.85" customHeight="1">
      <c r="A2676" s="5217"/>
      <c r="B2676" s="5218"/>
    </row>
    <row r="2677" spans="1:2" ht="14.85" customHeight="1">
      <c r="A2677" s="5217"/>
      <c r="B2677" s="5218"/>
    </row>
    <row r="2678" spans="1:2" ht="14.85" customHeight="1">
      <c r="A2678" s="5217"/>
      <c r="B2678" s="5218"/>
    </row>
    <row r="2679" spans="1:2" ht="14.85" customHeight="1">
      <c r="A2679" s="5217"/>
      <c r="B2679" s="5218"/>
    </row>
    <row r="2680" spans="1:2" ht="14.85" customHeight="1">
      <c r="A2680" s="5217"/>
      <c r="B2680" s="5218"/>
    </row>
    <row r="2681" spans="1:2" ht="14.85" customHeight="1">
      <c r="A2681" s="5217"/>
      <c r="B2681" s="5218"/>
    </row>
    <row r="2682" spans="1:2" ht="14.85" customHeight="1">
      <c r="A2682" s="5217"/>
      <c r="B2682" s="5218"/>
    </row>
    <row r="2683" spans="1:2" ht="14.85" customHeight="1">
      <c r="A2683" s="5217"/>
      <c r="B2683" s="5218"/>
    </row>
    <row r="2684" spans="1:2" ht="14.85" customHeight="1">
      <c r="A2684" s="5217"/>
      <c r="B2684" s="5218"/>
    </row>
    <row r="2685" spans="1:2" ht="14.85" customHeight="1">
      <c r="A2685" s="5217"/>
      <c r="B2685" s="5218"/>
    </row>
    <row r="2686" spans="1:2" ht="14.85" customHeight="1">
      <c r="A2686" s="5217"/>
      <c r="B2686" s="5218"/>
    </row>
    <row r="2687" spans="1:2" ht="14.85" customHeight="1">
      <c r="A2687" s="5217"/>
      <c r="B2687" s="5218"/>
    </row>
    <row r="2688" spans="1:2" ht="14.85" customHeight="1">
      <c r="A2688" s="5217"/>
      <c r="B2688" s="5218"/>
    </row>
    <row r="2689" spans="1:2" ht="14.85" customHeight="1">
      <c r="A2689" s="5217"/>
      <c r="B2689" s="5218"/>
    </row>
    <row r="2690" spans="1:2" ht="14.85" customHeight="1">
      <c r="A2690" s="5217"/>
      <c r="B2690" s="5218"/>
    </row>
    <row r="2691" spans="1:2" ht="14.85" customHeight="1">
      <c r="A2691" s="5217"/>
      <c r="B2691" s="5218"/>
    </row>
    <row r="2692" spans="1:2" ht="14.85" customHeight="1">
      <c r="A2692" s="5217"/>
      <c r="B2692" s="5218"/>
    </row>
    <row r="2693" spans="1:2" ht="14.85" customHeight="1">
      <c r="A2693" s="5217"/>
      <c r="B2693" s="5218"/>
    </row>
    <row r="2694" spans="1:2" ht="14.85" customHeight="1">
      <c r="A2694" s="5217"/>
      <c r="B2694" s="5218"/>
    </row>
    <row r="2695" spans="1:2" ht="14.85" customHeight="1">
      <c r="A2695" s="5217"/>
      <c r="B2695" s="5218"/>
    </row>
    <row r="2696" spans="1:2" ht="14.85" customHeight="1">
      <c r="A2696" s="5217"/>
      <c r="B2696" s="5218"/>
    </row>
    <row r="2697" spans="1:2" ht="14.85" customHeight="1">
      <c r="A2697" s="5217"/>
      <c r="B2697" s="5218"/>
    </row>
    <row r="2698" spans="1:2" ht="14.85" customHeight="1">
      <c r="A2698" s="5217"/>
      <c r="B2698" s="5218"/>
    </row>
    <row r="2699" spans="1:2" ht="14.85" customHeight="1">
      <c r="A2699" s="5217"/>
      <c r="B2699" s="5218"/>
    </row>
    <row r="2700" spans="1:2" ht="14.85" customHeight="1">
      <c r="A2700" s="5217"/>
      <c r="B2700" s="5218"/>
    </row>
    <row r="2701" spans="1:2" ht="14.85" customHeight="1">
      <c r="A2701" s="5217"/>
      <c r="B2701" s="5218"/>
    </row>
    <row r="2702" spans="1:2" ht="14.85" customHeight="1">
      <c r="A2702" s="5217"/>
      <c r="B2702" s="5218"/>
    </row>
    <row r="2703" spans="1:2" ht="14.85" customHeight="1">
      <c r="A2703" s="5217"/>
      <c r="B2703" s="5218"/>
    </row>
    <row r="2704" spans="1:2" ht="14.85" customHeight="1">
      <c r="A2704" s="5217"/>
      <c r="B2704" s="5218"/>
    </row>
    <row r="2705" spans="1:2" ht="14.85" customHeight="1">
      <c r="A2705" s="5217"/>
      <c r="B2705" s="5218"/>
    </row>
    <row r="2706" spans="1:2" ht="14.85" customHeight="1">
      <c r="A2706" s="5217"/>
      <c r="B2706" s="5218"/>
    </row>
    <row r="2707" spans="1:2" ht="14.85" customHeight="1">
      <c r="A2707" s="5217"/>
      <c r="B2707" s="5218"/>
    </row>
    <row r="2708" spans="1:2" ht="14.85" customHeight="1">
      <c r="A2708" s="5217"/>
      <c r="B2708" s="5218"/>
    </row>
    <row r="2709" spans="1:2" ht="14.85" customHeight="1">
      <c r="A2709" s="5217"/>
      <c r="B2709" s="5218"/>
    </row>
    <row r="2710" spans="1:2" ht="14.85" customHeight="1">
      <c r="A2710" s="5217"/>
      <c r="B2710" s="5218"/>
    </row>
    <row r="2711" spans="1:2" ht="14.85" customHeight="1">
      <c r="A2711" s="5217"/>
      <c r="B2711" s="5218"/>
    </row>
    <row r="2712" spans="1:2" ht="14.85" customHeight="1">
      <c r="A2712" s="5217"/>
      <c r="B2712" s="5218"/>
    </row>
    <row r="2713" spans="1:2" ht="14.85" customHeight="1">
      <c r="A2713" s="5217"/>
      <c r="B2713" s="5218"/>
    </row>
    <row r="2714" spans="1:2" ht="14.85" customHeight="1">
      <c r="A2714" s="5217"/>
      <c r="B2714" s="5218"/>
    </row>
    <row r="2715" spans="1:2" ht="14.85" customHeight="1">
      <c r="A2715" s="5217"/>
      <c r="B2715" s="5218"/>
    </row>
    <row r="2716" spans="1:2" ht="14.85" customHeight="1">
      <c r="A2716" s="5217"/>
      <c r="B2716" s="5218"/>
    </row>
    <row r="2717" spans="1:2" ht="14.85" customHeight="1">
      <c r="A2717" s="5217"/>
      <c r="B2717" s="5218"/>
    </row>
    <row r="2718" spans="1:2" ht="14.85" customHeight="1">
      <c r="A2718" s="5217"/>
      <c r="B2718" s="5218"/>
    </row>
    <row r="2719" spans="1:2" ht="14.85" customHeight="1">
      <c r="A2719" s="5217"/>
      <c r="B2719" s="5218"/>
    </row>
    <row r="2720" spans="1:2" ht="14.85" customHeight="1">
      <c r="A2720" s="5217"/>
      <c r="B2720" s="5218"/>
    </row>
    <row r="2721" spans="1:2" ht="14.85" customHeight="1">
      <c r="A2721" s="5217"/>
      <c r="B2721" s="5218"/>
    </row>
    <row r="2722" spans="1:2" ht="14.85" customHeight="1">
      <c r="A2722" s="5217"/>
      <c r="B2722" s="5218"/>
    </row>
    <row r="2723" spans="1:2" ht="14.85" customHeight="1">
      <c r="A2723" s="5217"/>
      <c r="B2723" s="5218"/>
    </row>
    <row r="2724" spans="1:2" ht="14.85" customHeight="1">
      <c r="A2724" s="5217"/>
      <c r="B2724" s="5218"/>
    </row>
    <row r="2725" spans="1:2" ht="14.85" customHeight="1">
      <c r="A2725" s="5217"/>
      <c r="B2725" s="5218"/>
    </row>
    <row r="2726" spans="1:2" ht="14.85" customHeight="1">
      <c r="A2726" s="5217"/>
      <c r="B2726" s="5218"/>
    </row>
    <row r="2727" spans="1:2" ht="14.85" customHeight="1">
      <c r="A2727" s="5217"/>
      <c r="B2727" s="5218"/>
    </row>
    <row r="2728" spans="1:2" ht="14.85" customHeight="1">
      <c r="A2728" s="5217"/>
      <c r="B2728" s="5218"/>
    </row>
    <row r="2729" spans="1:2" ht="14.85" customHeight="1">
      <c r="A2729" s="5217"/>
      <c r="B2729" s="5218"/>
    </row>
    <row r="2730" spans="1:2" ht="14.85" customHeight="1">
      <c r="A2730" s="5217"/>
      <c r="B2730" s="5218"/>
    </row>
    <row r="2731" spans="1:2" ht="14.85" customHeight="1">
      <c r="A2731" s="5217"/>
      <c r="B2731" s="5218"/>
    </row>
    <row r="2732" spans="1:2" ht="14.85" customHeight="1">
      <c r="A2732" s="5217"/>
      <c r="B2732" s="5218"/>
    </row>
    <row r="2733" spans="1:2" ht="14.85" customHeight="1">
      <c r="A2733" s="5217"/>
      <c r="B2733" s="5218"/>
    </row>
    <row r="2734" spans="1:2" ht="14.85" customHeight="1">
      <c r="A2734" s="5217"/>
      <c r="B2734" s="5218"/>
    </row>
    <row r="2735" spans="1:2" ht="14.85" customHeight="1">
      <c r="A2735" s="5217"/>
      <c r="B2735" s="5218"/>
    </row>
    <row r="2736" spans="1:2" ht="14.85" customHeight="1">
      <c r="A2736" s="5217"/>
      <c r="B2736" s="5218"/>
    </row>
    <row r="2737" spans="1:2" ht="14.85" customHeight="1">
      <c r="A2737" s="5217"/>
      <c r="B2737" s="5218"/>
    </row>
    <row r="2738" spans="1:2" ht="14.85" customHeight="1">
      <c r="A2738" s="5217"/>
      <c r="B2738" s="5218"/>
    </row>
    <row r="2739" spans="1:2" ht="14.85" customHeight="1">
      <c r="A2739" s="5217"/>
      <c r="B2739" s="5218"/>
    </row>
    <row r="2740" spans="1:2" ht="14.85" customHeight="1">
      <c r="A2740" s="5217"/>
      <c r="B2740" s="5218"/>
    </row>
    <row r="2741" spans="1:2" ht="14.85" customHeight="1">
      <c r="A2741" s="5217"/>
      <c r="B2741" s="5218"/>
    </row>
    <row r="2742" spans="1:2" ht="14.85" customHeight="1">
      <c r="A2742" s="5217"/>
      <c r="B2742" s="5218"/>
    </row>
    <row r="2743" spans="1:2" ht="14.85" customHeight="1">
      <c r="A2743" s="5217"/>
      <c r="B2743" s="5218"/>
    </row>
    <row r="2744" spans="1:2" ht="14.85" customHeight="1">
      <c r="A2744" s="5217"/>
      <c r="B2744" s="5218"/>
    </row>
    <row r="2745" spans="1:2" ht="14.85" customHeight="1">
      <c r="A2745" s="5217"/>
      <c r="B2745" s="5218"/>
    </row>
    <row r="2746" spans="1:2" ht="14.85" customHeight="1">
      <c r="A2746" s="5217"/>
      <c r="B2746" s="5218"/>
    </row>
    <row r="2747" spans="1:2" ht="14.85" customHeight="1">
      <c r="A2747" s="5217"/>
      <c r="B2747" s="5218"/>
    </row>
    <row r="2748" spans="1:2" ht="14.85" customHeight="1">
      <c r="A2748" s="5217"/>
      <c r="B2748" s="5218"/>
    </row>
    <row r="2749" spans="1:2" ht="14.85" customHeight="1">
      <c r="A2749" s="5217"/>
      <c r="B2749" s="5218"/>
    </row>
    <row r="2750" spans="1:2" ht="14.85" customHeight="1">
      <c r="A2750" s="5217"/>
      <c r="B2750" s="5218"/>
    </row>
    <row r="2751" spans="1:2" ht="14.85" customHeight="1">
      <c r="A2751" s="5217"/>
      <c r="B2751" s="5218"/>
    </row>
    <row r="2752" spans="1:2" ht="14.85" customHeight="1">
      <c r="A2752" s="5217"/>
      <c r="B2752" s="5218"/>
    </row>
    <row r="2753" spans="1:2" ht="14.85" customHeight="1">
      <c r="A2753" s="5217"/>
      <c r="B2753" s="5218"/>
    </row>
    <row r="2754" spans="1:2" ht="14.85" customHeight="1">
      <c r="A2754" s="5217"/>
      <c r="B2754" s="5218"/>
    </row>
    <row r="2755" spans="1:2" ht="14.85" customHeight="1">
      <c r="A2755" s="5217"/>
      <c r="B2755" s="5218"/>
    </row>
    <row r="2756" spans="1:2" ht="14.85" customHeight="1">
      <c r="A2756" s="5217"/>
      <c r="B2756" s="5218"/>
    </row>
    <row r="2757" spans="1:2" ht="14.85" customHeight="1">
      <c r="A2757" s="5217"/>
      <c r="B2757" s="5218"/>
    </row>
    <row r="2758" spans="1:2" ht="14.85" customHeight="1">
      <c r="A2758" s="5217"/>
      <c r="B2758" s="5218"/>
    </row>
    <row r="2759" spans="1:2" ht="14.85" customHeight="1">
      <c r="A2759" s="5217"/>
      <c r="B2759" s="5218"/>
    </row>
    <row r="2760" spans="1:2" ht="14.85" customHeight="1">
      <c r="A2760" s="5217"/>
      <c r="B2760" s="5218"/>
    </row>
    <row r="2761" spans="1:2" ht="14.85" customHeight="1">
      <c r="A2761" s="5217"/>
      <c r="B2761" s="5218"/>
    </row>
    <row r="2762" spans="1:2" ht="14.85" customHeight="1">
      <c r="A2762" s="5217"/>
      <c r="B2762" s="5218"/>
    </row>
    <row r="2763" spans="1:2" ht="14.85" customHeight="1">
      <c r="A2763" s="5217"/>
      <c r="B2763" s="5218"/>
    </row>
    <row r="2764" spans="1:2" ht="14.85" customHeight="1">
      <c r="A2764" s="5217"/>
      <c r="B2764" s="5218"/>
    </row>
    <row r="2765" spans="1:2" ht="14.85" customHeight="1">
      <c r="A2765" s="5217"/>
      <c r="B2765" s="5218"/>
    </row>
    <row r="2766" spans="1:2" ht="14.85" customHeight="1">
      <c r="A2766" s="5217"/>
      <c r="B2766" s="5218"/>
    </row>
    <row r="2767" spans="1:2" ht="14.85" customHeight="1">
      <c r="A2767" s="5217"/>
      <c r="B2767" s="5218"/>
    </row>
    <row r="2768" spans="1:2" ht="14.85" customHeight="1">
      <c r="A2768" s="5217"/>
      <c r="B2768" s="5218"/>
    </row>
    <row r="2769" spans="1:2" ht="14.85" customHeight="1">
      <c r="A2769" s="5217"/>
      <c r="B2769" s="5218"/>
    </row>
    <row r="2770" spans="1:2" ht="14.85" customHeight="1">
      <c r="A2770" s="5217"/>
      <c r="B2770" s="5218"/>
    </row>
    <row r="2771" spans="1:2" ht="14.85" customHeight="1">
      <c r="A2771" s="5217"/>
      <c r="B2771" s="5218"/>
    </row>
    <row r="2772" spans="1:2" ht="14.85" customHeight="1">
      <c r="A2772" s="5217"/>
      <c r="B2772" s="5218"/>
    </row>
    <row r="2773" spans="1:2" ht="14.85" customHeight="1">
      <c r="A2773" s="5217"/>
      <c r="B2773" s="5218"/>
    </row>
    <row r="2774" spans="1:2" ht="14.85" customHeight="1">
      <c r="A2774" s="5217"/>
      <c r="B2774" s="5218"/>
    </row>
    <row r="2775" spans="1:2" ht="14.85" customHeight="1">
      <c r="A2775" s="5217"/>
      <c r="B2775" s="5218"/>
    </row>
    <row r="2776" spans="1:2" ht="14.85" customHeight="1">
      <c r="A2776" s="5217"/>
      <c r="B2776" s="5218"/>
    </row>
    <row r="2777" spans="1:2" ht="14.85" customHeight="1">
      <c r="A2777" s="5217"/>
      <c r="B2777" s="5218"/>
    </row>
    <row r="2778" spans="1:2" ht="14.85" customHeight="1">
      <c r="A2778" s="5217"/>
      <c r="B2778" s="5218"/>
    </row>
    <row r="2779" spans="1:2" ht="14.85" customHeight="1">
      <c r="A2779" s="5217"/>
      <c r="B2779" s="5218"/>
    </row>
    <row r="2780" spans="1:2" ht="14.85" customHeight="1">
      <c r="A2780" s="5217"/>
      <c r="B2780" s="5218"/>
    </row>
    <row r="2781" spans="1:2" ht="14.85" customHeight="1">
      <c r="A2781" s="5217"/>
      <c r="B2781" s="5218"/>
    </row>
    <row r="2782" spans="1:2" ht="14.85" customHeight="1">
      <c r="A2782" s="5217"/>
      <c r="B2782" s="5218"/>
    </row>
    <row r="2783" spans="1:2" ht="14.85" customHeight="1">
      <c r="A2783" s="5217"/>
      <c r="B2783" s="5218"/>
    </row>
    <row r="2784" spans="1:2" ht="14.85" customHeight="1">
      <c r="A2784" s="5217"/>
      <c r="B2784" s="5218"/>
    </row>
    <row r="2785" spans="1:2" ht="14.85" customHeight="1">
      <c r="A2785" s="5217"/>
      <c r="B2785" s="5218"/>
    </row>
    <row r="2786" spans="1:2" ht="14.85" customHeight="1">
      <c r="A2786" s="5217"/>
      <c r="B2786" s="5218"/>
    </row>
    <row r="2787" spans="1:2" ht="14.85" customHeight="1">
      <c r="A2787" s="5217"/>
      <c r="B2787" s="5218"/>
    </row>
    <row r="2788" spans="1:2" ht="14.85" customHeight="1">
      <c r="A2788" s="5217"/>
      <c r="B2788" s="5218"/>
    </row>
    <row r="2789" spans="1:2" ht="14.85" customHeight="1">
      <c r="A2789" s="5217"/>
      <c r="B2789" s="5218"/>
    </row>
    <row r="2790" spans="1:2" ht="14.85" customHeight="1">
      <c r="A2790" s="5217"/>
      <c r="B2790" s="5218"/>
    </row>
    <row r="2791" spans="1:2" ht="14.85" customHeight="1">
      <c r="A2791" s="5217"/>
      <c r="B2791" s="5218"/>
    </row>
    <row r="2792" spans="1:2" ht="14.85" customHeight="1">
      <c r="A2792" s="5217"/>
      <c r="B2792" s="5218"/>
    </row>
    <row r="2793" spans="1:2" ht="14.85" customHeight="1">
      <c r="A2793" s="5217"/>
      <c r="B2793" s="5218"/>
    </row>
    <row r="2794" spans="1:2" ht="14.85" customHeight="1">
      <c r="A2794" s="5217"/>
      <c r="B2794" s="5218"/>
    </row>
    <row r="2795" spans="1:2" ht="14.85" customHeight="1">
      <c r="A2795" s="5217"/>
      <c r="B2795" s="5218"/>
    </row>
    <row r="2796" spans="1:2" ht="14.85" customHeight="1">
      <c r="A2796" s="5217"/>
      <c r="B2796" s="5218"/>
    </row>
    <row r="2797" spans="1:2" ht="14.85" customHeight="1">
      <c r="A2797" s="5217"/>
      <c r="B2797" s="5218"/>
    </row>
    <row r="2798" spans="1:2" ht="14.85" customHeight="1">
      <c r="A2798" s="5217"/>
      <c r="B2798" s="5218"/>
    </row>
    <row r="2799" spans="1:2" ht="14.85" customHeight="1">
      <c r="A2799" s="5217"/>
      <c r="B2799" s="5218"/>
    </row>
    <row r="2800" spans="1:2" ht="14.85" customHeight="1">
      <c r="A2800" s="5217"/>
      <c r="B2800" s="5218"/>
    </row>
    <row r="2801" spans="1:2" ht="14.85" customHeight="1">
      <c r="A2801" s="5217"/>
      <c r="B2801" s="5218"/>
    </row>
    <row r="2802" spans="1:2" ht="14.85" customHeight="1">
      <c r="A2802" s="5217"/>
      <c r="B2802" s="5218"/>
    </row>
    <row r="2803" spans="1:2" ht="14.85" customHeight="1">
      <c r="A2803" s="5217"/>
      <c r="B2803" s="5218"/>
    </row>
    <row r="2804" spans="1:2" ht="14.85" customHeight="1">
      <c r="A2804" s="5217"/>
      <c r="B2804" s="5218"/>
    </row>
    <row r="2805" spans="1:2" ht="14.85" customHeight="1">
      <c r="A2805" s="5217"/>
      <c r="B2805" s="5218"/>
    </row>
    <row r="2806" spans="1:2" ht="14.85" customHeight="1">
      <c r="A2806" s="5217"/>
      <c r="B2806" s="5218"/>
    </row>
    <row r="2807" spans="1:2" ht="14.85" customHeight="1">
      <c r="A2807" s="5217"/>
      <c r="B2807" s="5218"/>
    </row>
    <row r="2808" spans="1:2" ht="14.85" customHeight="1">
      <c r="A2808" s="5217"/>
      <c r="B2808" s="5218"/>
    </row>
    <row r="2809" spans="1:2" ht="14.85" customHeight="1">
      <c r="A2809" s="5217"/>
      <c r="B2809" s="5218"/>
    </row>
    <row r="2810" spans="1:2" ht="14.85" customHeight="1">
      <c r="A2810" s="5217"/>
      <c r="B2810" s="5218"/>
    </row>
    <row r="2811" spans="1:2" ht="14.85" customHeight="1">
      <c r="A2811" s="5217"/>
      <c r="B2811" s="5218"/>
    </row>
    <row r="2812" spans="1:2" ht="14.85" customHeight="1">
      <c r="A2812" s="5217"/>
      <c r="B2812" s="5218"/>
    </row>
    <row r="2813" spans="1:2" ht="14.85" customHeight="1">
      <c r="A2813" s="5217"/>
      <c r="B2813" s="5218"/>
    </row>
    <row r="2814" spans="1:2" ht="14.85" customHeight="1">
      <c r="A2814" s="5217"/>
      <c r="B2814" s="5218"/>
    </row>
    <row r="2815" spans="1:2" ht="14.85" customHeight="1">
      <c r="A2815" s="5217"/>
      <c r="B2815" s="5218"/>
    </row>
    <row r="2816" spans="1:2" ht="14.85" customHeight="1">
      <c r="A2816" s="5217"/>
      <c r="B2816" s="5218"/>
    </row>
    <row r="2817" spans="1:2" ht="14.85" customHeight="1">
      <c r="A2817" s="5217"/>
      <c r="B2817" s="5218"/>
    </row>
    <row r="2818" spans="1:2" ht="14.85" customHeight="1">
      <c r="A2818" s="5217"/>
      <c r="B2818" s="5218"/>
    </row>
    <row r="2819" spans="1:2" ht="14.85" customHeight="1">
      <c r="A2819" s="5217"/>
      <c r="B2819" s="5218"/>
    </row>
    <row r="2820" spans="1:2" ht="14.85" customHeight="1">
      <c r="A2820" s="5217"/>
      <c r="B2820" s="5218"/>
    </row>
    <row r="2821" spans="1:2" ht="14.85" customHeight="1">
      <c r="A2821" s="5217"/>
      <c r="B2821" s="5218"/>
    </row>
    <row r="2822" spans="1:2" ht="14.85" customHeight="1">
      <c r="A2822" s="5217"/>
      <c r="B2822" s="5218"/>
    </row>
    <row r="2823" spans="1:2" ht="14.85" customHeight="1">
      <c r="A2823" s="5217"/>
      <c r="B2823" s="5218"/>
    </row>
    <row r="2824" spans="1:2" ht="14.85" customHeight="1">
      <c r="A2824" s="5217"/>
      <c r="B2824" s="5218"/>
    </row>
    <row r="2825" spans="1:2" ht="14.85" customHeight="1">
      <c r="A2825" s="5217"/>
      <c r="B2825" s="5218"/>
    </row>
    <row r="2826" spans="1:2" ht="14.85" customHeight="1">
      <c r="A2826" s="5217"/>
      <c r="B2826" s="5218"/>
    </row>
    <row r="2827" spans="1:2" ht="14.85" customHeight="1">
      <c r="A2827" s="5217"/>
      <c r="B2827" s="5218"/>
    </row>
    <row r="2828" spans="1:2" ht="14.85" customHeight="1">
      <c r="A2828" s="5217"/>
      <c r="B2828" s="5218"/>
    </row>
    <row r="2829" spans="1:2" ht="14.85" customHeight="1">
      <c r="A2829" s="5217"/>
      <c r="B2829" s="5218"/>
    </row>
    <row r="2830" spans="1:2" ht="14.85" customHeight="1">
      <c r="A2830" s="5217"/>
      <c r="B2830" s="5218"/>
    </row>
    <row r="2831" spans="1:2" ht="14.85" customHeight="1">
      <c r="A2831" s="5217"/>
      <c r="B2831" s="5218"/>
    </row>
    <row r="2832" spans="1:2" ht="14.85" customHeight="1">
      <c r="A2832" s="5217"/>
      <c r="B2832" s="5218"/>
    </row>
    <row r="2833" spans="1:2" ht="14.85" customHeight="1">
      <c r="A2833" s="5217"/>
      <c r="B2833" s="5218"/>
    </row>
    <row r="2834" spans="1:2" ht="14.85" customHeight="1">
      <c r="A2834" s="5217"/>
      <c r="B2834" s="5218"/>
    </row>
    <row r="2835" spans="1:2" ht="14.85" customHeight="1">
      <c r="A2835" s="5217"/>
      <c r="B2835" s="5218"/>
    </row>
    <row r="2836" spans="1:2" ht="14.85" customHeight="1">
      <c r="A2836" s="5217"/>
      <c r="B2836" s="5218"/>
    </row>
    <row r="2837" spans="1:2" ht="14.85" customHeight="1">
      <c r="A2837" s="5217"/>
      <c r="B2837" s="5218"/>
    </row>
    <row r="2838" spans="1:2" ht="14.85" customHeight="1">
      <c r="A2838" s="5217"/>
      <c r="B2838" s="5218"/>
    </row>
    <row r="2839" spans="1:2" ht="14.85" customHeight="1">
      <c r="A2839" s="5217"/>
      <c r="B2839" s="5218"/>
    </row>
    <row r="2840" spans="1:2" ht="14.85" customHeight="1">
      <c r="A2840" s="5217"/>
      <c r="B2840" s="5218"/>
    </row>
    <row r="2841" spans="1:2" ht="14.85" customHeight="1">
      <c r="A2841" s="5217"/>
      <c r="B2841" s="5218"/>
    </row>
    <row r="2842" spans="1:2" ht="14.85" customHeight="1">
      <c r="A2842" s="5217"/>
      <c r="B2842" s="5218"/>
    </row>
    <row r="2843" spans="1:2" ht="14.85" customHeight="1">
      <c r="A2843" s="5217"/>
      <c r="B2843" s="5218"/>
    </row>
    <row r="2844" spans="1:2" ht="14.85" customHeight="1">
      <c r="A2844" s="5217"/>
      <c r="B2844" s="5218"/>
    </row>
    <row r="2845" spans="1:2" ht="14.85" customHeight="1">
      <c r="A2845" s="5217"/>
      <c r="B2845" s="5218"/>
    </row>
    <row r="2846" spans="1:2" ht="14.85" customHeight="1">
      <c r="A2846" s="5217"/>
      <c r="B2846" s="5218"/>
    </row>
    <row r="2847" spans="1:2" ht="14.85" customHeight="1">
      <c r="A2847" s="5217"/>
      <c r="B2847" s="5218"/>
    </row>
    <row r="2848" spans="1:2" ht="14.85" customHeight="1">
      <c r="A2848" s="5217"/>
      <c r="B2848" s="5218"/>
    </row>
    <row r="2849" spans="1:2" ht="14.85" customHeight="1">
      <c r="A2849" s="5217"/>
      <c r="B2849" s="5218"/>
    </row>
    <row r="2850" spans="1:2" ht="14.85" customHeight="1">
      <c r="A2850" s="5217"/>
      <c r="B2850" s="5218"/>
    </row>
    <row r="2851" spans="1:2" ht="14.85" customHeight="1">
      <c r="A2851" s="5217"/>
      <c r="B2851" s="5218"/>
    </row>
    <row r="2852" spans="1:2" ht="14.85" customHeight="1">
      <c r="A2852" s="5217"/>
      <c r="B2852" s="5218"/>
    </row>
    <row r="2853" spans="1:2" ht="14.85" customHeight="1">
      <c r="A2853" s="5217"/>
      <c r="B2853" s="5218"/>
    </row>
    <row r="2854" spans="1:2" ht="14.85" customHeight="1">
      <c r="A2854" s="5217"/>
      <c r="B2854" s="5218"/>
    </row>
    <row r="2855" spans="1:2" ht="14.85" customHeight="1">
      <c r="A2855" s="5217"/>
      <c r="B2855" s="5218"/>
    </row>
    <row r="2856" spans="1:2" ht="14.85" customHeight="1">
      <c r="A2856" s="5217"/>
      <c r="B2856" s="5218"/>
    </row>
    <row r="2857" spans="1:2" ht="14.85" customHeight="1">
      <c r="A2857" s="5217"/>
      <c r="B2857" s="5218"/>
    </row>
    <row r="2858" spans="1:2" ht="14.85" customHeight="1">
      <c r="A2858" s="5217"/>
      <c r="B2858" s="5218"/>
    </row>
    <row r="2859" spans="1:2" ht="14.85" customHeight="1">
      <c r="A2859" s="5217"/>
      <c r="B2859" s="5218"/>
    </row>
    <row r="2860" spans="1:2" ht="14.85" customHeight="1">
      <c r="A2860" s="5217"/>
      <c r="B2860" s="5218"/>
    </row>
    <row r="2861" spans="1:2" ht="14.85" customHeight="1">
      <c r="A2861" s="5217"/>
      <c r="B2861" s="5218"/>
    </row>
    <row r="2862" spans="1:2" ht="14.85" customHeight="1">
      <c r="A2862" s="5217"/>
      <c r="B2862" s="5218"/>
    </row>
    <row r="2863" spans="1:2" ht="14.85" customHeight="1">
      <c r="A2863" s="5217"/>
      <c r="B2863" s="5218"/>
    </row>
    <row r="2864" spans="1:2" ht="14.85" customHeight="1">
      <c r="A2864" s="5217"/>
      <c r="B2864" s="5218"/>
    </row>
    <row r="2865" spans="1:2" ht="14.85" customHeight="1">
      <c r="A2865" s="5217"/>
      <c r="B2865" s="5218"/>
    </row>
    <row r="2866" spans="1:2" ht="14.85" customHeight="1">
      <c r="A2866" s="5217"/>
      <c r="B2866" s="5218"/>
    </row>
    <row r="2867" spans="1:2" ht="14.85" customHeight="1">
      <c r="A2867" s="5217"/>
      <c r="B2867" s="5218"/>
    </row>
    <row r="2868" spans="1:2" ht="14.85" customHeight="1">
      <c r="A2868" s="5217"/>
      <c r="B2868" s="5218"/>
    </row>
    <row r="2869" spans="1:2" ht="14.85" customHeight="1">
      <c r="A2869" s="5217"/>
      <c r="B2869" s="5218"/>
    </row>
    <row r="2870" spans="1:2" ht="14.85" customHeight="1">
      <c r="A2870" s="5217"/>
      <c r="B2870" s="5218"/>
    </row>
    <row r="2871" spans="1:2" ht="14.85" customHeight="1">
      <c r="A2871" s="5217"/>
      <c r="B2871" s="5218"/>
    </row>
    <row r="2872" spans="1:2" ht="14.85" customHeight="1">
      <c r="A2872" s="5217"/>
      <c r="B2872" s="5218"/>
    </row>
    <row r="2873" spans="1:2" ht="14.85" customHeight="1">
      <c r="A2873" s="5217"/>
      <c r="B2873" s="5218"/>
    </row>
    <row r="2874" spans="1:2" ht="14.85" customHeight="1">
      <c r="A2874" s="5217"/>
      <c r="B2874" s="5218"/>
    </row>
    <row r="2875" spans="1:2" ht="14.85" customHeight="1">
      <c r="A2875" s="5217"/>
      <c r="B2875" s="5218"/>
    </row>
    <row r="2876" spans="1:2" ht="14.85" customHeight="1">
      <c r="A2876" s="5217"/>
      <c r="B2876" s="5218"/>
    </row>
    <row r="2877" spans="1:2" ht="14.85" customHeight="1">
      <c r="A2877" s="5217"/>
      <c r="B2877" s="5218"/>
    </row>
    <row r="2878" spans="1:2" ht="14.85" customHeight="1">
      <c r="A2878" s="5217"/>
      <c r="B2878" s="5218"/>
    </row>
    <row r="2879" spans="1:2" ht="14.85" customHeight="1">
      <c r="A2879" s="5217"/>
      <c r="B2879" s="5218"/>
    </row>
    <row r="2880" spans="1:2" ht="14.85" customHeight="1">
      <c r="A2880" s="5217"/>
      <c r="B2880" s="5218"/>
    </row>
    <row r="2881" spans="1:2" ht="14.85" customHeight="1">
      <c r="A2881" s="5217"/>
      <c r="B2881" s="5218"/>
    </row>
    <row r="2882" spans="1:2" ht="14.85" customHeight="1">
      <c r="A2882" s="5217"/>
      <c r="B2882" s="5218"/>
    </row>
    <row r="2883" spans="1:2" ht="14.85" customHeight="1">
      <c r="A2883" s="5217"/>
      <c r="B2883" s="5218"/>
    </row>
    <row r="2884" spans="1:2" ht="14.85" customHeight="1">
      <c r="A2884" s="5217"/>
      <c r="B2884" s="5218"/>
    </row>
    <row r="2885" spans="1:2" ht="14.85" customHeight="1">
      <c r="A2885" s="5217"/>
      <c r="B2885" s="5218"/>
    </row>
    <row r="2886" spans="1:2" ht="14.85" customHeight="1">
      <c r="A2886" s="5217"/>
      <c r="B2886" s="5218"/>
    </row>
    <row r="2887" spans="1:2" ht="14.85" customHeight="1">
      <c r="A2887" s="5217"/>
      <c r="B2887" s="5218"/>
    </row>
    <row r="2888" spans="1:2" ht="14.85" customHeight="1">
      <c r="A2888" s="5217"/>
      <c r="B2888" s="5218"/>
    </row>
    <row r="2889" spans="1:2" ht="14.85" customHeight="1">
      <c r="A2889" s="5217"/>
      <c r="B2889" s="5218"/>
    </row>
    <row r="2890" spans="1:2" ht="14.85" customHeight="1">
      <c r="A2890" s="5217"/>
      <c r="B2890" s="5218"/>
    </row>
    <row r="2891" spans="1:2" ht="14.85" customHeight="1">
      <c r="A2891" s="5217"/>
      <c r="B2891" s="5218"/>
    </row>
    <row r="2892" spans="1:2" ht="14.85" customHeight="1">
      <c r="A2892" s="5217"/>
      <c r="B2892" s="5218"/>
    </row>
    <row r="2893" spans="1:2" ht="14.85" customHeight="1">
      <c r="A2893" s="5217"/>
      <c r="B2893" s="5218"/>
    </row>
    <row r="2894" spans="1:2" ht="14.85" customHeight="1">
      <c r="A2894" s="5217"/>
      <c r="B2894" s="5218"/>
    </row>
    <row r="2895" spans="1:2" ht="14.85" customHeight="1">
      <c r="A2895" s="5217"/>
      <c r="B2895" s="5218"/>
    </row>
    <row r="2896" spans="1:2" ht="14.85" customHeight="1">
      <c r="A2896" s="5217"/>
      <c r="B2896" s="5218"/>
    </row>
    <row r="2897" spans="1:2" ht="14.85" customHeight="1">
      <c r="A2897" s="5217"/>
      <c r="B2897" s="5218"/>
    </row>
    <row r="2898" spans="1:2" ht="14.85" customHeight="1">
      <c r="A2898" s="5217"/>
      <c r="B2898" s="5218"/>
    </row>
    <row r="2899" spans="1:2" ht="14.85" customHeight="1">
      <c r="A2899" s="5217"/>
      <c r="B2899" s="5218"/>
    </row>
    <row r="2900" spans="1:2" ht="14.85" customHeight="1">
      <c r="A2900" s="5217"/>
      <c r="B2900" s="5218"/>
    </row>
    <row r="2901" spans="1:2" ht="14.85" customHeight="1">
      <c r="A2901" s="5217"/>
      <c r="B2901" s="5218"/>
    </row>
    <row r="2902" spans="1:2" ht="14.85" customHeight="1">
      <c r="A2902" s="5217"/>
      <c r="B2902" s="5218"/>
    </row>
    <row r="2903" spans="1:2" ht="14.85" customHeight="1">
      <c r="A2903" s="5217"/>
      <c r="B2903" s="5218"/>
    </row>
    <row r="2904" spans="1:2" ht="14.85" customHeight="1">
      <c r="A2904" s="5217"/>
      <c r="B2904" s="5218"/>
    </row>
    <row r="2905" spans="1:2" ht="14.85" customHeight="1">
      <c r="A2905" s="5217"/>
      <c r="B2905" s="5218"/>
    </row>
    <row r="2906" spans="1:2" ht="14.85" customHeight="1">
      <c r="A2906" s="5217"/>
      <c r="B2906" s="5218"/>
    </row>
    <row r="2907" spans="1:2" ht="14.85" customHeight="1">
      <c r="A2907" s="5217"/>
      <c r="B2907" s="5218"/>
    </row>
    <row r="2908" spans="1:2" ht="14.85" customHeight="1">
      <c r="A2908" s="5217"/>
      <c r="B2908" s="5218"/>
    </row>
    <row r="2909" spans="1:2" ht="14.85" customHeight="1">
      <c r="A2909" s="5217"/>
      <c r="B2909" s="5218"/>
    </row>
    <row r="2910" spans="1:2" ht="14.85" customHeight="1">
      <c r="A2910" s="5217"/>
      <c r="B2910" s="5218"/>
    </row>
    <row r="2911" spans="1:2" ht="14.85" customHeight="1">
      <c r="A2911" s="5217"/>
      <c r="B2911" s="5218"/>
    </row>
    <row r="2912" spans="1:2" ht="14.85" customHeight="1">
      <c r="A2912" s="5217"/>
      <c r="B2912" s="5218"/>
    </row>
    <row r="2913" spans="1:2" ht="14.85" customHeight="1">
      <c r="A2913" s="5217"/>
      <c r="B2913" s="5218"/>
    </row>
    <row r="2914" spans="1:2" ht="14.85" customHeight="1">
      <c r="A2914" s="5217"/>
      <c r="B2914" s="5218"/>
    </row>
    <row r="2915" spans="1:2" ht="14.85" customHeight="1">
      <c r="A2915" s="5217"/>
      <c r="B2915" s="5218"/>
    </row>
    <row r="2916" spans="1:2" ht="14.85" customHeight="1">
      <c r="A2916" s="5217"/>
      <c r="B2916" s="5218"/>
    </row>
    <row r="2917" spans="1:2" ht="14.85" customHeight="1">
      <c r="A2917" s="5217"/>
      <c r="B2917" s="5218"/>
    </row>
    <row r="2918" spans="1:2" ht="14.85" customHeight="1">
      <c r="A2918" s="5217"/>
      <c r="B2918" s="5218"/>
    </row>
    <row r="2919" spans="1:2" ht="14.85" customHeight="1">
      <c r="A2919" s="5217"/>
      <c r="B2919" s="5218"/>
    </row>
    <row r="2920" spans="1:2" ht="14.85" customHeight="1">
      <c r="A2920" s="5217"/>
      <c r="B2920" s="5218"/>
    </row>
    <row r="2921" spans="1:2" ht="14.85" customHeight="1">
      <c r="A2921" s="5217"/>
      <c r="B2921" s="5218"/>
    </row>
    <row r="2922" spans="1:2" ht="14.85" customHeight="1">
      <c r="A2922" s="5217"/>
      <c r="B2922" s="5218"/>
    </row>
    <row r="2923" spans="1:2" ht="14.85" customHeight="1">
      <c r="A2923" s="5217"/>
      <c r="B2923" s="5218"/>
    </row>
    <row r="2924" spans="1:2" ht="14.85" customHeight="1">
      <c r="A2924" s="5217"/>
      <c r="B2924" s="5218"/>
    </row>
    <row r="2925" spans="1:2" ht="14.85" customHeight="1">
      <c r="A2925" s="5217"/>
      <c r="B2925" s="5218"/>
    </row>
    <row r="2926" spans="1:2" ht="14.85" customHeight="1">
      <c r="A2926" s="5217"/>
      <c r="B2926" s="5218"/>
    </row>
    <row r="2927" spans="1:2" ht="14.85" customHeight="1">
      <c r="A2927" s="5217"/>
      <c r="B2927" s="5218"/>
    </row>
    <row r="2928" spans="1:2" ht="14.85" customHeight="1">
      <c r="A2928" s="5217"/>
      <c r="B2928" s="5218"/>
    </row>
    <row r="2929" spans="1:2" ht="14.85" customHeight="1">
      <c r="A2929" s="5217"/>
      <c r="B2929" s="5218"/>
    </row>
    <row r="2930" spans="1:2" ht="14.85" customHeight="1">
      <c r="A2930" s="5217"/>
      <c r="B2930" s="5218"/>
    </row>
    <row r="2931" spans="1:2" ht="14.85" customHeight="1">
      <c r="A2931" s="5217"/>
      <c r="B2931" s="5218"/>
    </row>
    <row r="2932" spans="1:2" ht="14.85" customHeight="1">
      <c r="A2932" s="5217"/>
      <c r="B2932" s="5218"/>
    </row>
    <row r="2933" spans="1:2" ht="14.85" customHeight="1">
      <c r="A2933" s="5217"/>
      <c r="B2933" s="5218"/>
    </row>
    <row r="2934" spans="1:2" ht="14.85" customHeight="1">
      <c r="A2934" s="5217"/>
      <c r="B2934" s="5218"/>
    </row>
    <row r="2935" spans="1:2" ht="14.85" customHeight="1">
      <c r="A2935" s="5217"/>
      <c r="B2935" s="5218"/>
    </row>
    <row r="2936" spans="1:2" ht="14.85" customHeight="1">
      <c r="A2936" s="5217"/>
      <c r="B2936" s="5218"/>
    </row>
    <row r="2937" spans="1:2" ht="14.85" customHeight="1">
      <c r="A2937" s="5217"/>
      <c r="B2937" s="5218"/>
    </row>
    <row r="2938" spans="1:2" ht="14.85" customHeight="1">
      <c r="A2938" s="5217"/>
      <c r="B2938" s="5218"/>
    </row>
    <row r="2939" spans="1:2" ht="14.85" customHeight="1">
      <c r="A2939" s="5217"/>
      <c r="B2939" s="5218"/>
    </row>
    <row r="2940" spans="1:2" ht="14.85" customHeight="1">
      <c r="A2940" s="5217"/>
      <c r="B2940" s="5218"/>
    </row>
    <row r="2941" spans="1:2" ht="14.85" customHeight="1">
      <c r="A2941" s="5217"/>
      <c r="B2941" s="5218"/>
    </row>
    <row r="2942" spans="1:2" ht="14.85" customHeight="1">
      <c r="A2942" s="5217"/>
      <c r="B2942" s="5218"/>
    </row>
    <row r="2943" spans="1:2" ht="14.85" customHeight="1">
      <c r="A2943" s="5217"/>
      <c r="B2943" s="5218"/>
    </row>
    <row r="2944" spans="1:2" ht="14.85" customHeight="1">
      <c r="A2944" s="5217"/>
      <c r="B2944" s="5218"/>
    </row>
    <row r="2945" spans="1:2" ht="14.85" customHeight="1">
      <c r="A2945" s="5217"/>
      <c r="B2945" s="5218"/>
    </row>
    <row r="2946" spans="1:2" ht="14.85" customHeight="1">
      <c r="A2946" s="5217"/>
      <c r="B2946" s="5218"/>
    </row>
    <row r="2947" spans="1:2" ht="14.85" customHeight="1">
      <c r="A2947" s="5217"/>
      <c r="B2947" s="5218"/>
    </row>
    <row r="2948" spans="1:2" ht="14.85" customHeight="1">
      <c r="A2948" s="5217"/>
      <c r="B2948" s="5218"/>
    </row>
    <row r="2949" spans="1:2" ht="14.85" customHeight="1">
      <c r="A2949" s="5217"/>
      <c r="B2949" s="5218"/>
    </row>
    <row r="2950" spans="1:2" ht="14.85" customHeight="1">
      <c r="A2950" s="5217"/>
      <c r="B2950" s="5218"/>
    </row>
    <row r="2951" spans="1:2" ht="14.85" customHeight="1">
      <c r="A2951" s="5217"/>
      <c r="B2951" s="5218"/>
    </row>
    <row r="2952" spans="1:2" ht="14.85" customHeight="1">
      <c r="A2952" s="5217"/>
      <c r="B2952" s="5218"/>
    </row>
    <row r="2953" spans="1:2" ht="14.85" customHeight="1">
      <c r="A2953" s="5217"/>
      <c r="B2953" s="5218"/>
    </row>
    <row r="2954" spans="1:2" ht="14.85" customHeight="1">
      <c r="A2954" s="5217"/>
      <c r="B2954" s="5218"/>
    </row>
    <row r="2955" spans="1:2" ht="14.85" customHeight="1">
      <c r="A2955" s="5217"/>
      <c r="B2955" s="5218"/>
    </row>
    <row r="2956" spans="1:2" ht="14.85" customHeight="1">
      <c r="A2956" s="5217"/>
      <c r="B2956" s="5218"/>
    </row>
    <row r="2957" spans="1:2" ht="14.85" customHeight="1">
      <c r="A2957" s="5217"/>
      <c r="B2957" s="5218"/>
    </row>
    <row r="2958" spans="1:2" ht="14.85" customHeight="1">
      <c r="A2958" s="5217"/>
      <c r="B2958" s="5218"/>
    </row>
    <row r="2959" spans="1:2" ht="14.85" customHeight="1">
      <c r="A2959" s="5217"/>
      <c r="B2959" s="5218"/>
    </row>
    <row r="2960" spans="1:2" ht="14.85" customHeight="1">
      <c r="A2960" s="5217"/>
      <c r="B2960" s="5218"/>
    </row>
    <row r="2961" spans="1:2" ht="14.85" customHeight="1">
      <c r="A2961" s="5217"/>
      <c r="B2961" s="5218"/>
    </row>
    <row r="2962" spans="1:2" ht="14.85" customHeight="1">
      <c r="A2962" s="5217"/>
      <c r="B2962" s="5218"/>
    </row>
    <row r="2963" spans="1:2" ht="14.85" customHeight="1">
      <c r="A2963" s="5217"/>
      <c r="B2963" s="5218"/>
    </row>
    <row r="2964" spans="1:2" ht="14.85" customHeight="1">
      <c r="A2964" s="5217"/>
      <c r="B2964" s="5218"/>
    </row>
    <row r="2965" spans="1:2" ht="14.85" customHeight="1">
      <c r="A2965" s="5217"/>
      <c r="B2965" s="5218"/>
    </row>
    <row r="2966" spans="1:2" ht="14.85" customHeight="1">
      <c r="A2966" s="5217"/>
      <c r="B2966" s="5218"/>
    </row>
    <row r="2967" spans="1:2" ht="14.85" customHeight="1">
      <c r="A2967" s="5217"/>
      <c r="B2967" s="5218"/>
    </row>
    <row r="2968" spans="1:2" ht="14.85" customHeight="1">
      <c r="A2968" s="5217"/>
      <c r="B2968" s="5218"/>
    </row>
    <row r="2969" spans="1:2" ht="14.85" customHeight="1">
      <c r="A2969" s="5217"/>
      <c r="B2969" s="5218"/>
    </row>
    <row r="2970" spans="1:2" ht="14.85" customHeight="1">
      <c r="A2970" s="5217"/>
      <c r="B2970" s="5218"/>
    </row>
    <row r="2971" spans="1:2" ht="14.85" customHeight="1">
      <c r="A2971" s="5217"/>
      <c r="B2971" s="5218"/>
    </row>
    <row r="2972" spans="1:2" ht="14.85" customHeight="1">
      <c r="A2972" s="5217"/>
      <c r="B2972" s="5218"/>
    </row>
    <row r="2973" spans="1:2" ht="14.85" customHeight="1">
      <c r="A2973" s="5217"/>
      <c r="B2973" s="5218"/>
    </row>
    <row r="2974" spans="1:2" ht="14.85" customHeight="1">
      <c r="A2974" s="5217"/>
      <c r="B2974" s="5218"/>
    </row>
    <row r="2975" spans="1:2" ht="14.85" customHeight="1">
      <c r="A2975" s="5217"/>
      <c r="B2975" s="5218"/>
    </row>
    <row r="2976" spans="1:2" ht="14.85" customHeight="1">
      <c r="A2976" s="5217"/>
      <c r="B2976" s="5218"/>
    </row>
    <row r="2977" spans="1:2" ht="14.85" customHeight="1">
      <c r="A2977" s="5217"/>
      <c r="B2977" s="5218"/>
    </row>
    <row r="2978" spans="1:2" ht="14.85" customHeight="1">
      <c r="A2978" s="5217"/>
      <c r="B2978" s="5218"/>
    </row>
    <row r="2979" spans="1:2" ht="14.85" customHeight="1">
      <c r="A2979" s="5217"/>
      <c r="B2979" s="5218"/>
    </row>
    <row r="2980" spans="1:2" ht="14.85" customHeight="1">
      <c r="A2980" s="5217"/>
      <c r="B2980" s="5218"/>
    </row>
    <row r="2981" spans="1:2" ht="14.85" customHeight="1">
      <c r="A2981" s="5217"/>
      <c r="B2981" s="5218"/>
    </row>
    <row r="2982" spans="1:2" ht="14.85" customHeight="1">
      <c r="A2982" s="5217"/>
      <c r="B2982" s="5218"/>
    </row>
    <row r="2983" spans="1:2" ht="14.85" customHeight="1">
      <c r="A2983" s="5217"/>
      <c r="B2983" s="5218"/>
    </row>
    <row r="2984" spans="1:2" ht="14.85" customHeight="1">
      <c r="A2984" s="5217"/>
      <c r="B2984" s="5218"/>
    </row>
    <row r="2985" spans="1:2" ht="14.85" customHeight="1">
      <c r="A2985" s="5217"/>
      <c r="B2985" s="5218"/>
    </row>
    <row r="2986" spans="1:2" ht="14.85" customHeight="1">
      <c r="A2986" s="5217"/>
      <c r="B2986" s="5218"/>
    </row>
    <row r="2987" spans="1:2" ht="14.85" customHeight="1">
      <c r="A2987" s="5217"/>
      <c r="B2987" s="5218"/>
    </row>
    <row r="2988" spans="1:2" ht="14.85" customHeight="1">
      <c r="A2988" s="5217"/>
      <c r="B2988" s="5218"/>
    </row>
    <row r="2989" spans="1:2" ht="14.85" customHeight="1">
      <c r="A2989" s="5217"/>
      <c r="B2989" s="5218"/>
    </row>
    <row r="2990" spans="1:2" ht="14.85" customHeight="1">
      <c r="A2990" s="5217"/>
      <c r="B2990" s="5218"/>
    </row>
    <row r="2991" spans="1:2" ht="14.85" customHeight="1">
      <c r="A2991" s="5217"/>
      <c r="B2991" s="5218"/>
    </row>
    <row r="2992" spans="1:2" ht="14.85" customHeight="1">
      <c r="A2992" s="5217"/>
      <c r="B2992" s="5218"/>
    </row>
    <row r="2993" spans="1:2" ht="14.85" customHeight="1">
      <c r="A2993" s="5217"/>
      <c r="B2993" s="5218"/>
    </row>
    <row r="2994" spans="1:2" ht="14.85" customHeight="1">
      <c r="A2994" s="5217"/>
      <c r="B2994" s="5218"/>
    </row>
    <row r="2995" spans="1:2" ht="14.85" customHeight="1">
      <c r="A2995" s="5217"/>
      <c r="B2995" s="5218"/>
    </row>
    <row r="2996" spans="1:2" ht="14.85" customHeight="1">
      <c r="A2996" s="5217"/>
      <c r="B2996" s="5218"/>
    </row>
    <row r="2997" spans="1:2" ht="14.85" customHeight="1">
      <c r="A2997" s="5217"/>
      <c r="B2997" s="5218"/>
    </row>
    <row r="2998" spans="1:2" ht="14.85" customHeight="1">
      <c r="A2998" s="5217"/>
      <c r="B2998" s="5218"/>
    </row>
    <row r="2999" spans="1:2" ht="14.85" customHeight="1">
      <c r="A2999" s="5217"/>
      <c r="B2999" s="5218"/>
    </row>
    <row r="3000" spans="1:2" ht="14.85" customHeight="1">
      <c r="A3000" s="5217"/>
      <c r="B3000" s="5218"/>
    </row>
    <row r="3001" spans="1:2" ht="14.85" customHeight="1">
      <c r="A3001" s="5217"/>
      <c r="B3001" s="5218"/>
    </row>
    <row r="3002" spans="1:2" ht="14.85" customHeight="1">
      <c r="A3002" s="5217"/>
      <c r="B3002" s="5218"/>
    </row>
    <row r="3003" spans="1:2" ht="14.85" customHeight="1">
      <c r="A3003" s="5217"/>
      <c r="B3003" s="5218"/>
    </row>
    <row r="3004" spans="1:2" ht="14.85" customHeight="1">
      <c r="A3004" s="5217"/>
      <c r="B3004" s="5218"/>
    </row>
    <row r="3005" spans="1:2" ht="14.85" customHeight="1">
      <c r="A3005" s="5217"/>
      <c r="B3005" s="5218"/>
    </row>
    <row r="3006" spans="1:2" ht="14.85" customHeight="1">
      <c r="A3006" s="5217"/>
      <c r="B3006" s="5218"/>
    </row>
    <row r="3007" spans="1:2" ht="14.85" customHeight="1">
      <c r="A3007" s="5217"/>
      <c r="B3007" s="5218"/>
    </row>
    <row r="3008" spans="1:2" ht="14.85" customHeight="1">
      <c r="A3008" s="5217"/>
      <c r="B3008" s="5218"/>
    </row>
    <row r="3009" spans="1:2" ht="14.85" customHeight="1">
      <c r="A3009" s="5217"/>
      <c r="B3009" s="5218"/>
    </row>
    <row r="3010" spans="1:2" ht="14.85" customHeight="1">
      <c r="A3010" s="5217"/>
      <c r="B3010" s="5218"/>
    </row>
    <row r="3011" spans="1:2" ht="14.85" customHeight="1">
      <c r="A3011" s="5217"/>
      <c r="B3011" s="5218"/>
    </row>
    <row r="3012" spans="1:2" ht="14.85" customHeight="1">
      <c r="A3012" s="5217"/>
      <c r="B3012" s="5218"/>
    </row>
    <row r="3013" spans="1:2" ht="14.85" customHeight="1">
      <c r="A3013" s="5217"/>
      <c r="B3013" s="5218"/>
    </row>
    <row r="3014" spans="1:2" ht="14.85" customHeight="1">
      <c r="A3014" s="5217"/>
      <c r="B3014" s="5218"/>
    </row>
    <row r="3015" spans="1:2" ht="14.85" customHeight="1">
      <c r="A3015" s="5217"/>
      <c r="B3015" s="5218"/>
    </row>
    <row r="3016" spans="1:2" ht="14.85" customHeight="1">
      <c r="A3016" s="5217"/>
      <c r="B3016" s="5218"/>
    </row>
    <row r="3017" spans="1:2" ht="14.85" customHeight="1">
      <c r="A3017" s="5217"/>
      <c r="B3017" s="5218"/>
    </row>
    <row r="3018" spans="1:2" ht="14.85" customHeight="1">
      <c r="A3018" s="5217"/>
      <c r="B3018" s="5218"/>
    </row>
    <row r="3019" spans="1:2" ht="14.85" customHeight="1">
      <c r="A3019" s="5217"/>
      <c r="B3019" s="5218"/>
    </row>
    <row r="3020" spans="1:2" ht="14.85" customHeight="1">
      <c r="A3020" s="5217"/>
      <c r="B3020" s="5218"/>
    </row>
    <row r="3021" spans="1:2" ht="14.85" customHeight="1">
      <c r="A3021" s="5217"/>
      <c r="B3021" s="5218"/>
    </row>
    <row r="3022" spans="1:2" ht="14.85" customHeight="1">
      <c r="A3022" s="5217"/>
      <c r="B3022" s="5218"/>
    </row>
    <row r="3023" spans="1:2" ht="14.85" customHeight="1">
      <c r="A3023" s="5217"/>
      <c r="B3023" s="5218"/>
    </row>
    <row r="3024" spans="1:2" ht="14.85" customHeight="1">
      <c r="A3024" s="5217"/>
      <c r="B3024" s="5218"/>
    </row>
    <row r="3025" spans="1:2" ht="14.85" customHeight="1">
      <c r="A3025" s="5217"/>
      <c r="B3025" s="5218"/>
    </row>
    <row r="3026" spans="1:2" ht="14.85" customHeight="1">
      <c r="A3026" s="5217"/>
      <c r="B3026" s="5218"/>
    </row>
    <row r="3027" spans="1:2" ht="14.85" customHeight="1">
      <c r="A3027" s="5217"/>
      <c r="B3027" s="5218"/>
    </row>
    <row r="3028" spans="1:2" ht="14.85" customHeight="1">
      <c r="A3028" s="5217"/>
      <c r="B3028" s="5218"/>
    </row>
    <row r="3029" spans="1:2" ht="14.85" customHeight="1">
      <c r="A3029" s="5217"/>
      <c r="B3029" s="5218"/>
    </row>
    <row r="3030" spans="1:2" ht="14.85" customHeight="1">
      <c r="A3030" s="5217"/>
      <c r="B3030" s="5218"/>
    </row>
    <row r="3031" spans="1:2" ht="14.85" customHeight="1">
      <c r="A3031" s="5217"/>
      <c r="B3031" s="5218"/>
    </row>
    <row r="3032" spans="1:2" ht="14.85" customHeight="1">
      <c r="A3032" s="5217"/>
      <c r="B3032" s="5218"/>
    </row>
    <row r="3033" spans="1:2" ht="14.85" customHeight="1">
      <c r="A3033" s="5217"/>
      <c r="B3033" s="5218"/>
    </row>
    <row r="3034" spans="1:2" ht="14.85" customHeight="1">
      <c r="A3034" s="5217"/>
      <c r="B3034" s="5218"/>
    </row>
    <row r="3035" spans="1:2" ht="14.85" customHeight="1">
      <c r="A3035" s="5217"/>
      <c r="B3035" s="5218"/>
    </row>
    <row r="3036" spans="1:2" ht="14.85" customHeight="1">
      <c r="A3036" s="5217"/>
      <c r="B3036" s="5218"/>
    </row>
    <row r="3037" spans="1:2" ht="14.85" customHeight="1">
      <c r="A3037" s="5217"/>
      <c r="B3037" s="5218"/>
    </row>
    <row r="3038" spans="1:2" ht="14.85" customHeight="1">
      <c r="A3038" s="5217"/>
      <c r="B3038" s="5218"/>
    </row>
    <row r="3039" spans="1:2" ht="14.85" customHeight="1">
      <c r="A3039" s="5217"/>
      <c r="B3039" s="5218"/>
    </row>
    <row r="3040" spans="1:2" ht="14.85" customHeight="1">
      <c r="A3040" s="5217"/>
      <c r="B3040" s="5218"/>
    </row>
    <row r="3041" spans="1:2" ht="14.85" customHeight="1">
      <c r="A3041" s="5217"/>
      <c r="B3041" s="5218"/>
    </row>
    <row r="3042" spans="1:2" ht="14.85" customHeight="1">
      <c r="A3042" s="5217"/>
      <c r="B3042" s="5218"/>
    </row>
    <row r="3043" spans="1:2" ht="14.85" customHeight="1">
      <c r="A3043" s="5217"/>
      <c r="B3043" s="5218"/>
    </row>
    <row r="3044" spans="1:2" ht="14.85" customHeight="1">
      <c r="A3044" s="5217"/>
      <c r="B3044" s="5218"/>
    </row>
    <row r="3045" spans="1:2" ht="14.85" customHeight="1">
      <c r="A3045" s="5217"/>
      <c r="B3045" s="5218"/>
    </row>
    <row r="3046" spans="1:2" ht="14.85" customHeight="1">
      <c r="A3046" s="5217"/>
      <c r="B3046" s="5218"/>
    </row>
    <row r="3047" spans="1:2" ht="14.85" customHeight="1">
      <c r="A3047" s="5217"/>
      <c r="B3047" s="5218"/>
    </row>
    <row r="3048" spans="1:2" ht="14.85" customHeight="1">
      <c r="A3048" s="5217"/>
      <c r="B3048" s="5218"/>
    </row>
    <row r="3049" spans="1:2" ht="14.85" customHeight="1">
      <c r="A3049" s="5217"/>
      <c r="B3049" s="5218"/>
    </row>
    <row r="3050" spans="1:2" ht="14.85" customHeight="1">
      <c r="A3050" s="5217"/>
      <c r="B3050" s="5218"/>
    </row>
    <row r="3051" spans="1:2" ht="14.85" customHeight="1">
      <c r="A3051" s="5217"/>
      <c r="B3051" s="5218"/>
    </row>
    <row r="3052" spans="1:2" ht="14.85" customHeight="1">
      <c r="A3052" s="5217"/>
      <c r="B3052" s="5218"/>
    </row>
    <row r="3053" spans="1:2" ht="14.85" customHeight="1">
      <c r="A3053" s="5217"/>
      <c r="B3053" s="5218"/>
    </row>
    <row r="3054" spans="1:2" ht="14.85" customHeight="1">
      <c r="A3054" s="5217"/>
      <c r="B3054" s="5218"/>
    </row>
    <row r="3055" spans="1:2" ht="14.85" customHeight="1">
      <c r="A3055" s="5217"/>
      <c r="B3055" s="5218"/>
    </row>
    <row r="3056" spans="1:2" ht="14.85" customHeight="1">
      <c r="A3056" s="5217"/>
      <c r="B3056" s="5218"/>
    </row>
    <row r="3057" spans="1:2" ht="14.85" customHeight="1">
      <c r="A3057" s="5217"/>
      <c r="B3057" s="5218"/>
    </row>
    <row r="3058" spans="1:2" ht="14.85" customHeight="1">
      <c r="A3058" s="5217"/>
      <c r="B3058" s="5218"/>
    </row>
    <row r="3059" spans="1:2" ht="14.85" customHeight="1">
      <c r="A3059" s="5217"/>
      <c r="B3059" s="5218"/>
    </row>
    <row r="3060" spans="1:2" ht="14.85" customHeight="1">
      <c r="A3060" s="5217"/>
      <c r="B3060" s="5218"/>
    </row>
    <row r="3061" spans="1:2" ht="14.85" customHeight="1">
      <c r="A3061" s="5217"/>
      <c r="B3061" s="5218"/>
    </row>
    <row r="3062" spans="1:2" ht="14.85" customHeight="1">
      <c r="A3062" s="5217"/>
      <c r="B3062" s="5218"/>
    </row>
    <row r="3063" spans="1:2" ht="14.85" customHeight="1">
      <c r="A3063" s="5217"/>
      <c r="B3063" s="5218"/>
    </row>
    <row r="3064" spans="1:2" ht="14.85" customHeight="1">
      <c r="A3064" s="5217"/>
      <c r="B3064" s="5218"/>
    </row>
    <row r="3065" spans="1:2" ht="14.85" customHeight="1">
      <c r="A3065" s="5217"/>
      <c r="B3065" s="5218"/>
    </row>
    <row r="3066" spans="1:2" ht="14.85" customHeight="1">
      <c r="A3066" s="5217"/>
      <c r="B3066" s="5218"/>
    </row>
    <row r="3067" spans="1:2" ht="14.85" customHeight="1">
      <c r="A3067" s="5217"/>
      <c r="B3067" s="5218"/>
    </row>
    <row r="3068" spans="1:2" ht="14.85" customHeight="1">
      <c r="A3068" s="5217"/>
      <c r="B3068" s="5218"/>
    </row>
    <row r="3069" spans="1:2" ht="14.85" customHeight="1">
      <c r="A3069" s="5217"/>
      <c r="B3069" s="5218"/>
    </row>
    <row r="3070" spans="1:2" ht="14.85" customHeight="1">
      <c r="A3070" s="5217"/>
      <c r="B3070" s="5218"/>
    </row>
    <row r="3071" spans="1:2" ht="14.85" customHeight="1">
      <c r="A3071" s="5217"/>
      <c r="B3071" s="5218"/>
    </row>
    <row r="3072" spans="1:2" ht="14.85" customHeight="1">
      <c r="A3072" s="5217"/>
      <c r="B3072" s="5218"/>
    </row>
    <row r="3073" spans="1:2" ht="14.85" customHeight="1">
      <c r="A3073" s="5217"/>
      <c r="B3073" s="5218"/>
    </row>
    <row r="3074" spans="1:2" ht="14.85" customHeight="1">
      <c r="A3074" s="5217"/>
      <c r="B3074" s="5218"/>
    </row>
    <row r="3075" spans="1:2" ht="14.85" customHeight="1">
      <c r="A3075" s="5217"/>
      <c r="B3075" s="5218"/>
    </row>
    <row r="3076" spans="1:2" ht="14.85" customHeight="1">
      <c r="A3076" s="5217"/>
      <c r="B3076" s="5218"/>
    </row>
    <row r="3077" spans="1:2" ht="14.85" customHeight="1">
      <c r="A3077" s="5217"/>
      <c r="B3077" s="5218"/>
    </row>
    <row r="3078" spans="1:2" ht="14.85" customHeight="1">
      <c r="A3078" s="5217"/>
      <c r="B3078" s="5218"/>
    </row>
    <row r="3079" spans="1:2" ht="14.85" customHeight="1">
      <c r="A3079" s="5217"/>
      <c r="B3079" s="5218"/>
    </row>
    <row r="3080" spans="1:2" ht="14.85" customHeight="1">
      <c r="A3080" s="5217"/>
      <c r="B3080" s="5218"/>
    </row>
    <row r="3081" spans="1:2" ht="14.85" customHeight="1">
      <c r="A3081" s="5217"/>
      <c r="B3081" s="5218"/>
    </row>
    <row r="3082" spans="1:2" ht="14.85" customHeight="1">
      <c r="A3082" s="5217"/>
      <c r="B3082" s="5218"/>
    </row>
    <row r="3083" spans="1:2" ht="14.85" customHeight="1">
      <c r="A3083" s="5217"/>
      <c r="B3083" s="5218"/>
    </row>
    <row r="3084" spans="1:2" ht="14.85" customHeight="1">
      <c r="A3084" s="5217"/>
      <c r="B3084" s="5218"/>
    </row>
    <row r="3085" spans="1:2" ht="14.85" customHeight="1">
      <c r="A3085" s="5217"/>
      <c r="B3085" s="5218"/>
    </row>
    <row r="3086" spans="1:2" ht="14.85" customHeight="1">
      <c r="A3086" s="5217"/>
      <c r="B3086" s="5218"/>
    </row>
    <row r="3087" spans="1:2" ht="14.85" customHeight="1">
      <c r="A3087" s="5217"/>
      <c r="B3087" s="5218"/>
    </row>
    <row r="3088" spans="1:2" ht="14.85" customHeight="1">
      <c r="A3088" s="5217"/>
      <c r="B3088" s="5218"/>
    </row>
    <row r="3089" spans="1:2" ht="14.85" customHeight="1">
      <c r="A3089" s="5217"/>
      <c r="B3089" s="5218"/>
    </row>
    <row r="3090" spans="1:2" ht="14.85" customHeight="1">
      <c r="A3090" s="5217"/>
      <c r="B3090" s="5218"/>
    </row>
    <row r="3091" spans="1:2" ht="14.85" customHeight="1">
      <c r="A3091" s="5217"/>
      <c r="B3091" s="5218"/>
    </row>
    <row r="3092" spans="1:2" ht="14.85" customHeight="1">
      <c r="A3092" s="5217"/>
      <c r="B3092" s="5218"/>
    </row>
    <row r="3093" spans="1:2" ht="14.85" customHeight="1">
      <c r="A3093" s="5217"/>
      <c r="B3093" s="5218"/>
    </row>
    <row r="3094" spans="1:2" ht="14.85" customHeight="1">
      <c r="A3094" s="5217"/>
      <c r="B3094" s="5218"/>
    </row>
    <row r="3095" spans="1:2" ht="14.85" customHeight="1">
      <c r="A3095" s="5217"/>
      <c r="B3095" s="5218"/>
    </row>
    <row r="3096" spans="1:2" ht="14.85" customHeight="1">
      <c r="A3096" s="5217"/>
      <c r="B3096" s="5218"/>
    </row>
    <row r="3097" spans="1:2" ht="14.85" customHeight="1">
      <c r="A3097" s="5217"/>
      <c r="B3097" s="5218"/>
    </row>
    <row r="3098" spans="1:2" ht="14.85" customHeight="1">
      <c r="A3098" s="5217"/>
      <c r="B3098" s="5218"/>
    </row>
    <row r="3099" spans="1:2" ht="14.85" customHeight="1">
      <c r="A3099" s="5217"/>
      <c r="B3099" s="5218"/>
    </row>
    <row r="3100" spans="1:2" ht="14.85" customHeight="1">
      <c r="A3100" s="5217"/>
      <c r="B3100" s="5218"/>
    </row>
    <row r="3101" spans="1:2" ht="14.85" customHeight="1">
      <c r="A3101" s="5217"/>
      <c r="B3101" s="5218"/>
    </row>
    <row r="3102" spans="1:2" ht="14.85" customHeight="1">
      <c r="A3102" s="5217"/>
      <c r="B3102" s="5218"/>
    </row>
    <row r="3103" spans="1:2" ht="14.85" customHeight="1">
      <c r="A3103" s="5217"/>
      <c r="B3103" s="5218"/>
    </row>
    <row r="3104" spans="1:2" ht="14.85" customHeight="1">
      <c r="A3104" s="5217"/>
      <c r="B3104" s="5218"/>
    </row>
    <row r="3105" spans="1:2" ht="14.85" customHeight="1">
      <c r="A3105" s="5217"/>
      <c r="B3105" s="5218"/>
    </row>
    <row r="3106" spans="1:2" ht="14.85" customHeight="1">
      <c r="A3106" s="5217"/>
      <c r="B3106" s="5218"/>
    </row>
    <row r="3107" spans="1:2" ht="14.85" customHeight="1">
      <c r="A3107" s="5217"/>
      <c r="B3107" s="5218"/>
    </row>
    <row r="3108" spans="1:2" ht="14.85" customHeight="1">
      <c r="A3108" s="5217"/>
      <c r="B3108" s="5218"/>
    </row>
    <row r="3109" spans="1:2" ht="14.85" customHeight="1">
      <c r="A3109" s="5217"/>
      <c r="B3109" s="5218"/>
    </row>
    <row r="3110" spans="1:2" ht="14.85" customHeight="1">
      <c r="A3110" s="5217"/>
      <c r="B3110" s="5218"/>
    </row>
    <row r="3111" spans="1:2" ht="14.85" customHeight="1">
      <c r="A3111" s="5217"/>
      <c r="B3111" s="5218"/>
    </row>
    <row r="3112" spans="1:2" ht="14.85" customHeight="1">
      <c r="A3112" s="5217"/>
      <c r="B3112" s="5218"/>
    </row>
    <row r="3113" spans="1:2" ht="14.85" customHeight="1">
      <c r="A3113" s="5217"/>
      <c r="B3113" s="5218"/>
    </row>
    <row r="3114" spans="1:2" ht="14.85" customHeight="1">
      <c r="A3114" s="5217"/>
      <c r="B3114" s="5218"/>
    </row>
    <row r="3115" spans="1:2" ht="14.85" customHeight="1">
      <c r="A3115" s="5217"/>
      <c r="B3115" s="5218"/>
    </row>
    <row r="3116" spans="1:2" ht="14.85" customHeight="1">
      <c r="A3116" s="5217"/>
      <c r="B3116" s="5218"/>
    </row>
    <row r="3117" spans="1:2" ht="14.85" customHeight="1">
      <c r="A3117" s="5217"/>
      <c r="B3117" s="5218"/>
    </row>
    <row r="3118" spans="1:2" ht="14.85" customHeight="1">
      <c r="A3118" s="5217"/>
      <c r="B3118" s="5218"/>
    </row>
    <row r="3119" spans="1:2" ht="14.85" customHeight="1">
      <c r="A3119" s="5217"/>
      <c r="B3119" s="5218"/>
    </row>
    <row r="3120" spans="1:2" ht="14.85" customHeight="1">
      <c r="A3120" s="5217"/>
      <c r="B3120" s="5218"/>
    </row>
    <row r="3121" spans="1:2" ht="14.85" customHeight="1">
      <c r="A3121" s="5217"/>
      <c r="B3121" s="5218"/>
    </row>
    <row r="3122" spans="1:2" ht="14.85" customHeight="1">
      <c r="A3122" s="5217"/>
      <c r="B3122" s="5218"/>
    </row>
    <row r="3123" spans="1:2" ht="14.85" customHeight="1">
      <c r="A3123" s="5217"/>
      <c r="B3123" s="5218"/>
    </row>
    <row r="3124" spans="1:2" ht="14.85" customHeight="1">
      <c r="A3124" s="5217"/>
      <c r="B3124" s="5218"/>
    </row>
    <row r="3125" spans="1:2" ht="14.85" customHeight="1">
      <c r="A3125" s="5217"/>
      <c r="B3125" s="5218"/>
    </row>
    <row r="3126" spans="1:2" ht="14.85" customHeight="1">
      <c r="A3126" s="5217"/>
      <c r="B3126" s="5218"/>
    </row>
    <row r="3127" spans="1:2" ht="14.85" customHeight="1">
      <c r="A3127" s="5217"/>
      <c r="B3127" s="5218"/>
    </row>
    <row r="3128" spans="1:2" ht="14.85" customHeight="1">
      <c r="A3128" s="5217"/>
      <c r="B3128" s="5218"/>
    </row>
    <row r="3129" spans="1:2" ht="14.85" customHeight="1">
      <c r="A3129" s="5217"/>
      <c r="B3129" s="5218"/>
    </row>
    <row r="3130" spans="1:2" ht="14.85" customHeight="1">
      <c r="A3130" s="5217"/>
      <c r="B3130" s="5218"/>
    </row>
    <row r="3131" spans="1:2" ht="14.85" customHeight="1">
      <c r="A3131" s="5217"/>
      <c r="B3131" s="5218"/>
    </row>
    <row r="3132" spans="1:2" ht="14.85" customHeight="1">
      <c r="A3132" s="5217"/>
      <c r="B3132" s="5218"/>
    </row>
    <row r="3133" spans="1:2" ht="14.85" customHeight="1">
      <c r="A3133" s="5217"/>
      <c r="B3133" s="5218"/>
    </row>
    <row r="3134" spans="1:2" ht="14.85" customHeight="1">
      <c r="A3134" s="5217"/>
      <c r="B3134" s="5218"/>
    </row>
    <row r="3135" spans="1:2" ht="14.85" customHeight="1">
      <c r="A3135" s="5217"/>
      <c r="B3135" s="5218"/>
    </row>
    <row r="3136" spans="1:2" ht="14.85" customHeight="1">
      <c r="A3136" s="5217"/>
      <c r="B3136" s="5218"/>
    </row>
    <row r="3137" spans="1:2" ht="14.85" customHeight="1">
      <c r="A3137" s="5217"/>
      <c r="B3137" s="5218"/>
    </row>
    <row r="3138" spans="1:2" ht="14.85" customHeight="1">
      <c r="A3138" s="5217"/>
      <c r="B3138" s="5218"/>
    </row>
    <row r="3139" spans="1:2" ht="14.85" customHeight="1">
      <c r="A3139" s="5217"/>
      <c r="B3139" s="5218"/>
    </row>
    <row r="3140" spans="1:2" ht="14.85" customHeight="1">
      <c r="A3140" s="5217"/>
      <c r="B3140" s="5218"/>
    </row>
    <row r="3141" spans="1:2" ht="14.85" customHeight="1">
      <c r="A3141" s="5217"/>
      <c r="B3141" s="5218"/>
    </row>
    <row r="3142" spans="1:2" ht="14.85" customHeight="1">
      <c r="A3142" s="5217"/>
      <c r="B3142" s="5218"/>
    </row>
    <row r="3143" spans="1:2" ht="14.85" customHeight="1">
      <c r="A3143" s="5217"/>
      <c r="B3143" s="5218"/>
    </row>
    <row r="3144" spans="1:2" ht="14.85" customHeight="1">
      <c r="A3144" s="5217"/>
      <c r="B3144" s="5218"/>
    </row>
    <row r="3145" spans="1:2" ht="14.85" customHeight="1">
      <c r="A3145" s="5217"/>
      <c r="B3145" s="5218"/>
    </row>
    <row r="3146" spans="1:2" ht="14.85" customHeight="1">
      <c r="A3146" s="5217"/>
      <c r="B3146" s="5218"/>
    </row>
    <row r="3147" spans="1:2" ht="14.85" customHeight="1">
      <c r="A3147" s="5217"/>
      <c r="B3147" s="5218"/>
    </row>
    <row r="3148" spans="1:2" ht="14.85" customHeight="1">
      <c r="A3148" s="5217"/>
      <c r="B3148" s="5218"/>
    </row>
    <row r="3149" spans="1:2" ht="14.85" customHeight="1">
      <c r="A3149" s="5217"/>
      <c r="B3149" s="5218"/>
    </row>
    <row r="3150" spans="1:2" ht="14.85" customHeight="1">
      <c r="A3150" s="5217"/>
      <c r="B3150" s="5218"/>
    </row>
    <row r="3151" spans="1:2" ht="14.85" customHeight="1">
      <c r="A3151" s="5217"/>
      <c r="B3151" s="5218"/>
    </row>
    <row r="3152" spans="1:2" ht="14.85" customHeight="1">
      <c r="A3152" s="5217"/>
      <c r="B3152" s="5218"/>
    </row>
    <row r="3153" spans="1:2" ht="14.85" customHeight="1">
      <c r="A3153" s="5217"/>
      <c r="B3153" s="5218"/>
    </row>
    <row r="3154" spans="1:2" ht="14.85" customHeight="1">
      <c r="A3154" s="5217"/>
      <c r="B3154" s="5218"/>
    </row>
    <row r="3155" spans="1:2" ht="14.85" customHeight="1">
      <c r="A3155" s="5217"/>
      <c r="B3155" s="5218"/>
    </row>
    <row r="3156" spans="1:2" ht="14.85" customHeight="1">
      <c r="A3156" s="5217"/>
      <c r="B3156" s="5218"/>
    </row>
    <row r="3157" spans="1:2" ht="14.85" customHeight="1">
      <c r="A3157" s="5217"/>
      <c r="B3157" s="5218"/>
    </row>
    <row r="3158" spans="1:2" ht="14.85" customHeight="1">
      <c r="A3158" s="5217"/>
      <c r="B3158" s="5218"/>
    </row>
    <row r="3159" spans="1:2" ht="14.85" customHeight="1">
      <c r="A3159" s="5217"/>
      <c r="B3159" s="5218"/>
    </row>
    <row r="3160" spans="1:2" ht="14.85" customHeight="1">
      <c r="A3160" s="5217"/>
      <c r="B3160" s="5218"/>
    </row>
    <row r="3161" spans="1:2" ht="14.85" customHeight="1">
      <c r="A3161" s="5217"/>
      <c r="B3161" s="5218"/>
    </row>
    <row r="3162" spans="1:2" ht="14.85" customHeight="1">
      <c r="A3162" s="5217"/>
      <c r="B3162" s="5218"/>
    </row>
    <row r="3163" spans="1:2" ht="14.85" customHeight="1">
      <c r="A3163" s="5217"/>
      <c r="B3163" s="5218"/>
    </row>
    <row r="3164" spans="1:2" ht="14.85" customHeight="1">
      <c r="A3164" s="5217"/>
      <c r="B3164" s="5218"/>
    </row>
    <row r="3165" spans="1:2" ht="14.85" customHeight="1">
      <c r="A3165" s="5217"/>
      <c r="B3165" s="5218"/>
    </row>
    <row r="3166" spans="1:2" ht="14.85" customHeight="1">
      <c r="A3166" s="5217"/>
      <c r="B3166" s="5218"/>
    </row>
    <row r="3167" spans="1:2" ht="14.85" customHeight="1">
      <c r="A3167" s="5217"/>
      <c r="B3167" s="5218"/>
    </row>
    <row r="3168" spans="1:2" ht="14.85" customHeight="1">
      <c r="A3168" s="5217"/>
      <c r="B3168" s="5218"/>
    </row>
    <row r="3169" spans="1:2" ht="14.85" customHeight="1">
      <c r="A3169" s="5217"/>
      <c r="B3169" s="5218"/>
    </row>
    <row r="3170" spans="1:2" ht="14.85" customHeight="1">
      <c r="A3170" s="5217"/>
      <c r="B3170" s="5218"/>
    </row>
    <row r="3171" spans="1:2" ht="14.85" customHeight="1">
      <c r="A3171" s="5217"/>
      <c r="B3171" s="5218"/>
    </row>
    <row r="3172" spans="1:2" ht="14.85" customHeight="1">
      <c r="A3172" s="5217"/>
      <c r="B3172" s="5218"/>
    </row>
    <row r="3173" spans="1:2" ht="14.85" customHeight="1">
      <c r="A3173" s="5217"/>
      <c r="B3173" s="5218"/>
    </row>
    <row r="3174" spans="1:2" ht="14.85" customHeight="1">
      <c r="A3174" s="5217"/>
      <c r="B3174" s="5218"/>
    </row>
    <row r="3175" spans="1:2" ht="14.85" customHeight="1">
      <c r="A3175" s="5217"/>
      <c r="B3175" s="5218"/>
    </row>
    <row r="3176" spans="1:2" ht="14.85" customHeight="1">
      <c r="A3176" s="5217"/>
      <c r="B3176" s="5218"/>
    </row>
    <row r="3177" spans="1:2" ht="14.85" customHeight="1">
      <c r="A3177" s="5217"/>
      <c r="B3177" s="5218"/>
    </row>
    <row r="3178" spans="1:2" ht="14.85" customHeight="1">
      <c r="A3178" s="5217"/>
      <c r="B3178" s="5218"/>
    </row>
    <row r="3179" spans="1:2" ht="14.85" customHeight="1">
      <c r="A3179" s="5217"/>
      <c r="B3179" s="5218"/>
    </row>
    <row r="3180" spans="1:2" ht="14.85" customHeight="1">
      <c r="A3180" s="5217"/>
      <c r="B3180" s="5218"/>
    </row>
    <row r="3181" spans="1:2" ht="14.85" customHeight="1">
      <c r="A3181" s="5217"/>
      <c r="B3181" s="5218"/>
    </row>
    <row r="3182" spans="1:2" ht="14.85" customHeight="1">
      <c r="A3182" s="5217"/>
      <c r="B3182" s="5218"/>
    </row>
    <row r="3183" spans="1:2" ht="14.85" customHeight="1">
      <c r="A3183" s="5217"/>
      <c r="B3183" s="5218"/>
    </row>
    <row r="3184" spans="1:2" ht="14.85" customHeight="1">
      <c r="A3184" s="5217"/>
      <c r="B3184" s="5218"/>
    </row>
    <row r="3185" spans="1:2" ht="14.85" customHeight="1">
      <c r="A3185" s="5217"/>
      <c r="B3185" s="5218"/>
    </row>
    <row r="3186" spans="1:2" ht="14.85" customHeight="1">
      <c r="A3186" s="5217"/>
      <c r="B3186" s="5218"/>
    </row>
    <row r="3187" spans="1:2" ht="14.85" customHeight="1">
      <c r="A3187" s="5217"/>
      <c r="B3187" s="5218"/>
    </row>
    <row r="3188" spans="1:2" ht="14.85" customHeight="1">
      <c r="A3188" s="5217"/>
      <c r="B3188" s="5218"/>
    </row>
    <row r="3189" spans="1:2" ht="14.85" customHeight="1">
      <c r="A3189" s="5217"/>
      <c r="B3189" s="5218"/>
    </row>
    <row r="3190" spans="1:2" ht="14.85" customHeight="1">
      <c r="A3190" s="5217"/>
      <c r="B3190" s="5218"/>
    </row>
    <row r="3191" spans="1:2" ht="14.85" customHeight="1">
      <c r="A3191" s="5217"/>
      <c r="B3191" s="5218"/>
    </row>
    <row r="3192" spans="1:2" ht="14.85" customHeight="1">
      <c r="A3192" s="5217"/>
      <c r="B3192" s="5218"/>
    </row>
    <row r="3193" spans="1:2" ht="14.85" customHeight="1">
      <c r="A3193" s="5217"/>
      <c r="B3193" s="5218"/>
    </row>
    <row r="3194" spans="1:2" ht="14.85" customHeight="1">
      <c r="A3194" s="5217"/>
      <c r="B3194" s="5218"/>
    </row>
    <row r="3195" spans="1:2" ht="14.85" customHeight="1">
      <c r="A3195" s="5217"/>
      <c r="B3195" s="5218"/>
    </row>
    <row r="3196" spans="1:2" ht="14.85" customHeight="1">
      <c r="A3196" s="5217"/>
      <c r="B3196" s="5218"/>
    </row>
    <row r="3197" spans="1:2" ht="14.85" customHeight="1">
      <c r="A3197" s="5217"/>
      <c r="B3197" s="5218"/>
    </row>
    <row r="3198" spans="1:2" ht="14.85" customHeight="1">
      <c r="A3198" s="5217"/>
      <c r="B3198" s="5218"/>
    </row>
    <row r="3199" spans="1:2" ht="14.85" customHeight="1">
      <c r="A3199" s="5217"/>
      <c r="B3199" s="5218"/>
    </row>
    <row r="3200" spans="1:2" ht="14.85" customHeight="1">
      <c r="A3200" s="5217"/>
      <c r="B3200" s="5218"/>
    </row>
    <row r="3201" spans="1:2" ht="14.85" customHeight="1">
      <c r="A3201" s="5217"/>
      <c r="B3201" s="5218"/>
    </row>
    <row r="3202" spans="1:2" ht="14.85" customHeight="1">
      <c r="A3202" s="5217"/>
      <c r="B3202" s="5218"/>
    </row>
    <row r="3203" spans="1:2" ht="14.85" customHeight="1">
      <c r="A3203" s="5217"/>
      <c r="B3203" s="5218"/>
    </row>
    <row r="3204" spans="1:2" ht="14.85" customHeight="1">
      <c r="A3204" s="5217"/>
      <c r="B3204" s="5218"/>
    </row>
    <row r="3205" spans="1:2" ht="14.85" customHeight="1">
      <c r="A3205" s="5217"/>
      <c r="B3205" s="5218"/>
    </row>
    <row r="3206" spans="1:2" ht="14.85" customHeight="1">
      <c r="A3206" s="5217"/>
      <c r="B3206" s="5218"/>
    </row>
    <row r="3207" spans="1:2" ht="14.85" customHeight="1">
      <c r="A3207" s="5217"/>
      <c r="B3207" s="5218"/>
    </row>
    <row r="3208" spans="1:2" ht="14.85" customHeight="1">
      <c r="A3208" s="5217"/>
      <c r="B3208" s="5218"/>
    </row>
    <row r="3209" spans="1:2" ht="14.85" customHeight="1">
      <c r="A3209" s="5217"/>
      <c r="B3209" s="5218"/>
    </row>
    <row r="3210" spans="1:2" ht="14.85" customHeight="1">
      <c r="A3210" s="5217"/>
      <c r="B3210" s="5218"/>
    </row>
    <row r="3211" spans="1:2" ht="14.85" customHeight="1">
      <c r="A3211" s="5217"/>
      <c r="B3211" s="5218"/>
    </row>
    <row r="3212" spans="1:2" ht="14.85" customHeight="1">
      <c r="A3212" s="5217"/>
      <c r="B3212" s="5218"/>
    </row>
    <row r="3213" spans="1:2" ht="14.85" customHeight="1">
      <c r="A3213" s="5217"/>
      <c r="B3213" s="5218"/>
    </row>
    <row r="3214" spans="1:2" ht="14.85" customHeight="1">
      <c r="A3214" s="5217"/>
      <c r="B3214" s="5218"/>
    </row>
    <row r="3215" spans="1:2" ht="14.85" customHeight="1">
      <c r="A3215" s="5217"/>
      <c r="B3215" s="5218"/>
    </row>
    <row r="3216" spans="1:2" ht="14.85" customHeight="1">
      <c r="A3216" s="5217"/>
      <c r="B3216" s="5218"/>
    </row>
    <row r="3217" spans="1:2" ht="14.85" customHeight="1">
      <c r="A3217" s="5217"/>
      <c r="B3217" s="5218"/>
    </row>
    <row r="3218" spans="1:2" ht="14.85" customHeight="1">
      <c r="A3218" s="5217"/>
      <c r="B3218" s="5218"/>
    </row>
    <row r="3219" spans="1:2" ht="14.85" customHeight="1">
      <c r="A3219" s="5217"/>
      <c r="B3219" s="5218"/>
    </row>
    <row r="3220" spans="1:2" ht="14.85" customHeight="1">
      <c r="A3220" s="5217"/>
      <c r="B3220" s="5218"/>
    </row>
    <row r="3221" spans="1:2" ht="14.85" customHeight="1">
      <c r="A3221" s="5217"/>
      <c r="B3221" s="5218"/>
    </row>
    <row r="3222" spans="1:2" ht="14.85" customHeight="1">
      <c r="A3222" s="5217"/>
      <c r="B3222" s="5218"/>
    </row>
    <row r="3223" spans="1:2" ht="14.85" customHeight="1">
      <c r="A3223" s="5217"/>
      <c r="B3223" s="5218"/>
    </row>
    <row r="3224" spans="1:2" ht="14.85" customHeight="1">
      <c r="A3224" s="5217"/>
      <c r="B3224" s="5218"/>
    </row>
    <row r="3225" spans="1:2" ht="14.85" customHeight="1">
      <c r="A3225" s="5217"/>
      <c r="B3225" s="5218"/>
    </row>
    <row r="3226" spans="1:2" ht="14.85" customHeight="1">
      <c r="A3226" s="5217"/>
      <c r="B3226" s="5218"/>
    </row>
    <row r="3227" spans="1:2" ht="14.85" customHeight="1">
      <c r="A3227" s="5217"/>
      <c r="B3227" s="5218"/>
    </row>
    <row r="3228" spans="1:2" ht="14.85" customHeight="1">
      <c r="A3228" s="5217"/>
      <c r="B3228" s="5218"/>
    </row>
    <row r="3229" spans="1:2" ht="14.85" customHeight="1">
      <c r="A3229" s="5217"/>
      <c r="B3229" s="5218"/>
    </row>
    <row r="3230" spans="1:2" ht="14.85" customHeight="1">
      <c r="A3230" s="5217"/>
      <c r="B3230" s="5218"/>
    </row>
    <row r="3231" spans="1:2" ht="14.85" customHeight="1">
      <c r="A3231" s="5217"/>
      <c r="B3231" s="5218"/>
    </row>
    <row r="3232" spans="1:2" ht="14.85" customHeight="1">
      <c r="A3232" s="5217"/>
      <c r="B3232" s="5218"/>
    </row>
    <row r="3233" spans="1:2" ht="14.85" customHeight="1">
      <c r="A3233" s="5217"/>
      <c r="B3233" s="5218"/>
    </row>
    <row r="3234" spans="1:2" ht="14.85" customHeight="1">
      <c r="A3234" s="5217"/>
      <c r="B3234" s="5218"/>
    </row>
    <row r="3235" spans="1:2" ht="14.85" customHeight="1">
      <c r="A3235" s="5217"/>
      <c r="B3235" s="5218"/>
    </row>
    <row r="3236" spans="1:2" ht="14.85" customHeight="1">
      <c r="A3236" s="5217"/>
      <c r="B3236" s="5218"/>
    </row>
    <row r="3237" spans="1:2" ht="14.85" customHeight="1">
      <c r="A3237" s="5217"/>
      <c r="B3237" s="5218"/>
    </row>
    <row r="3238" spans="1:2" ht="14.85" customHeight="1">
      <c r="A3238" s="5217"/>
      <c r="B3238" s="5218"/>
    </row>
    <row r="3239" spans="1:2" ht="14.85" customHeight="1">
      <c r="A3239" s="5217"/>
      <c r="B3239" s="5218"/>
    </row>
    <row r="3240" spans="1:2" ht="14.85" customHeight="1">
      <c r="A3240" s="5217"/>
      <c r="B3240" s="5218"/>
    </row>
    <row r="3241" spans="1:2" ht="14.85" customHeight="1">
      <c r="A3241" s="5217"/>
      <c r="B3241" s="5218"/>
    </row>
    <row r="3242" spans="1:2" ht="14.85" customHeight="1">
      <c r="A3242" s="5217"/>
      <c r="B3242" s="5218"/>
    </row>
    <row r="3243" spans="1:2" ht="14.85" customHeight="1">
      <c r="A3243" s="5217"/>
      <c r="B3243" s="5218"/>
    </row>
    <row r="3244" spans="1:2" ht="14.85" customHeight="1">
      <c r="A3244" s="5217"/>
      <c r="B3244" s="5218"/>
    </row>
    <row r="3245" spans="1:2" ht="14.85" customHeight="1">
      <c r="A3245" s="5217"/>
      <c r="B3245" s="5218"/>
    </row>
    <row r="3246" spans="1:2" ht="14.85" customHeight="1">
      <c r="A3246" s="5217"/>
      <c r="B3246" s="5218"/>
    </row>
    <row r="3247" spans="1:2" ht="14.85" customHeight="1">
      <c r="A3247" s="5217"/>
      <c r="B3247" s="5218"/>
    </row>
    <row r="3248" spans="1:2" ht="14.85" customHeight="1">
      <c r="A3248" s="5217"/>
      <c r="B3248" s="5218"/>
    </row>
    <row r="3249" spans="1:2" ht="14.85" customHeight="1">
      <c r="A3249" s="5217"/>
      <c r="B3249" s="5218"/>
    </row>
    <row r="3250" spans="1:2" ht="14.85" customHeight="1">
      <c r="A3250" s="5217"/>
      <c r="B3250" s="5218"/>
    </row>
    <row r="3251" spans="1:2" ht="14.85" customHeight="1">
      <c r="A3251" s="5217"/>
      <c r="B3251" s="5218"/>
    </row>
    <row r="3252" spans="1:2" ht="14.85" customHeight="1">
      <c r="A3252" s="5217"/>
      <c r="B3252" s="5218"/>
    </row>
    <row r="3253" spans="1:2" ht="14.85" customHeight="1">
      <c r="A3253" s="5217"/>
      <c r="B3253" s="5218"/>
    </row>
    <row r="3254" spans="1:2" ht="14.85" customHeight="1">
      <c r="A3254" s="5217"/>
      <c r="B3254" s="5218"/>
    </row>
    <row r="3255" spans="1:2" ht="14.85" customHeight="1">
      <c r="A3255" s="5217"/>
      <c r="B3255" s="5218"/>
    </row>
    <row r="3256" spans="1:2" ht="14.85" customHeight="1">
      <c r="A3256" s="5217"/>
      <c r="B3256" s="5218"/>
    </row>
    <row r="3257" spans="1:2" ht="14.85" customHeight="1">
      <c r="A3257" s="5217"/>
      <c r="B3257" s="5218"/>
    </row>
    <row r="3258" spans="1:2" ht="14.85" customHeight="1">
      <c r="A3258" s="5217"/>
      <c r="B3258" s="5218"/>
    </row>
    <row r="3259" spans="1:2" ht="14.85" customHeight="1">
      <c r="A3259" s="5217"/>
      <c r="B3259" s="5218"/>
    </row>
    <row r="3260" spans="1:2" ht="14.85" customHeight="1">
      <c r="A3260" s="5217"/>
      <c r="B3260" s="5218"/>
    </row>
    <row r="3261" spans="1:2" ht="14.85" customHeight="1">
      <c r="A3261" s="5217"/>
      <c r="B3261" s="5218"/>
    </row>
    <row r="3262" spans="1:2" ht="14.85" customHeight="1">
      <c r="A3262" s="5217"/>
      <c r="B3262" s="5218"/>
    </row>
    <row r="3263" spans="1:2" ht="14.85" customHeight="1">
      <c r="A3263" s="5217"/>
      <c r="B3263" s="5218"/>
    </row>
    <row r="3264" spans="1:2" ht="14.85" customHeight="1">
      <c r="A3264" s="5217"/>
      <c r="B3264" s="5218"/>
    </row>
    <row r="3265" spans="1:2" ht="14.85" customHeight="1">
      <c r="A3265" s="5217"/>
      <c r="B3265" s="5218"/>
    </row>
    <row r="3266" spans="1:2" ht="14.85" customHeight="1">
      <c r="A3266" s="5217"/>
      <c r="B3266" s="5218"/>
    </row>
    <row r="3267" spans="1:2" ht="14.85" customHeight="1">
      <c r="A3267" s="5217"/>
      <c r="B3267" s="5218"/>
    </row>
    <row r="3268" spans="1:2" ht="14.85" customHeight="1">
      <c r="A3268" s="5217"/>
      <c r="B3268" s="5218"/>
    </row>
    <row r="3269" spans="1:2" ht="14.85" customHeight="1">
      <c r="A3269" s="5217"/>
      <c r="B3269" s="5218"/>
    </row>
    <row r="3270" spans="1:2" ht="14.85" customHeight="1">
      <c r="A3270" s="5217"/>
      <c r="B3270" s="5218"/>
    </row>
    <row r="3271" spans="1:2" ht="14.85" customHeight="1">
      <c r="A3271" s="5217"/>
      <c r="B3271" s="5218"/>
    </row>
    <row r="3272" spans="1:2" ht="14.85" customHeight="1">
      <c r="A3272" s="5217"/>
      <c r="B3272" s="5218"/>
    </row>
    <row r="3273" spans="1:2" ht="14.85" customHeight="1">
      <c r="A3273" s="5217"/>
      <c r="B3273" s="5218"/>
    </row>
    <row r="3274" spans="1:2" ht="14.85" customHeight="1">
      <c r="A3274" s="5217"/>
      <c r="B3274" s="5218"/>
    </row>
    <row r="3275" spans="1:2" ht="14.85" customHeight="1">
      <c r="A3275" s="5217"/>
      <c r="B3275" s="5218"/>
    </row>
    <row r="3276" spans="1:2" ht="14.85" customHeight="1">
      <c r="A3276" s="5217"/>
      <c r="B3276" s="5218"/>
    </row>
    <row r="3277" spans="1:2" ht="14.85" customHeight="1">
      <c r="A3277" s="5217"/>
      <c r="B3277" s="5218"/>
    </row>
    <row r="3278" spans="1:2" ht="14.85" customHeight="1">
      <c r="A3278" s="5217"/>
      <c r="B3278" s="5218"/>
    </row>
    <row r="3279" spans="1:2" ht="14.85" customHeight="1">
      <c r="A3279" s="5217"/>
      <c r="B3279" s="5218"/>
    </row>
    <row r="3280" spans="1:2" ht="14.85" customHeight="1">
      <c r="A3280" s="5217"/>
      <c r="B3280" s="5218"/>
    </row>
    <row r="3281" spans="1:2" ht="14.85" customHeight="1">
      <c r="A3281" s="5217"/>
      <c r="B3281" s="5218"/>
    </row>
    <row r="3282" spans="1:2" ht="14.85" customHeight="1">
      <c r="A3282" s="5217"/>
      <c r="B3282" s="5218"/>
    </row>
    <row r="3283" spans="1:2" ht="14.85" customHeight="1">
      <c r="A3283" s="5217"/>
      <c r="B3283" s="5218"/>
    </row>
    <row r="3284" spans="1:2" ht="14.85" customHeight="1">
      <c r="A3284" s="5217"/>
      <c r="B3284" s="5218"/>
    </row>
    <row r="3285" spans="1:2" ht="14.85" customHeight="1">
      <c r="A3285" s="5217"/>
      <c r="B3285" s="5218"/>
    </row>
    <row r="3286" spans="1:2" ht="14.85" customHeight="1">
      <c r="A3286" s="5217"/>
      <c r="B3286" s="5218"/>
    </row>
    <row r="3287" spans="1:2" ht="14.85" customHeight="1">
      <c r="A3287" s="5217"/>
      <c r="B3287" s="5218"/>
    </row>
    <row r="3288" spans="1:2" ht="14.85" customHeight="1">
      <c r="A3288" s="5217"/>
      <c r="B3288" s="5218"/>
    </row>
    <row r="3289" spans="1:2" ht="14.85" customHeight="1">
      <c r="A3289" s="5217"/>
      <c r="B3289" s="5218"/>
    </row>
    <row r="3290" spans="1:2" ht="14.85" customHeight="1">
      <c r="A3290" s="5217"/>
      <c r="B3290" s="5218"/>
    </row>
    <row r="3291" spans="1:2" ht="14.85" customHeight="1">
      <c r="A3291" s="5217"/>
      <c r="B3291" s="5218"/>
    </row>
    <row r="3292" spans="1:2" ht="14.85" customHeight="1">
      <c r="A3292" s="5217"/>
      <c r="B3292" s="5218"/>
    </row>
    <row r="3293" spans="1:2" ht="14.85" customHeight="1">
      <c r="A3293" s="5217"/>
      <c r="B3293" s="5218"/>
    </row>
    <row r="3294" spans="1:2" ht="14.85" customHeight="1">
      <c r="A3294" s="5217"/>
      <c r="B3294" s="5218"/>
    </row>
    <row r="3295" spans="1:2" ht="14.85" customHeight="1">
      <c r="A3295" s="5217"/>
      <c r="B3295" s="5218"/>
    </row>
    <row r="3296" spans="1:2" ht="14.85" customHeight="1">
      <c r="A3296" s="5217"/>
      <c r="B3296" s="5218"/>
    </row>
    <row r="3297" spans="1:2" ht="14.85" customHeight="1">
      <c r="A3297" s="5217"/>
      <c r="B3297" s="5218"/>
    </row>
    <row r="3298" spans="1:2" ht="14.85" customHeight="1">
      <c r="A3298" s="5217"/>
      <c r="B3298" s="5218"/>
    </row>
    <row r="3299" spans="1:2" ht="14.85" customHeight="1">
      <c r="A3299" s="5217"/>
      <c r="B3299" s="5218"/>
    </row>
    <row r="3300" spans="1:2" ht="14.85" customHeight="1">
      <c r="A3300" s="5217"/>
      <c r="B3300" s="5218"/>
    </row>
    <row r="3301" spans="1:2" ht="14.85" customHeight="1">
      <c r="A3301" s="5217"/>
      <c r="B3301" s="5218"/>
    </row>
    <row r="3302" spans="1:2" ht="14.85" customHeight="1">
      <c r="A3302" s="5217"/>
      <c r="B3302" s="5218"/>
    </row>
    <row r="3303" spans="1:2" ht="14.85" customHeight="1">
      <c r="A3303" s="5217"/>
      <c r="B3303" s="5218"/>
    </row>
    <row r="3304" spans="1:2" ht="14.85" customHeight="1">
      <c r="A3304" s="5217"/>
      <c r="B3304" s="5218"/>
    </row>
    <row r="3305" spans="1:2" ht="14.85" customHeight="1">
      <c r="A3305" s="5217"/>
      <c r="B3305" s="5218"/>
    </row>
    <row r="3306" spans="1:2" ht="14.85" customHeight="1">
      <c r="A3306" s="5217"/>
      <c r="B3306" s="5218"/>
    </row>
    <row r="3307" spans="1:2" ht="14.85" customHeight="1">
      <c r="A3307" s="5217"/>
      <c r="B3307" s="5218"/>
    </row>
    <row r="3308" spans="1:2" ht="14.85" customHeight="1">
      <c r="A3308" s="5217"/>
      <c r="B3308" s="5218"/>
    </row>
    <row r="3309" spans="1:2" ht="14.85" customHeight="1">
      <c r="A3309" s="5217"/>
      <c r="B3309" s="5218"/>
    </row>
    <row r="3310" spans="1:2" ht="14.85" customHeight="1">
      <c r="A3310" s="5217"/>
      <c r="B3310" s="5218"/>
    </row>
    <row r="3311" spans="1:2" ht="14.85" customHeight="1">
      <c r="A3311" s="5217"/>
      <c r="B3311" s="5218"/>
    </row>
    <row r="3312" spans="1:2" ht="14.85" customHeight="1">
      <c r="A3312" s="5217"/>
      <c r="B3312" s="5218"/>
    </row>
    <row r="3313" spans="1:2" ht="14.85" customHeight="1">
      <c r="A3313" s="5217"/>
      <c r="B3313" s="5218"/>
    </row>
    <row r="3314" spans="1:2" ht="14.85" customHeight="1">
      <c r="A3314" s="5217"/>
      <c r="B3314" s="5218"/>
    </row>
    <row r="3315" spans="1:2" ht="14.85" customHeight="1">
      <c r="A3315" s="5217"/>
      <c r="B3315" s="5218"/>
    </row>
    <row r="3316" spans="1:2" ht="14.85" customHeight="1">
      <c r="A3316" s="5217"/>
      <c r="B3316" s="5218"/>
    </row>
    <row r="3317" spans="1:2" ht="14.85" customHeight="1">
      <c r="A3317" s="5217"/>
      <c r="B3317" s="5218"/>
    </row>
    <row r="3318" spans="1:2" ht="14.85" customHeight="1">
      <c r="A3318" s="5217"/>
      <c r="B3318" s="5218"/>
    </row>
    <row r="3319" spans="1:2" ht="14.85" customHeight="1">
      <c r="A3319" s="5217"/>
      <c r="B3319" s="5218"/>
    </row>
    <row r="3320" spans="1:2" ht="14.85" customHeight="1">
      <c r="A3320" s="5217"/>
      <c r="B3320" s="5218"/>
    </row>
    <row r="3321" spans="1:2" ht="14.85" customHeight="1">
      <c r="A3321" s="5217"/>
      <c r="B3321" s="5218"/>
    </row>
    <row r="3322" spans="1:2" ht="14.85" customHeight="1">
      <c r="A3322" s="5217"/>
      <c r="B3322" s="5218"/>
    </row>
    <row r="3323" spans="1:2" ht="14.85" customHeight="1">
      <c r="A3323" s="5217"/>
      <c r="B3323" s="5218"/>
    </row>
    <row r="3324" spans="1:2" ht="14.85" customHeight="1">
      <c r="A3324" s="5217"/>
      <c r="B3324" s="5218"/>
    </row>
    <row r="3325" spans="1:2" ht="14.85" customHeight="1">
      <c r="A3325" s="5217"/>
      <c r="B3325" s="5218"/>
    </row>
    <row r="3326" spans="1:2" ht="14.85" customHeight="1">
      <c r="A3326" s="5217"/>
      <c r="B3326" s="5218"/>
    </row>
    <row r="3327" spans="1:2" ht="14.85" customHeight="1">
      <c r="A3327" s="5217"/>
      <c r="B3327" s="5218"/>
    </row>
    <row r="3328" spans="1:2" ht="14.85" customHeight="1">
      <c r="A3328" s="5217"/>
      <c r="B3328" s="5218"/>
    </row>
    <row r="3329" spans="1:2" ht="14.85" customHeight="1">
      <c r="A3329" s="5217"/>
      <c r="B3329" s="5218"/>
    </row>
    <row r="3330" spans="1:2" ht="14.85" customHeight="1">
      <c r="A3330" s="5217"/>
      <c r="B3330" s="5218"/>
    </row>
    <row r="3331" spans="1:2" ht="14.85" customHeight="1">
      <c r="A3331" s="5217"/>
      <c r="B3331" s="5218"/>
    </row>
    <row r="3332" spans="1:2" ht="14.85" customHeight="1">
      <c r="A3332" s="5217"/>
      <c r="B3332" s="5218"/>
    </row>
    <row r="3333" spans="1:2" ht="14.85" customHeight="1">
      <c r="A3333" s="5217"/>
      <c r="B3333" s="5218"/>
    </row>
    <row r="3334" spans="1:2" ht="14.85" customHeight="1">
      <c r="A3334" s="5217"/>
      <c r="B3334" s="5218"/>
    </row>
    <row r="3335" spans="1:2" ht="14.85" customHeight="1">
      <c r="A3335" s="5217"/>
      <c r="B3335" s="5218"/>
    </row>
    <row r="3336" spans="1:2" ht="14.85" customHeight="1">
      <c r="A3336" s="5217"/>
      <c r="B3336" s="5218"/>
    </row>
    <row r="3337" spans="1:2" ht="14.85" customHeight="1">
      <c r="A3337" s="5217"/>
      <c r="B3337" s="5218"/>
    </row>
    <row r="3338" spans="1:2" ht="14.85" customHeight="1">
      <c r="A3338" s="5217"/>
      <c r="B3338" s="5218"/>
    </row>
    <row r="3339" spans="1:2" ht="14.85" customHeight="1">
      <c r="A3339" s="5217"/>
      <c r="B3339" s="5218"/>
    </row>
    <row r="3340" spans="1:2" ht="14.85" customHeight="1">
      <c r="A3340" s="5217"/>
      <c r="B3340" s="5218"/>
    </row>
    <row r="3341" spans="1:2" ht="14.85" customHeight="1">
      <c r="A3341" s="5217"/>
      <c r="B3341" s="5218"/>
    </row>
    <row r="3342" spans="1:2" ht="14.85" customHeight="1">
      <c r="A3342" s="5217"/>
      <c r="B3342" s="5218"/>
    </row>
    <row r="3343" spans="1:2" ht="14.85" customHeight="1">
      <c r="A3343" s="5217"/>
      <c r="B3343" s="5218"/>
    </row>
    <row r="3344" spans="1:2" ht="14.85" customHeight="1">
      <c r="A3344" s="5217"/>
      <c r="B3344" s="5218"/>
    </row>
    <row r="3345" spans="1:2" ht="14.85" customHeight="1">
      <c r="A3345" s="5217"/>
      <c r="B3345" s="5218"/>
    </row>
    <row r="3346" spans="1:2" ht="14.85" customHeight="1">
      <c r="A3346" s="5217"/>
      <c r="B3346" s="5218"/>
    </row>
    <row r="3347" spans="1:2" ht="14.85" customHeight="1">
      <c r="A3347" s="5217"/>
      <c r="B3347" s="5218"/>
    </row>
    <row r="3348" spans="1:2" ht="14.85" customHeight="1">
      <c r="A3348" s="5217"/>
      <c r="B3348" s="5218"/>
    </row>
    <row r="3349" spans="1:2" ht="14.85" customHeight="1">
      <c r="A3349" s="5217"/>
      <c r="B3349" s="5218"/>
    </row>
    <row r="3350" spans="1:2" ht="14.85" customHeight="1">
      <c r="A3350" s="5217"/>
      <c r="B3350" s="5218"/>
    </row>
    <row r="3351" spans="1:2" ht="14.85" customHeight="1">
      <c r="A3351" s="5217"/>
      <c r="B3351" s="5218"/>
    </row>
    <row r="3352" spans="1:2" ht="14.85" customHeight="1">
      <c r="A3352" s="5217"/>
      <c r="B3352" s="5218"/>
    </row>
    <row r="3353" spans="1:2" ht="14.85" customHeight="1">
      <c r="A3353" s="5217"/>
      <c r="B3353" s="5218"/>
    </row>
    <row r="3354" spans="1:2" ht="14.85" customHeight="1">
      <c r="A3354" s="5217"/>
      <c r="B3354" s="5218"/>
    </row>
    <row r="3355" spans="1:2" ht="14.85" customHeight="1">
      <c r="A3355" s="5217"/>
      <c r="B3355" s="5218"/>
    </row>
    <row r="3356" spans="1:2" ht="14.85" customHeight="1">
      <c r="A3356" s="5217"/>
      <c r="B3356" s="5218"/>
    </row>
    <row r="3357" spans="1:2" ht="14.85" customHeight="1">
      <c r="A3357" s="5217"/>
      <c r="B3357" s="5218"/>
    </row>
    <row r="3358" spans="1:2" ht="14.85" customHeight="1">
      <c r="A3358" s="5217"/>
      <c r="B3358" s="5218"/>
    </row>
    <row r="3359" spans="1:2" ht="14.85" customHeight="1">
      <c r="A3359" s="5217"/>
      <c r="B3359" s="5218"/>
    </row>
    <row r="3360" spans="1:2" ht="14.85" customHeight="1">
      <c r="A3360" s="5217"/>
      <c r="B3360" s="5218"/>
    </row>
    <row r="3361" spans="1:2" ht="14.85" customHeight="1">
      <c r="A3361" s="5217"/>
      <c r="B3361" s="5218"/>
    </row>
    <row r="3362" spans="1:2" ht="14.85" customHeight="1">
      <c r="A3362" s="5217"/>
      <c r="B3362" s="5218"/>
    </row>
    <row r="3363" spans="1:2" ht="14.85" customHeight="1">
      <c r="A3363" s="5217"/>
      <c r="B3363" s="5218"/>
    </row>
    <row r="3364" spans="1:2" ht="14.85" customHeight="1">
      <c r="A3364" s="5217"/>
      <c r="B3364" s="5218"/>
    </row>
    <row r="3365" spans="1:2" ht="14.85" customHeight="1">
      <c r="A3365" s="5217"/>
      <c r="B3365" s="5218"/>
    </row>
    <row r="3366" spans="1:2" ht="14.85" customHeight="1">
      <c r="A3366" s="5217"/>
      <c r="B3366" s="5218"/>
    </row>
    <row r="3367" spans="1:2" ht="14.85" customHeight="1">
      <c r="A3367" s="5217"/>
      <c r="B3367" s="5218"/>
    </row>
    <row r="3368" spans="1:2" ht="14.85" customHeight="1">
      <c r="A3368" s="5217"/>
      <c r="B3368" s="5218"/>
    </row>
    <row r="3369" spans="1:2" ht="14.85" customHeight="1">
      <c r="A3369" s="5217"/>
      <c r="B3369" s="5218"/>
    </row>
    <row r="3370" spans="1:2" ht="14.85" customHeight="1">
      <c r="A3370" s="5217"/>
      <c r="B3370" s="5218"/>
    </row>
    <row r="3371" spans="1:2" ht="14.85" customHeight="1">
      <c r="A3371" s="5217"/>
      <c r="B3371" s="5218"/>
    </row>
    <row r="3372" spans="1:2" ht="14.85" customHeight="1">
      <c r="A3372" s="5217"/>
      <c r="B3372" s="5218"/>
    </row>
    <row r="3373" spans="1:2" ht="14.85" customHeight="1">
      <c r="A3373" s="5217"/>
      <c r="B3373" s="5218"/>
    </row>
    <row r="3374" spans="1:2" ht="14.85" customHeight="1">
      <c r="A3374" s="5217"/>
      <c r="B3374" s="5218"/>
    </row>
    <row r="3375" spans="1:2" ht="14.85" customHeight="1">
      <c r="A3375" s="5217"/>
      <c r="B3375" s="5218"/>
    </row>
    <row r="3376" spans="1:2" ht="14.85" customHeight="1">
      <c r="A3376" s="5217"/>
      <c r="B3376" s="5218"/>
    </row>
    <row r="3377" spans="1:2" ht="14.85" customHeight="1">
      <c r="A3377" s="5217"/>
      <c r="B3377" s="5218"/>
    </row>
    <row r="3378" spans="1:2" ht="14.85" customHeight="1">
      <c r="A3378" s="5217"/>
      <c r="B3378" s="5218"/>
    </row>
    <row r="3379" spans="1:2" ht="14.85" customHeight="1">
      <c r="A3379" s="5217"/>
      <c r="B3379" s="5218"/>
    </row>
    <row r="3380" spans="1:2" ht="14.85" customHeight="1">
      <c r="A3380" s="5217"/>
      <c r="B3380" s="5218"/>
    </row>
    <row r="3381" spans="1:2" ht="14.85" customHeight="1">
      <c r="A3381" s="5217"/>
      <c r="B3381" s="5218"/>
    </row>
    <row r="3382" spans="1:2" ht="14.85" customHeight="1">
      <c r="A3382" s="5217"/>
      <c r="B3382" s="5218"/>
    </row>
    <row r="3383" spans="1:2" ht="14.85" customHeight="1">
      <c r="A3383" s="5217"/>
      <c r="B3383" s="5218"/>
    </row>
    <row r="3384" spans="1:2" ht="14.85" customHeight="1">
      <c r="A3384" s="5217"/>
      <c r="B3384" s="5218"/>
    </row>
    <row r="3385" spans="1:2" ht="14.85" customHeight="1">
      <c r="A3385" s="5217"/>
      <c r="B3385" s="5218"/>
    </row>
    <row r="3386" spans="1:2" ht="14.85" customHeight="1">
      <c r="A3386" s="5217"/>
      <c r="B3386" s="5218"/>
    </row>
    <row r="3387" spans="1:2" ht="14.85" customHeight="1">
      <c r="A3387" s="5217"/>
      <c r="B3387" s="5218"/>
    </row>
    <row r="3388" spans="1:2" ht="14.85" customHeight="1">
      <c r="A3388" s="5217"/>
      <c r="B3388" s="5218"/>
    </row>
    <row r="3389" spans="1:2" ht="14.85" customHeight="1">
      <c r="A3389" s="5217"/>
      <c r="B3389" s="5218"/>
    </row>
    <row r="3390" spans="1:2" ht="14.85" customHeight="1">
      <c r="A3390" s="5217"/>
      <c r="B3390" s="5218"/>
    </row>
    <row r="3391" spans="1:2" ht="14.85" customHeight="1">
      <c r="A3391" s="5217"/>
      <c r="B3391" s="5218"/>
    </row>
    <row r="3392" spans="1:2" ht="14.85" customHeight="1">
      <c r="A3392" s="5217"/>
      <c r="B3392" s="5218"/>
    </row>
    <row r="3393" spans="1:2" ht="14.85" customHeight="1">
      <c r="A3393" s="5217"/>
      <c r="B3393" s="5218"/>
    </row>
    <row r="3394" spans="1:2" ht="14.85" customHeight="1">
      <c r="A3394" s="5217"/>
      <c r="B3394" s="5218"/>
    </row>
    <row r="3395" spans="1:2" ht="14.85" customHeight="1">
      <c r="A3395" s="5217"/>
      <c r="B3395" s="5218"/>
    </row>
    <row r="3396" spans="1:2" ht="14.85" customHeight="1">
      <c r="A3396" s="5217"/>
      <c r="B3396" s="5218"/>
    </row>
    <row r="3397" spans="1:2" ht="14.85" customHeight="1">
      <c r="A3397" s="5217"/>
      <c r="B3397" s="5218"/>
    </row>
    <row r="3398" spans="1:2" ht="14.85" customHeight="1">
      <c r="A3398" s="5217"/>
      <c r="B3398" s="5218"/>
    </row>
    <row r="3399" spans="1:2" ht="14.85" customHeight="1">
      <c r="A3399" s="5217"/>
      <c r="B3399" s="5218"/>
    </row>
    <row r="3400" spans="1:2" ht="14.85" customHeight="1">
      <c r="A3400" s="5217"/>
      <c r="B3400" s="5218"/>
    </row>
    <row r="3401" spans="1:2" ht="14.85" customHeight="1">
      <c r="A3401" s="5217"/>
      <c r="B3401" s="5218"/>
    </row>
    <row r="3402" spans="1:2" ht="14.85" customHeight="1">
      <c r="A3402" s="5217"/>
      <c r="B3402" s="5218"/>
    </row>
    <row r="3403" spans="1:2" ht="14.85" customHeight="1">
      <c r="A3403" s="5217"/>
      <c r="B3403" s="5218"/>
    </row>
    <row r="3404" spans="1:2" ht="14.85" customHeight="1">
      <c r="A3404" s="5217"/>
      <c r="B3404" s="5218"/>
    </row>
    <row r="3405" spans="1:2" ht="14.85" customHeight="1">
      <c r="A3405" s="5217"/>
      <c r="B3405" s="5218"/>
    </row>
    <row r="3406" spans="1:2" ht="14.85" customHeight="1">
      <c r="A3406" s="5217"/>
      <c r="B3406" s="5218"/>
    </row>
    <row r="3407" spans="1:2" ht="14.85" customHeight="1">
      <c r="A3407" s="5217"/>
      <c r="B3407" s="5218"/>
    </row>
    <row r="3408" spans="1:2" ht="14.85" customHeight="1">
      <c r="A3408" s="5217"/>
      <c r="B3408" s="5218"/>
    </row>
    <row r="3409" spans="1:2" ht="14.85" customHeight="1">
      <c r="A3409" s="5217"/>
      <c r="B3409" s="5218"/>
    </row>
    <row r="3410" spans="1:2" ht="14.85" customHeight="1">
      <c r="A3410" s="5217"/>
      <c r="B3410" s="5218"/>
    </row>
    <row r="3411" spans="1:2" ht="14.85" customHeight="1">
      <c r="A3411" s="5217"/>
      <c r="B3411" s="5218"/>
    </row>
    <row r="3412" spans="1:2" ht="14.85" customHeight="1">
      <c r="A3412" s="5217"/>
      <c r="B3412" s="5218"/>
    </row>
    <row r="3413" spans="1:2" ht="14.85" customHeight="1">
      <c r="A3413" s="5217"/>
      <c r="B3413" s="5218"/>
    </row>
    <row r="3414" spans="1:2" ht="14.85" customHeight="1">
      <c r="A3414" s="5217"/>
      <c r="B3414" s="5218"/>
    </row>
    <row r="3415" spans="1:2" ht="14.85" customHeight="1">
      <c r="A3415" s="5217"/>
      <c r="B3415" s="5218"/>
    </row>
    <row r="3416" spans="1:2" ht="14.85" customHeight="1">
      <c r="A3416" s="5217"/>
      <c r="B3416" s="5218"/>
    </row>
    <row r="3417" spans="1:2" ht="14.85" customHeight="1">
      <c r="A3417" s="5217"/>
      <c r="B3417" s="5218"/>
    </row>
    <row r="3418" spans="1:2" ht="14.85" customHeight="1">
      <c r="A3418" s="5217"/>
      <c r="B3418" s="5218"/>
    </row>
    <row r="3419" spans="1:2" ht="14.85" customHeight="1">
      <c r="A3419" s="5217"/>
      <c r="B3419" s="5218"/>
    </row>
    <row r="3420" spans="1:2" ht="14.85" customHeight="1">
      <c r="A3420" s="5217"/>
      <c r="B3420" s="5218"/>
    </row>
    <row r="3421" spans="1:2" ht="14.85" customHeight="1">
      <c r="A3421" s="5217"/>
      <c r="B3421" s="5218"/>
    </row>
    <row r="3422" spans="1:2" ht="14.85" customHeight="1">
      <c r="A3422" s="5217"/>
      <c r="B3422" s="5218"/>
    </row>
    <row r="3423" spans="1:2" ht="14.85" customHeight="1">
      <c r="A3423" s="5217"/>
      <c r="B3423" s="5218"/>
    </row>
    <row r="3424" spans="1:2" ht="14.85" customHeight="1">
      <c r="A3424" s="5217"/>
      <c r="B3424" s="5218"/>
    </row>
    <row r="3425" spans="1:2" ht="14.85" customHeight="1">
      <c r="A3425" s="5217"/>
      <c r="B3425" s="5218"/>
    </row>
    <row r="3426" spans="1:2" ht="14.85" customHeight="1">
      <c r="A3426" s="5217"/>
      <c r="B3426" s="5218"/>
    </row>
    <row r="3427" spans="1:2" ht="14.85" customHeight="1">
      <c r="A3427" s="5217"/>
      <c r="B3427" s="5218"/>
    </row>
    <row r="3428" spans="1:2" ht="14.85" customHeight="1">
      <c r="A3428" s="5217"/>
      <c r="B3428" s="5218"/>
    </row>
    <row r="3429" spans="1:2" ht="14.85" customHeight="1">
      <c r="A3429" s="5217"/>
      <c r="B3429" s="5218"/>
    </row>
    <row r="3430" spans="1:2" ht="14.85" customHeight="1">
      <c r="A3430" s="5217"/>
      <c r="B3430" s="5218"/>
    </row>
    <row r="3431" spans="1:2" ht="14.85" customHeight="1">
      <c r="A3431" s="5217"/>
      <c r="B3431" s="5218"/>
    </row>
    <row r="3432" spans="1:2" ht="14.85" customHeight="1">
      <c r="A3432" s="5217"/>
      <c r="B3432" s="5218"/>
    </row>
    <row r="3433" spans="1:2" ht="14.85" customHeight="1">
      <c r="A3433" s="5217"/>
      <c r="B3433" s="5218"/>
    </row>
    <row r="3434" spans="1:2" ht="14.85" customHeight="1">
      <c r="A3434" s="5217"/>
      <c r="B3434" s="5218"/>
    </row>
    <row r="3435" spans="1:2" ht="14.85" customHeight="1">
      <c r="A3435" s="5217"/>
      <c r="B3435" s="5218"/>
    </row>
    <row r="3436" spans="1:2" ht="14.85" customHeight="1">
      <c r="A3436" s="5217"/>
      <c r="B3436" s="5218"/>
    </row>
    <row r="3437" spans="1:2" ht="14.85" customHeight="1">
      <c r="A3437" s="5217"/>
      <c r="B3437" s="5218"/>
    </row>
    <row r="3438" spans="1:2" ht="14.85" customHeight="1">
      <c r="A3438" s="5217"/>
      <c r="B3438" s="5218"/>
    </row>
    <row r="3439" spans="1:2" ht="14.85" customHeight="1">
      <c r="A3439" s="5217"/>
      <c r="B3439" s="5218"/>
    </row>
    <row r="3440" spans="1:2" ht="14.85" customHeight="1">
      <c r="A3440" s="5217"/>
      <c r="B3440" s="5218"/>
    </row>
    <row r="3441" spans="1:2" ht="14.85" customHeight="1">
      <c r="A3441" s="5217"/>
      <c r="B3441" s="5218"/>
    </row>
    <row r="3442" spans="1:2" ht="14.85" customHeight="1">
      <c r="A3442" s="5217"/>
      <c r="B3442" s="5218"/>
    </row>
    <row r="3443" spans="1:2" ht="14.85" customHeight="1">
      <c r="A3443" s="5217"/>
      <c r="B3443" s="5218"/>
    </row>
    <row r="3444" spans="1:2" ht="14.85" customHeight="1">
      <c r="A3444" s="5217"/>
      <c r="B3444" s="5218"/>
    </row>
    <row r="3445" spans="1:2" ht="14.85" customHeight="1">
      <c r="A3445" s="5217"/>
      <c r="B3445" s="5218"/>
    </row>
    <row r="3446" spans="1:2" ht="14.85" customHeight="1">
      <c r="A3446" s="5217"/>
      <c r="B3446" s="5218"/>
    </row>
    <row r="3447" spans="1:2" ht="14.85" customHeight="1">
      <c r="A3447" s="5217"/>
      <c r="B3447" s="5218"/>
    </row>
    <row r="3448" spans="1:2" ht="14.85" customHeight="1">
      <c r="A3448" s="5217"/>
      <c r="B3448" s="5218"/>
    </row>
    <row r="3449" spans="1:2" ht="14.85" customHeight="1">
      <c r="A3449" s="5217"/>
      <c r="B3449" s="5218"/>
    </row>
    <row r="3450" spans="1:2" ht="14.85" customHeight="1">
      <c r="A3450" s="5217"/>
      <c r="B3450" s="5218"/>
    </row>
    <row r="3451" spans="1:2" ht="14.85" customHeight="1">
      <c r="A3451" s="5217"/>
      <c r="B3451" s="5218"/>
    </row>
    <row r="3452" spans="1:2" ht="14.85" customHeight="1">
      <c r="A3452" s="5217"/>
      <c r="B3452" s="5218"/>
    </row>
    <row r="3453" spans="1:2" ht="14.85" customHeight="1">
      <c r="A3453" s="5217"/>
      <c r="B3453" s="5218"/>
    </row>
    <row r="3454" spans="1:2" ht="14.85" customHeight="1">
      <c r="A3454" s="5217"/>
      <c r="B3454" s="5218"/>
    </row>
    <row r="3455" spans="1:2" ht="14.85" customHeight="1">
      <c r="A3455" s="5217"/>
      <c r="B3455" s="5218"/>
    </row>
    <row r="3456" spans="1:2" ht="14.85" customHeight="1">
      <c r="A3456" s="5217"/>
      <c r="B3456" s="5218"/>
    </row>
    <row r="3457" spans="1:2" ht="14.85" customHeight="1">
      <c r="A3457" s="5217"/>
      <c r="B3457" s="5218"/>
    </row>
    <row r="3458" spans="1:2" ht="14.85" customHeight="1">
      <c r="A3458" s="5217"/>
      <c r="B3458" s="5218"/>
    </row>
    <row r="3459" spans="1:2" ht="14.85" customHeight="1">
      <c r="A3459" s="5217"/>
      <c r="B3459" s="5218"/>
    </row>
    <row r="3460" spans="1:2" ht="14.85" customHeight="1">
      <c r="A3460" s="5217"/>
      <c r="B3460" s="5218"/>
    </row>
    <row r="3461" spans="1:2" ht="14.85" customHeight="1">
      <c r="A3461" s="5217"/>
      <c r="B3461" s="5218"/>
    </row>
    <row r="3462" spans="1:2" ht="14.85" customHeight="1">
      <c r="A3462" s="5217"/>
      <c r="B3462" s="5218"/>
    </row>
    <row r="3463" spans="1:2" ht="14.85" customHeight="1">
      <c r="A3463" s="5217"/>
      <c r="B3463" s="5218"/>
    </row>
    <row r="3464" spans="1:2" ht="14.85" customHeight="1">
      <c r="A3464" s="5217"/>
      <c r="B3464" s="5218"/>
    </row>
    <row r="3465" spans="1:2" ht="14.85" customHeight="1">
      <c r="A3465" s="5217"/>
      <c r="B3465" s="5218"/>
    </row>
    <row r="3466" spans="1:2" ht="14.85" customHeight="1">
      <c r="A3466" s="5217"/>
      <c r="B3466" s="5218"/>
    </row>
    <row r="3467" spans="1:2" ht="14.85" customHeight="1">
      <c r="A3467" s="5217"/>
      <c r="B3467" s="5218"/>
    </row>
    <row r="3468" spans="1:2" ht="14.85" customHeight="1">
      <c r="A3468" s="5217"/>
      <c r="B3468" s="5218"/>
    </row>
    <row r="3469" spans="1:2" ht="14.85" customHeight="1">
      <c r="A3469" s="5217"/>
      <c r="B3469" s="5218"/>
    </row>
    <row r="3470" spans="1:2" ht="14.85" customHeight="1">
      <c r="A3470" s="5217"/>
      <c r="B3470" s="5218"/>
    </row>
    <row r="3471" spans="1:2" ht="14.85" customHeight="1">
      <c r="A3471" s="5217"/>
      <c r="B3471" s="5218"/>
    </row>
    <row r="3472" spans="1:2" ht="14.85" customHeight="1">
      <c r="A3472" s="5217"/>
      <c r="B3472" s="5218"/>
    </row>
    <row r="3473" spans="1:2" ht="14.85" customHeight="1">
      <c r="A3473" s="5217"/>
      <c r="B3473" s="5218"/>
    </row>
    <row r="3474" spans="1:2" ht="14.85" customHeight="1">
      <c r="A3474" s="5217"/>
      <c r="B3474" s="5218"/>
    </row>
    <row r="3475" spans="1:2" ht="14.85" customHeight="1">
      <c r="A3475" s="5217"/>
      <c r="B3475" s="5218"/>
    </row>
    <row r="3476" spans="1:2" ht="14.85" customHeight="1">
      <c r="A3476" s="5217"/>
      <c r="B3476" s="5218"/>
    </row>
    <row r="3477" spans="1:2" ht="14.85" customHeight="1">
      <c r="A3477" s="5217"/>
      <c r="B3477" s="5218"/>
    </row>
    <row r="3478" spans="1:2" ht="14.85" customHeight="1">
      <c r="A3478" s="5217"/>
      <c r="B3478" s="5218"/>
    </row>
    <row r="3479" spans="1:2" ht="14.85" customHeight="1">
      <c r="A3479" s="5217"/>
      <c r="B3479" s="5218"/>
    </row>
    <row r="3480" spans="1:2" ht="14.85" customHeight="1">
      <c r="A3480" s="5217"/>
      <c r="B3480" s="5218"/>
    </row>
    <row r="3481" spans="1:2" ht="14.85" customHeight="1">
      <c r="A3481" s="5217"/>
      <c r="B3481" s="5218"/>
    </row>
    <row r="3482" spans="1:2" ht="14.85" customHeight="1">
      <c r="A3482" s="5217"/>
      <c r="B3482" s="5218"/>
    </row>
    <row r="3483" spans="1:2" ht="14.85" customHeight="1">
      <c r="A3483" s="5217"/>
      <c r="B3483" s="5218"/>
    </row>
    <row r="3484" spans="1:2" ht="14.85" customHeight="1">
      <c r="A3484" s="5217"/>
      <c r="B3484" s="5218"/>
    </row>
    <row r="3485" spans="1:2" ht="14.85" customHeight="1">
      <c r="A3485" s="5217"/>
      <c r="B3485" s="5218"/>
    </row>
    <row r="3486" spans="1:2" ht="14.85" customHeight="1">
      <c r="A3486" s="5217"/>
      <c r="B3486" s="5218"/>
    </row>
    <row r="3487" spans="1:2" ht="14.85" customHeight="1">
      <c r="A3487" s="5217"/>
      <c r="B3487" s="5218"/>
    </row>
    <row r="3488" spans="1:2" ht="14.85" customHeight="1">
      <c r="A3488" s="5217"/>
      <c r="B3488" s="5218"/>
    </row>
    <row r="3489" spans="1:2" ht="14.85" customHeight="1">
      <c r="A3489" s="5217"/>
      <c r="B3489" s="5218"/>
    </row>
    <row r="3490" spans="1:2" ht="14.85" customHeight="1">
      <c r="A3490" s="5217"/>
      <c r="B3490" s="5218"/>
    </row>
    <row r="3491" spans="1:2" ht="14.85" customHeight="1">
      <c r="A3491" s="5217"/>
      <c r="B3491" s="5218"/>
    </row>
    <row r="3492" spans="1:2" ht="14.85" customHeight="1">
      <c r="A3492" s="5217"/>
      <c r="B3492" s="5218"/>
    </row>
    <row r="3493" spans="1:2" ht="14.85" customHeight="1">
      <c r="A3493" s="5217"/>
      <c r="B3493" s="5218"/>
    </row>
    <row r="3494" spans="1:2" ht="14.85" customHeight="1">
      <c r="A3494" s="5217"/>
      <c r="B3494" s="5218"/>
    </row>
    <row r="3495" spans="1:2" ht="14.85" customHeight="1">
      <c r="A3495" s="5217"/>
      <c r="B3495" s="5218"/>
    </row>
    <row r="3496" spans="1:2" ht="14.85" customHeight="1">
      <c r="A3496" s="5217"/>
      <c r="B3496" s="5218"/>
    </row>
    <row r="3497" spans="1:2" ht="14.85" customHeight="1">
      <c r="A3497" s="5217"/>
      <c r="B3497" s="5218"/>
    </row>
    <row r="3498" spans="1:2" ht="14.85" customHeight="1">
      <c r="A3498" s="5217"/>
      <c r="B3498" s="5218"/>
    </row>
    <row r="3499" spans="1:2" ht="14.85" customHeight="1">
      <c r="A3499" s="5217"/>
      <c r="B3499" s="5218"/>
    </row>
    <row r="3500" spans="1:2" ht="14.85" customHeight="1">
      <c r="A3500" s="5217"/>
      <c r="B3500" s="5218"/>
    </row>
    <row r="3501" spans="1:2" ht="14.85" customHeight="1">
      <c r="A3501" s="5217"/>
      <c r="B3501" s="5218"/>
    </row>
    <row r="3502" spans="1:2" ht="14.85" customHeight="1">
      <c r="A3502" s="5217"/>
      <c r="B3502" s="5218"/>
    </row>
    <row r="3503" spans="1:2" ht="14.85" customHeight="1">
      <c r="A3503" s="5217"/>
      <c r="B3503" s="5218"/>
    </row>
    <row r="3504" spans="1:2" ht="14.85" customHeight="1">
      <c r="A3504" s="5217"/>
      <c r="B3504" s="5218"/>
    </row>
    <row r="3505" spans="1:2" ht="14.85" customHeight="1">
      <c r="A3505" s="5217"/>
      <c r="B3505" s="5218"/>
    </row>
    <row r="3506" spans="1:2" ht="14.85" customHeight="1">
      <c r="A3506" s="5217"/>
      <c r="B3506" s="5218"/>
    </row>
    <row r="3507" spans="1:2" ht="14.85" customHeight="1">
      <c r="A3507" s="5217"/>
      <c r="B3507" s="5218"/>
    </row>
    <row r="3508" spans="1:2" ht="14.85" customHeight="1">
      <c r="A3508" s="5217"/>
      <c r="B3508" s="5218"/>
    </row>
    <row r="3509" spans="1:2" ht="14.85" customHeight="1">
      <c r="A3509" s="5217"/>
      <c r="B3509" s="5218"/>
    </row>
    <row r="3510" spans="1:2" ht="14.85" customHeight="1">
      <c r="A3510" s="5217"/>
      <c r="B3510" s="5218"/>
    </row>
    <row r="3511" spans="1:2" ht="14.85" customHeight="1">
      <c r="A3511" s="5217"/>
      <c r="B3511" s="5218"/>
    </row>
    <row r="3512" spans="1:2" ht="14.85" customHeight="1">
      <c r="A3512" s="5217"/>
      <c r="B3512" s="5218"/>
    </row>
    <row r="3513" spans="1:2" ht="14.85" customHeight="1">
      <c r="A3513" s="5217"/>
      <c r="B3513" s="5218"/>
    </row>
    <row r="3514" spans="1:2" ht="14.85" customHeight="1">
      <c r="A3514" s="5217"/>
      <c r="B3514" s="5218"/>
    </row>
    <row r="3515" spans="1:2" ht="14.85" customHeight="1">
      <c r="A3515" s="5217"/>
      <c r="B3515" s="5218"/>
    </row>
    <row r="3516" spans="1:2" ht="14.85" customHeight="1">
      <c r="A3516" s="5217"/>
      <c r="B3516" s="5218"/>
    </row>
    <row r="3517" spans="1:2" ht="14.85" customHeight="1">
      <c r="A3517" s="5217"/>
      <c r="B3517" s="5218"/>
    </row>
    <row r="3518" spans="1:2" ht="14.85" customHeight="1">
      <c r="A3518" s="5217"/>
      <c r="B3518" s="5218"/>
    </row>
    <row r="3519" spans="1:2" ht="14.85" customHeight="1">
      <c r="A3519" s="5217"/>
      <c r="B3519" s="5218"/>
    </row>
    <row r="3520" spans="1:2" ht="14.85" customHeight="1">
      <c r="A3520" s="5217"/>
      <c r="B3520" s="5218"/>
    </row>
    <row r="3521" spans="1:2" ht="14.85" customHeight="1">
      <c r="A3521" s="5217"/>
      <c r="B3521" s="5218"/>
    </row>
    <row r="3522" spans="1:2" ht="14.85" customHeight="1">
      <c r="A3522" s="5217"/>
      <c r="B3522" s="5218"/>
    </row>
    <row r="3523" spans="1:2" ht="14.85" customHeight="1">
      <c r="A3523" s="5217"/>
      <c r="B3523" s="5218"/>
    </row>
    <row r="3524" spans="1:2" ht="14.85" customHeight="1">
      <c r="A3524" s="5217"/>
      <c r="B3524" s="5218"/>
    </row>
    <row r="3525" spans="1:2" ht="14.85" customHeight="1">
      <c r="A3525" s="5217"/>
      <c r="B3525" s="5218"/>
    </row>
    <row r="3526" spans="1:2" ht="14.85" customHeight="1">
      <c r="A3526" s="5217"/>
      <c r="B3526" s="5218"/>
    </row>
    <row r="3527" spans="1:2" ht="14.85" customHeight="1">
      <c r="A3527" s="5217"/>
      <c r="B3527" s="5218"/>
    </row>
    <row r="3528" spans="1:2" ht="14.85" customHeight="1">
      <c r="A3528" s="5217"/>
      <c r="B3528" s="5218"/>
    </row>
    <row r="3529" spans="1:2" ht="14.85" customHeight="1">
      <c r="A3529" s="5217"/>
      <c r="B3529" s="5218"/>
    </row>
    <row r="3530" spans="1:2" ht="14.85" customHeight="1">
      <c r="A3530" s="5217"/>
      <c r="B3530" s="5218"/>
    </row>
    <row r="3531" spans="1:2" ht="14.85" customHeight="1">
      <c r="A3531" s="5217"/>
      <c r="B3531" s="5218"/>
    </row>
    <row r="3532" spans="1:2" ht="14.85" customHeight="1">
      <c r="A3532" s="5217"/>
      <c r="B3532" s="5218"/>
    </row>
    <row r="3533" spans="1:2" ht="14.85" customHeight="1">
      <c r="A3533" s="5217"/>
      <c r="B3533" s="5218"/>
    </row>
    <row r="3534" spans="1:2" ht="14.85" customHeight="1">
      <c r="A3534" s="5217"/>
      <c r="B3534" s="5218"/>
    </row>
    <row r="3535" spans="1:2" ht="14.85" customHeight="1">
      <c r="A3535" s="5217"/>
      <c r="B3535" s="5218"/>
    </row>
    <row r="3536" spans="1:2" ht="14.85" customHeight="1">
      <c r="A3536" s="5217"/>
      <c r="B3536" s="5218"/>
    </row>
    <row r="3537" spans="1:2" ht="14.85" customHeight="1">
      <c r="A3537" s="5217"/>
      <c r="B3537" s="5218"/>
    </row>
    <row r="3538" spans="1:2" ht="14.85" customHeight="1">
      <c r="A3538" s="5217"/>
      <c r="B3538" s="5218"/>
    </row>
    <row r="3539" spans="1:2" ht="14.85" customHeight="1">
      <c r="A3539" s="5217"/>
      <c r="B3539" s="5218"/>
    </row>
    <row r="3540" spans="1:2" ht="14.85" customHeight="1">
      <c r="A3540" s="5217"/>
      <c r="B3540" s="5218"/>
    </row>
    <row r="3541" spans="1:2" ht="14.85" customHeight="1">
      <c r="A3541" s="5217"/>
      <c r="B3541" s="5218"/>
    </row>
    <row r="3542" spans="1:2" ht="14.85" customHeight="1">
      <c r="A3542" s="5217"/>
      <c r="B3542" s="5218"/>
    </row>
    <row r="3543" spans="1:2" ht="14.85" customHeight="1">
      <c r="A3543" s="5217"/>
      <c r="B3543" s="5218"/>
    </row>
    <row r="3544" spans="1:2" ht="14.85" customHeight="1">
      <c r="A3544" s="5217"/>
      <c r="B3544" s="5218"/>
    </row>
    <row r="3545" spans="1:2" ht="14.85" customHeight="1">
      <c r="A3545" s="5217"/>
      <c r="B3545" s="5218"/>
    </row>
    <row r="3546" spans="1:2" ht="14.85" customHeight="1">
      <c r="A3546" s="5217"/>
      <c r="B3546" s="5218"/>
    </row>
    <row r="3547" spans="1:2" ht="14.85" customHeight="1">
      <c r="A3547" s="5217"/>
      <c r="B3547" s="5218"/>
    </row>
    <row r="3548" spans="1:2" ht="14.85" customHeight="1">
      <c r="A3548" s="5217"/>
      <c r="B3548" s="5218"/>
    </row>
    <row r="3549" spans="1:2" ht="14.85" customHeight="1">
      <c r="A3549" s="5217"/>
      <c r="B3549" s="5218"/>
    </row>
    <row r="3550" spans="1:2" ht="14.85" customHeight="1">
      <c r="A3550" s="5217"/>
      <c r="B3550" s="5218"/>
    </row>
    <row r="3551" spans="1:2" ht="14.85" customHeight="1">
      <c r="A3551" s="5217"/>
      <c r="B3551" s="5218"/>
    </row>
    <row r="3552" spans="1:2" ht="14.85" customHeight="1">
      <c r="A3552" s="5217"/>
      <c r="B3552" s="5218"/>
    </row>
    <row r="3553" spans="1:2" ht="14.85" customHeight="1">
      <c r="A3553" s="5217"/>
      <c r="B3553" s="5218"/>
    </row>
    <row r="3554" spans="1:2" ht="14.85" customHeight="1">
      <c r="A3554" s="5217"/>
      <c r="B3554" s="5218"/>
    </row>
    <row r="3555" spans="1:2" ht="14.85" customHeight="1">
      <c r="A3555" s="5217"/>
      <c r="B3555" s="5218"/>
    </row>
    <row r="3556" spans="1:2" ht="14.85" customHeight="1">
      <c r="A3556" s="5217"/>
      <c r="B3556" s="5218"/>
    </row>
    <row r="3557" spans="1:2" ht="14.85" customHeight="1">
      <c r="A3557" s="5217"/>
      <c r="B3557" s="5218"/>
    </row>
    <row r="3558" spans="1:2" ht="14.85" customHeight="1">
      <c r="A3558" s="5217"/>
      <c r="B3558" s="5218"/>
    </row>
    <row r="3559" spans="1:2" ht="14.85" customHeight="1">
      <c r="A3559" s="5217"/>
      <c r="B3559" s="5218"/>
    </row>
    <row r="3560" spans="1:2" ht="14.85" customHeight="1">
      <c r="A3560" s="5217"/>
      <c r="B3560" s="5218"/>
    </row>
    <row r="3561" spans="1:2" ht="14.85" customHeight="1">
      <c r="A3561" s="5217"/>
      <c r="B3561" s="5218"/>
    </row>
    <row r="3562" spans="1:2" ht="14.85" customHeight="1">
      <c r="A3562" s="5217"/>
      <c r="B3562" s="5218"/>
    </row>
    <row r="3563" spans="1:2" ht="14.85" customHeight="1">
      <c r="A3563" s="5217"/>
      <c r="B3563" s="5218"/>
    </row>
    <row r="3564" spans="1:2" ht="14.85" customHeight="1">
      <c r="A3564" s="5217"/>
      <c r="B3564" s="5218"/>
    </row>
    <row r="3565" spans="1:2" ht="14.85" customHeight="1">
      <c r="A3565" s="5217"/>
      <c r="B3565" s="5218"/>
    </row>
    <row r="3566" spans="1:2" ht="14.85" customHeight="1">
      <c r="A3566" s="5217"/>
      <c r="B3566" s="5218"/>
    </row>
    <row r="3567" spans="1:2" ht="14.85" customHeight="1">
      <c r="A3567" s="5217"/>
      <c r="B3567" s="5218"/>
    </row>
    <row r="3568" spans="1:2" ht="14.85" customHeight="1">
      <c r="A3568" s="5217"/>
      <c r="B3568" s="5218"/>
    </row>
    <row r="3569" spans="1:2" ht="14.85" customHeight="1">
      <c r="A3569" s="5217"/>
      <c r="B3569" s="5218"/>
    </row>
    <row r="3570" spans="1:2" ht="14.85" customHeight="1">
      <c r="A3570" s="5217"/>
      <c r="B3570" s="5218"/>
    </row>
    <row r="3571" spans="1:2" ht="14.85" customHeight="1">
      <c r="A3571" s="5217"/>
      <c r="B3571" s="5218"/>
    </row>
    <row r="3572" spans="1:2" ht="14.85" customHeight="1">
      <c r="A3572" s="5217"/>
      <c r="B3572" s="5218"/>
    </row>
    <row r="3573" spans="1:2" ht="14.85" customHeight="1">
      <c r="A3573" s="5217"/>
      <c r="B3573" s="5218"/>
    </row>
    <row r="3574" spans="1:2" ht="14.85" customHeight="1">
      <c r="A3574" s="5217"/>
      <c r="B3574" s="5218"/>
    </row>
    <row r="3575" spans="1:2" ht="14.85" customHeight="1">
      <c r="A3575" s="5217"/>
      <c r="B3575" s="5218"/>
    </row>
    <row r="3576" spans="1:2" ht="14.85" customHeight="1">
      <c r="A3576" s="5217"/>
      <c r="B3576" s="5218"/>
    </row>
    <row r="3577" spans="1:2" ht="14.85" customHeight="1">
      <c r="A3577" s="5217"/>
      <c r="B3577" s="5218"/>
    </row>
    <row r="3578" spans="1:2" ht="14.85" customHeight="1">
      <c r="A3578" s="5217"/>
      <c r="B3578" s="5218"/>
    </row>
    <row r="3579" spans="1:2" ht="14.85" customHeight="1">
      <c r="A3579" s="5217"/>
      <c r="B3579" s="5218"/>
    </row>
    <row r="3580" spans="1:2" ht="14.85" customHeight="1">
      <c r="A3580" s="5217"/>
      <c r="B3580" s="5218"/>
    </row>
    <row r="3581" spans="1:2" ht="14.85" customHeight="1">
      <c r="A3581" s="5217"/>
      <c r="B3581" s="5218"/>
    </row>
    <row r="3582" spans="1:2" ht="14.85" customHeight="1">
      <c r="A3582" s="5217"/>
      <c r="B3582" s="5218"/>
    </row>
    <row r="3583" spans="1:2" ht="14.85" customHeight="1">
      <c r="A3583" s="5217"/>
      <c r="B3583" s="5218"/>
    </row>
    <row r="3584" spans="1:2" ht="14.85" customHeight="1">
      <c r="A3584" s="5217"/>
      <c r="B3584" s="5218"/>
    </row>
    <row r="3585" spans="1:2" ht="14.85" customHeight="1">
      <c r="A3585" s="5217"/>
      <c r="B3585" s="5218"/>
    </row>
    <row r="3586" spans="1:2" ht="14.85" customHeight="1">
      <c r="A3586" s="5217"/>
      <c r="B3586" s="5218"/>
    </row>
    <row r="3587" spans="1:2" ht="14.85" customHeight="1">
      <c r="A3587" s="5217"/>
      <c r="B3587" s="5218"/>
    </row>
    <row r="3588" spans="1:2" ht="14.85" customHeight="1">
      <c r="A3588" s="5217"/>
      <c r="B3588" s="5218"/>
    </row>
    <row r="3589" spans="1:2" ht="14.85" customHeight="1">
      <c r="A3589" s="5217"/>
      <c r="B3589" s="5218"/>
    </row>
    <row r="3590" spans="1:2" ht="14.85" customHeight="1">
      <c r="A3590" s="5217"/>
      <c r="B3590" s="5218"/>
    </row>
    <row r="3591" spans="1:2" ht="14.85" customHeight="1">
      <c r="A3591" s="5217"/>
      <c r="B3591" s="5218"/>
    </row>
    <row r="3592" spans="1:2" ht="14.85" customHeight="1">
      <c r="A3592" s="5217"/>
      <c r="B3592" s="5218"/>
    </row>
    <row r="3593" spans="1:2" ht="14.85" customHeight="1">
      <c r="A3593" s="5217"/>
      <c r="B3593" s="5218"/>
    </row>
    <row r="3594" spans="1:2" ht="14.85" customHeight="1">
      <c r="A3594" s="5217"/>
      <c r="B3594" s="5218"/>
    </row>
    <row r="3595" spans="1:2" ht="14.85" customHeight="1">
      <c r="A3595" s="5217"/>
      <c r="B3595" s="5218"/>
    </row>
    <row r="3596" spans="1:2" ht="14.85" customHeight="1">
      <c r="A3596" s="5217"/>
      <c r="B3596" s="5218"/>
    </row>
    <row r="3597" spans="1:2" ht="14.85" customHeight="1">
      <c r="A3597" s="5217"/>
      <c r="B3597" s="5218"/>
    </row>
    <row r="3598" spans="1:2" ht="14.85" customHeight="1">
      <c r="A3598" s="5217"/>
      <c r="B3598" s="5218"/>
    </row>
    <row r="3599" spans="1:2" ht="14.85" customHeight="1">
      <c r="A3599" s="5217"/>
      <c r="B3599" s="5218"/>
    </row>
    <row r="3600" spans="1:2" ht="14.85" customHeight="1">
      <c r="A3600" s="5217"/>
      <c r="B3600" s="5218"/>
    </row>
    <row r="3601" spans="1:2" ht="14.85" customHeight="1">
      <c r="A3601" s="5217"/>
      <c r="B3601" s="5218"/>
    </row>
    <row r="3602" spans="1:2" ht="14.85" customHeight="1">
      <c r="A3602" s="5217"/>
      <c r="B3602" s="5218"/>
    </row>
    <row r="3603" spans="1:2" ht="14.85" customHeight="1">
      <c r="A3603" s="5217"/>
      <c r="B3603" s="5218"/>
    </row>
    <row r="3604" spans="1:2" ht="14.85" customHeight="1">
      <c r="A3604" s="5217"/>
      <c r="B3604" s="5218"/>
    </row>
    <row r="3605" spans="1:2" ht="14.85" customHeight="1">
      <c r="A3605" s="5217"/>
      <c r="B3605" s="5218"/>
    </row>
    <row r="3606" spans="1:2" ht="14.85" customHeight="1">
      <c r="A3606" s="5217"/>
      <c r="B3606" s="5218"/>
    </row>
    <row r="3607" spans="1:2" ht="14.85" customHeight="1">
      <c r="A3607" s="5217"/>
      <c r="B3607" s="5218"/>
    </row>
    <row r="3608" spans="1:2" ht="14.85" customHeight="1">
      <c r="A3608" s="5217"/>
      <c r="B3608" s="5218"/>
    </row>
    <row r="3609" spans="1:2" ht="14.85" customHeight="1">
      <c r="A3609" s="5217"/>
      <c r="B3609" s="5218"/>
    </row>
    <row r="3610" spans="1:2" ht="14.85" customHeight="1">
      <c r="A3610" s="5217"/>
      <c r="B3610" s="5218"/>
    </row>
    <row r="3611" spans="1:2" ht="14.85" customHeight="1">
      <c r="A3611" s="5217"/>
      <c r="B3611" s="5218"/>
    </row>
    <row r="3612" spans="1:2" ht="14.85" customHeight="1">
      <c r="A3612" s="5217"/>
      <c r="B3612" s="5218"/>
    </row>
    <row r="3613" spans="1:2" ht="14.85" customHeight="1">
      <c r="A3613" s="5217"/>
      <c r="B3613" s="5218"/>
    </row>
    <row r="3614" spans="1:2" ht="14.85" customHeight="1">
      <c r="A3614" s="5217"/>
      <c r="B3614" s="5218"/>
    </row>
    <row r="3615" spans="1:2" ht="14.85" customHeight="1">
      <c r="A3615" s="5217"/>
      <c r="B3615" s="5218"/>
    </row>
    <row r="3616" spans="1:2" ht="14.85" customHeight="1">
      <c r="A3616" s="5217"/>
      <c r="B3616" s="5218"/>
    </row>
    <row r="3617" spans="1:2" ht="14.85" customHeight="1">
      <c r="A3617" s="5217"/>
      <c r="B3617" s="5218"/>
    </row>
    <row r="3618" spans="1:2" ht="14.85" customHeight="1">
      <c r="A3618" s="5217"/>
      <c r="B3618" s="5218"/>
    </row>
    <row r="3619" spans="1:2" ht="14.85" customHeight="1">
      <c r="A3619" s="5217"/>
      <c r="B3619" s="5218"/>
    </row>
    <row r="3620" spans="1:2" ht="14.85" customHeight="1">
      <c r="A3620" s="5217"/>
      <c r="B3620" s="5218"/>
    </row>
    <row r="3621" spans="1:2" ht="14.85" customHeight="1">
      <c r="A3621" s="5217"/>
      <c r="B3621" s="5218"/>
    </row>
    <row r="3622" spans="1:2" ht="14.85" customHeight="1">
      <c r="A3622" s="5217"/>
      <c r="B3622" s="5218"/>
    </row>
    <row r="3623" spans="1:2" ht="14.85" customHeight="1">
      <c r="A3623" s="5217"/>
      <c r="B3623" s="5218"/>
    </row>
    <row r="3624" spans="1:2" ht="14.85" customHeight="1">
      <c r="A3624" s="5217"/>
      <c r="B3624" s="5218"/>
    </row>
    <row r="3625" spans="1:2" ht="14.85" customHeight="1">
      <c r="A3625" s="5217"/>
      <c r="B3625" s="5218"/>
    </row>
    <row r="3626" spans="1:2" ht="14.85" customHeight="1">
      <c r="A3626" s="5217"/>
      <c r="B3626" s="5218"/>
    </row>
    <row r="3627" spans="1:2" ht="14.85" customHeight="1">
      <c r="A3627" s="5217"/>
      <c r="B3627" s="5218"/>
    </row>
    <row r="3628" spans="1:2" ht="14.85" customHeight="1">
      <c r="A3628" s="5217"/>
      <c r="B3628" s="5218"/>
    </row>
    <row r="3629" spans="1:2" ht="14.85" customHeight="1">
      <c r="A3629" s="5217"/>
      <c r="B3629" s="5218"/>
    </row>
    <row r="3630" spans="1:2" ht="14.85" customHeight="1">
      <c r="A3630" s="5217"/>
      <c r="B3630" s="5218"/>
    </row>
    <row r="3631" spans="1:2" ht="14.85" customHeight="1">
      <c r="A3631" s="5217"/>
      <c r="B3631" s="5218"/>
    </row>
    <row r="3632" spans="1:2" ht="14.85" customHeight="1">
      <c r="A3632" s="5217"/>
      <c r="B3632" s="5218"/>
    </row>
    <row r="3633" spans="1:2" ht="14.85" customHeight="1">
      <c r="A3633" s="5217"/>
      <c r="B3633" s="5218"/>
    </row>
    <row r="3634" spans="1:2" ht="14.85" customHeight="1">
      <c r="A3634" s="5217"/>
      <c r="B3634" s="5218"/>
    </row>
    <row r="3635" spans="1:2" ht="14.85" customHeight="1">
      <c r="A3635" s="5217"/>
      <c r="B3635" s="5218"/>
    </row>
    <row r="3636" spans="1:2" ht="14.85" customHeight="1">
      <c r="A3636" s="5217"/>
      <c r="B3636" s="5218"/>
    </row>
    <row r="3637" spans="1:2" ht="14.85" customHeight="1">
      <c r="A3637" s="5217"/>
      <c r="B3637" s="5218"/>
    </row>
    <row r="3638" spans="1:2" ht="14.85" customHeight="1">
      <c r="A3638" s="5217"/>
      <c r="B3638" s="5218"/>
    </row>
    <row r="3639" spans="1:2" ht="14.85" customHeight="1">
      <c r="A3639" s="5217"/>
      <c r="B3639" s="5218"/>
    </row>
    <row r="3640" spans="1:2" ht="14.85" customHeight="1">
      <c r="A3640" s="5217"/>
      <c r="B3640" s="5218"/>
    </row>
    <row r="3641" spans="1:2" ht="14.85" customHeight="1">
      <c r="A3641" s="5217"/>
      <c r="B3641" s="5218"/>
    </row>
    <row r="3642" spans="1:2" ht="14.85" customHeight="1">
      <c r="A3642" s="5217"/>
      <c r="B3642" s="5218"/>
    </row>
    <row r="3643" spans="1:2" ht="14.85" customHeight="1">
      <c r="A3643" s="5217"/>
      <c r="B3643" s="5218"/>
    </row>
    <row r="3644" spans="1:2" ht="14.85" customHeight="1">
      <c r="A3644" s="5217"/>
      <c r="B3644" s="5218"/>
    </row>
    <row r="3645" spans="1:2" ht="14.85" customHeight="1">
      <c r="A3645" s="5217"/>
      <c r="B3645" s="5218"/>
    </row>
    <row r="3646" spans="1:2" ht="14.85" customHeight="1">
      <c r="A3646" s="5217"/>
      <c r="B3646" s="5218"/>
    </row>
    <row r="3647" spans="1:2" ht="14.85" customHeight="1">
      <c r="A3647" s="5217"/>
      <c r="B3647" s="5218"/>
    </row>
    <row r="3648" spans="1:2" ht="14.85" customHeight="1">
      <c r="A3648" s="5217"/>
      <c r="B3648" s="5218"/>
    </row>
    <row r="3649" spans="1:2" ht="14.85" customHeight="1">
      <c r="A3649" s="5217"/>
      <c r="B3649" s="5218"/>
    </row>
    <row r="3650" spans="1:2" ht="14.85" customHeight="1">
      <c r="A3650" s="5217"/>
      <c r="B3650" s="5218"/>
    </row>
    <row r="3651" spans="1:2" ht="14.85" customHeight="1">
      <c r="A3651" s="5217"/>
      <c r="B3651" s="5218"/>
    </row>
    <row r="3652" spans="1:2" ht="14.85" customHeight="1">
      <c r="A3652" s="5217"/>
      <c r="B3652" s="5218"/>
    </row>
    <row r="3653" spans="1:2" ht="14.85" customHeight="1">
      <c r="A3653" s="5217"/>
      <c r="B3653" s="5218"/>
    </row>
    <row r="3654" spans="1:2" ht="14.85" customHeight="1">
      <c r="A3654" s="5217"/>
      <c r="B3654" s="5218"/>
    </row>
    <row r="3655" spans="1:2" ht="14.85" customHeight="1">
      <c r="A3655" s="5217"/>
      <c r="B3655" s="5218"/>
    </row>
    <row r="3656" spans="1:2" ht="14.85" customHeight="1">
      <c r="A3656" s="5217"/>
      <c r="B3656" s="5218"/>
    </row>
    <row r="3657" spans="1:2" ht="14.85" customHeight="1">
      <c r="A3657" s="5217"/>
      <c r="B3657" s="5218"/>
    </row>
    <row r="3658" spans="1:2" ht="14.85" customHeight="1">
      <c r="A3658" s="5217"/>
      <c r="B3658" s="5218"/>
    </row>
    <row r="3659" spans="1:2" ht="14.85" customHeight="1">
      <c r="A3659" s="5217"/>
      <c r="B3659" s="5218"/>
    </row>
    <row r="3660" spans="1:2" ht="14.85" customHeight="1">
      <c r="A3660" s="5217"/>
      <c r="B3660" s="5218"/>
    </row>
    <row r="3661" spans="1:2" ht="14.85" customHeight="1">
      <c r="A3661" s="5217"/>
      <c r="B3661" s="5218"/>
    </row>
    <row r="3662" spans="1:2" ht="14.85" customHeight="1">
      <c r="A3662" s="5217"/>
      <c r="B3662" s="5218"/>
    </row>
    <row r="3663" spans="1:2" ht="14.85" customHeight="1">
      <c r="A3663" s="5217"/>
      <c r="B3663" s="5218"/>
    </row>
    <row r="3664" spans="1:2" ht="14.85" customHeight="1">
      <c r="A3664" s="5217"/>
      <c r="B3664" s="5218"/>
    </row>
    <row r="3665" spans="1:2" ht="14.85" customHeight="1">
      <c r="A3665" s="5217"/>
      <c r="B3665" s="5218"/>
    </row>
    <row r="3666" spans="1:2" ht="14.85" customHeight="1">
      <c r="A3666" s="5217"/>
      <c r="B3666" s="5218"/>
    </row>
    <row r="3667" spans="1:2" ht="14.85" customHeight="1">
      <c r="A3667" s="5217"/>
      <c r="B3667" s="5218"/>
    </row>
    <row r="3668" spans="1:2" ht="14.85" customHeight="1">
      <c r="A3668" s="5217"/>
      <c r="B3668" s="5218"/>
    </row>
    <row r="3669" spans="1:2" ht="14.85" customHeight="1">
      <c r="A3669" s="5217"/>
      <c r="B3669" s="5218"/>
    </row>
    <row r="3670" spans="1:2" ht="14.85" customHeight="1">
      <c r="A3670" s="5217"/>
      <c r="B3670" s="5218"/>
    </row>
    <row r="3671" spans="1:2" ht="14.85" customHeight="1">
      <c r="A3671" s="5217"/>
      <c r="B3671" s="5218"/>
    </row>
    <row r="3672" spans="1:2" ht="14.85" customHeight="1">
      <c r="A3672" s="5217"/>
      <c r="B3672" s="5218"/>
    </row>
    <row r="3673" spans="1:2" ht="14.85" customHeight="1">
      <c r="A3673" s="5217"/>
      <c r="B3673" s="5218"/>
    </row>
    <row r="3674" spans="1:2" ht="14.85" customHeight="1">
      <c r="A3674" s="5217"/>
      <c r="B3674" s="5218"/>
    </row>
    <row r="3675" spans="1:2" ht="14.85" customHeight="1">
      <c r="A3675" s="5217"/>
      <c r="B3675" s="5218"/>
    </row>
    <row r="3676" spans="1:2" ht="14.85" customHeight="1">
      <c r="A3676" s="5217"/>
      <c r="B3676" s="5218"/>
    </row>
    <row r="3677" spans="1:2" ht="14.85" customHeight="1">
      <c r="A3677" s="5217"/>
      <c r="B3677" s="5218"/>
    </row>
    <row r="3678" spans="1:2" ht="14.85" customHeight="1">
      <c r="A3678" s="5217"/>
      <c r="B3678" s="5218"/>
    </row>
    <row r="3679" spans="1:2" ht="14.85" customHeight="1">
      <c r="A3679" s="5217"/>
      <c r="B3679" s="5218"/>
    </row>
    <row r="3680" spans="1:2" ht="14.85" customHeight="1">
      <c r="A3680" s="5217"/>
      <c r="B3680" s="5218"/>
    </row>
    <row r="3681" spans="1:2" ht="14.85" customHeight="1">
      <c r="A3681" s="5217"/>
      <c r="B3681" s="5218"/>
    </row>
    <row r="3682" spans="1:2" ht="14.85" customHeight="1">
      <c r="A3682" s="5217"/>
      <c r="B3682" s="5218"/>
    </row>
    <row r="3683" spans="1:2" ht="14.85" customHeight="1">
      <c r="A3683" s="5217"/>
      <c r="B3683" s="5218"/>
    </row>
    <row r="3684" spans="1:2" ht="14.85" customHeight="1">
      <c r="A3684" s="5217"/>
      <c r="B3684" s="5218"/>
    </row>
    <row r="3685" spans="1:2" ht="14.85" customHeight="1">
      <c r="A3685" s="5217"/>
      <c r="B3685" s="5218"/>
    </row>
    <row r="3686" spans="1:2" ht="14.85" customHeight="1">
      <c r="A3686" s="5217"/>
      <c r="B3686" s="5218"/>
    </row>
    <row r="3687" spans="1:2" ht="14.85" customHeight="1">
      <c r="A3687" s="5217"/>
      <c r="B3687" s="5218"/>
    </row>
    <row r="3688" spans="1:2" ht="14.85" customHeight="1">
      <c r="A3688" s="5217"/>
      <c r="B3688" s="5218"/>
    </row>
    <row r="3689" spans="1:2" ht="14.85" customHeight="1">
      <c r="A3689" s="5217"/>
      <c r="B3689" s="5218"/>
    </row>
    <row r="3690" spans="1:2" ht="14.85" customHeight="1">
      <c r="A3690" s="5217"/>
      <c r="B3690" s="5218"/>
    </row>
    <row r="3691" spans="1:2" ht="14.85" customHeight="1">
      <c r="A3691" s="5217"/>
      <c r="B3691" s="5218"/>
    </row>
    <row r="3692" spans="1:2" ht="14.85" customHeight="1">
      <c r="A3692" s="5217"/>
      <c r="B3692" s="5218"/>
    </row>
    <row r="3693" spans="1:2" ht="14.85" customHeight="1">
      <c r="A3693" s="5217"/>
      <c r="B3693" s="5218"/>
    </row>
    <row r="3694" spans="1:2" ht="14.85" customHeight="1">
      <c r="A3694" s="5217"/>
      <c r="B3694" s="5218"/>
    </row>
    <row r="3695" spans="1:2" ht="14.85" customHeight="1">
      <c r="A3695" s="5217"/>
      <c r="B3695" s="5218"/>
    </row>
    <row r="3696" spans="1:2" ht="14.85" customHeight="1">
      <c r="A3696" s="5217"/>
      <c r="B3696" s="5218"/>
    </row>
    <row r="3697" spans="1:2" ht="14.85" customHeight="1">
      <c r="A3697" s="5217"/>
      <c r="B3697" s="5218"/>
    </row>
    <row r="3698" spans="1:2" ht="14.85" customHeight="1">
      <c r="A3698" s="5217"/>
      <c r="B3698" s="5218"/>
    </row>
    <row r="3699" spans="1:2" ht="14.85" customHeight="1">
      <c r="A3699" s="5217"/>
      <c r="B3699" s="5218"/>
    </row>
    <row r="3700" spans="1:2" ht="14.85" customHeight="1">
      <c r="A3700" s="5217"/>
      <c r="B3700" s="5218"/>
    </row>
    <row r="3701" spans="1:2" ht="14.85" customHeight="1">
      <c r="A3701" s="5217"/>
      <c r="B3701" s="5218"/>
    </row>
    <row r="3702" spans="1:2" ht="14.85" customHeight="1">
      <c r="A3702" s="5217"/>
      <c r="B3702" s="5218"/>
    </row>
    <row r="3703" spans="1:2" ht="14.85" customHeight="1">
      <c r="A3703" s="5217"/>
      <c r="B3703" s="5218"/>
    </row>
    <row r="3704" spans="1:2" ht="14.85" customHeight="1">
      <c r="A3704" s="5217"/>
      <c r="B3704" s="5218"/>
    </row>
    <row r="3705" spans="1:2" ht="14.85" customHeight="1">
      <c r="A3705" s="5217"/>
      <c r="B3705" s="5218"/>
    </row>
    <row r="3706" spans="1:2" ht="14.85" customHeight="1">
      <c r="A3706" s="5217"/>
      <c r="B3706" s="5218"/>
    </row>
    <row r="3707" spans="1:2" ht="14.85" customHeight="1">
      <c r="A3707" s="5217"/>
      <c r="B3707" s="5218"/>
    </row>
    <row r="3708" spans="1:2" ht="14.85" customHeight="1">
      <c r="A3708" s="5217"/>
      <c r="B3708" s="5218"/>
    </row>
    <row r="3709" spans="1:2" ht="14.85" customHeight="1">
      <c r="A3709" s="5217"/>
      <c r="B3709" s="5218"/>
    </row>
    <row r="3710" spans="1:2" ht="14.85" customHeight="1">
      <c r="A3710" s="5217"/>
      <c r="B3710" s="5218"/>
    </row>
    <row r="3711" spans="1:2" ht="14.85" customHeight="1">
      <c r="A3711" s="5217"/>
      <c r="B3711" s="5218"/>
    </row>
    <row r="3712" spans="1:2" ht="14.85" customHeight="1">
      <c r="A3712" s="5217"/>
      <c r="B3712" s="5218"/>
    </row>
    <row r="3713" spans="1:2" ht="14.85" customHeight="1">
      <c r="A3713" s="5217"/>
      <c r="B3713" s="5218"/>
    </row>
    <row r="3714" spans="1:2" ht="14.85" customHeight="1">
      <c r="A3714" s="5217"/>
      <c r="B3714" s="5218"/>
    </row>
    <row r="3715" spans="1:2" ht="14.85" customHeight="1">
      <c r="A3715" s="5217"/>
      <c r="B3715" s="5218"/>
    </row>
    <row r="3716" spans="1:2" ht="14.85" customHeight="1">
      <c r="A3716" s="5217"/>
      <c r="B3716" s="5218"/>
    </row>
    <row r="3717" spans="1:2" ht="14.85" customHeight="1">
      <c r="A3717" s="5217"/>
      <c r="B3717" s="5218"/>
    </row>
    <row r="3718" spans="1:2" ht="14.85" customHeight="1">
      <c r="A3718" s="5217"/>
      <c r="B3718" s="5218"/>
    </row>
    <row r="3719" spans="1:2" ht="14.85" customHeight="1">
      <c r="A3719" s="5217"/>
      <c r="B3719" s="5218"/>
    </row>
    <row r="3720" spans="1:2" ht="14.85" customHeight="1">
      <c r="A3720" s="5217"/>
      <c r="B3720" s="5218"/>
    </row>
    <row r="3721" spans="1:2" ht="14.85" customHeight="1">
      <c r="A3721" s="5217"/>
      <c r="B3721" s="5218"/>
    </row>
    <row r="3722" spans="1:2" ht="14.85" customHeight="1">
      <c r="A3722" s="5217"/>
      <c r="B3722" s="5218"/>
    </row>
    <row r="3723" spans="1:2" ht="14.85" customHeight="1">
      <c r="A3723" s="5217"/>
      <c r="B3723" s="5218"/>
    </row>
    <row r="3724" spans="1:2" ht="14.85" customHeight="1">
      <c r="A3724" s="5217"/>
      <c r="B3724" s="5218"/>
    </row>
    <row r="3725" spans="1:2" ht="14.85" customHeight="1">
      <c r="A3725" s="5217"/>
      <c r="B3725" s="5218"/>
    </row>
    <row r="3726" spans="1:2" ht="14.85" customHeight="1">
      <c r="A3726" s="5217"/>
      <c r="B3726" s="5218"/>
    </row>
    <row r="3727" spans="1:2" ht="14.85" customHeight="1">
      <c r="A3727" s="5217"/>
      <c r="B3727" s="5218"/>
    </row>
    <row r="3728" spans="1:2" ht="14.85" customHeight="1">
      <c r="A3728" s="5217"/>
      <c r="B3728" s="5218"/>
    </row>
    <row r="3729" spans="1:2" ht="14.85" customHeight="1">
      <c r="A3729" s="5217"/>
      <c r="B3729" s="5218"/>
    </row>
    <row r="3730" spans="1:2" ht="14.85" customHeight="1">
      <c r="A3730" s="5217"/>
      <c r="B3730" s="5218"/>
    </row>
    <row r="3731" spans="1:2" ht="14.85" customHeight="1">
      <c r="A3731" s="5217"/>
      <c r="B3731" s="5218"/>
    </row>
    <row r="3732" spans="1:2" ht="14.85" customHeight="1">
      <c r="A3732" s="5217"/>
      <c r="B3732" s="5218"/>
    </row>
    <row r="3733" spans="1:2" ht="14.85" customHeight="1">
      <c r="A3733" s="5217"/>
      <c r="B3733" s="5218"/>
    </row>
    <row r="3734" spans="1:2" ht="14.85" customHeight="1">
      <c r="A3734" s="5217"/>
      <c r="B3734" s="5218"/>
    </row>
    <row r="3735" spans="1:2" ht="14.85" customHeight="1">
      <c r="A3735" s="5217"/>
      <c r="B3735" s="5218"/>
    </row>
    <row r="3736" spans="1:2" ht="14.85" customHeight="1">
      <c r="A3736" s="5217"/>
      <c r="B3736" s="5218"/>
    </row>
    <row r="3737" spans="1:2" ht="14.85" customHeight="1">
      <c r="A3737" s="5217"/>
      <c r="B3737" s="5218"/>
    </row>
    <row r="3738" spans="1:2" ht="14.85" customHeight="1">
      <c r="A3738" s="5217"/>
      <c r="B3738" s="5218"/>
    </row>
    <row r="3739" spans="1:2" ht="14.85" customHeight="1">
      <c r="A3739" s="5217"/>
      <c r="B3739" s="5218"/>
    </row>
    <row r="3740" spans="1:2" ht="14.85" customHeight="1">
      <c r="A3740" s="5217"/>
      <c r="B3740" s="5218"/>
    </row>
    <row r="3741" spans="1:2" ht="14.85" customHeight="1">
      <c r="A3741" s="5217"/>
      <c r="B3741" s="5218"/>
    </row>
    <row r="3742" spans="1:2" ht="14.85" customHeight="1">
      <c r="A3742" s="5217"/>
      <c r="B3742" s="5218"/>
    </row>
    <row r="3743" spans="1:2" ht="14.85" customHeight="1">
      <c r="A3743" s="5217"/>
      <c r="B3743" s="5218"/>
    </row>
    <row r="3744" spans="1:2" ht="14.85" customHeight="1">
      <c r="A3744" s="5217"/>
      <c r="B3744" s="5218"/>
    </row>
    <row r="3745" spans="1:2" ht="14.85" customHeight="1">
      <c r="A3745" s="5217"/>
      <c r="B3745" s="5218"/>
    </row>
    <row r="3746" spans="1:2" ht="14.85" customHeight="1">
      <c r="A3746" s="5217"/>
      <c r="B3746" s="5218"/>
    </row>
    <row r="3747" spans="1:2" ht="14.85" customHeight="1">
      <c r="A3747" s="5217"/>
      <c r="B3747" s="5218"/>
    </row>
    <row r="3748" spans="1:2" ht="14.85" customHeight="1">
      <c r="A3748" s="5217"/>
      <c r="B3748" s="5218"/>
    </row>
    <row r="3749" spans="1:2" ht="14.85" customHeight="1">
      <c r="A3749" s="5217"/>
      <c r="B3749" s="5218"/>
    </row>
    <row r="3750" spans="1:2" ht="14.85" customHeight="1">
      <c r="A3750" s="5217"/>
      <c r="B3750" s="5218"/>
    </row>
    <row r="3751" spans="1:2" ht="14.85" customHeight="1">
      <c r="A3751" s="5217"/>
      <c r="B3751" s="5218"/>
    </row>
    <row r="3752" spans="1:2" ht="14.85" customHeight="1">
      <c r="A3752" s="5217"/>
      <c r="B3752" s="5218"/>
    </row>
    <row r="3753" spans="1:2" ht="14.85" customHeight="1">
      <c r="A3753" s="5217"/>
      <c r="B3753" s="5218"/>
    </row>
    <row r="3754" spans="1:2" ht="14.85" customHeight="1">
      <c r="A3754" s="5217"/>
      <c r="B3754" s="5218"/>
    </row>
    <row r="3755" spans="1:2" ht="14.85" customHeight="1">
      <c r="A3755" s="5217"/>
      <c r="B3755" s="5218"/>
    </row>
    <row r="3756" spans="1:2" ht="14.85" customHeight="1">
      <c r="A3756" s="5217"/>
      <c r="B3756" s="5218"/>
    </row>
    <row r="3757" spans="1:2" ht="14.85" customHeight="1">
      <c r="A3757" s="5217"/>
      <c r="B3757" s="5218"/>
    </row>
    <row r="3758" spans="1:2" ht="14.85" customHeight="1">
      <c r="A3758" s="5217"/>
      <c r="B3758" s="5218"/>
    </row>
    <row r="3759" spans="1:2" ht="14.85" customHeight="1">
      <c r="A3759" s="5217"/>
      <c r="B3759" s="5218"/>
    </row>
    <row r="3760" spans="1:2" ht="14.85" customHeight="1">
      <c r="A3760" s="5217"/>
      <c r="B3760" s="5218"/>
    </row>
    <row r="3761" spans="1:2" ht="14.85" customHeight="1">
      <c r="A3761" s="5217"/>
      <c r="B3761" s="5218"/>
    </row>
    <row r="3762" spans="1:2" ht="14.85" customHeight="1">
      <c r="A3762" s="5217"/>
      <c r="B3762" s="5218"/>
    </row>
    <row r="3763" spans="1:2" ht="14.85" customHeight="1">
      <c r="A3763" s="5217"/>
      <c r="B3763" s="5218"/>
    </row>
    <row r="3764" spans="1:2" ht="14.85" customHeight="1">
      <c r="A3764" s="5217"/>
      <c r="B3764" s="5218"/>
    </row>
    <row r="3765" spans="1:2" ht="14.85" customHeight="1">
      <c r="A3765" s="5217"/>
      <c r="B3765" s="5218"/>
    </row>
    <row r="3766" spans="1:2" ht="14.85" customHeight="1">
      <c r="A3766" s="5217"/>
      <c r="B3766" s="5218"/>
    </row>
    <row r="3767" spans="1:2" ht="14.85" customHeight="1">
      <c r="A3767" s="5217"/>
      <c r="B3767" s="5218"/>
    </row>
    <row r="3768" spans="1:2" ht="14.85" customHeight="1">
      <c r="A3768" s="5217"/>
      <c r="B3768" s="5218"/>
    </row>
    <row r="3769" spans="1:2" ht="14.85" customHeight="1">
      <c r="A3769" s="5217"/>
      <c r="B3769" s="5218"/>
    </row>
    <row r="3770" spans="1:2" ht="14.85" customHeight="1">
      <c r="A3770" s="5217"/>
      <c r="B3770" s="5218"/>
    </row>
    <row r="3771" spans="1:2" ht="14.85" customHeight="1">
      <c r="A3771" s="5217"/>
      <c r="B3771" s="5218"/>
    </row>
    <row r="3772" spans="1:2" ht="14.85" customHeight="1">
      <c r="A3772" s="5217"/>
      <c r="B3772" s="5218"/>
    </row>
    <row r="3773" spans="1:2" ht="14.85" customHeight="1">
      <c r="A3773" s="5217"/>
      <c r="B3773" s="5218"/>
    </row>
    <row r="3774" spans="1:2" ht="14.85" customHeight="1">
      <c r="A3774" s="5217"/>
      <c r="B3774" s="5218"/>
    </row>
    <row r="3775" spans="1:2" ht="14.85" customHeight="1">
      <c r="A3775" s="5217"/>
      <c r="B3775" s="5218"/>
    </row>
    <row r="3776" spans="1:2" ht="14.85" customHeight="1">
      <c r="A3776" s="5217"/>
      <c r="B3776" s="5218"/>
    </row>
    <row r="3777" spans="1:2" ht="14.85" customHeight="1">
      <c r="A3777" s="5217"/>
      <c r="B3777" s="5218"/>
    </row>
    <row r="3778" spans="1:2" ht="14.85" customHeight="1">
      <c r="A3778" s="5217"/>
      <c r="B3778" s="5218"/>
    </row>
    <row r="3779" spans="1:2" ht="14.85" customHeight="1">
      <c r="A3779" s="5217"/>
      <c r="B3779" s="5218"/>
    </row>
    <row r="3780" spans="1:2" ht="14.85" customHeight="1">
      <c r="A3780" s="5217"/>
      <c r="B3780" s="5218"/>
    </row>
    <row r="3781" spans="1:2" ht="14.85" customHeight="1">
      <c r="A3781" s="5217"/>
      <c r="B3781" s="5218"/>
    </row>
    <row r="3782" spans="1:2" ht="14.85" customHeight="1">
      <c r="A3782" s="5217"/>
      <c r="B3782" s="5218"/>
    </row>
    <row r="3783" spans="1:2" ht="14.85" customHeight="1">
      <c r="A3783" s="5217"/>
      <c r="B3783" s="5218"/>
    </row>
    <row r="3784" spans="1:2" ht="14.85" customHeight="1">
      <c r="A3784" s="5217"/>
      <c r="B3784" s="5218"/>
    </row>
    <row r="3785" spans="1:2" ht="14.85" customHeight="1">
      <c r="A3785" s="5217"/>
      <c r="B3785" s="5218"/>
    </row>
    <row r="3786" spans="1:2" ht="14.85" customHeight="1">
      <c r="A3786" s="5217"/>
      <c r="B3786" s="5218"/>
    </row>
    <row r="3787" spans="1:2" ht="14.85" customHeight="1">
      <c r="A3787" s="5217"/>
      <c r="B3787" s="5218"/>
    </row>
    <row r="3788" spans="1:2" ht="14.85" customHeight="1">
      <c r="A3788" s="5217"/>
      <c r="B3788" s="5218"/>
    </row>
    <row r="3789" spans="1:2" ht="14.85" customHeight="1">
      <c r="A3789" s="5217"/>
      <c r="B3789" s="5218"/>
    </row>
    <row r="3790" spans="1:2" ht="14.85" customHeight="1">
      <c r="A3790" s="5217"/>
      <c r="B3790" s="5218"/>
    </row>
    <row r="3791" spans="1:2" ht="14.85" customHeight="1">
      <c r="A3791" s="5217"/>
      <c r="B3791" s="5218"/>
    </row>
    <row r="3792" spans="1:2" ht="14.85" customHeight="1">
      <c r="A3792" s="5217"/>
      <c r="B3792" s="5218"/>
    </row>
    <row r="3793" spans="1:2" ht="14.85" customHeight="1">
      <c r="A3793" s="5217"/>
      <c r="B3793" s="5218"/>
    </row>
    <row r="3794" spans="1:2" ht="14.85" customHeight="1">
      <c r="A3794" s="5217"/>
      <c r="B3794" s="5218"/>
    </row>
    <row r="3795" spans="1:2" ht="14.85" customHeight="1">
      <c r="A3795" s="5217"/>
      <c r="B3795" s="5218"/>
    </row>
    <row r="3796" spans="1:2" ht="14.85" customHeight="1">
      <c r="A3796" s="5217"/>
      <c r="B3796" s="5218"/>
    </row>
    <row r="3797" spans="1:2" ht="14.85" customHeight="1">
      <c r="A3797" s="5217"/>
      <c r="B3797" s="5218"/>
    </row>
    <row r="3798" spans="1:2" ht="14.85" customHeight="1">
      <c r="A3798" s="5217"/>
      <c r="B3798" s="5218"/>
    </row>
    <row r="3799" spans="1:2" ht="14.85" customHeight="1">
      <c r="A3799" s="5217"/>
      <c r="B3799" s="5218"/>
    </row>
    <row r="3800" spans="1:2" ht="14.85" customHeight="1">
      <c r="A3800" s="5217"/>
      <c r="B3800" s="5218"/>
    </row>
    <row r="3801" spans="1:2" ht="14.85" customHeight="1">
      <c r="A3801" s="5217"/>
      <c r="B3801" s="5218"/>
    </row>
    <row r="3802" spans="1:2" ht="14.85" customHeight="1">
      <c r="A3802" s="5217"/>
      <c r="B3802" s="5218"/>
    </row>
    <row r="3803" spans="1:2" ht="14.85" customHeight="1">
      <c r="A3803" s="5217"/>
      <c r="B3803" s="5218"/>
    </row>
    <row r="3804" spans="1:2" ht="14.85" customHeight="1">
      <c r="A3804" s="5217"/>
      <c r="B3804" s="5218"/>
    </row>
    <row r="3805" spans="1:2" ht="14.85" customHeight="1">
      <c r="A3805" s="5217"/>
      <c r="B3805" s="5218"/>
    </row>
    <row r="3806" spans="1:2" ht="14.85" customHeight="1">
      <c r="A3806" s="5217"/>
      <c r="B3806" s="5218"/>
    </row>
    <row r="3807" spans="1:2" ht="14.85" customHeight="1">
      <c r="A3807" s="5217"/>
      <c r="B3807" s="5218"/>
    </row>
    <row r="3808" spans="1:2" ht="14.85" customHeight="1">
      <c r="A3808" s="5217"/>
      <c r="B3808" s="5218"/>
    </row>
    <row r="3809" spans="1:2" ht="14.85" customHeight="1">
      <c r="A3809" s="5217"/>
      <c r="B3809" s="5218"/>
    </row>
    <row r="3810" spans="1:2" ht="14.85" customHeight="1">
      <c r="A3810" s="5217"/>
      <c r="B3810" s="5218"/>
    </row>
    <row r="3811" spans="1:2" ht="14.85" customHeight="1">
      <c r="A3811" s="5217"/>
      <c r="B3811" s="5218"/>
    </row>
    <row r="3812" spans="1:2" ht="14.85" customHeight="1">
      <c r="A3812" s="5217"/>
      <c r="B3812" s="5218"/>
    </row>
    <row r="3813" spans="1:2" ht="14.85" customHeight="1">
      <c r="A3813" s="5217"/>
      <c r="B3813" s="5218"/>
    </row>
    <row r="3814" spans="1:2" ht="14.85" customHeight="1">
      <c r="A3814" s="5217"/>
      <c r="B3814" s="5218"/>
    </row>
    <row r="3815" spans="1:2" ht="14.85" customHeight="1">
      <c r="A3815" s="5217"/>
      <c r="B3815" s="5218"/>
    </row>
    <row r="3816" spans="1:2" ht="14.85" customHeight="1">
      <c r="A3816" s="5217"/>
      <c r="B3816" s="5218"/>
    </row>
    <row r="3817" spans="1:2" ht="14.85" customHeight="1">
      <c r="A3817" s="5217"/>
      <c r="B3817" s="5218"/>
    </row>
    <row r="3818" spans="1:2" ht="14.85" customHeight="1">
      <c r="A3818" s="5217"/>
      <c r="B3818" s="5218"/>
    </row>
    <row r="3819" spans="1:2" ht="14.85" customHeight="1">
      <c r="A3819" s="5217"/>
      <c r="B3819" s="5218"/>
    </row>
    <row r="3820" spans="1:2" ht="14.85" customHeight="1">
      <c r="A3820" s="5217"/>
      <c r="B3820" s="5218"/>
    </row>
    <row r="3821" spans="1:2" ht="14.85" customHeight="1">
      <c r="A3821" s="5217"/>
      <c r="B3821" s="5218"/>
    </row>
    <row r="3822" spans="1:2" ht="14.85" customHeight="1">
      <c r="A3822" s="5217"/>
      <c r="B3822" s="5218"/>
    </row>
    <row r="3823" spans="1:2" ht="14.85" customHeight="1">
      <c r="A3823" s="5217"/>
      <c r="B3823" s="5218"/>
    </row>
    <row r="3824" spans="1:2" ht="14.85" customHeight="1">
      <c r="A3824" s="5217"/>
      <c r="B3824" s="5218"/>
    </row>
    <row r="3825" spans="1:2" ht="14.85" customHeight="1">
      <c r="A3825" s="5217"/>
      <c r="B3825" s="5218"/>
    </row>
    <row r="3826" spans="1:2" ht="14.85" customHeight="1">
      <c r="A3826" s="5217"/>
      <c r="B3826" s="5218"/>
    </row>
    <row r="3827" spans="1:2" ht="14.85" customHeight="1">
      <c r="A3827" s="5217"/>
      <c r="B3827" s="5218"/>
    </row>
    <row r="3828" spans="1:2" ht="14.85" customHeight="1">
      <c r="A3828" s="5217"/>
      <c r="B3828" s="5218"/>
    </row>
    <row r="3829" spans="1:2" ht="14.85" customHeight="1">
      <c r="A3829" s="5217"/>
      <c r="B3829" s="5218"/>
    </row>
    <row r="3830" spans="1:2" ht="14.85" customHeight="1">
      <c r="A3830" s="5217"/>
      <c r="B3830" s="5218"/>
    </row>
    <row r="3831" spans="1:2" ht="14.85" customHeight="1">
      <c r="A3831" s="5217"/>
      <c r="B3831" s="5218"/>
    </row>
    <row r="3832" spans="1:2" ht="14.85" customHeight="1">
      <c r="A3832" s="5217"/>
      <c r="B3832" s="5218"/>
    </row>
    <row r="3833" spans="1:2" ht="14.85" customHeight="1">
      <c r="A3833" s="5217"/>
      <c r="B3833" s="5218"/>
    </row>
    <row r="3834" spans="1:2" ht="14.85" customHeight="1">
      <c r="A3834" s="5217"/>
      <c r="B3834" s="5218"/>
    </row>
    <row r="3835" spans="1:2" ht="14.85" customHeight="1">
      <c r="A3835" s="5217"/>
      <c r="B3835" s="5218"/>
    </row>
    <row r="3836" spans="1:2" ht="14.85" customHeight="1">
      <c r="A3836" s="5217"/>
      <c r="B3836" s="5218"/>
    </row>
    <row r="3837" spans="1:2" ht="14.85" customHeight="1">
      <c r="A3837" s="5217"/>
      <c r="B3837" s="5218"/>
    </row>
    <row r="3838" spans="1:2" ht="14.85" customHeight="1">
      <c r="A3838" s="5217"/>
      <c r="B3838" s="5218"/>
    </row>
    <row r="3839" spans="1:2" ht="14.85" customHeight="1">
      <c r="A3839" s="5217"/>
      <c r="B3839" s="5218"/>
    </row>
    <row r="3840" spans="1:2" ht="14.85" customHeight="1">
      <c r="A3840" s="5217"/>
      <c r="B3840" s="5218"/>
    </row>
    <row r="3841" spans="1:2" ht="14.85" customHeight="1">
      <c r="A3841" s="5217"/>
      <c r="B3841" s="5218"/>
    </row>
    <row r="3842" spans="1:2" ht="14.85" customHeight="1">
      <c r="A3842" s="5217"/>
      <c r="B3842" s="5218"/>
    </row>
    <row r="3843" spans="1:2" ht="14.85" customHeight="1">
      <c r="A3843" s="5217"/>
      <c r="B3843" s="5218"/>
    </row>
    <row r="3844" spans="1:2" ht="14.85" customHeight="1">
      <c r="A3844" s="5217"/>
      <c r="B3844" s="5218"/>
    </row>
    <row r="3845" spans="1:2" ht="14.85" customHeight="1">
      <c r="A3845" s="5217"/>
      <c r="B3845" s="5218"/>
    </row>
    <row r="3846" spans="1:2" ht="14.85" customHeight="1">
      <c r="A3846" s="5217"/>
      <c r="B3846" s="5218"/>
    </row>
    <row r="3847" spans="1:2" ht="14.85" customHeight="1">
      <c r="A3847" s="5217"/>
      <c r="B3847" s="5218"/>
    </row>
    <row r="3848" spans="1:2" ht="14.85" customHeight="1">
      <c r="A3848" s="5217"/>
      <c r="B3848" s="5218"/>
    </row>
    <row r="3849" spans="1:2" ht="14.85" customHeight="1">
      <c r="A3849" s="5217"/>
      <c r="B3849" s="5218"/>
    </row>
    <row r="3850" spans="1:2" ht="14.85" customHeight="1">
      <c r="A3850" s="5217"/>
      <c r="B3850" s="5218"/>
    </row>
    <row r="3851" spans="1:2" ht="14.85" customHeight="1">
      <c r="A3851" s="5217"/>
      <c r="B3851" s="5218"/>
    </row>
    <row r="3852" spans="1:2" ht="14.85" customHeight="1">
      <c r="A3852" s="5217"/>
      <c r="B3852" s="5218"/>
    </row>
    <row r="3853" spans="1:2" ht="14.85" customHeight="1">
      <c r="A3853" s="5217"/>
      <c r="B3853" s="5218"/>
    </row>
    <row r="3854" spans="1:2" ht="14.85" customHeight="1">
      <c r="A3854" s="5217"/>
      <c r="B3854" s="5218"/>
    </row>
    <row r="3855" spans="1:2" ht="14.85" customHeight="1">
      <c r="A3855" s="5217"/>
      <c r="B3855" s="5218"/>
    </row>
    <row r="3856" spans="1:2" ht="14.85" customHeight="1">
      <c r="A3856" s="5217"/>
      <c r="B3856" s="5218"/>
    </row>
    <row r="3857" spans="1:2" ht="14.85" customHeight="1">
      <c r="A3857" s="5217"/>
      <c r="B3857" s="5218"/>
    </row>
    <row r="3858" spans="1:2" ht="14.85" customHeight="1">
      <c r="A3858" s="5217"/>
      <c r="B3858" s="5218"/>
    </row>
    <row r="3859" spans="1:2" ht="14.85" customHeight="1">
      <c r="A3859" s="5217"/>
      <c r="B3859" s="5218"/>
    </row>
    <row r="3860" spans="1:2" ht="14.85" customHeight="1">
      <c r="A3860" s="5217"/>
      <c r="B3860" s="5218"/>
    </row>
    <row r="3861" spans="1:2" ht="14.85" customHeight="1">
      <c r="A3861" s="5217"/>
      <c r="B3861" s="5218"/>
    </row>
    <row r="3862" spans="1:2" ht="14.85" customHeight="1">
      <c r="A3862" s="5217"/>
      <c r="B3862" s="5218"/>
    </row>
    <row r="3863" spans="1:2" ht="14.85" customHeight="1">
      <c r="A3863" s="5217"/>
      <c r="B3863" s="5218"/>
    </row>
    <row r="3864" spans="1:2" ht="14.85" customHeight="1">
      <c r="A3864" s="5217"/>
      <c r="B3864" s="5218"/>
    </row>
    <row r="3865" spans="1:2" ht="14.85" customHeight="1">
      <c r="A3865" s="5217"/>
      <c r="B3865" s="5218"/>
    </row>
    <row r="3866" spans="1:2" ht="14.85" customHeight="1">
      <c r="A3866" s="5217"/>
      <c r="B3866" s="5218"/>
    </row>
    <row r="3867" spans="1:2" ht="14.85" customHeight="1">
      <c r="A3867" s="5217"/>
      <c r="B3867" s="5218"/>
    </row>
    <row r="3868" spans="1:2" ht="14.85" customHeight="1">
      <c r="A3868" s="5217"/>
      <c r="B3868" s="5218"/>
    </row>
    <row r="3869" spans="1:2" ht="14.85" customHeight="1">
      <c r="A3869" s="5217"/>
      <c r="B3869" s="5218"/>
    </row>
    <row r="3870" spans="1:2" ht="14.85" customHeight="1">
      <c r="A3870" s="5217"/>
      <c r="B3870" s="5218"/>
    </row>
    <row r="3871" spans="1:2" ht="14.85" customHeight="1">
      <c r="A3871" s="5217"/>
      <c r="B3871" s="5218"/>
    </row>
    <row r="3872" spans="1:2" ht="14.85" customHeight="1">
      <c r="A3872" s="5217"/>
      <c r="B3872" s="5218"/>
    </row>
    <row r="3873" spans="1:2" ht="14.85" customHeight="1">
      <c r="A3873" s="5217"/>
      <c r="B3873" s="5218"/>
    </row>
    <row r="3874" spans="1:2" ht="14.85" customHeight="1">
      <c r="A3874" s="5217"/>
      <c r="B3874" s="5218"/>
    </row>
    <row r="3875" spans="1:2" ht="14.85" customHeight="1">
      <c r="A3875" s="5217"/>
      <c r="B3875" s="5218"/>
    </row>
    <row r="3876" spans="1:2" ht="14.85" customHeight="1">
      <c r="A3876" s="5217"/>
      <c r="B3876" s="5218"/>
    </row>
    <row r="3877" spans="1:2" ht="14.85" customHeight="1">
      <c r="A3877" s="5217"/>
      <c r="B3877" s="5218"/>
    </row>
    <row r="3878" spans="1:2" ht="14.85" customHeight="1">
      <c r="A3878" s="5217"/>
      <c r="B3878" s="5218"/>
    </row>
    <row r="3879" spans="1:2" ht="14.85" customHeight="1">
      <c r="A3879" s="5217"/>
      <c r="B3879" s="5218"/>
    </row>
    <row r="3880" spans="1:2" ht="14.85" customHeight="1">
      <c r="A3880" s="5217"/>
      <c r="B3880" s="5218"/>
    </row>
    <row r="3881" spans="1:2" ht="14.85" customHeight="1">
      <c r="A3881" s="5217"/>
      <c r="B3881" s="5218"/>
    </row>
    <row r="3882" spans="1:2" ht="14.85" customHeight="1">
      <c r="A3882" s="5217"/>
      <c r="B3882" s="5218"/>
    </row>
    <row r="3883" spans="1:2" ht="14.85" customHeight="1">
      <c r="A3883" s="5217"/>
      <c r="B3883" s="5218"/>
    </row>
    <row r="3884" spans="1:2" ht="14.85" customHeight="1">
      <c r="A3884" s="5217"/>
      <c r="B3884" s="5218"/>
    </row>
    <row r="3885" spans="1:2" ht="14.85" customHeight="1">
      <c r="A3885" s="5217"/>
      <c r="B3885" s="5218"/>
    </row>
    <row r="3886" spans="1:2" ht="14.85" customHeight="1">
      <c r="A3886" s="5217"/>
      <c r="B3886" s="5218"/>
    </row>
    <row r="3887" spans="1:2" ht="14.85" customHeight="1">
      <c r="A3887" s="5217"/>
      <c r="B3887" s="5218"/>
    </row>
    <row r="3888" spans="1:2" ht="14.85" customHeight="1">
      <c r="A3888" s="5217"/>
      <c r="B3888" s="5218"/>
    </row>
    <row r="3889" spans="1:2" ht="14.85" customHeight="1">
      <c r="A3889" s="5217"/>
      <c r="B3889" s="5218"/>
    </row>
    <row r="3890" spans="1:2" ht="14.85" customHeight="1">
      <c r="A3890" s="5217"/>
      <c r="B3890" s="5218"/>
    </row>
    <row r="3891" spans="1:2" ht="14.85" customHeight="1">
      <c r="A3891" s="5217"/>
      <c r="B3891" s="5218"/>
    </row>
    <row r="3892" spans="1:2" ht="14.85" customHeight="1">
      <c r="A3892" s="5217"/>
      <c r="B3892" s="5218"/>
    </row>
    <row r="3893" spans="1:2" ht="14.85" customHeight="1">
      <c r="A3893" s="5217"/>
      <c r="B3893" s="5218"/>
    </row>
    <row r="3894" spans="1:2" ht="14.85" customHeight="1">
      <c r="A3894" s="5217"/>
      <c r="B3894" s="5218"/>
    </row>
    <row r="3895" spans="1:2" ht="14.85" customHeight="1">
      <c r="A3895" s="5217"/>
      <c r="B3895" s="5218"/>
    </row>
    <row r="3896" spans="1:2" ht="14.85" customHeight="1">
      <c r="A3896" s="5217"/>
      <c r="B3896" s="5218"/>
    </row>
    <row r="3897" spans="1:2" ht="14.85" customHeight="1">
      <c r="A3897" s="5217"/>
      <c r="B3897" s="5218"/>
    </row>
    <row r="3898" spans="1:2" ht="14.85" customHeight="1">
      <c r="A3898" s="5217"/>
      <c r="B3898" s="5218"/>
    </row>
    <row r="3899" spans="1:2" ht="14.85" customHeight="1">
      <c r="A3899" s="5217"/>
      <c r="B3899" s="5218"/>
    </row>
    <row r="3900" spans="1:2" ht="14.85" customHeight="1">
      <c r="A3900" s="5217"/>
      <c r="B3900" s="5218"/>
    </row>
    <row r="3901" spans="1:2" ht="14.85" customHeight="1">
      <c r="A3901" s="5217"/>
      <c r="B3901" s="5218"/>
    </row>
    <row r="3902" spans="1:2" ht="14.85" customHeight="1">
      <c r="A3902" s="5217"/>
      <c r="B3902" s="5218"/>
    </row>
    <row r="3903" spans="1:2" ht="14.85" customHeight="1">
      <c r="A3903" s="5217"/>
      <c r="B3903" s="5218"/>
    </row>
    <row r="3904" spans="1:2" ht="14.85" customHeight="1">
      <c r="A3904" s="5217"/>
      <c r="B3904" s="5218"/>
    </row>
    <row r="3905" spans="1:2" ht="14.85" customHeight="1">
      <c r="A3905" s="5217"/>
      <c r="B3905" s="5218"/>
    </row>
    <row r="3906" spans="1:2" ht="14.85" customHeight="1">
      <c r="A3906" s="5217"/>
      <c r="B3906" s="5218"/>
    </row>
    <row r="3907" spans="1:2" ht="14.85" customHeight="1">
      <c r="A3907" s="5217"/>
      <c r="B3907" s="5218"/>
    </row>
    <row r="3908" spans="1:2" ht="14.85" customHeight="1">
      <c r="A3908" s="5217"/>
      <c r="B3908" s="5218"/>
    </row>
    <row r="3909" spans="1:2" ht="14.85" customHeight="1">
      <c r="A3909" s="5217"/>
      <c r="B3909" s="5218"/>
    </row>
    <row r="3910" spans="1:2" ht="14.85" customHeight="1">
      <c r="A3910" s="5217"/>
      <c r="B3910" s="5218"/>
    </row>
    <row r="3911" spans="1:2" ht="14.85" customHeight="1">
      <c r="A3911" s="5217"/>
      <c r="B3911" s="5218"/>
    </row>
    <row r="3912" spans="1:2" ht="14.85" customHeight="1">
      <c r="A3912" s="5217"/>
      <c r="B3912" s="5218"/>
    </row>
    <row r="3913" spans="1:2" ht="14.85" customHeight="1">
      <c r="A3913" s="5217"/>
      <c r="B3913" s="5218"/>
    </row>
    <row r="3914" spans="1:2" ht="14.85" customHeight="1">
      <c r="A3914" s="5217"/>
      <c r="B3914" s="5218"/>
    </row>
    <row r="3915" spans="1:2" ht="14.85" customHeight="1">
      <c r="A3915" s="5217"/>
      <c r="B3915" s="5218"/>
    </row>
    <row r="3916" spans="1:2" ht="14.85" customHeight="1">
      <c r="A3916" s="5217"/>
      <c r="B3916" s="5218"/>
    </row>
    <row r="3917" spans="1:2" ht="14.85" customHeight="1">
      <c r="A3917" s="5217"/>
      <c r="B3917" s="5218"/>
    </row>
    <row r="3918" spans="1:2" ht="14.85" customHeight="1">
      <c r="A3918" s="5217"/>
      <c r="B3918" s="5218"/>
    </row>
    <row r="3919" spans="1:2" ht="14.85" customHeight="1">
      <c r="A3919" s="5217"/>
      <c r="B3919" s="5218"/>
    </row>
    <row r="3920" spans="1:2" ht="14.85" customHeight="1">
      <c r="A3920" s="5217"/>
      <c r="B3920" s="5218"/>
    </row>
    <row r="3921" spans="1:4" ht="14.85" customHeight="1">
      <c r="A3921" s="5217"/>
      <c r="B3921" s="5218"/>
    </row>
    <row r="3922" spans="1:4" ht="14.85" customHeight="1">
      <c r="A3922" s="5217"/>
      <c r="B3922" s="5218"/>
    </row>
    <row r="3923" spans="1:4" ht="14.85" customHeight="1">
      <c r="A3923" s="5217"/>
      <c r="B3923" s="5218"/>
    </row>
    <row r="3924" spans="1:4" ht="14.85" customHeight="1">
      <c r="A3924" s="5217"/>
      <c r="B3924" s="5218"/>
    </row>
    <row r="3925" spans="1:4" ht="14.85" customHeight="1">
      <c r="A3925" s="5217"/>
      <c r="B3925" s="5218"/>
    </row>
    <row r="3926" spans="1:4" ht="14.85" customHeight="1">
      <c r="A3926" s="5217"/>
      <c r="B3926" s="5218"/>
    </row>
    <row r="3927" spans="1:4" ht="14.85" customHeight="1">
      <c r="A3927" s="5217"/>
      <c r="B3927" s="5218"/>
    </row>
    <row r="3928" spans="1:4" ht="14.85" customHeight="1">
      <c r="A3928" s="5217"/>
      <c r="B3928" s="5218"/>
    </row>
    <row r="3929" spans="1:4" ht="14.85" customHeight="1">
      <c r="A3929" s="5217"/>
      <c r="B3929" s="5218"/>
      <c r="D3929" s="5019" t="s">
        <v>1798</v>
      </c>
    </row>
  </sheetData>
  <sheetProtection algorithmName="SHA-512" hashValue="VefeFpUapgjdpF3yzWr96WWzZpij0EfwA5g/eBmqF9v0b+vfwT+lxV3ceE+47OuPQKAw7i3dFppP9aKOUE4cKw==" saltValue="f9Pseg+80WeN5RFEIGqumw==" spinCount="100000" sheet="1" objects="1" scenarios="1"/>
  <mergeCells count="15">
    <mergeCell ref="J2:K2"/>
    <mergeCell ref="A59:K59"/>
    <mergeCell ref="Q110:V110"/>
    <mergeCell ref="D255:E255"/>
    <mergeCell ref="M115:N115"/>
    <mergeCell ref="A136:J136"/>
    <mergeCell ref="A135:J135"/>
    <mergeCell ref="A153:J153"/>
    <mergeCell ref="A154:J154"/>
    <mergeCell ref="A115:J115"/>
    <mergeCell ref="A97:J97"/>
    <mergeCell ref="A167:J167"/>
    <mergeCell ref="A168:J168"/>
    <mergeCell ref="A169:J169"/>
    <mergeCell ref="A134:E134"/>
  </mergeCells>
  <hyperlinks>
    <hyperlink ref="L1" location="Contents!A1" display="Return to Contents page"/>
  </hyperlinks>
  <printOptions horizontalCentered="1"/>
  <pageMargins left="0.75" right="0.75" top="0.5" bottom="0.5" header="0.3" footer="0.3"/>
  <pageSetup scale="56" fitToWidth="0" fitToHeight="0" orientation="portrait" blackAndWhite="1" r:id="rId1"/>
  <headerFooter scaleWithDoc="0">
    <oddFooter>&amp;L&amp;"Open Sans Light,Regular"&amp;8&amp;D   &amp;T&amp;C&amp;"Open Sans Light,Regular"&amp;8Page &amp;P&amp;R&amp;"Open Sans Light,Regular"&amp;8Form 150</oddFooter>
  </headerFooter>
  <rowBreaks count="3" manualBreakCount="3">
    <brk id="57" max="10" man="1"/>
    <brk id="132" max="10" man="1"/>
    <brk id="202" max="10" man="1"/>
  </rowBreaks>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4" tint="0.39997558519241921"/>
  </sheetPr>
  <dimension ref="A1:Z46"/>
  <sheetViews>
    <sheetView showGridLines="0" zoomScaleNormal="100" zoomScaleSheetLayoutView="100" workbookViewId="0">
      <pane ySplit="8" topLeftCell="A9" activePane="bottomLeft" state="frozen"/>
      <selection activeCell="B22" sqref="B22"/>
      <selection pane="bottomLeft" activeCell="B22" sqref="B22"/>
    </sheetView>
  </sheetViews>
  <sheetFormatPr defaultColWidth="9.44140625" defaultRowHeight="12.75" customHeight="1"/>
  <cols>
    <col min="1" max="1" width="40.6640625" style="272" customWidth="1"/>
    <col min="2" max="2" width="5.6640625" style="1965" customWidth="1"/>
    <col min="3" max="6" width="14.33203125" style="1966" customWidth="1"/>
    <col min="7" max="7" width="3.109375" style="272" customWidth="1"/>
    <col min="8" max="8" width="20.88671875" style="272" customWidth="1"/>
    <col min="9" max="26" width="9.44140625" style="272"/>
    <col min="27" max="16384" width="9.44140625" style="271"/>
  </cols>
  <sheetData>
    <row r="1" spans="1:8" ht="12.75" customHeight="1">
      <c r="A1" s="1944" t="s">
        <v>809</v>
      </c>
      <c r="B1" s="4078">
        <f>OPEN!$B$4</f>
        <v>237</v>
      </c>
      <c r="C1" s="1942"/>
      <c r="D1" s="1942"/>
      <c r="E1" s="6191" t="s">
        <v>836</v>
      </c>
      <c r="F1" s="6191"/>
      <c r="H1" s="304" t="s">
        <v>754</v>
      </c>
    </row>
    <row r="2" spans="1:8" ht="12.75" customHeight="1">
      <c r="A2" s="1942"/>
      <c r="B2" s="1943"/>
      <c r="C2" s="1942"/>
      <c r="D2" s="1942"/>
      <c r="E2" s="6191" t="s">
        <v>921</v>
      </c>
      <c r="F2" s="6191"/>
    </row>
    <row r="3" spans="1:8" ht="12.75" customHeight="1">
      <c r="A3" s="1942"/>
      <c r="B3" s="1943"/>
      <c r="C3" s="1942"/>
      <c r="D3" s="1942"/>
      <c r="E3" s="1942"/>
      <c r="F3" s="1944" t="str">
        <f>OpenData!N2</f>
        <v>2021-2022</v>
      </c>
    </row>
    <row r="4" spans="1:8" ht="12.75" customHeight="1">
      <c r="A4" s="1942"/>
      <c r="B4" s="1943"/>
      <c r="C4" s="1942"/>
      <c r="D4" s="1942"/>
      <c r="E4" s="1942"/>
      <c r="F4" s="1942"/>
    </row>
    <row r="5" spans="1:8" ht="12.75" customHeight="1">
      <c r="A5" s="1942"/>
      <c r="B5" s="1943"/>
      <c r="C5" s="1945" t="s">
        <v>922</v>
      </c>
      <c r="D5" s="1945" t="s">
        <v>922</v>
      </c>
      <c r="E5" s="1945" t="s">
        <v>922</v>
      </c>
      <c r="F5" s="1945" t="s">
        <v>5</v>
      </c>
    </row>
    <row r="6" spans="1:8" ht="12.75" customHeight="1">
      <c r="A6" s="6192" t="str">
        <f>OpenData!S55&amp;" "&amp;OpenData!S57</f>
        <v>RECREATION COMMISSION EMPLOYEE BENEFITS &amp; SPECIAL LIABILITY</v>
      </c>
      <c r="B6" s="1946" t="s">
        <v>854</v>
      </c>
      <c r="C6" s="1947" t="str">
        <f>OpenData!N4</f>
        <v>2019-2020</v>
      </c>
      <c r="D6" s="1947" t="str">
        <f>OpenData!O4</f>
        <v>2020-2021</v>
      </c>
      <c r="E6" s="1947" t="str">
        <f>OpenData!P4</f>
        <v>2021-2022</v>
      </c>
      <c r="F6" s="1947" t="s">
        <v>663</v>
      </c>
    </row>
    <row r="7" spans="1:8" ht="12.75" customHeight="1">
      <c r="A7" s="6192"/>
      <c r="B7" s="1948">
        <v>86</v>
      </c>
      <c r="C7" s="1949" t="s">
        <v>893</v>
      </c>
      <c r="D7" s="1949" t="s">
        <v>893</v>
      </c>
      <c r="E7" s="1949" t="s">
        <v>923</v>
      </c>
      <c r="F7" s="1949" t="s">
        <v>11</v>
      </c>
    </row>
    <row r="8" spans="1:8" ht="12.75" customHeight="1">
      <c r="A8" s="6193"/>
      <c r="B8" s="1950" t="s">
        <v>858</v>
      </c>
      <c r="C8" s="1951">
        <v>1</v>
      </c>
      <c r="D8" s="1951">
        <v>2</v>
      </c>
      <c r="E8" s="1951">
        <v>3</v>
      </c>
      <c r="F8" s="1951">
        <v>4</v>
      </c>
    </row>
    <row r="9" spans="1:8" ht="12.75" customHeight="1">
      <c r="A9" s="1967" t="s">
        <v>924</v>
      </c>
      <c r="B9" s="1950">
        <v>1</v>
      </c>
      <c r="C9" s="1952"/>
      <c r="D9" s="1953">
        <f>C38</f>
        <v>0</v>
      </c>
      <c r="E9" s="1953">
        <f>D38</f>
        <v>0</v>
      </c>
      <c r="F9" s="1954">
        <f>E9</f>
        <v>0</v>
      </c>
    </row>
    <row r="10" spans="1:8" ht="12.75" customHeight="1">
      <c r="A10" s="3974" t="s">
        <v>4940</v>
      </c>
      <c r="B10" s="4008">
        <v>3</v>
      </c>
      <c r="C10" s="4009"/>
      <c r="D10" s="4009"/>
      <c r="E10" s="4015"/>
      <c r="F10" s="2395"/>
    </row>
    <row r="11" spans="1:8" ht="12.75" customHeight="1">
      <c r="A11" s="2347"/>
      <c r="B11" s="4011"/>
      <c r="C11" s="4011"/>
      <c r="D11" s="4011"/>
      <c r="E11" s="4010"/>
      <c r="F11" s="2400"/>
    </row>
    <row r="12" spans="1:8" ht="12.75" customHeight="1">
      <c r="A12" s="4012" t="s">
        <v>4767</v>
      </c>
      <c r="B12" s="4013"/>
      <c r="C12" s="4013"/>
      <c r="D12" s="4013"/>
      <c r="E12" s="4013"/>
      <c r="F12" s="4014"/>
    </row>
    <row r="13" spans="1:8" ht="12.75" customHeight="1">
      <c r="A13" s="2348" t="s">
        <v>708</v>
      </c>
      <c r="B13" s="2405"/>
      <c r="C13" s="2400"/>
      <c r="D13" s="2400"/>
      <c r="E13" s="2400"/>
      <c r="F13" s="2400"/>
    </row>
    <row r="14" spans="1:8" ht="12.75" customHeight="1">
      <c r="A14" s="2348" t="s">
        <v>709</v>
      </c>
      <c r="B14" s="2405"/>
      <c r="C14" s="2400"/>
      <c r="D14" s="2400"/>
      <c r="E14" s="2400"/>
      <c r="F14" s="2400"/>
    </row>
    <row r="15" spans="1:8" ht="12.75" customHeight="1">
      <c r="A15" s="2401" t="str">
        <f>OpenData!N8</f>
        <v xml:space="preserve">    2018 $</v>
      </c>
      <c r="B15" s="2406">
        <v>5</v>
      </c>
      <c r="C15" s="2403"/>
      <c r="D15" s="2394"/>
      <c r="E15" s="2394"/>
      <c r="F15" s="2394"/>
    </row>
    <row r="16" spans="1:8" ht="12.75" customHeight="1">
      <c r="A16" s="2401" t="str">
        <f>OpenData!N9</f>
        <v xml:space="preserve">    2019 $</v>
      </c>
      <c r="B16" s="2407">
        <v>10</v>
      </c>
      <c r="C16" s="2404"/>
      <c r="D16" s="2403"/>
      <c r="E16" s="2394"/>
      <c r="F16" s="2394"/>
    </row>
    <row r="17" spans="1:9" ht="12.75" customHeight="1">
      <c r="A17" s="2401" t="str">
        <f>OpenData!N10</f>
        <v xml:space="preserve">    2020 $</v>
      </c>
      <c r="B17" s="2406">
        <v>15</v>
      </c>
      <c r="C17" s="2395"/>
      <c r="D17" s="2399">
        <f>'C04'!$E$23</f>
        <v>0</v>
      </c>
      <c r="E17" s="2399">
        <f>'F110'!$G$172</f>
        <v>0</v>
      </c>
      <c r="F17" s="2399">
        <f>E17</f>
        <v>0</v>
      </c>
      <c r="I17" s="763"/>
    </row>
    <row r="18" spans="1:9" ht="12.75" customHeight="1">
      <c r="A18" s="2402" t="str">
        <f>OpenData!O11</f>
        <v xml:space="preserve">    2021 $</v>
      </c>
      <c r="B18" s="2407">
        <v>20</v>
      </c>
      <c r="C18" s="2394"/>
      <c r="D18" s="2395"/>
      <c r="E18" s="2398">
        <f>'C04'!$L$23</f>
        <v>0</v>
      </c>
      <c r="F18" s="2395"/>
    </row>
    <row r="19" spans="1:9" ht="12.75" customHeight="1">
      <c r="A19" s="2402" t="s">
        <v>1378</v>
      </c>
      <c r="B19" s="2407">
        <v>25</v>
      </c>
      <c r="C19" s="2403"/>
      <c r="D19" s="2403"/>
      <c r="E19" s="2399">
        <f>0.667*F19</f>
        <v>0</v>
      </c>
      <c r="F19" s="2399">
        <f>'F110'!$G$176</f>
        <v>0</v>
      </c>
    </row>
    <row r="20" spans="1:9" ht="12.75" customHeight="1">
      <c r="A20" s="2402" t="s">
        <v>712</v>
      </c>
      <c r="B20" s="2407">
        <v>30</v>
      </c>
      <c r="C20" s="2404"/>
      <c r="D20" s="2404"/>
      <c r="E20" s="2403"/>
      <c r="F20" s="2398">
        <f>E20</f>
        <v>0</v>
      </c>
    </row>
    <row r="21" spans="1:9" ht="12.75" customHeight="1">
      <c r="A21" s="2401" t="s">
        <v>711</v>
      </c>
      <c r="B21" s="2406">
        <v>35</v>
      </c>
      <c r="C21" s="2395"/>
      <c r="D21" s="2395"/>
      <c r="E21" s="2395"/>
      <c r="F21" s="2403"/>
    </row>
    <row r="22" spans="1:9" ht="12.75" customHeight="1">
      <c r="A22" s="2408" t="s">
        <v>713</v>
      </c>
      <c r="B22" s="2418"/>
      <c r="C22" s="2411"/>
      <c r="D22" s="2411"/>
      <c r="E22" s="2411"/>
      <c r="F22" s="2411"/>
    </row>
    <row r="23" spans="1:9" ht="12.75" customHeight="1">
      <c r="A23" s="1967" t="s">
        <v>246</v>
      </c>
      <c r="B23" s="2406">
        <v>45</v>
      </c>
      <c r="C23" s="2403"/>
      <c r="D23" s="2403"/>
      <c r="E23" s="2399">
        <f>IF(ISERROR('F194'!$H$83+'F194'!$H$26+'F194'!$P$83+'F194'!$P$26),0,('F194'!$H$83+'F194'!$H$26+'F194'!$P$83+'F194'!$P$26))</f>
        <v>0</v>
      </c>
      <c r="F23" s="2399">
        <f>E23</f>
        <v>0</v>
      </c>
    </row>
    <row r="24" spans="1:9" ht="12.75" customHeight="1">
      <c r="A24" s="1968" t="s">
        <v>711</v>
      </c>
      <c r="B24" s="2407">
        <v>50</v>
      </c>
      <c r="C24" s="2397"/>
      <c r="D24" s="2395"/>
      <c r="E24" s="2395"/>
      <c r="F24" s="2398">
        <f>F23*0.5</f>
        <v>0</v>
      </c>
    </row>
    <row r="25" spans="1:9" ht="12.75" customHeight="1">
      <c r="A25" s="1967" t="s">
        <v>23</v>
      </c>
      <c r="B25" s="2406">
        <v>55</v>
      </c>
      <c r="C25" s="2403"/>
      <c r="D25" s="2403"/>
      <c r="E25" s="2399">
        <f>IF(ISERROR('F194'!$L$83+'F194'!$L$26),0,('F194'!$L$83+'F194'!$L$26))</f>
        <v>0</v>
      </c>
      <c r="F25" s="2398">
        <f>E25</f>
        <v>0</v>
      </c>
    </row>
    <row r="26" spans="1:9" ht="12.75" customHeight="1">
      <c r="A26" s="1967" t="s">
        <v>24</v>
      </c>
      <c r="B26" s="2406">
        <v>56</v>
      </c>
      <c r="C26" s="2397"/>
      <c r="D26" s="2395"/>
      <c r="E26" s="2395"/>
      <c r="F26" s="2398">
        <f>F25*0.5</f>
        <v>0</v>
      </c>
    </row>
    <row r="27" spans="1:9" ht="12.75" customHeight="1">
      <c r="A27" s="1969" t="s">
        <v>1375</v>
      </c>
      <c r="B27" s="2413">
        <v>57</v>
      </c>
      <c r="C27" s="2409"/>
      <c r="D27" s="2409"/>
      <c r="E27" s="2399">
        <f>IF(ISERROR('F194'!$R$26+'F194'!$R$83),0,('F194'!$R$26+'F194'!$R$83))</f>
        <v>0</v>
      </c>
      <c r="F27" s="2398">
        <f>E27</f>
        <v>0</v>
      </c>
    </row>
    <row r="28" spans="1:9" ht="12.75" customHeight="1">
      <c r="A28" s="1969" t="s">
        <v>24</v>
      </c>
      <c r="B28" s="2413">
        <v>58</v>
      </c>
      <c r="C28" s="2397"/>
      <c r="D28" s="2395"/>
      <c r="E28" s="2395"/>
      <c r="F28" s="2398">
        <f>F27*0.5</f>
        <v>0</v>
      </c>
    </row>
    <row r="29" spans="1:9" ht="12.75" customHeight="1">
      <c r="A29" s="1967" t="s">
        <v>1388</v>
      </c>
      <c r="B29" s="2406">
        <v>60</v>
      </c>
      <c r="C29" s="2410"/>
      <c r="D29" s="2410"/>
      <c r="E29" s="2399">
        <f>IF(ISERROR('F194'!$N$26+'F194'!$N$83),0,('F194'!$N$26+'F194'!$N$83))</f>
        <v>0</v>
      </c>
      <c r="F29" s="2398">
        <f>E29</f>
        <v>0</v>
      </c>
    </row>
    <row r="30" spans="1:9" ht="12.75" customHeight="1">
      <c r="A30" s="1970" t="s">
        <v>711</v>
      </c>
      <c r="B30" s="2414">
        <v>65</v>
      </c>
      <c r="C30" s="2534"/>
      <c r="D30" s="2535"/>
      <c r="E30" s="2535"/>
      <c r="F30" s="2398">
        <f>F29*0.5</f>
        <v>0</v>
      </c>
    </row>
    <row r="31" spans="1:9" ht="12.75" customHeight="1">
      <c r="A31" s="4016" t="s">
        <v>42</v>
      </c>
      <c r="B31" s="2414">
        <v>70</v>
      </c>
      <c r="C31" s="2394">
        <f>SUM(C9:C30)</f>
        <v>0</v>
      </c>
      <c r="D31" s="2394">
        <f>SUM(D9:D30)</f>
        <v>0</v>
      </c>
      <c r="E31" s="2394">
        <f>SUM(E9:E30)</f>
        <v>0</v>
      </c>
      <c r="F31" s="2394">
        <f>SUM(F9:F30)</f>
        <v>0</v>
      </c>
    </row>
    <row r="32" spans="1:9" ht="12.75" customHeight="1">
      <c r="A32" s="2349"/>
      <c r="B32" s="4017"/>
      <c r="C32" s="4017"/>
      <c r="D32" s="4017"/>
      <c r="E32" s="4017"/>
      <c r="F32" s="2350"/>
    </row>
    <row r="33" spans="1:9" ht="12.75" customHeight="1">
      <c r="A33" s="4018" t="s">
        <v>60</v>
      </c>
      <c r="B33" s="4019"/>
      <c r="C33" s="4019"/>
      <c r="D33" s="4019"/>
      <c r="E33" s="4019"/>
      <c r="F33" s="4020"/>
    </row>
    <row r="34" spans="1:9" ht="12.75" customHeight="1">
      <c r="A34" s="2417" t="s">
        <v>779</v>
      </c>
      <c r="B34" s="2416">
        <v>75</v>
      </c>
      <c r="C34" s="2410"/>
      <c r="D34" s="2410"/>
      <c r="E34" s="2410"/>
      <c r="F34" s="2412"/>
    </row>
    <row r="35" spans="1:9" ht="12.75" customHeight="1">
      <c r="A35" s="1972" t="s">
        <v>780</v>
      </c>
      <c r="B35" s="2415">
        <v>175</v>
      </c>
      <c r="C35" s="2398">
        <f>SUM(C33:C34)</f>
        <v>0</v>
      </c>
      <c r="D35" s="2398">
        <f>SUM(D33:D34)</f>
        <v>0</v>
      </c>
      <c r="E35" s="2398">
        <f>SUM(E33:E34)</f>
        <v>0</v>
      </c>
      <c r="F35" s="2399">
        <f>E35</f>
        <v>0</v>
      </c>
    </row>
    <row r="36" spans="1:9" ht="12.75" customHeight="1">
      <c r="A36" s="1971" t="s">
        <v>24</v>
      </c>
      <c r="B36" s="1956">
        <v>180</v>
      </c>
      <c r="C36" s="4618"/>
      <c r="D36" s="3910"/>
      <c r="E36" s="3911"/>
      <c r="F36" s="1955"/>
    </row>
    <row r="37" spans="1:9" ht="12.75" customHeight="1">
      <c r="A37" s="1973" t="s">
        <v>781</v>
      </c>
      <c r="B37" s="1958">
        <v>185</v>
      </c>
      <c r="C37" s="4618"/>
      <c r="D37" s="3910"/>
      <c r="E37" s="3911"/>
      <c r="F37" s="1954">
        <f>SUM(F35:F36)</f>
        <v>0</v>
      </c>
    </row>
    <row r="38" spans="1:9" ht="12.75" customHeight="1">
      <c r="A38" s="1971" t="s">
        <v>782</v>
      </c>
      <c r="B38" s="1956">
        <v>190</v>
      </c>
      <c r="C38" s="4284">
        <f>SUM(C31-C35)</f>
        <v>0</v>
      </c>
      <c r="D38" s="4284">
        <f>SUM(D31-D35)</f>
        <v>0</v>
      </c>
      <c r="E38" s="4284">
        <f>SUM(E31-E35)</f>
        <v>0</v>
      </c>
      <c r="F38" s="4281" t="s">
        <v>4905</v>
      </c>
    </row>
    <row r="39" spans="1:9" ht="12.75" customHeight="1">
      <c r="A39" s="273" t="s">
        <v>776</v>
      </c>
      <c r="B39" s="1957">
        <v>195</v>
      </c>
      <c r="C39" s="1959" t="s">
        <v>673</v>
      </c>
      <c r="D39" s="1960"/>
      <c r="E39" s="1961"/>
      <c r="F39" s="4284">
        <f>SUM(F37-F31)</f>
        <v>0</v>
      </c>
      <c r="H39" s="764" t="str">
        <f>IF(F39&lt;0,"&lt;--Line 195 should NOT be negative - increase resources or decrease expenditures","")</f>
        <v/>
      </c>
    </row>
    <row r="40" spans="1:9" ht="12.75" customHeight="1">
      <c r="A40" s="274" t="s">
        <v>776</v>
      </c>
      <c r="B40" s="1956">
        <v>200</v>
      </c>
      <c r="C40" s="1959" t="s">
        <v>668</v>
      </c>
      <c r="D40" s="1960"/>
      <c r="E40" s="1961"/>
      <c r="F40" s="1954">
        <f>F39*'C01'!$E$97/100</f>
        <v>0</v>
      </c>
    </row>
    <row r="41" spans="1:9" ht="12.75" customHeight="1">
      <c r="A41" s="273"/>
      <c r="B41" s="1957">
        <v>205</v>
      </c>
      <c r="C41" s="1959" t="str">
        <f>OpenData!N6</f>
        <v>Amount of 2021 Tax to be Levied</v>
      </c>
      <c r="D41" s="1960"/>
      <c r="E41" s="1961"/>
      <c r="F41" s="1954">
        <f>SUM(F39:F40)</f>
        <v>0</v>
      </c>
      <c r="H41" s="372" t="s">
        <v>331</v>
      </c>
      <c r="I41" s="374">
        <f>IF(ISERROR(F41/OpenData!N62*1000),"Check errors below",F41/OpenData!N62*1000)</f>
        <v>0</v>
      </c>
    </row>
    <row r="42" spans="1:9" ht="12.75" customHeight="1">
      <c r="A42" s="6187" t="s">
        <v>5126</v>
      </c>
      <c r="B42" s="6187"/>
      <c r="C42" s="6187"/>
      <c r="D42" s="6187"/>
      <c r="E42" s="6187"/>
      <c r="F42" s="6187"/>
      <c r="H42" s="373" t="str">
        <f>OpenData!N40</f>
        <v/>
      </c>
      <c r="I42" s="270"/>
    </row>
    <row r="43" spans="1:9" ht="12.75" customHeight="1">
      <c r="A43" s="273"/>
      <c r="B43" s="1962"/>
      <c r="C43" s="1942"/>
      <c r="D43" s="1942"/>
      <c r="E43" s="1942"/>
      <c r="F43" s="1942"/>
    </row>
    <row r="44" spans="1:9" ht="12.75" customHeight="1">
      <c r="A44" s="273"/>
      <c r="B44" s="1963"/>
      <c r="C44" s="1942"/>
      <c r="D44" s="1942"/>
      <c r="E44" s="1942"/>
      <c r="F44" s="1942"/>
    </row>
    <row r="45" spans="1:9" ht="12.75" customHeight="1">
      <c r="A45" s="270"/>
      <c r="B45" s="1945"/>
      <c r="C45" s="1942"/>
      <c r="D45" s="1942"/>
      <c r="E45" s="1942"/>
      <c r="F45" s="1964" t="str">
        <f>IF(F39&lt;0,"ERROR:  Line 195 Neg.","")</f>
        <v/>
      </c>
    </row>
    <row r="46" spans="1:9" ht="12.75" customHeight="1">
      <c r="A46" s="270"/>
      <c r="B46" s="1945"/>
      <c r="C46" s="1942"/>
      <c r="D46" s="1942"/>
      <c r="E46" s="1942"/>
      <c r="F46" s="1942"/>
    </row>
  </sheetData>
  <sheetProtection algorithmName="SHA-512" hashValue="AOZVH+f2+1GBbjfbT2SzCvF/ln3P1TTUwdieLhTRS1p5l57WxxYs5OJwVBNF1GCFpDwBOmjz1tnTddh7qK7lUw==" saltValue="pQHk4DBD8WJtD7SnYyX8Uw==" spinCount="100000" sheet="1" objects="1" scenarios="1"/>
  <mergeCells count="4">
    <mergeCell ref="E1:F1"/>
    <mergeCell ref="E2:F2"/>
    <mergeCell ref="A42:F42"/>
    <mergeCell ref="A6:A8"/>
  </mergeCells>
  <phoneticPr fontId="36" type="noConversion"/>
  <dataValidations count="2">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C27 C15 C16:D16 C19:D19 C20:E20 F21 C23:D23 C29:D29 C25:D25 C34:E34 F36 C10:D10">
      <formula1>0</formula1>
    </dataValidation>
  </dataValidations>
  <hyperlinks>
    <hyperlink ref="H1" location="Contents!F1" display="Return to Contents page"/>
  </hyperlinks>
  <printOptions horizontalCentered="1"/>
  <pageMargins left="0.75" right="0.75" top="0.5" bottom="0.5" header="0.3" footer="0.3"/>
  <pageSetup scale="81" fitToHeight="0" orientation="portrait" blackAndWhite="1" r:id="rId1"/>
  <headerFooter scaleWithDoc="0">
    <oddFooter>&amp;L&amp;"Open Sans Light,Regular"&amp;8&amp;D    &amp;T&amp;C&amp;"Open Sans Light,Regular"&amp;8Page &amp;P&amp;R&amp;"Open Sans Light,Regular"&amp;8&amp;A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4" tint="0.39997558519241921"/>
  </sheetPr>
  <dimension ref="B1:AE123"/>
  <sheetViews>
    <sheetView showGridLines="0" topLeftCell="A88" zoomScaleNormal="100" zoomScaleSheetLayoutView="100" workbookViewId="0">
      <selection activeCell="F14" sqref="F14"/>
    </sheetView>
  </sheetViews>
  <sheetFormatPr defaultColWidth="10.6640625" defaultRowHeight="13.8"/>
  <cols>
    <col min="1" max="1" width="3.6640625" style="277" customWidth="1"/>
    <col min="2" max="2" width="40.6640625" style="276" customWidth="1"/>
    <col min="3" max="3" width="5.6640625" style="2042" customWidth="1"/>
    <col min="4" max="4" width="14.33203125" style="2043" customWidth="1"/>
    <col min="5" max="5" width="6.6640625" style="2043" customWidth="1"/>
    <col min="6" max="6" width="14.33203125" style="2043" customWidth="1"/>
    <col min="7" max="7" width="6.6640625" style="2043" customWidth="1"/>
    <col min="8" max="9" width="14.33203125" style="2043" customWidth="1"/>
    <col min="10" max="10" width="7.6640625" style="2043" customWidth="1"/>
    <col min="11" max="11" width="3.6640625" style="2043" customWidth="1"/>
    <col min="12" max="12" width="19.33203125" style="276" customWidth="1"/>
    <col min="13" max="13" width="28.44140625" style="276" customWidth="1"/>
    <col min="14" max="14" width="28.44140625" style="276" bestFit="1" customWidth="1"/>
    <col min="15" max="15" width="10.44140625" style="276" customWidth="1"/>
    <col min="16" max="16" width="18.88671875" style="276" customWidth="1"/>
    <col min="17" max="17" width="28.88671875" style="276" customWidth="1"/>
    <col min="18" max="18" width="12.88671875" style="276" customWidth="1"/>
    <col min="19" max="19" width="69.44140625" style="276" hidden="1" customWidth="1"/>
    <col min="20" max="20" width="10.6640625" style="2119" hidden="1" customWidth="1"/>
    <col min="21" max="30" width="10.6640625" style="276" hidden="1" customWidth="1"/>
    <col min="31" max="31" width="10.6640625" style="277" hidden="1" customWidth="1"/>
    <col min="32" max="16384" width="10.6640625" style="277"/>
  </cols>
  <sheetData>
    <row r="1" spans="2:31" s="276" customFormat="1" ht="12.75" customHeight="1" thickTop="1">
      <c r="B1" s="4525" t="s">
        <v>4646</v>
      </c>
      <c r="C1" s="2222"/>
      <c r="D1" s="2121"/>
      <c r="E1" s="2121"/>
      <c r="F1" s="2121"/>
      <c r="G1" s="2121"/>
      <c r="H1" s="2121"/>
      <c r="I1" s="2229"/>
      <c r="J1" s="2229" t="str">
        <f>"USD #"&amp;OPEN!$B$4</f>
        <v>USD #237</v>
      </c>
      <c r="K1" s="6279" t="s">
        <v>754</v>
      </c>
      <c r="L1" s="6280"/>
      <c r="M1" s="6256" t="s">
        <v>4848</v>
      </c>
      <c r="N1" s="6257"/>
      <c r="O1" s="6257"/>
      <c r="P1" s="6257"/>
      <c r="Q1" s="6257"/>
      <c r="R1" s="6258"/>
      <c r="S1" s="2119">
        <f>OpenData!Q5</f>
        <v>2021</v>
      </c>
      <c r="T1" s="2119" t="s">
        <v>5024</v>
      </c>
      <c r="U1" s="3857" t="s">
        <v>5025</v>
      </c>
      <c r="V1" s="3857" t="s">
        <v>5026</v>
      </c>
      <c r="W1" s="3857" t="s">
        <v>5027</v>
      </c>
      <c r="X1" s="3857" t="s">
        <v>5028</v>
      </c>
      <c r="Y1" s="3857" t="s">
        <v>5029</v>
      </c>
      <c r="Z1" s="3857" t="s">
        <v>5030</v>
      </c>
      <c r="AA1" s="3857" t="s">
        <v>5031</v>
      </c>
      <c r="AB1" s="3857" t="s">
        <v>5032</v>
      </c>
      <c r="AC1" s="2119" t="s">
        <v>5033</v>
      </c>
      <c r="AD1" s="2119" t="s">
        <v>5034</v>
      </c>
      <c r="AE1" s="2119" t="s">
        <v>5035</v>
      </c>
    </row>
    <row r="2" spans="2:31" s="276" customFormat="1" ht="12.75" customHeight="1">
      <c r="B2" s="2121" t="s">
        <v>784</v>
      </c>
      <c r="C2" s="2222"/>
      <c r="D2" s="2121"/>
      <c r="E2" s="2121"/>
      <c r="F2" s="2121"/>
      <c r="G2" s="2121"/>
      <c r="H2" s="2121"/>
      <c r="I2" s="2121"/>
      <c r="J2" s="2229" t="str">
        <f>OpenData!N2</f>
        <v>2021-2022</v>
      </c>
      <c r="K2" s="2229"/>
      <c r="L2" s="275"/>
      <c r="M2" s="2122" t="s">
        <v>1634</v>
      </c>
      <c r="N2" s="2123" t="str">
        <f>"Unified School District "&amp;OPEN!B4</f>
        <v>Unified School District 237</v>
      </c>
      <c r="O2" s="2123"/>
      <c r="P2" s="2123"/>
      <c r="Q2" s="2123"/>
      <c r="R2" s="2124"/>
      <c r="S2" s="2119">
        <f>OpenData!S5</f>
        <v>2022</v>
      </c>
      <c r="T2" s="2119" t="s">
        <v>5036</v>
      </c>
      <c r="U2" s="2119" t="s">
        <v>5067</v>
      </c>
      <c r="V2" s="2119" t="s">
        <v>5036</v>
      </c>
      <c r="W2" s="2119" t="s">
        <v>5036</v>
      </c>
      <c r="X2" s="2119" t="s">
        <v>5036</v>
      </c>
      <c r="Y2" s="2119" t="s">
        <v>5036</v>
      </c>
      <c r="Z2" s="2119" t="s">
        <v>5036</v>
      </c>
      <c r="AA2" s="2119" t="s">
        <v>5036</v>
      </c>
      <c r="AB2" s="2119" t="s">
        <v>5036</v>
      </c>
      <c r="AC2" s="2119" t="s">
        <v>5036</v>
      </c>
      <c r="AD2" s="2119" t="s">
        <v>5036</v>
      </c>
      <c r="AE2" s="2119" t="s">
        <v>5036</v>
      </c>
    </row>
    <row r="3" spans="2:31" s="2037" customFormat="1">
      <c r="B3" s="2121"/>
      <c r="C3" s="2222"/>
      <c r="D3" s="2121"/>
      <c r="E3" s="2121"/>
      <c r="F3" s="2121"/>
      <c r="G3" s="2121"/>
      <c r="H3" s="2121"/>
      <c r="I3" s="2121"/>
      <c r="J3" s="2229"/>
      <c r="K3" s="2224"/>
      <c r="L3" s="2034"/>
      <c r="M3" s="2122" t="s">
        <v>4842</v>
      </c>
      <c r="N3" s="6270" t="s">
        <v>5048</v>
      </c>
      <c r="O3" s="6270"/>
      <c r="P3" s="6270"/>
      <c r="Q3" s="6224" t="s">
        <v>1731</v>
      </c>
      <c r="R3" s="6225"/>
      <c r="T3" s="2119" t="s">
        <v>5037</v>
      </c>
      <c r="U3" s="2119" t="s">
        <v>5068</v>
      </c>
      <c r="V3" s="3858" t="s">
        <v>5037</v>
      </c>
      <c r="W3" s="3858" t="s">
        <v>5037</v>
      </c>
      <c r="X3" s="3858" t="s">
        <v>5037</v>
      </c>
      <c r="Y3" s="3858" t="s">
        <v>5037</v>
      </c>
      <c r="Z3" s="3858" t="s">
        <v>5037</v>
      </c>
      <c r="AA3" s="3858" t="s">
        <v>5037</v>
      </c>
      <c r="AB3" s="3858" t="s">
        <v>5037</v>
      </c>
      <c r="AC3" s="3858" t="s">
        <v>5037</v>
      </c>
      <c r="AD3" s="3858" t="s">
        <v>5037</v>
      </c>
      <c r="AE3" s="3858" t="s">
        <v>5037</v>
      </c>
    </row>
    <row r="4" spans="2:31" s="2045" customFormat="1">
      <c r="B4" s="6263" t="str">
        <f>"Notice of Hearing "&amp;OpenData!P4&amp;" Budget"</f>
        <v>Notice of Hearing 2021-2022 Budget</v>
      </c>
      <c r="C4" s="6263"/>
      <c r="D4" s="6263"/>
      <c r="E4" s="6263"/>
      <c r="F4" s="6263"/>
      <c r="G4" s="6263"/>
      <c r="H4" s="6263"/>
      <c r="I4" s="6263"/>
      <c r="J4" s="6263"/>
      <c r="K4" s="2225"/>
      <c r="L4" s="2034"/>
      <c r="M4" s="2122" t="s">
        <v>4841</v>
      </c>
      <c r="N4" s="6237" t="s">
        <v>5032</v>
      </c>
      <c r="O4" s="6237"/>
      <c r="P4" s="6237"/>
      <c r="Q4" s="6224" t="s">
        <v>4847</v>
      </c>
      <c r="R4" s="6225"/>
      <c r="T4" s="2119" t="s">
        <v>5038</v>
      </c>
      <c r="U4" s="2119" t="s">
        <v>5069</v>
      </c>
      <c r="V4" s="3858" t="s">
        <v>5038</v>
      </c>
      <c r="W4" s="3858" t="s">
        <v>5038</v>
      </c>
      <c r="X4" s="3858" t="s">
        <v>5038</v>
      </c>
      <c r="Y4" s="3858" t="s">
        <v>5038</v>
      </c>
      <c r="Z4" s="3858" t="s">
        <v>5038</v>
      </c>
      <c r="AA4" s="3858" t="s">
        <v>5038</v>
      </c>
      <c r="AB4" s="3858" t="s">
        <v>5038</v>
      </c>
      <c r="AC4" s="3858" t="s">
        <v>5038</v>
      </c>
      <c r="AD4" s="3858" t="s">
        <v>5038</v>
      </c>
      <c r="AE4" s="3858" t="s">
        <v>5038</v>
      </c>
    </row>
    <row r="5" spans="2:31" s="2037" customFormat="1" ht="51.75" customHeight="1">
      <c r="B5" s="6265" t="str">
        <f>"The governing body of Unified School District "&amp;OPEN!B4&amp;" will meet on the "&amp;N3&amp;" day of "&amp;N4&amp;" "&amp;OpenData!Q5&amp;" at "&amp;N5&amp;" "&amp;O5&amp;" at "&amp;N8&amp;", "&amp;N9&amp;", "&amp;O9&amp;" "&amp;P9&amp;" for the purpose of hearing and answering objections of taxpayers relating to the proposed use of all funds and the amount of tax to be levied.  Detailed budget information, including budget profile, is available at "&amp;N11&amp;" and will be available at this hearing."</f>
        <v>The governing body of Unified School District 237 will meet on the 13th  day of September 2021 at 6:50 PM at 216 S. Jefferson, Smith Center, KS 66967 for the purpose of hearing and answering objections of taxpayers relating to the proposed use of all funds and the amount of tax to be levied.  Detailed budget information, including budget profile, is available at District Office and will be available at this hearing.</v>
      </c>
      <c r="C5" s="6265"/>
      <c r="D5" s="6265"/>
      <c r="E5" s="6265"/>
      <c r="F5" s="6265"/>
      <c r="G5" s="6265"/>
      <c r="H5" s="6265"/>
      <c r="I5" s="6265"/>
      <c r="J5" s="6265"/>
      <c r="K5" s="2225"/>
      <c r="L5" s="2034"/>
      <c r="M5" s="6269" t="s">
        <v>4840</v>
      </c>
      <c r="N5" s="6277" t="s">
        <v>5312</v>
      </c>
      <c r="O5" s="6271" t="s">
        <v>5308</v>
      </c>
      <c r="P5" s="6272"/>
      <c r="Q5" s="6226" t="s">
        <v>4846</v>
      </c>
      <c r="R5" s="6227"/>
      <c r="T5" s="2119" t="s">
        <v>5039</v>
      </c>
      <c r="U5" s="2119" t="s">
        <v>5070</v>
      </c>
      <c r="V5" s="3858" t="s">
        <v>5039</v>
      </c>
      <c r="W5" s="3858" t="s">
        <v>5039</v>
      </c>
      <c r="X5" s="3858" t="s">
        <v>5039</v>
      </c>
      <c r="Y5" s="3858" t="s">
        <v>5039</v>
      </c>
      <c r="Z5" s="3858" t="s">
        <v>5039</v>
      </c>
      <c r="AA5" s="3858" t="s">
        <v>5039</v>
      </c>
      <c r="AB5" s="3858" t="s">
        <v>5039</v>
      </c>
      <c r="AC5" s="3858" t="s">
        <v>5039</v>
      </c>
      <c r="AD5" s="3858" t="s">
        <v>5039</v>
      </c>
      <c r="AE5" s="3858" t="s">
        <v>5039</v>
      </c>
    </row>
    <row r="6" spans="2:31" s="278" customFormat="1" ht="26.25" customHeight="1">
      <c r="B6" s="6265" t="str">
        <f>"The Amount of "&amp;OpenData!Q5&amp;" Tax to be Levied and Expenditures (published below) establish the maximum limits of the "&amp;OpenData!P4&amp;" Budget.  The 'Est. Tax Rate' (column 7), shown for comparative purposes, is subject to slight change depending on final assessed valuation."</f>
        <v>The Amount of 2021 Tax to be Levied and Expenditures (published below) establish the maximum limits of the 2021-2022 Budget.  The 'Est. Tax Rate' (column 7), shown for comparative purposes, is subject to slight change depending on final assessed valuation.</v>
      </c>
      <c r="C6" s="6265"/>
      <c r="D6" s="6265"/>
      <c r="E6" s="6265"/>
      <c r="F6" s="6265"/>
      <c r="G6" s="6265"/>
      <c r="H6" s="6265"/>
      <c r="I6" s="6265"/>
      <c r="J6" s="6265"/>
      <c r="K6" s="2121"/>
      <c r="L6" s="275"/>
      <c r="M6" s="6269"/>
      <c r="N6" s="6278"/>
      <c r="O6" s="6273"/>
      <c r="P6" s="6274"/>
      <c r="Q6" s="6226"/>
      <c r="R6" s="6227"/>
      <c r="T6" s="2119" t="s">
        <v>5040</v>
      </c>
      <c r="U6" s="2119" t="s">
        <v>5071</v>
      </c>
      <c r="V6" s="2119" t="s">
        <v>5040</v>
      </c>
      <c r="W6" s="2119" t="s">
        <v>5040</v>
      </c>
      <c r="X6" s="2119" t="s">
        <v>5040</v>
      </c>
      <c r="Y6" s="2119" t="s">
        <v>5040</v>
      </c>
      <c r="Z6" s="2119" t="s">
        <v>5040</v>
      </c>
      <c r="AA6" s="2119" t="s">
        <v>5040</v>
      </c>
      <c r="AB6" s="2119" t="s">
        <v>5040</v>
      </c>
      <c r="AC6" s="2119" t="s">
        <v>5040</v>
      </c>
      <c r="AD6" s="2119" t="s">
        <v>5040</v>
      </c>
      <c r="AE6" s="2119" t="s">
        <v>5040</v>
      </c>
    </row>
    <row r="7" spans="2:31" ht="12.75" customHeight="1">
      <c r="B7" s="2184"/>
      <c r="C7" s="2222"/>
      <c r="D7" s="2121"/>
      <c r="E7" s="2121"/>
      <c r="F7" s="2121"/>
      <c r="G7" s="2121"/>
      <c r="H7" s="2121"/>
      <c r="I7" s="2121"/>
      <c r="J7" s="2121"/>
      <c r="K7" s="2222"/>
      <c r="L7" s="275"/>
      <c r="M7" s="2125"/>
      <c r="N7" s="2127" t="s">
        <v>4838</v>
      </c>
      <c r="O7" s="6260" t="s">
        <v>4832</v>
      </c>
      <c r="P7" s="6260"/>
      <c r="Q7" s="6228" t="s">
        <v>4845</v>
      </c>
      <c r="R7" s="6229"/>
      <c r="T7" s="2119" t="s">
        <v>5041</v>
      </c>
      <c r="U7" s="2119" t="s">
        <v>5072</v>
      </c>
      <c r="V7" s="2119" t="s">
        <v>5041</v>
      </c>
      <c r="W7" s="2119" t="s">
        <v>5041</v>
      </c>
      <c r="X7" s="2119" t="s">
        <v>5041</v>
      </c>
      <c r="Y7" s="2119" t="s">
        <v>5041</v>
      </c>
      <c r="Z7" s="2119" t="s">
        <v>5041</v>
      </c>
      <c r="AA7" s="2119" t="s">
        <v>5041</v>
      </c>
      <c r="AB7" s="2119" t="s">
        <v>5041</v>
      </c>
      <c r="AC7" s="2119" t="s">
        <v>5041</v>
      </c>
      <c r="AD7" s="2119" t="s">
        <v>5041</v>
      </c>
      <c r="AE7" s="2119" t="s">
        <v>5041</v>
      </c>
    </row>
    <row r="8" spans="2:31" ht="12.75" customHeight="1">
      <c r="B8" s="2185"/>
      <c r="C8" s="2222"/>
      <c r="D8" s="6194" t="str">
        <f>OpenData!$N$4&amp;" Actual"</f>
        <v>2019-2020 Actual</v>
      </c>
      <c r="E8" s="6196"/>
      <c r="F8" s="6194" t="str">
        <f>OpenData!O4&amp;" Actual"</f>
        <v>2020-2021 Actual</v>
      </c>
      <c r="G8" s="6196"/>
      <c r="H8" s="6194" t="str">
        <f>OpenData!P4&amp;" Proposed Budget"</f>
        <v>2021-2022 Proposed Budget</v>
      </c>
      <c r="I8" s="6195"/>
      <c r="J8" s="6196"/>
      <c r="K8" s="2222"/>
      <c r="L8" s="275"/>
      <c r="M8" s="6262" t="s">
        <v>4839</v>
      </c>
      <c r="N8" s="6275" t="s">
        <v>5310</v>
      </c>
      <c r="O8" s="6275"/>
      <c r="P8" s="6275"/>
      <c r="Q8" s="6228"/>
      <c r="R8" s="6229"/>
      <c r="T8" s="2119" t="s">
        <v>5042</v>
      </c>
      <c r="U8" s="2119" t="s">
        <v>5073</v>
      </c>
      <c r="V8" s="2119" t="s">
        <v>5042</v>
      </c>
      <c r="W8" s="2119" t="s">
        <v>5042</v>
      </c>
      <c r="X8" s="2119" t="s">
        <v>5042</v>
      </c>
      <c r="Y8" s="2119" t="s">
        <v>5042</v>
      </c>
      <c r="Z8" s="2119" t="s">
        <v>5042</v>
      </c>
      <c r="AA8" s="2119" t="s">
        <v>5042</v>
      </c>
      <c r="AB8" s="2119" t="s">
        <v>5042</v>
      </c>
      <c r="AC8" s="2119" t="s">
        <v>5042</v>
      </c>
      <c r="AD8" s="2119" t="s">
        <v>5042</v>
      </c>
      <c r="AE8" s="2119" t="s">
        <v>5042</v>
      </c>
    </row>
    <row r="9" spans="2:31" ht="12.75" customHeight="1">
      <c r="B9" s="2185"/>
      <c r="C9" s="2222"/>
      <c r="D9" s="2137"/>
      <c r="E9" s="2137" t="s">
        <v>893</v>
      </c>
      <c r="F9" s="2137"/>
      <c r="G9" s="2137" t="s">
        <v>893</v>
      </c>
      <c r="H9" s="2137"/>
      <c r="I9" s="2138" t="s">
        <v>4820</v>
      </c>
      <c r="J9" s="2137" t="s">
        <v>785</v>
      </c>
      <c r="K9" s="2222"/>
      <c r="L9" s="275"/>
      <c r="M9" s="6262"/>
      <c r="N9" s="2116" t="s">
        <v>5309</v>
      </c>
      <c r="O9" s="2117" t="s">
        <v>4836</v>
      </c>
      <c r="P9" s="2118">
        <v>66967</v>
      </c>
      <c r="Q9" s="6224" t="s">
        <v>4837</v>
      </c>
      <c r="R9" s="6225"/>
      <c r="T9" s="2119" t="s">
        <v>5043</v>
      </c>
      <c r="U9" s="2119" t="s">
        <v>5074</v>
      </c>
      <c r="V9" s="2119" t="s">
        <v>5043</v>
      </c>
      <c r="W9" s="2119" t="s">
        <v>5043</v>
      </c>
      <c r="X9" s="2119" t="s">
        <v>5043</v>
      </c>
      <c r="Y9" s="2119" t="s">
        <v>5043</v>
      </c>
      <c r="Z9" s="2119" t="s">
        <v>5043</v>
      </c>
      <c r="AA9" s="2119" t="s">
        <v>5043</v>
      </c>
      <c r="AB9" s="2119" t="s">
        <v>5043</v>
      </c>
      <c r="AC9" s="2119" t="s">
        <v>5043</v>
      </c>
      <c r="AD9" s="2119" t="s">
        <v>5043</v>
      </c>
      <c r="AE9" s="2119" t="s">
        <v>5043</v>
      </c>
    </row>
    <row r="10" spans="2:31" ht="12.75" customHeight="1">
      <c r="B10" s="2228"/>
      <c r="C10" s="3931" t="s">
        <v>854</v>
      </c>
      <c r="D10" s="2139" t="s">
        <v>893</v>
      </c>
      <c r="E10" s="2139" t="s">
        <v>894</v>
      </c>
      <c r="F10" s="2139" t="s">
        <v>786</v>
      </c>
      <c r="G10" s="2139" t="s">
        <v>894</v>
      </c>
      <c r="H10" s="2139"/>
      <c r="I10" s="2139" t="str">
        <f>OpenData!Q5&amp;" Tax to"</f>
        <v>2021 Tax to</v>
      </c>
      <c r="J10" s="2139" t="s">
        <v>894</v>
      </c>
      <c r="K10" s="2222"/>
      <c r="L10" s="275"/>
      <c r="M10" s="2122"/>
      <c r="N10" s="2127"/>
      <c r="O10" s="2128"/>
      <c r="P10" s="2127"/>
      <c r="Q10" s="6228" t="s">
        <v>4844</v>
      </c>
      <c r="R10" s="6229"/>
      <c r="T10" s="2119" t="s">
        <v>5044</v>
      </c>
      <c r="U10" s="2119" t="s">
        <v>5075</v>
      </c>
      <c r="V10" s="2119" t="s">
        <v>5044</v>
      </c>
      <c r="W10" s="2119" t="s">
        <v>5044</v>
      </c>
      <c r="X10" s="2119" t="s">
        <v>5044</v>
      </c>
      <c r="Y10" s="2119" t="s">
        <v>5044</v>
      </c>
      <c r="Z10" s="2119" t="s">
        <v>5044</v>
      </c>
      <c r="AA10" s="2119" t="s">
        <v>5044</v>
      </c>
      <c r="AB10" s="2119" t="s">
        <v>5044</v>
      </c>
      <c r="AC10" s="2119" t="s">
        <v>5044</v>
      </c>
      <c r="AD10" s="2119" t="s">
        <v>5044</v>
      </c>
      <c r="AE10" s="2119" t="s">
        <v>5044</v>
      </c>
    </row>
    <row r="11" spans="2:31" ht="12.75" customHeight="1" thickBot="1">
      <c r="B11" s="2228"/>
      <c r="C11" s="3930">
        <v>99</v>
      </c>
      <c r="D11" s="2139" t="s">
        <v>856</v>
      </c>
      <c r="E11" s="2140" t="s">
        <v>913</v>
      </c>
      <c r="F11" s="2139" t="s">
        <v>856</v>
      </c>
      <c r="G11" s="2139" t="s">
        <v>787</v>
      </c>
      <c r="H11" s="2139" t="s">
        <v>856</v>
      </c>
      <c r="I11" s="2139" t="s">
        <v>857</v>
      </c>
      <c r="J11" s="2139" t="s">
        <v>787</v>
      </c>
      <c r="K11" s="2040"/>
      <c r="L11" s="275"/>
      <c r="M11" s="2126" t="s">
        <v>4843</v>
      </c>
      <c r="N11" s="6261" t="s">
        <v>5311</v>
      </c>
      <c r="O11" s="6261"/>
      <c r="P11" s="6261"/>
      <c r="Q11" s="6230"/>
      <c r="R11" s="6231"/>
      <c r="T11" s="2119" t="s">
        <v>5045</v>
      </c>
      <c r="U11" s="2119" t="s">
        <v>5076</v>
      </c>
      <c r="V11" s="2119" t="s">
        <v>5045</v>
      </c>
      <c r="W11" s="2119" t="s">
        <v>5045</v>
      </c>
      <c r="X11" s="2119" t="s">
        <v>5045</v>
      </c>
      <c r="Y11" s="2119" t="s">
        <v>5045</v>
      </c>
      <c r="Z11" s="2119" t="s">
        <v>5045</v>
      </c>
      <c r="AA11" s="2119" t="s">
        <v>5045</v>
      </c>
      <c r="AB11" s="2119" t="s">
        <v>5045</v>
      </c>
      <c r="AC11" s="2119" t="s">
        <v>5045</v>
      </c>
      <c r="AD11" s="2119" t="s">
        <v>5045</v>
      </c>
      <c r="AE11" s="2119" t="s">
        <v>5045</v>
      </c>
    </row>
    <row r="12" spans="2:31" ht="12.75" customHeight="1" thickTop="1">
      <c r="B12" s="2239"/>
      <c r="C12" s="3938" t="s">
        <v>858</v>
      </c>
      <c r="D12" s="2141">
        <v>1</v>
      </c>
      <c r="E12" s="2141">
        <v>2</v>
      </c>
      <c r="F12" s="2141">
        <v>3</v>
      </c>
      <c r="G12" s="2141">
        <v>4</v>
      </c>
      <c r="H12" s="2141">
        <v>5</v>
      </c>
      <c r="I12" s="2141">
        <v>6</v>
      </c>
      <c r="J12" s="2141">
        <v>7</v>
      </c>
      <c r="K12" s="2230"/>
      <c r="L12" s="275"/>
      <c r="M12" s="275"/>
      <c r="N12" s="275"/>
      <c r="O12" s="275"/>
      <c r="P12" s="275"/>
      <c r="Q12" s="275"/>
      <c r="R12" s="275"/>
      <c r="S12" s="275"/>
      <c r="T12" s="2119" t="s">
        <v>5046</v>
      </c>
      <c r="U12" s="2119" t="s">
        <v>5077</v>
      </c>
      <c r="V12" s="2119" t="s">
        <v>5046</v>
      </c>
      <c r="W12" s="2119" t="s">
        <v>5046</v>
      </c>
      <c r="X12" s="2119" t="s">
        <v>5046</v>
      </c>
      <c r="Y12" s="2119" t="s">
        <v>5046</v>
      </c>
      <c r="Z12" s="2119" t="s">
        <v>5046</v>
      </c>
      <c r="AA12" s="2119" t="s">
        <v>5046</v>
      </c>
      <c r="AB12" s="2119" t="s">
        <v>5046</v>
      </c>
      <c r="AC12" s="2119" t="s">
        <v>5046</v>
      </c>
      <c r="AD12" s="2119" t="s">
        <v>5046</v>
      </c>
      <c r="AE12" s="2119" t="s">
        <v>5046</v>
      </c>
    </row>
    <row r="13" spans="2:31" ht="12.75" customHeight="1">
      <c r="B13" s="3954" t="s">
        <v>788</v>
      </c>
      <c r="C13" s="3946"/>
      <c r="D13" s="3800"/>
      <c r="E13" s="3800"/>
      <c r="F13" s="3800"/>
      <c r="G13" s="3800"/>
      <c r="H13" s="3800"/>
      <c r="I13" s="3800"/>
      <c r="J13" s="3800"/>
      <c r="K13" s="2038"/>
      <c r="L13" s="275"/>
      <c r="M13" s="275"/>
      <c r="N13" s="275"/>
      <c r="O13" s="275"/>
      <c r="P13" s="275"/>
      <c r="Q13" s="275"/>
      <c r="R13" s="275"/>
      <c r="S13" s="275"/>
      <c r="T13" s="2119" t="s">
        <v>5047</v>
      </c>
      <c r="U13" s="2119" t="s">
        <v>5078</v>
      </c>
      <c r="V13" s="2119" t="s">
        <v>5047</v>
      </c>
      <c r="W13" s="2119" t="s">
        <v>5047</v>
      </c>
      <c r="X13" s="2119" t="s">
        <v>5047</v>
      </c>
      <c r="Y13" s="2119" t="s">
        <v>5047</v>
      </c>
      <c r="Z13" s="2119" t="s">
        <v>5047</v>
      </c>
      <c r="AA13" s="2119" t="s">
        <v>5047</v>
      </c>
      <c r="AB13" s="2119" t="s">
        <v>5047</v>
      </c>
      <c r="AC13" s="2119" t="s">
        <v>5047</v>
      </c>
      <c r="AD13" s="2119" t="s">
        <v>5047</v>
      </c>
      <c r="AE13" s="2119" t="s">
        <v>5047</v>
      </c>
    </row>
    <row r="14" spans="2:31" ht="12.75" customHeight="1">
      <c r="B14" s="3955" t="s">
        <v>813</v>
      </c>
      <c r="C14" s="3948">
        <v>6</v>
      </c>
      <c r="D14" s="2142">
        <f>'C06'!C31</f>
        <v>3785807</v>
      </c>
      <c r="E14" s="2120">
        <f>OPEN!$B$23</f>
        <v>20</v>
      </c>
      <c r="F14" s="2142">
        <f>'C06'!D31</f>
        <v>3899399</v>
      </c>
      <c r="G14" s="2120">
        <f>OPEN!$D$23</f>
        <v>20</v>
      </c>
      <c r="H14" s="2143">
        <f>IF(ISERROR('C06'!E31),0,'C06'!E31)</f>
        <v>3938451</v>
      </c>
      <c r="I14" s="2142">
        <f>OPEN!A16*(20/1000)</f>
        <v>958270</v>
      </c>
      <c r="J14" s="2110">
        <v>20</v>
      </c>
      <c r="K14" s="2038"/>
      <c r="L14" s="275"/>
      <c r="M14" s="275"/>
      <c r="N14" s="275"/>
      <c r="O14" s="275"/>
      <c r="P14" s="275"/>
      <c r="Q14" s="275"/>
      <c r="R14" s="275"/>
      <c r="S14" s="275"/>
      <c r="T14" s="2119" t="s">
        <v>5048</v>
      </c>
      <c r="U14" s="2119" t="s">
        <v>5079</v>
      </c>
      <c r="V14" s="2119" t="s">
        <v>5048</v>
      </c>
      <c r="W14" s="2119" t="s">
        <v>5048</v>
      </c>
      <c r="X14" s="2119" t="s">
        <v>5048</v>
      </c>
      <c r="Y14" s="2119" t="s">
        <v>5048</v>
      </c>
      <c r="Z14" s="2119" t="s">
        <v>5048</v>
      </c>
      <c r="AA14" s="2119" t="s">
        <v>5048</v>
      </c>
      <c r="AB14" s="2119" t="s">
        <v>5048</v>
      </c>
      <c r="AC14" s="2119" t="s">
        <v>5048</v>
      </c>
      <c r="AD14" s="2119" t="s">
        <v>5048</v>
      </c>
      <c r="AE14" s="2119" t="s">
        <v>5048</v>
      </c>
    </row>
    <row r="15" spans="2:31" ht="12.75" customHeight="1">
      <c r="B15" s="3942" t="s">
        <v>4897</v>
      </c>
      <c r="C15" s="3947">
        <v>8</v>
      </c>
      <c r="D15" s="2147">
        <f>'C08'!$C$32</f>
        <v>1295220</v>
      </c>
      <c r="E15" s="2199">
        <f>OPEN!$B$24</f>
        <v>20.41</v>
      </c>
      <c r="F15" s="2147">
        <f>'C08'!$D$32</f>
        <v>1302525</v>
      </c>
      <c r="G15" s="2199">
        <f>OPEN!$D$24</f>
        <v>19.608000000000001</v>
      </c>
      <c r="H15" s="2200">
        <f>IF(ISERROR('C08'!$E$32),0,'C08'!$E$32)</f>
        <v>1299650</v>
      </c>
      <c r="I15" s="2201">
        <f>IF(OR(ISERROR('C08'!E37),'C08'!E37="ERROR"),0,'C08'!E37)</f>
        <v>1021650</v>
      </c>
      <c r="J15" s="2146">
        <f>IF(ISERROR(I15/H73*1000),0,I15/H73*1000)</f>
        <v>20.036999999999999</v>
      </c>
      <c r="K15" s="2230"/>
      <c r="L15" s="275"/>
      <c r="M15" s="275"/>
      <c r="N15" s="275"/>
      <c r="O15" s="275"/>
      <c r="P15" s="275"/>
      <c r="Q15" s="275"/>
      <c r="R15" s="275"/>
      <c r="S15" s="275"/>
      <c r="T15" s="2119" t="s">
        <v>5049</v>
      </c>
      <c r="U15" s="2119" t="s">
        <v>5080</v>
      </c>
      <c r="V15" s="2119" t="s">
        <v>5049</v>
      </c>
      <c r="W15" s="2119" t="s">
        <v>5049</v>
      </c>
      <c r="X15" s="2119" t="s">
        <v>5049</v>
      </c>
      <c r="Y15" s="2119" t="s">
        <v>5049</v>
      </c>
      <c r="Z15" s="2119" t="s">
        <v>5049</v>
      </c>
      <c r="AA15" s="2119" t="s">
        <v>5049</v>
      </c>
      <c r="AB15" s="2119" t="s">
        <v>5049</v>
      </c>
      <c r="AC15" s="2119" t="s">
        <v>5049</v>
      </c>
      <c r="AD15" s="2119" t="s">
        <v>5049</v>
      </c>
      <c r="AE15" s="2119" t="s">
        <v>5049</v>
      </c>
    </row>
    <row r="16" spans="2:31" ht="12.75" customHeight="1">
      <c r="B16" s="3954" t="s">
        <v>789</v>
      </c>
      <c r="C16" s="3946"/>
      <c r="D16" s="3800"/>
      <c r="E16" s="3800"/>
      <c r="F16" s="3800"/>
      <c r="G16" s="3800"/>
      <c r="H16" s="3800"/>
      <c r="I16" s="3800"/>
      <c r="J16" s="3800"/>
      <c r="K16" s="2038"/>
      <c r="L16" s="275"/>
      <c r="M16" s="275"/>
      <c r="N16" s="2119"/>
      <c r="O16" s="275"/>
      <c r="P16" s="275"/>
      <c r="Q16" s="275"/>
      <c r="R16" s="275"/>
      <c r="S16" s="275"/>
      <c r="T16" s="2119" t="s">
        <v>5050</v>
      </c>
      <c r="U16" s="2119" t="s">
        <v>5081</v>
      </c>
      <c r="V16" s="2119" t="s">
        <v>5050</v>
      </c>
      <c r="W16" s="2119" t="s">
        <v>5050</v>
      </c>
      <c r="X16" s="2119" t="s">
        <v>5050</v>
      </c>
      <c r="Y16" s="2119" t="s">
        <v>5050</v>
      </c>
      <c r="Z16" s="2119" t="s">
        <v>5050</v>
      </c>
      <c r="AA16" s="2119" t="s">
        <v>5050</v>
      </c>
      <c r="AB16" s="2119" t="s">
        <v>5050</v>
      </c>
      <c r="AC16" s="2119" t="s">
        <v>5050</v>
      </c>
      <c r="AD16" s="2119" t="s">
        <v>5050</v>
      </c>
      <c r="AE16" s="2119" t="s">
        <v>5050</v>
      </c>
    </row>
    <row r="17" spans="2:31" ht="12.75" customHeight="1">
      <c r="B17" s="3955" t="s">
        <v>1014</v>
      </c>
      <c r="C17" s="3948">
        <v>7</v>
      </c>
      <c r="D17" s="2142">
        <f>'C07'!$C$23</f>
        <v>108216</v>
      </c>
      <c r="E17" s="2144"/>
      <c r="F17" s="2142">
        <f>'C07'!$D$23</f>
        <v>452310</v>
      </c>
      <c r="G17" s="2144"/>
      <c r="H17" s="2142">
        <f>IF(ISERROR('C07'!$E$23),0,'C07'!$E$23)</f>
        <v>413217</v>
      </c>
      <c r="I17" s="2145"/>
      <c r="J17" s="2144"/>
      <c r="K17" s="2038"/>
      <c r="L17" s="275"/>
      <c r="M17" s="275"/>
      <c r="N17" s="2119"/>
      <c r="O17" s="275"/>
      <c r="P17" s="275"/>
      <c r="Q17" s="275"/>
      <c r="R17" s="275"/>
      <c r="S17" s="275"/>
      <c r="T17" s="2119" t="s">
        <v>5051</v>
      </c>
      <c r="U17" s="2119" t="s">
        <v>5082</v>
      </c>
      <c r="V17" s="2119" t="s">
        <v>5051</v>
      </c>
      <c r="W17" s="2119" t="s">
        <v>5051</v>
      </c>
      <c r="X17" s="2119" t="s">
        <v>5051</v>
      </c>
      <c r="Y17" s="2119" t="s">
        <v>5051</v>
      </c>
      <c r="Z17" s="2119" t="s">
        <v>5051</v>
      </c>
      <c r="AA17" s="2119" t="s">
        <v>5051</v>
      </c>
      <c r="AB17" s="2119" t="s">
        <v>5051</v>
      </c>
      <c r="AC17" s="2119" t="s">
        <v>5051</v>
      </c>
      <c r="AD17" s="2119" t="s">
        <v>5051</v>
      </c>
      <c r="AE17" s="2119" t="s">
        <v>5051</v>
      </c>
    </row>
    <row r="18" spans="2:31" ht="12.75" customHeight="1">
      <c r="B18" s="3942" t="s">
        <v>815</v>
      </c>
      <c r="C18" s="3947">
        <v>10</v>
      </c>
      <c r="D18" s="2142">
        <f>'C010'!C51</f>
        <v>0</v>
      </c>
      <c r="E18" s="2186">
        <f>OPEN!$B$25</f>
        <v>0</v>
      </c>
      <c r="F18" s="2142">
        <f>'C010'!D51</f>
        <v>0</v>
      </c>
      <c r="G18" s="2186">
        <f>OPEN!$D$25</f>
        <v>0</v>
      </c>
      <c r="H18" s="2142">
        <f>IF(ISERROR('C010'!E51),0,'C010'!E51)</f>
        <v>0</v>
      </c>
      <c r="I18" s="2145">
        <f>IF(ISERROR('C010'!$F$18),0,'C010'!$F$18)</f>
        <v>0</v>
      </c>
      <c r="J18" s="2144">
        <f>IF(ISERROR(I18/H73*1000),0,I18/H73*1000)</f>
        <v>0</v>
      </c>
      <c r="K18" s="2038"/>
      <c r="L18" s="275"/>
      <c r="M18" s="275"/>
      <c r="N18" s="2119"/>
      <c r="O18" s="275"/>
      <c r="P18" s="275"/>
      <c r="Q18" s="275"/>
      <c r="R18" s="275"/>
      <c r="S18" s="275"/>
      <c r="T18" s="2119" t="s">
        <v>5052</v>
      </c>
      <c r="U18" s="2119" t="s">
        <v>5083</v>
      </c>
      <c r="V18" s="2119" t="s">
        <v>5052</v>
      </c>
      <c r="W18" s="2119" t="s">
        <v>5052</v>
      </c>
      <c r="X18" s="2119" t="s">
        <v>5052</v>
      </c>
      <c r="Y18" s="2119" t="s">
        <v>5052</v>
      </c>
      <c r="Z18" s="2119" t="s">
        <v>5052</v>
      </c>
      <c r="AA18" s="2119" t="s">
        <v>5052</v>
      </c>
      <c r="AB18" s="2119" t="s">
        <v>5052</v>
      </c>
      <c r="AC18" s="2119" t="s">
        <v>5052</v>
      </c>
      <c r="AD18" s="2119" t="s">
        <v>5052</v>
      </c>
      <c r="AE18" s="2119" t="s">
        <v>5052</v>
      </c>
    </row>
    <row r="19" spans="2:31" ht="12.75" customHeight="1">
      <c r="B19" s="3942" t="s">
        <v>4549</v>
      </c>
      <c r="C19" s="3947">
        <v>11</v>
      </c>
      <c r="D19" s="2142">
        <f>'C011'!C29</f>
        <v>0</v>
      </c>
      <c r="E19" s="2146"/>
      <c r="F19" s="2142">
        <f>'C011'!D29</f>
        <v>0</v>
      </c>
      <c r="G19" s="2146"/>
      <c r="H19" s="2142">
        <f>'C011'!E29</f>
        <v>0</v>
      </c>
      <c r="I19" s="2147"/>
      <c r="J19" s="2146"/>
      <c r="K19" s="2038"/>
      <c r="L19" s="275"/>
      <c r="M19" s="275"/>
      <c r="N19" s="2119"/>
      <c r="O19" s="275"/>
      <c r="P19" s="275"/>
      <c r="Q19" s="275"/>
      <c r="R19" s="275"/>
      <c r="S19" s="275"/>
      <c r="T19" s="2119" t="s">
        <v>5053</v>
      </c>
      <c r="U19" s="2119" t="s">
        <v>5084</v>
      </c>
      <c r="V19" s="2119" t="s">
        <v>5053</v>
      </c>
      <c r="W19" s="2119" t="s">
        <v>5053</v>
      </c>
      <c r="X19" s="2119" t="s">
        <v>5053</v>
      </c>
      <c r="Y19" s="2119" t="s">
        <v>5053</v>
      </c>
      <c r="Z19" s="2119" t="s">
        <v>5053</v>
      </c>
      <c r="AA19" s="2119" t="s">
        <v>5053</v>
      </c>
      <c r="AB19" s="2119" t="s">
        <v>5053</v>
      </c>
      <c r="AC19" s="2119" t="s">
        <v>5053</v>
      </c>
      <c r="AD19" s="2119" t="s">
        <v>5053</v>
      </c>
      <c r="AE19" s="2119" t="s">
        <v>5053</v>
      </c>
    </row>
    <row r="20" spans="2:31" ht="12.75" customHeight="1">
      <c r="B20" s="3942" t="s">
        <v>1595</v>
      </c>
      <c r="C20" s="3947">
        <v>12</v>
      </c>
      <c r="D20" s="2203">
        <f>'C012'!C25</f>
        <v>0</v>
      </c>
      <c r="E20" s="2144"/>
      <c r="F20" s="2203">
        <f>'C012'!D25</f>
        <v>0</v>
      </c>
      <c r="G20" s="2144"/>
      <c r="H20" s="2203">
        <f>IF(ISERROR('C012'!E25),0,'C012'!E25)</f>
        <v>0</v>
      </c>
      <c r="I20" s="2145"/>
      <c r="J20" s="2144"/>
      <c r="K20" s="2038"/>
      <c r="L20" s="275"/>
      <c r="M20" s="275"/>
      <c r="N20" s="2119"/>
      <c r="O20" s="275"/>
      <c r="P20" s="275"/>
      <c r="Q20" s="275"/>
      <c r="R20" s="275"/>
      <c r="S20" s="275"/>
      <c r="T20" s="2119" t="s">
        <v>5054</v>
      </c>
      <c r="U20" s="2119" t="s">
        <v>5085</v>
      </c>
      <c r="V20" s="2119" t="s">
        <v>5054</v>
      </c>
      <c r="W20" s="2119" t="s">
        <v>5054</v>
      </c>
      <c r="X20" s="2119" t="s">
        <v>5054</v>
      </c>
      <c r="Y20" s="2119" t="s">
        <v>5054</v>
      </c>
      <c r="Z20" s="2119" t="s">
        <v>5054</v>
      </c>
      <c r="AA20" s="2119" t="s">
        <v>5054</v>
      </c>
      <c r="AB20" s="2119" t="s">
        <v>5054</v>
      </c>
      <c r="AC20" s="2119" t="s">
        <v>5054</v>
      </c>
      <c r="AD20" s="2119" t="s">
        <v>5054</v>
      </c>
      <c r="AE20" s="2119" t="s">
        <v>5054</v>
      </c>
    </row>
    <row r="21" spans="2:31" ht="12.75" customHeight="1">
      <c r="B21" s="3942" t="s">
        <v>1596</v>
      </c>
      <c r="C21" s="3947">
        <v>13</v>
      </c>
      <c r="D21" s="2147">
        <f>'C013'!C29</f>
        <v>370752</v>
      </c>
      <c r="E21" s="2144"/>
      <c r="F21" s="2147">
        <f>'C013'!D29</f>
        <v>374627</v>
      </c>
      <c r="G21" s="2144"/>
      <c r="H21" s="2203">
        <f>'C013'!E29</f>
        <v>515106</v>
      </c>
      <c r="I21" s="2145"/>
      <c r="J21" s="2144"/>
      <c r="K21" s="2038"/>
      <c r="L21" s="275"/>
      <c r="M21" s="275"/>
      <c r="N21" s="2119"/>
      <c r="O21" s="275"/>
      <c r="P21" s="275"/>
      <c r="Q21" s="275"/>
      <c r="R21" s="275"/>
      <c r="S21" s="275"/>
      <c r="T21" s="2119" t="s">
        <v>5055</v>
      </c>
      <c r="U21" s="2119" t="s">
        <v>5086</v>
      </c>
      <c r="V21" s="2119" t="s">
        <v>5055</v>
      </c>
      <c r="W21" s="2119" t="s">
        <v>5055</v>
      </c>
      <c r="X21" s="2119" t="s">
        <v>5055</v>
      </c>
      <c r="Y21" s="2119" t="s">
        <v>5055</v>
      </c>
      <c r="Z21" s="2119" t="s">
        <v>5055</v>
      </c>
      <c r="AA21" s="2119" t="s">
        <v>5055</v>
      </c>
      <c r="AB21" s="2119" t="s">
        <v>5055</v>
      </c>
      <c r="AC21" s="2119" t="s">
        <v>5055</v>
      </c>
      <c r="AD21" s="2119" t="s">
        <v>5055</v>
      </c>
      <c r="AE21" s="2119" t="s">
        <v>5055</v>
      </c>
    </row>
    <row r="22" spans="2:31" ht="12.75" customHeight="1">
      <c r="B22" s="3942" t="s">
        <v>1505</v>
      </c>
      <c r="C22" s="3947">
        <v>14</v>
      </c>
      <c r="D22" s="2147">
        <f>'C014'!C24</f>
        <v>0</v>
      </c>
      <c r="E22" s="2144"/>
      <c r="F22" s="2147">
        <f>'C014'!D24</f>
        <v>1000</v>
      </c>
      <c r="G22" s="2144"/>
      <c r="H22" s="2203">
        <f>IF(ISERROR('C014'!E24),0,'C014'!E24)</f>
        <v>1000</v>
      </c>
      <c r="I22" s="2145"/>
      <c r="J22" s="2144"/>
      <c r="K22" s="2038"/>
      <c r="L22" s="275"/>
      <c r="M22" s="275"/>
      <c r="N22" s="2119"/>
      <c r="O22" s="275"/>
      <c r="P22" s="275"/>
      <c r="Q22" s="275"/>
      <c r="R22" s="275"/>
      <c r="S22" s="275"/>
      <c r="T22" s="2119" t="s">
        <v>5056</v>
      </c>
      <c r="U22" s="2119" t="s">
        <v>5087</v>
      </c>
      <c r="V22" s="2119" t="s">
        <v>5056</v>
      </c>
      <c r="W22" s="2119" t="s">
        <v>5056</v>
      </c>
      <c r="X22" s="2119" t="s">
        <v>5056</v>
      </c>
      <c r="Y22" s="2119" t="s">
        <v>5056</v>
      </c>
      <c r="Z22" s="2119" t="s">
        <v>5056</v>
      </c>
      <c r="AA22" s="2119" t="s">
        <v>5056</v>
      </c>
      <c r="AB22" s="2119" t="s">
        <v>5056</v>
      </c>
      <c r="AC22" s="2119" t="s">
        <v>5056</v>
      </c>
      <c r="AD22" s="2119" t="s">
        <v>5056</v>
      </c>
      <c r="AE22" s="2119" t="s">
        <v>5056</v>
      </c>
    </row>
    <row r="23" spans="2:31" ht="12.75" customHeight="1">
      <c r="B23" s="3942" t="s">
        <v>1509</v>
      </c>
      <c r="C23" s="3947">
        <v>15</v>
      </c>
      <c r="D23" s="2203">
        <f>'C015'!C25</f>
        <v>0</v>
      </c>
      <c r="E23" s="2144"/>
      <c r="F23" s="2203">
        <f>'C015'!D25</f>
        <v>0</v>
      </c>
      <c r="G23" s="2144"/>
      <c r="H23" s="2203">
        <f>IF(ISERROR('C015'!E25),0,'C015'!E25)</f>
        <v>0</v>
      </c>
      <c r="I23" s="2145"/>
      <c r="J23" s="2144"/>
      <c r="K23" s="2038"/>
      <c r="L23" s="275"/>
      <c r="M23" s="275"/>
      <c r="N23" s="2119"/>
      <c r="O23" s="275"/>
      <c r="P23" s="275"/>
      <c r="Q23" s="275"/>
      <c r="R23" s="275"/>
      <c r="S23" s="275"/>
      <c r="T23" s="2119" t="s">
        <v>5057</v>
      </c>
      <c r="U23" s="2119" t="s">
        <v>5088</v>
      </c>
      <c r="V23" s="2119" t="s">
        <v>5057</v>
      </c>
      <c r="W23" s="2119" t="s">
        <v>5057</v>
      </c>
      <c r="X23" s="2119" t="s">
        <v>5057</v>
      </c>
      <c r="Y23" s="2119" t="s">
        <v>5057</v>
      </c>
      <c r="Z23" s="2119" t="s">
        <v>5057</v>
      </c>
      <c r="AA23" s="2119" t="s">
        <v>5057</v>
      </c>
      <c r="AB23" s="2119" t="s">
        <v>5057</v>
      </c>
      <c r="AC23" s="2119" t="s">
        <v>5057</v>
      </c>
      <c r="AD23" s="2119" t="s">
        <v>5057</v>
      </c>
      <c r="AE23" s="2119" t="s">
        <v>5057</v>
      </c>
    </row>
    <row r="24" spans="2:31" ht="12.75" customHeight="1">
      <c r="B24" s="3942" t="s">
        <v>816</v>
      </c>
      <c r="C24" s="3947">
        <v>16</v>
      </c>
      <c r="D24" s="2142">
        <f>'C016'!C44</f>
        <v>572682</v>
      </c>
      <c r="E24" s="2120">
        <f>OPEN!$B$26</f>
        <v>7.9870000000000001</v>
      </c>
      <c r="F24" s="2142">
        <f>'C016'!D44</f>
        <v>421526</v>
      </c>
      <c r="G24" s="2120">
        <f>OPEN!$D$26</f>
        <v>7.9809999999999999</v>
      </c>
      <c r="H24" s="2203">
        <f>IF(ISERROR('C016'!E44),0,'C016'!E44)</f>
        <v>578752</v>
      </c>
      <c r="I24" s="2142">
        <f>IF(ISERROR('C016'!$F$18),0,'C016'!$F$18)</f>
        <v>407898</v>
      </c>
      <c r="J24" s="2110">
        <f>IF(ISERROR(I24/H74*1000),0,I24/H74*1000)</f>
        <v>8</v>
      </c>
      <c r="K24" s="2038"/>
      <c r="L24" s="275"/>
      <c r="M24" s="275"/>
      <c r="N24" s="2119"/>
      <c r="O24" s="275"/>
      <c r="P24" s="275"/>
      <c r="Q24" s="275"/>
      <c r="R24" s="275"/>
      <c r="S24" s="275"/>
      <c r="T24" s="2119" t="s">
        <v>5058</v>
      </c>
      <c r="U24" s="2119" t="s">
        <v>5089</v>
      </c>
      <c r="V24" s="2119" t="s">
        <v>5058</v>
      </c>
      <c r="W24" s="2119" t="s">
        <v>5058</v>
      </c>
      <c r="X24" s="2119" t="s">
        <v>5058</v>
      </c>
      <c r="Y24" s="2119" t="s">
        <v>5058</v>
      </c>
      <c r="Z24" s="2119" t="s">
        <v>5058</v>
      </c>
      <c r="AA24" s="2119" t="s">
        <v>5058</v>
      </c>
      <c r="AB24" s="2119" t="s">
        <v>5058</v>
      </c>
      <c r="AC24" s="2119" t="s">
        <v>5058</v>
      </c>
      <c r="AD24" s="2119" t="s">
        <v>5058</v>
      </c>
      <c r="AE24" s="2119" t="s">
        <v>5058</v>
      </c>
    </row>
    <row r="25" spans="2:31" ht="12.75" customHeight="1">
      <c r="B25" s="3942" t="s">
        <v>1597</v>
      </c>
      <c r="C25" s="3947">
        <v>18</v>
      </c>
      <c r="D25" s="2142">
        <f>'C018'!C25</f>
        <v>5524</v>
      </c>
      <c r="E25" s="2144"/>
      <c r="F25" s="2142">
        <f>'C018'!D25</f>
        <v>6280</v>
      </c>
      <c r="G25" s="2144"/>
      <c r="H25" s="2203">
        <f>IF(ISERROR('C018'!E25),0,'C018'!E25)</f>
        <v>11280</v>
      </c>
      <c r="I25" s="2145"/>
      <c r="J25" s="2144"/>
      <c r="K25" s="2038"/>
      <c r="L25" s="275"/>
      <c r="M25" s="275"/>
      <c r="N25" s="2119"/>
      <c r="O25" s="275"/>
      <c r="P25" s="275"/>
      <c r="Q25" s="275"/>
      <c r="R25" s="275"/>
      <c r="S25" s="275"/>
      <c r="T25" s="2119" t="s">
        <v>5059</v>
      </c>
      <c r="U25" s="2119" t="s">
        <v>5090</v>
      </c>
      <c r="V25" s="2119" t="s">
        <v>5059</v>
      </c>
      <c r="W25" s="2119" t="s">
        <v>5059</v>
      </c>
      <c r="X25" s="2119" t="s">
        <v>5059</v>
      </c>
      <c r="Y25" s="2119" t="s">
        <v>5059</v>
      </c>
      <c r="Z25" s="2119" t="s">
        <v>5059</v>
      </c>
      <c r="AA25" s="2119" t="s">
        <v>5059</v>
      </c>
      <c r="AB25" s="2119" t="s">
        <v>5059</v>
      </c>
      <c r="AC25" s="2119" t="s">
        <v>5059</v>
      </c>
      <c r="AD25" s="2119" t="s">
        <v>5059</v>
      </c>
      <c r="AE25" s="2119" t="s">
        <v>5059</v>
      </c>
    </row>
    <row r="26" spans="2:31" ht="12.75" customHeight="1">
      <c r="B26" s="3942" t="s">
        <v>305</v>
      </c>
      <c r="C26" s="3947">
        <v>19</v>
      </c>
      <c r="D26" s="2142">
        <f>'C019'!C33</f>
        <v>0</v>
      </c>
      <c r="E26" s="2110">
        <v>0</v>
      </c>
      <c r="F26" s="2142">
        <f>'C019'!D33</f>
        <v>0</v>
      </c>
      <c r="G26" s="2110">
        <v>0</v>
      </c>
      <c r="H26" s="2203">
        <f>'C019'!E33</f>
        <v>0</v>
      </c>
      <c r="I26" s="2142">
        <v>0</v>
      </c>
      <c r="J26" s="2110">
        <v>0</v>
      </c>
      <c r="K26" s="2038"/>
      <c r="L26" s="275"/>
      <c r="M26" s="275"/>
      <c r="N26" s="2119"/>
      <c r="O26" s="275"/>
      <c r="P26" s="275"/>
      <c r="Q26" s="275"/>
      <c r="R26" s="275"/>
      <c r="S26" s="275"/>
      <c r="T26" s="2119" t="s">
        <v>5060</v>
      </c>
      <c r="U26" s="2119" t="s">
        <v>5091</v>
      </c>
      <c r="V26" s="2119" t="s">
        <v>5060</v>
      </c>
      <c r="W26" s="2119" t="s">
        <v>5060</v>
      </c>
      <c r="X26" s="2119" t="s">
        <v>5060</v>
      </c>
      <c r="Y26" s="2119" t="s">
        <v>5060</v>
      </c>
      <c r="Z26" s="2119" t="s">
        <v>5060</v>
      </c>
      <c r="AA26" s="2119" t="s">
        <v>5060</v>
      </c>
      <c r="AB26" s="2119" t="s">
        <v>5060</v>
      </c>
      <c r="AC26" s="2119" t="s">
        <v>5060</v>
      </c>
      <c r="AD26" s="2119" t="s">
        <v>5060</v>
      </c>
      <c r="AE26" s="2119" t="s">
        <v>5060</v>
      </c>
    </row>
    <row r="27" spans="2:31" ht="12.75" customHeight="1">
      <c r="B27" s="3942" t="s">
        <v>1598</v>
      </c>
      <c r="C27" s="3947">
        <v>22</v>
      </c>
      <c r="D27" s="2203">
        <f>'C022'!$C$24</f>
        <v>0</v>
      </c>
      <c r="E27" s="2144"/>
      <c r="F27" s="2203">
        <f>'C022'!$D$24</f>
        <v>0</v>
      </c>
      <c r="G27" s="2144"/>
      <c r="H27" s="2203">
        <f xml:space="preserve">  IF(ISERROR('C022'!E24),0,'C022'!E24)</f>
        <v>0</v>
      </c>
      <c r="I27" s="2145"/>
      <c r="J27" s="2144"/>
      <c r="K27" s="2038"/>
      <c r="L27" s="275"/>
      <c r="M27" s="275"/>
      <c r="N27" s="2119"/>
      <c r="O27" s="275"/>
      <c r="P27" s="275"/>
      <c r="Q27" s="275"/>
      <c r="R27" s="275"/>
      <c r="S27" s="275"/>
      <c r="T27" s="2119" t="s">
        <v>5061</v>
      </c>
      <c r="U27" s="2119" t="s">
        <v>5092</v>
      </c>
      <c r="V27" s="2119" t="s">
        <v>5061</v>
      </c>
      <c r="W27" s="2119" t="s">
        <v>5061</v>
      </c>
      <c r="X27" s="2119" t="s">
        <v>5061</v>
      </c>
      <c r="Y27" s="2119" t="s">
        <v>5061</v>
      </c>
      <c r="Z27" s="2119" t="s">
        <v>5061</v>
      </c>
      <c r="AA27" s="2119" t="s">
        <v>5061</v>
      </c>
      <c r="AB27" s="2119" t="s">
        <v>5061</v>
      </c>
      <c r="AC27" s="2119" t="s">
        <v>5061</v>
      </c>
      <c r="AD27" s="2119" t="s">
        <v>5061</v>
      </c>
      <c r="AE27" s="2119" t="s">
        <v>5061</v>
      </c>
    </row>
    <row r="28" spans="2:31" ht="12.75" customHeight="1">
      <c r="B28" s="3942" t="s">
        <v>1599</v>
      </c>
      <c r="C28" s="3947">
        <v>24</v>
      </c>
      <c r="D28" s="2203">
        <f>'C024'!C32</f>
        <v>358327</v>
      </c>
      <c r="E28" s="2144"/>
      <c r="F28" s="2203">
        <f>'C024'!D32</f>
        <v>368945</v>
      </c>
      <c r="G28" s="2144"/>
      <c r="H28" s="2203">
        <f>IF(ISERROR('C024'!E32),0,'C024'!E32)</f>
        <v>422995</v>
      </c>
      <c r="I28" s="2145"/>
      <c r="J28" s="2144"/>
      <c r="K28" s="2038"/>
      <c r="L28" s="275"/>
      <c r="M28" s="275"/>
      <c r="N28" s="2119"/>
      <c r="O28" s="275"/>
      <c r="P28" s="275"/>
      <c r="Q28" s="275"/>
      <c r="R28" s="275"/>
      <c r="S28" s="275"/>
      <c r="T28" s="2119" t="s">
        <v>5062</v>
      </c>
      <c r="U28" s="2119" t="s">
        <v>5093</v>
      </c>
      <c r="V28" s="2119" t="s">
        <v>5062</v>
      </c>
      <c r="W28" s="2119" t="s">
        <v>5062</v>
      </c>
      <c r="X28" s="2119" t="s">
        <v>5062</v>
      </c>
      <c r="Y28" s="2119" t="s">
        <v>5062</v>
      </c>
      <c r="Z28" s="2119" t="s">
        <v>5062</v>
      </c>
      <c r="AA28" s="2119" t="s">
        <v>5062</v>
      </c>
      <c r="AB28" s="2119" t="s">
        <v>5062</v>
      </c>
      <c r="AC28" s="2119" t="s">
        <v>5062</v>
      </c>
      <c r="AD28" s="2119" t="s">
        <v>5062</v>
      </c>
      <c r="AE28" s="2119" t="s">
        <v>5062</v>
      </c>
    </row>
    <row r="29" spans="2:31" ht="12.75" customHeight="1">
      <c r="B29" s="3942" t="s">
        <v>1507</v>
      </c>
      <c r="C29" s="3947">
        <v>26</v>
      </c>
      <c r="D29" s="2203">
        <f>'C026'!C82</f>
        <v>14945</v>
      </c>
      <c r="E29" s="2144"/>
      <c r="F29" s="2203">
        <f>'C026'!D82</f>
        <v>13192</v>
      </c>
      <c r="G29" s="2144"/>
      <c r="H29" s="2203">
        <f>IF(ISERROR('C026'!E82),0,'C026'!E82)</f>
        <v>7542</v>
      </c>
      <c r="I29" s="2145"/>
      <c r="J29" s="2144"/>
      <c r="K29" s="2038"/>
      <c r="L29" s="275"/>
      <c r="M29" s="275"/>
      <c r="N29" s="2119"/>
      <c r="O29" s="275"/>
      <c r="P29" s="275"/>
      <c r="Q29" s="275"/>
      <c r="R29" s="275"/>
      <c r="S29" s="275"/>
      <c r="T29" s="2119" t="s">
        <v>5063</v>
      </c>
      <c r="U29" s="2119" t="s">
        <v>5094</v>
      </c>
      <c r="V29" s="2119" t="s">
        <v>5063</v>
      </c>
      <c r="W29" s="2119" t="s">
        <v>5063</v>
      </c>
      <c r="X29" s="2119" t="s">
        <v>5063</v>
      </c>
      <c r="Y29" s="2119" t="s">
        <v>5063</v>
      </c>
      <c r="Z29" s="2119" t="s">
        <v>5063</v>
      </c>
      <c r="AA29" s="2119" t="s">
        <v>5063</v>
      </c>
      <c r="AB29" s="2119" t="s">
        <v>5063</v>
      </c>
      <c r="AC29" s="2119" t="s">
        <v>5063</v>
      </c>
      <c r="AD29" s="2119" t="s">
        <v>5063</v>
      </c>
      <c r="AE29" s="2119" t="s">
        <v>5063</v>
      </c>
    </row>
    <row r="30" spans="2:31" ht="12.75" customHeight="1">
      <c r="B30" s="3942" t="s">
        <v>1506</v>
      </c>
      <c r="C30" s="3947">
        <v>28</v>
      </c>
      <c r="D30" s="2203">
        <f>'C028'!C26</f>
        <v>51902</v>
      </c>
      <c r="E30" s="2144"/>
      <c r="F30" s="2203">
        <f>'C028'!D26</f>
        <v>44701</v>
      </c>
      <c r="G30" s="2144"/>
      <c r="H30" s="2203">
        <f>IF(ISERROR('C028'!E26),0,'C028'!E26)</f>
        <v>55238</v>
      </c>
      <c r="I30" s="2145"/>
      <c r="J30" s="2144"/>
      <c r="K30" s="2038"/>
      <c r="L30" s="275"/>
      <c r="M30" s="275"/>
      <c r="N30" s="2119"/>
      <c r="O30" s="275"/>
      <c r="P30" s="275"/>
      <c r="Q30" s="275"/>
      <c r="R30" s="275"/>
      <c r="S30" s="275"/>
      <c r="T30" s="2119" t="s">
        <v>5064</v>
      </c>
      <c r="U30" s="2119" t="s">
        <v>5095</v>
      </c>
      <c r="V30" s="2119" t="s">
        <v>5064</v>
      </c>
      <c r="W30" s="2119" t="s">
        <v>5064</v>
      </c>
      <c r="X30" s="2119" t="s">
        <v>5064</v>
      </c>
      <c r="Y30" s="2119" t="s">
        <v>5064</v>
      </c>
      <c r="Z30" s="2119" t="s">
        <v>5064</v>
      </c>
      <c r="AA30" s="2119" t="s">
        <v>5064</v>
      </c>
      <c r="AB30" s="2119" t="s">
        <v>5064</v>
      </c>
      <c r="AC30" s="2119" t="s">
        <v>5064</v>
      </c>
      <c r="AD30" s="2119" t="s">
        <v>5064</v>
      </c>
      <c r="AE30" s="2119" t="s">
        <v>5064</v>
      </c>
    </row>
    <row r="31" spans="2:31" ht="12.75" customHeight="1">
      <c r="B31" s="3942" t="s">
        <v>1508</v>
      </c>
      <c r="C31" s="3947">
        <v>29</v>
      </c>
      <c r="D31" s="2203">
        <f>'C029'!C28</f>
        <v>0</v>
      </c>
      <c r="E31" s="2144"/>
      <c r="F31" s="2203">
        <f>'C029'!D28</f>
        <v>0</v>
      </c>
      <c r="G31" s="2144"/>
      <c r="H31" s="2203">
        <f>IF(ISERROR('C029'!E28),0,'C029'!E28)</f>
        <v>0</v>
      </c>
      <c r="I31" s="2145"/>
      <c r="J31" s="2144"/>
      <c r="K31" s="2038"/>
      <c r="L31" s="275"/>
      <c r="M31" s="275"/>
      <c r="N31" s="2119"/>
      <c r="O31" s="275"/>
      <c r="P31" s="275"/>
      <c r="Q31" s="275"/>
      <c r="R31" s="275"/>
      <c r="S31" s="275"/>
      <c r="T31" s="2119" t="s">
        <v>5065</v>
      </c>
      <c r="V31" s="2119" t="s">
        <v>5065</v>
      </c>
      <c r="W31" s="2119" t="s">
        <v>5065</v>
      </c>
      <c r="X31" s="2119" t="s">
        <v>5065</v>
      </c>
      <c r="Y31" s="2119" t="s">
        <v>5065</v>
      </c>
      <c r="Z31" s="2119" t="s">
        <v>5065</v>
      </c>
      <c r="AA31" s="2119" t="s">
        <v>5065</v>
      </c>
      <c r="AB31" s="2119" t="s">
        <v>5065</v>
      </c>
      <c r="AC31" s="2119" t="s">
        <v>5065</v>
      </c>
      <c r="AD31" s="2119" t="s">
        <v>5065</v>
      </c>
      <c r="AE31" s="2119" t="s">
        <v>5065</v>
      </c>
    </row>
    <row r="32" spans="2:31" ht="12.75" customHeight="1">
      <c r="B32" s="3942" t="s">
        <v>1600</v>
      </c>
      <c r="C32" s="3947">
        <v>30</v>
      </c>
      <c r="D32" s="2203">
        <f>'C030'!C31</f>
        <v>958589</v>
      </c>
      <c r="E32" s="2144"/>
      <c r="F32" s="2203">
        <f>'C030'!D31</f>
        <v>962802</v>
      </c>
      <c r="G32" s="2144"/>
      <c r="H32" s="2203">
        <f>IF(ISERROR('C030'!E31),0,'C030'!E31)</f>
        <v>1021591</v>
      </c>
      <c r="I32" s="2145"/>
      <c r="J32" s="2144"/>
      <c r="K32" s="2038"/>
      <c r="L32" s="275"/>
      <c r="M32" s="275"/>
      <c r="N32" s="2119"/>
      <c r="O32" s="275"/>
      <c r="P32" s="275"/>
      <c r="Q32" s="275"/>
      <c r="R32" s="275"/>
      <c r="S32" s="275"/>
      <c r="T32" s="2119" t="s">
        <v>5066</v>
      </c>
      <c r="V32" s="2119" t="s">
        <v>5066</v>
      </c>
      <c r="X32" s="2119" t="s">
        <v>5066</v>
      </c>
      <c r="Z32" s="2119" t="s">
        <v>5066</v>
      </c>
      <c r="AA32" s="2119" t="s">
        <v>5066</v>
      </c>
      <c r="AC32" s="2119" t="s">
        <v>5066</v>
      </c>
      <c r="AE32" s="2119" t="s">
        <v>5066</v>
      </c>
    </row>
    <row r="33" spans="2:19" ht="12.75" customHeight="1">
      <c r="B33" s="3942" t="s">
        <v>929</v>
      </c>
      <c r="C33" s="3947">
        <v>33</v>
      </c>
      <c r="D33" s="2203">
        <f>'C033'!C31</f>
        <v>0</v>
      </c>
      <c r="E33" s="2120">
        <f>OPEN!B39</f>
        <v>0</v>
      </c>
      <c r="F33" s="2203">
        <f>'C033'!D31</f>
        <v>0</v>
      </c>
      <c r="G33" s="2120">
        <f>OPEN!D39</f>
        <v>0</v>
      </c>
      <c r="H33" s="2203">
        <f>'C033'!E31</f>
        <v>0</v>
      </c>
      <c r="I33" s="2142">
        <f>IF(ISERROR('C033'!$E$35),0,('C033'!$E$35))</f>
        <v>0</v>
      </c>
      <c r="J33" s="2110">
        <f>IF(ISERROR(I33/$H$73*1000),0,I33/$H$73*1000)</f>
        <v>0</v>
      </c>
      <c r="K33" s="2038"/>
      <c r="L33" s="275"/>
      <c r="M33" s="275"/>
      <c r="N33" s="2119"/>
      <c r="O33" s="275"/>
      <c r="P33" s="275"/>
      <c r="Q33" s="275"/>
      <c r="R33" s="275"/>
      <c r="S33" s="275"/>
    </row>
    <row r="34" spans="2:19" ht="12.75" customHeight="1">
      <c r="B34" s="3942" t="s">
        <v>3019</v>
      </c>
      <c r="C34" s="3947">
        <v>34</v>
      </c>
      <c r="D34" s="2203">
        <f>'C034'!C36</f>
        <v>193428</v>
      </c>
      <c r="E34" s="2144"/>
      <c r="F34" s="2203">
        <f>'C034'!D36</f>
        <v>200191</v>
      </c>
      <c r="G34" s="2144"/>
      <c r="H34" s="2203">
        <f>IF(ISERROR('C034'!E36),0,'C034'!E36)</f>
        <v>208510</v>
      </c>
      <c r="I34" s="2145"/>
      <c r="J34" s="2144"/>
      <c r="K34" s="2038"/>
      <c r="L34" s="275"/>
      <c r="M34" s="275"/>
      <c r="N34" s="2119"/>
      <c r="O34" s="275"/>
      <c r="P34" s="275"/>
      <c r="Q34" s="275"/>
      <c r="R34" s="275"/>
      <c r="S34" s="275"/>
    </row>
    <row r="35" spans="2:19" ht="12.75" customHeight="1">
      <c r="B35" s="3942" t="s">
        <v>4652</v>
      </c>
      <c r="C35" s="3947">
        <v>35</v>
      </c>
      <c r="D35" s="2203">
        <f>'C035'!C30</f>
        <v>3291</v>
      </c>
      <c r="E35" s="2144"/>
      <c r="F35" s="2142">
        <f>'C035'!D30</f>
        <v>22960</v>
      </c>
      <c r="G35" s="2144"/>
      <c r="H35" s="2142">
        <f>'C035'!E30</f>
        <v>107657</v>
      </c>
      <c r="I35" s="2145"/>
      <c r="J35" s="2144"/>
      <c r="K35" s="2038"/>
      <c r="L35" s="275"/>
      <c r="M35" s="275"/>
      <c r="N35" s="2119"/>
      <c r="O35" s="275"/>
      <c r="P35" s="275"/>
      <c r="Q35" s="275"/>
      <c r="R35" s="275"/>
      <c r="S35" s="275"/>
    </row>
    <row r="36" spans="2:19" ht="12.75" customHeight="1">
      <c r="B36" s="3942" t="s">
        <v>4649</v>
      </c>
      <c r="C36" s="3947">
        <v>42</v>
      </c>
      <c r="D36" s="2203">
        <f>'C042'!C48</f>
        <v>0</v>
      </c>
      <c r="E36" s="2120">
        <f>OPEN!B27</f>
        <v>0</v>
      </c>
      <c r="F36" s="2142">
        <f>'C042'!D48</f>
        <v>0</v>
      </c>
      <c r="G36" s="2120">
        <f>OPEN!D27</f>
        <v>0</v>
      </c>
      <c r="H36" s="2142">
        <f>'C042'!E48</f>
        <v>0</v>
      </c>
      <c r="I36" s="2142">
        <f>IF(ISERROR('C042'!$F$54),0,'C042'!$F$54)</f>
        <v>0</v>
      </c>
      <c r="J36" s="2110">
        <f>IF(ISERROR(I36/H73*1000),0,I36/H73*1000)</f>
        <v>0</v>
      </c>
      <c r="K36" s="2038"/>
      <c r="L36" s="275"/>
      <c r="M36" s="275"/>
      <c r="N36" s="2119"/>
      <c r="O36" s="275"/>
      <c r="P36" s="275"/>
      <c r="Q36" s="275"/>
      <c r="R36" s="275"/>
      <c r="S36" s="275"/>
    </row>
    <row r="37" spans="2:19" ht="12.75" customHeight="1">
      <c r="B37" s="3942" t="s">
        <v>817</v>
      </c>
      <c r="C37" s="3947">
        <v>44</v>
      </c>
      <c r="D37" s="2203">
        <f>'C044'!C36</f>
        <v>0</v>
      </c>
      <c r="E37" s="2120">
        <v>0</v>
      </c>
      <c r="F37" s="2142">
        <f>'C044'!D36</f>
        <v>0</v>
      </c>
      <c r="G37" s="2120">
        <v>0</v>
      </c>
      <c r="H37" s="2142">
        <f>IF(ISERROR('C044'!E36),0,'C044'!E36)</f>
        <v>0</v>
      </c>
      <c r="I37" s="2142">
        <f>IF(ISERROR('C044'!$F$42),0,'C044'!$F$42)</f>
        <v>0</v>
      </c>
      <c r="J37" s="2110">
        <f>IF(ISERROR(I37/H73*1000),0,I37/H73*1000)</f>
        <v>0</v>
      </c>
      <c r="K37" s="2038"/>
      <c r="L37" s="275"/>
      <c r="M37" s="275"/>
      <c r="N37" s="2119"/>
      <c r="O37" s="275"/>
      <c r="P37" s="275"/>
      <c r="Q37" s="275"/>
      <c r="R37" s="275"/>
      <c r="S37" s="275"/>
    </row>
    <row r="38" spans="2:19" ht="12.75" customHeight="1">
      <c r="B38" s="3942" t="s">
        <v>824</v>
      </c>
      <c r="C38" s="3947">
        <v>45</v>
      </c>
      <c r="D38" s="2203">
        <f>'C045'!$C$31</f>
        <v>0</v>
      </c>
      <c r="E38" s="2204">
        <f>OPEN!$B$38</f>
        <v>0</v>
      </c>
      <c r="F38" s="2203">
        <f>'C045'!$D$31</f>
        <v>0</v>
      </c>
      <c r="G38" s="2204">
        <f>OPEN!$D$38</f>
        <v>0</v>
      </c>
      <c r="H38" s="2203">
        <f>'C045'!$E$31</f>
        <v>0</v>
      </c>
      <c r="I38" s="2203">
        <f>IF(ISERROR('C045'!$E$35),0,('C045'!$E$35))</f>
        <v>0</v>
      </c>
      <c r="J38" s="2206">
        <f>IF(ISERROR(I38/$H$73*1000),0,I38/$H$73*1000)</f>
        <v>0</v>
      </c>
      <c r="K38" s="2038"/>
      <c r="L38" s="275"/>
      <c r="M38" s="275"/>
      <c r="N38" s="2119"/>
      <c r="O38" s="275"/>
      <c r="P38" s="275"/>
      <c r="Q38" s="275"/>
      <c r="R38" s="275"/>
      <c r="S38" s="275"/>
    </row>
    <row r="39" spans="2:19" ht="12.75" customHeight="1">
      <c r="B39" s="3942" t="s">
        <v>4651</v>
      </c>
      <c r="C39" s="3941">
        <v>47</v>
      </c>
      <c r="D39" s="2142">
        <f>'C047'!C46</f>
        <v>0</v>
      </c>
      <c r="E39" s="2038"/>
      <c r="F39" s="2203">
        <f>'C047'!D46</f>
        <v>0</v>
      </c>
      <c r="G39" s="2038"/>
      <c r="H39" s="2047"/>
      <c r="I39" s="3801"/>
      <c r="J39" s="2148"/>
      <c r="K39" s="2040"/>
      <c r="L39" s="275"/>
      <c r="M39" s="275"/>
      <c r="N39" s="2119"/>
      <c r="O39" s="275"/>
      <c r="P39" s="275"/>
      <c r="Q39" s="275"/>
      <c r="R39" s="275"/>
      <c r="S39" s="275"/>
    </row>
    <row r="40" spans="2:19" ht="12.75" customHeight="1">
      <c r="B40" s="3943" t="s">
        <v>4653</v>
      </c>
      <c r="C40" s="3929">
        <v>51</v>
      </c>
      <c r="D40" s="2205">
        <f>'C051'!C38</f>
        <v>438469</v>
      </c>
      <c r="E40" s="2040"/>
      <c r="F40" s="3821">
        <f>'C051'!D38</f>
        <v>425144</v>
      </c>
      <c r="G40" s="3826"/>
      <c r="H40" s="2143">
        <f>IF(ISERROR('C051'!E38),0,'C051'!E38)</f>
        <v>523777</v>
      </c>
      <c r="I40" s="3826"/>
      <c r="J40" s="2149"/>
      <c r="K40" s="2040"/>
      <c r="L40" s="2184"/>
      <c r="M40" s="275"/>
      <c r="N40" s="2119"/>
      <c r="O40" s="275"/>
      <c r="P40" s="275"/>
      <c r="Q40" s="275"/>
      <c r="R40" s="275"/>
      <c r="S40" s="275"/>
    </row>
    <row r="41" spans="2:19" ht="12.75" customHeight="1">
      <c r="B41" s="3942" t="s">
        <v>1605</v>
      </c>
      <c r="C41" s="3941">
        <v>53</v>
      </c>
      <c r="D41" s="3818">
        <f>'C053'!$C16</f>
        <v>0</v>
      </c>
      <c r="E41" s="2145"/>
      <c r="F41" s="2142">
        <f>'C053'!$D16</f>
        <v>19215</v>
      </c>
      <c r="G41" s="2145"/>
      <c r="H41" s="3801"/>
      <c r="I41" s="2145"/>
      <c r="J41" s="2149"/>
      <c r="K41" s="2039"/>
      <c r="L41" s="275"/>
      <c r="M41" s="275"/>
      <c r="N41" s="2119"/>
      <c r="O41" s="275"/>
      <c r="P41" s="275"/>
      <c r="Q41" s="275"/>
      <c r="R41" s="275"/>
      <c r="S41" s="275"/>
    </row>
    <row r="42" spans="2:19" ht="12.75" customHeight="1">
      <c r="B42" s="3942" t="s">
        <v>4654</v>
      </c>
      <c r="C42" s="3941">
        <v>55</v>
      </c>
      <c r="D42" s="3818">
        <f>'C055'!C41</f>
        <v>14400</v>
      </c>
      <c r="E42" s="2145"/>
      <c r="F42" s="2142">
        <f>'C055'!D41</f>
        <v>20006</v>
      </c>
      <c r="G42" s="2145"/>
      <c r="H42" s="3827"/>
      <c r="I42" s="2145"/>
      <c r="J42" s="2150"/>
      <c r="K42" s="2039"/>
      <c r="L42" s="275"/>
      <c r="M42" s="275"/>
      <c r="N42" s="2119"/>
      <c r="O42" s="275"/>
      <c r="P42" s="275"/>
      <c r="Q42" s="275"/>
      <c r="R42" s="275"/>
      <c r="S42" s="275"/>
    </row>
    <row r="43" spans="2:19" ht="12.75" customHeight="1">
      <c r="B43" s="3942" t="s">
        <v>1607</v>
      </c>
      <c r="C43" s="3941">
        <v>56</v>
      </c>
      <c r="D43" s="3819">
        <f>'C056'!C20</f>
        <v>41393</v>
      </c>
      <c r="E43" s="2145"/>
      <c r="F43" s="2203">
        <f>'C056'!D20</f>
        <v>16948</v>
      </c>
      <c r="G43" s="2145"/>
      <c r="H43" s="3827"/>
      <c r="I43" s="2145"/>
      <c r="J43" s="2150"/>
      <c r="K43" s="2231"/>
      <c r="L43" s="275"/>
      <c r="M43" s="275"/>
      <c r="N43" s="2119"/>
      <c r="O43" s="275"/>
      <c r="P43" s="275"/>
      <c r="Q43" s="275"/>
      <c r="R43" s="275"/>
      <c r="S43" s="275"/>
    </row>
    <row r="44" spans="2:19" ht="12.75" customHeight="1">
      <c r="B44" s="3803" t="s">
        <v>797</v>
      </c>
      <c r="C44" s="3966"/>
      <c r="D44" s="3803"/>
      <c r="E44" s="3825"/>
      <c r="F44" s="3825"/>
      <c r="G44" s="3825"/>
      <c r="H44" s="3825"/>
      <c r="I44" s="3825"/>
      <c r="J44" s="3804"/>
      <c r="K44" s="2038"/>
      <c r="L44" s="275"/>
      <c r="M44" s="275"/>
      <c r="N44" s="2119"/>
      <c r="O44" s="275"/>
      <c r="P44" s="275"/>
      <c r="Q44" s="275"/>
      <c r="R44" s="275"/>
      <c r="S44" s="275"/>
    </row>
    <row r="45" spans="2:19" ht="12.75" customHeight="1">
      <c r="B45" s="3950" t="str">
        <f>OpenData!O44</f>
        <v>Bond and Interest #1</v>
      </c>
      <c r="C45" s="3949">
        <v>62</v>
      </c>
      <c r="D45" s="3818">
        <f>'C062'!C49</f>
        <v>0</v>
      </c>
      <c r="E45" s="2120">
        <f>OPEN!$B$28</f>
        <v>0</v>
      </c>
      <c r="F45" s="2142">
        <f>'C062'!D49</f>
        <v>0</v>
      </c>
      <c r="G45" s="2120">
        <f>OPEN!$D$28</f>
        <v>0</v>
      </c>
      <c r="H45" s="2142">
        <f>IF(ISERROR('C062'!E49),0,'C062'!E49)</f>
        <v>0</v>
      </c>
      <c r="I45" s="2142">
        <f>IF(ISERROR('C062'!$F$58),0,'C062'!$F$58)</f>
        <v>0</v>
      </c>
      <c r="J45" s="3823">
        <f>IF(OPEN!$B$4=113,M51,L51)</f>
        <v>0</v>
      </c>
      <c r="K45" s="2038"/>
      <c r="L45" s="275"/>
      <c r="M45" s="275"/>
      <c r="N45" s="275"/>
      <c r="O45" s="275"/>
      <c r="P45" s="275"/>
      <c r="Q45" s="275"/>
      <c r="R45" s="275"/>
      <c r="S45" s="275"/>
    </row>
    <row r="46" spans="2:19" ht="12.75" customHeight="1">
      <c r="B46" s="3951" t="str">
        <f>OpenData!O46</f>
        <v>Bond and Interest #2</v>
      </c>
      <c r="C46" s="3929">
        <v>63</v>
      </c>
      <c r="D46" s="3819">
        <f>'C063'!C49</f>
        <v>0</v>
      </c>
      <c r="E46" s="2204">
        <f>OPEN!$B$29</f>
        <v>0</v>
      </c>
      <c r="F46" s="2203">
        <f>'C063'!D49</f>
        <v>0</v>
      </c>
      <c r="G46" s="2204">
        <f>OPEN!$D$29</f>
        <v>0</v>
      </c>
      <c r="H46" s="2203">
        <f>IF(ISERROR('C063'!E49),0,'C063'!E49)</f>
        <v>0</v>
      </c>
      <c r="I46" s="2203">
        <f>IF(ISERROR('C063'!$F$58),0,'C063'!$F$58)</f>
        <v>0</v>
      </c>
      <c r="J46" s="3823">
        <f>IF(OPEN!$B$4=113,M52,L52)</f>
        <v>0</v>
      </c>
      <c r="K46" s="2038"/>
      <c r="L46" s="275"/>
      <c r="M46" s="275"/>
      <c r="N46" s="275"/>
      <c r="O46" s="275"/>
      <c r="P46" s="275"/>
      <c r="Q46" s="275"/>
      <c r="R46" s="275"/>
      <c r="S46" s="275"/>
    </row>
    <row r="47" spans="2:19" ht="12.75" customHeight="1">
      <c r="B47" s="3943" t="s">
        <v>831</v>
      </c>
      <c r="C47" s="3929">
        <v>66</v>
      </c>
      <c r="D47" s="3819">
        <f>'C066'!C36</f>
        <v>0</v>
      </c>
      <c r="E47" s="2204">
        <f>OPEN!$B$30</f>
        <v>0</v>
      </c>
      <c r="F47" s="2203">
        <f>'C066'!D36</f>
        <v>0</v>
      </c>
      <c r="G47" s="2204">
        <f>OPEN!$D$30</f>
        <v>0</v>
      </c>
      <c r="H47" s="2203">
        <f>IF(ISERROR('C066'!E36),0,'C066'!E36)</f>
        <v>0</v>
      </c>
      <c r="I47" s="2203">
        <f>IF(ISERROR('C066'!F43),0,'C066'!F43)</f>
        <v>0</v>
      </c>
      <c r="J47" s="3823">
        <f>IF(ISERROR(SUM(I47/H73*1000)),0,(SUM(I47/H73*1000)))</f>
        <v>0</v>
      </c>
      <c r="K47" s="2038"/>
      <c r="L47" s="275"/>
      <c r="M47" s="275"/>
      <c r="N47" s="275"/>
      <c r="O47" s="275"/>
      <c r="P47" s="275"/>
      <c r="Q47" s="275"/>
      <c r="R47" s="275"/>
      <c r="S47" s="275"/>
    </row>
    <row r="48" spans="2:19" ht="12.75" customHeight="1">
      <c r="B48" s="3943" t="s">
        <v>819</v>
      </c>
      <c r="C48" s="3929">
        <v>67</v>
      </c>
      <c r="D48" s="2203">
        <f>'C067'!C35</f>
        <v>0</v>
      </c>
      <c r="E48" s="2204">
        <f>OPEN!$B$31</f>
        <v>0</v>
      </c>
      <c r="F48" s="3819">
        <f>'C067'!D35</f>
        <v>0</v>
      </c>
      <c r="G48" s="2204">
        <f>OPEN!$D$31</f>
        <v>0</v>
      </c>
      <c r="H48" s="2203">
        <f>'C067'!E35</f>
        <v>0</v>
      </c>
      <c r="I48" s="2203">
        <f>IF(ISERROR('C067'!F41),0,'C067'!F41)</f>
        <v>0</v>
      </c>
      <c r="J48" s="3823">
        <f>IF(ISERROR(SUM(I48/H73*1000)),0,SUM(I48/H73*1000))</f>
        <v>0</v>
      </c>
      <c r="K48" s="2038"/>
      <c r="L48" s="275"/>
      <c r="M48" s="275"/>
      <c r="N48" s="275"/>
      <c r="O48" s="275"/>
      <c r="P48" s="275"/>
      <c r="Q48" s="275"/>
      <c r="R48" s="275"/>
      <c r="S48" s="275"/>
    </row>
    <row r="49" spans="2:30" ht="12.75" customHeight="1">
      <c r="B49" s="3943" t="s">
        <v>820</v>
      </c>
      <c r="C49" s="3929">
        <v>68</v>
      </c>
      <c r="D49" s="2203">
        <f>'C068'!C37</f>
        <v>0</v>
      </c>
      <c r="E49" s="2204">
        <f>OPEN!$B$32</f>
        <v>0</v>
      </c>
      <c r="F49" s="2203">
        <f>'C068'!D37</f>
        <v>0</v>
      </c>
      <c r="G49" s="3820">
        <f>OPEN!$D$32</f>
        <v>0</v>
      </c>
      <c r="H49" s="2203">
        <f>IF(ISERROR('C068'!E37),0,'C068'!E37)</f>
        <v>0</v>
      </c>
      <c r="I49" s="2203">
        <f>IF(ISERROR('C068'!F44),0,'C068'!F44)</f>
        <v>0</v>
      </c>
      <c r="J49" s="3824">
        <f>IF(ISERROR(SUM(I49/H73*1000)),0,(SUM(I49/H73*1000)))</f>
        <v>0</v>
      </c>
      <c r="K49" s="2231"/>
      <c r="L49" s="275"/>
      <c r="M49" s="275"/>
      <c r="N49" s="275"/>
      <c r="O49" s="275"/>
      <c r="P49" s="275"/>
      <c r="Q49" s="275"/>
      <c r="R49" s="275"/>
      <c r="S49" s="275"/>
    </row>
    <row r="50" spans="2:30" s="2045" customFormat="1" ht="12.75" customHeight="1">
      <c r="B50" s="3936" t="s">
        <v>4863</v>
      </c>
      <c r="C50" s="3967"/>
      <c r="D50" s="3807"/>
      <c r="E50" s="3807"/>
      <c r="F50" s="3807"/>
      <c r="G50" s="3807"/>
      <c r="H50" s="3822"/>
      <c r="I50" s="3807"/>
      <c r="J50" s="3806"/>
      <c r="K50" s="2242"/>
      <c r="L50" s="595" t="s">
        <v>1093</v>
      </c>
      <c r="M50" s="2046" t="s">
        <v>1092</v>
      </c>
      <c r="N50" s="275"/>
      <c r="O50" s="275"/>
      <c r="P50" s="275"/>
      <c r="Q50" s="275"/>
      <c r="R50" s="275"/>
      <c r="S50" s="275"/>
      <c r="T50" s="3858"/>
      <c r="U50" s="2037"/>
      <c r="V50" s="2037"/>
      <c r="W50" s="2037"/>
      <c r="X50" s="2037"/>
      <c r="Y50" s="2037"/>
      <c r="Z50" s="2037"/>
      <c r="AA50" s="2037"/>
      <c r="AB50" s="2037"/>
      <c r="AC50" s="2037"/>
      <c r="AD50" s="2037"/>
    </row>
    <row r="51" spans="2:30" ht="12.75" customHeight="1" thickBot="1">
      <c r="B51" s="3953" t="s">
        <v>1600</v>
      </c>
      <c r="C51" s="3939">
        <v>78</v>
      </c>
      <c r="D51" s="3805">
        <f>'C078'!C24</f>
        <v>0</v>
      </c>
      <c r="E51" s="3808"/>
      <c r="F51" s="3805">
        <f>'C078'!D24</f>
        <v>0</v>
      </c>
      <c r="G51" s="3808"/>
      <c r="H51" s="3805">
        <f>IF(ISERROR('C078'!E24),0,'C078'!E24)</f>
        <v>0</v>
      </c>
      <c r="I51" s="3808"/>
      <c r="J51" s="3808"/>
      <c r="K51" s="2232"/>
      <c r="L51" s="597">
        <f>IF(ISERROR(SUM(I45/H73*1000)),0,(SUM(I45/H73*1000)))</f>
        <v>0</v>
      </c>
      <c r="M51" s="597">
        <f>IF(ISERROR(SUM(I45/OPEN!A18*1000)),0,(SUM(I45/OPEN!A18*1000)))</f>
        <v>0</v>
      </c>
      <c r="N51" s="275"/>
      <c r="O51" s="275"/>
      <c r="P51" s="275"/>
      <c r="Q51" s="275"/>
      <c r="R51" s="275"/>
      <c r="S51" s="275"/>
    </row>
    <row r="52" spans="2:30" ht="12.75" customHeight="1" thickTop="1">
      <c r="B52" s="3940" t="s">
        <v>4894</v>
      </c>
      <c r="C52" s="3932">
        <v>100</v>
      </c>
      <c r="D52" s="2143">
        <f>SUM(D13:D39,D40:D51)</f>
        <v>8212945</v>
      </c>
      <c r="E52" s="2120">
        <f>IF(OPEN!$B$4=113,SUM(E14:E39,E46:E51),SUM(E14:E39,E45:E51))</f>
        <v>48.396999999999998</v>
      </c>
      <c r="F52" s="2143">
        <f>SUM(F13:F39,F40:F51)</f>
        <v>8551771</v>
      </c>
      <c r="G52" s="2120">
        <f>IF(OPEN!$B$4=113,SUM(G14:G39,G46:G51),SUM(G14:G39,G45:G51))</f>
        <v>47.588999999999999</v>
      </c>
      <c r="H52" s="2142">
        <f>SUM(H13:H39,H40:H51)</f>
        <v>9104766</v>
      </c>
      <c r="I52" s="2142">
        <f>SUM(I13:I39,I40:I51)</f>
        <v>2387818</v>
      </c>
      <c r="J52" s="2120">
        <f>IF(OPEN!$B$4=113,SUM(J14:J39,J46:J51), SUM(J14:J39,J45:J51))</f>
        <v>48.036999999999999</v>
      </c>
      <c r="K52" s="2242"/>
      <c r="L52" s="597">
        <f>IF(ISERROR(SUM(I46/OPEN!A18*1000)),0,(SUM(I46/OPEN!A18*1000)))</f>
        <v>0</v>
      </c>
      <c r="M52" s="597">
        <f>IF(ISERROR(SUM(I46/OPEN!A20*1000)),0,(SUM(I46/OPEN!A20*1000)))</f>
        <v>0</v>
      </c>
      <c r="N52" s="2046"/>
      <c r="O52" s="2046"/>
      <c r="P52" s="2046"/>
      <c r="Q52" s="2046"/>
      <c r="R52" s="2046"/>
      <c r="S52" s="2046"/>
    </row>
    <row r="53" spans="2:30" ht="12.75" customHeight="1">
      <c r="B53" s="3944" t="s">
        <v>4985</v>
      </c>
      <c r="C53" s="3929">
        <v>105</v>
      </c>
      <c r="D53" s="2205">
        <f>L59+'C047'!C46+'C019'!C32</f>
        <v>1379061</v>
      </c>
      <c r="E53" s="2569"/>
      <c r="F53" s="2205">
        <f>M59+'C047'!D46+'C019'!D32</f>
        <v>1397592</v>
      </c>
      <c r="G53" s="2569"/>
      <c r="H53" s="2207">
        <f>SUM('C06'!$E$265:$E$277,'C06'!E279:E279,'C06'!E282:E283)+N61</f>
        <v>1573620</v>
      </c>
      <c r="I53" s="3901"/>
      <c r="J53" s="3801"/>
      <c r="K53" s="2242"/>
      <c r="L53" s="596"/>
      <c r="M53" s="596"/>
      <c r="N53" s="596"/>
      <c r="O53" s="596"/>
      <c r="P53" s="596"/>
      <c r="Q53" s="596"/>
      <c r="R53" s="596"/>
      <c r="S53" s="596"/>
    </row>
    <row r="54" spans="2:30" ht="12.75" customHeight="1" thickBot="1">
      <c r="B54" s="3945" t="s">
        <v>4895</v>
      </c>
      <c r="C54" s="3933">
        <v>110</v>
      </c>
      <c r="D54" s="2195">
        <f>SUM(D52-D53)</f>
        <v>6833884</v>
      </c>
      <c r="E54" s="4663"/>
      <c r="F54" s="2195">
        <f>SUM(F52-F53)</f>
        <v>7154179</v>
      </c>
      <c r="G54" s="4663"/>
      <c r="H54" s="2188">
        <f>SUM(H52-H53)</f>
        <v>7531146</v>
      </c>
      <c r="I54" s="4616"/>
      <c r="J54" s="3809"/>
      <c r="K54" s="2242"/>
      <c r="L54" s="596"/>
      <c r="M54" s="596"/>
      <c r="N54" s="596"/>
      <c r="O54" s="596"/>
      <c r="P54" s="596"/>
      <c r="Q54" s="596"/>
      <c r="R54" s="596"/>
      <c r="S54" s="596"/>
    </row>
    <row r="55" spans="2:30" ht="12.75" customHeight="1" thickTop="1">
      <c r="B55" s="3940" t="s">
        <v>4896</v>
      </c>
      <c r="C55" s="3932">
        <v>115</v>
      </c>
      <c r="D55" s="2143">
        <f>SUM(OPEN!$F$23:$F$32)+SUM(OPEN!F38:F39)</f>
        <v>2248374</v>
      </c>
      <c r="E55" s="2570"/>
      <c r="F55" s="2143">
        <f>ROUND(F72*0.02,0)+'F110'!$G$16+'F110'!$I$16+'F110'!$K$16+'F110'!$E$64+'F110'!$G$64+'F110'!$I$64+'F110'!$K$64+'F110'!$E$113+'F110'!$G$113+'F110'!$I$113+'F110'!$I$155+'F110'!$E$155+'F110'!$M$155</f>
        <v>2345414</v>
      </c>
      <c r="G55" s="2570"/>
      <c r="H55" s="2142">
        <f>I52</f>
        <v>2387818</v>
      </c>
      <c r="I55" s="4664"/>
      <c r="J55" s="3802"/>
      <c r="K55" s="2223"/>
      <c r="L55" s="596"/>
      <c r="M55" s="596"/>
      <c r="N55" s="596"/>
      <c r="O55" s="596"/>
      <c r="P55" s="596"/>
      <c r="Q55" s="596"/>
      <c r="R55" s="596"/>
      <c r="S55" s="596"/>
    </row>
    <row r="56" spans="2:30" s="2045" customFormat="1" ht="12.75" customHeight="1">
      <c r="B56" s="6197" t="s">
        <v>4864</v>
      </c>
      <c r="C56" s="6197"/>
      <c r="D56" s="6197"/>
      <c r="E56" s="6197"/>
      <c r="F56" s="6197"/>
      <c r="G56" s="6197"/>
      <c r="H56" s="6197"/>
      <c r="I56" s="6197"/>
      <c r="J56" s="6197"/>
      <c r="K56" s="2223"/>
      <c r="L56" s="2046"/>
      <c r="M56" s="2046"/>
      <c r="N56" s="596"/>
      <c r="O56" s="596"/>
      <c r="P56" s="596"/>
      <c r="Q56" s="596"/>
      <c r="R56" s="596"/>
      <c r="S56" s="596"/>
      <c r="T56" s="3858"/>
      <c r="U56" s="2037"/>
      <c r="V56" s="2037"/>
      <c r="W56" s="2037"/>
      <c r="X56" s="2037"/>
      <c r="Y56" s="2037"/>
      <c r="Z56" s="2037"/>
      <c r="AA56" s="2037"/>
      <c r="AB56" s="2037"/>
      <c r="AC56" s="2037"/>
      <c r="AD56" s="2037"/>
    </row>
    <row r="57" spans="2:30" ht="12.75" customHeight="1">
      <c r="B57" s="6264" t="s">
        <v>4865</v>
      </c>
      <c r="C57" s="6264"/>
      <c r="D57" s="6264"/>
      <c r="E57" s="6264"/>
      <c r="F57" s="6264"/>
      <c r="G57" s="6264"/>
      <c r="H57" s="6264"/>
      <c r="I57" s="6264"/>
      <c r="J57" s="6264"/>
      <c r="K57" s="2222"/>
      <c r="L57" s="596"/>
      <c r="M57" s="596"/>
      <c r="N57" s="596"/>
      <c r="O57" s="596"/>
      <c r="P57" s="596"/>
      <c r="Q57" s="596"/>
      <c r="R57" s="596"/>
      <c r="S57" s="596"/>
    </row>
    <row r="58" spans="2:30" ht="12.75" customHeight="1">
      <c r="B58" s="4571"/>
      <c r="C58" s="2222"/>
      <c r="D58" s="6194" t="str">
        <f>D8</f>
        <v>2019-2020 Actual</v>
      </c>
      <c r="E58" s="6196"/>
      <c r="F58" s="6194" t="str">
        <f>F8</f>
        <v>2020-2021 Actual</v>
      </c>
      <c r="G58" s="6196"/>
      <c r="H58" s="6194" t="str">
        <f>H8</f>
        <v>2021-2022 Proposed Budget</v>
      </c>
      <c r="I58" s="6195"/>
      <c r="J58" s="6196"/>
      <c r="K58" s="2222"/>
      <c r="L58" s="596"/>
      <c r="M58" s="596"/>
      <c r="N58" s="2046"/>
      <c r="O58" s="2046"/>
      <c r="P58" s="2046"/>
      <c r="Q58" s="2046"/>
      <c r="R58" s="2046"/>
      <c r="S58" s="2046"/>
    </row>
    <row r="59" spans="2:30" ht="12.75" customHeight="1">
      <c r="B59" s="4571"/>
      <c r="C59" s="2222"/>
      <c r="D59" s="2137" t="str">
        <f>IF(D9="","",D9)</f>
        <v/>
      </c>
      <c r="E59" s="2137" t="str">
        <f>E9</f>
        <v>Actual</v>
      </c>
      <c r="F59" s="2137" t="str">
        <f>IF(F9="","",F9)</f>
        <v/>
      </c>
      <c r="G59" s="2137" t="str">
        <f>G9</f>
        <v>Actual</v>
      </c>
      <c r="H59" s="2137" t="str">
        <f>IF(H9="","",H9)</f>
        <v/>
      </c>
      <c r="I59" s="2137" t="str">
        <f>I9</f>
        <v xml:space="preserve">Amount of </v>
      </c>
      <c r="J59" s="2137" t="str">
        <f>J9</f>
        <v>Est.</v>
      </c>
      <c r="K59" s="2222"/>
      <c r="L59" s="598">
        <f>'C042'!$C$47+'C045'!C30+'C033'!C30+L60</f>
        <v>1379061</v>
      </c>
      <c r="M59" s="598">
        <f>'C042'!$D$47+'C045'!D30+'C033'!D30+M60</f>
        <v>1397592</v>
      </c>
      <c r="N59" s="596"/>
      <c r="O59" s="596"/>
      <c r="P59" s="596"/>
      <c r="Q59" s="596"/>
      <c r="R59" s="596"/>
      <c r="S59" s="596"/>
    </row>
    <row r="60" spans="2:30" ht="12.75" customHeight="1">
      <c r="B60" s="4571"/>
      <c r="C60" s="3931" t="str">
        <f>C10</f>
        <v>Code</v>
      </c>
      <c r="D60" s="2139" t="str">
        <f>D10</f>
        <v>Actual</v>
      </c>
      <c r="E60" s="2139" t="str">
        <f t="shared" ref="E60:J60" si="0">E10</f>
        <v>Tax</v>
      </c>
      <c r="F60" s="2139" t="str">
        <f t="shared" si="0"/>
        <v xml:space="preserve">Actual </v>
      </c>
      <c r="G60" s="2139" t="str">
        <f t="shared" si="0"/>
        <v>Tax</v>
      </c>
      <c r="H60" s="2139">
        <f t="shared" si="0"/>
        <v>0</v>
      </c>
      <c r="I60" s="2139" t="str">
        <f t="shared" si="0"/>
        <v>2021 Tax to</v>
      </c>
      <c r="J60" s="2139" t="str">
        <f t="shared" si="0"/>
        <v>Tax</v>
      </c>
      <c r="K60" s="2222"/>
      <c r="L60" s="599">
        <f>SUM('C06'!$C$265:$C$283)+L61</f>
        <v>1379061</v>
      </c>
      <c r="M60" s="599">
        <f>SUM('C06'!$D$265:$D$283)+M61</f>
        <v>1397592</v>
      </c>
      <c r="N60" s="596"/>
      <c r="O60" s="596"/>
      <c r="P60" s="596"/>
      <c r="Q60" s="596"/>
      <c r="R60" s="596"/>
      <c r="S60" s="596"/>
    </row>
    <row r="61" spans="2:30" ht="12.75" customHeight="1">
      <c r="B61" s="4571"/>
      <c r="C61" s="3930">
        <f>C11</f>
        <v>99</v>
      </c>
      <c r="D61" s="2139" t="str">
        <f t="shared" ref="D61:J62" si="1">D11</f>
        <v>Expenditures</v>
      </c>
      <c r="E61" s="2140" t="str">
        <f t="shared" si="1"/>
        <v>Rate</v>
      </c>
      <c r="F61" s="2139" t="str">
        <f t="shared" si="1"/>
        <v>Expenditures</v>
      </c>
      <c r="G61" s="2139" t="str">
        <f t="shared" si="1"/>
        <v>Rate*</v>
      </c>
      <c r="H61" s="2139" t="str">
        <f t="shared" si="1"/>
        <v>Expenditures</v>
      </c>
      <c r="I61" s="2139" t="str">
        <f t="shared" si="1"/>
        <v>be Levied</v>
      </c>
      <c r="J61" s="2139" t="str">
        <f t="shared" si="1"/>
        <v>Rate*</v>
      </c>
      <c r="K61" s="2040"/>
      <c r="L61" s="599">
        <f>SUM('C08'!$C$270:$C$287)+L62</f>
        <v>543282</v>
      </c>
      <c r="M61" s="599">
        <f>SUM('C08'!$D$270:$D$287)+M62</f>
        <v>470951</v>
      </c>
      <c r="N61" s="599">
        <f>SUM('C045'!E30+'C033'!E30+N62)</f>
        <v>542951</v>
      </c>
      <c r="O61" s="599"/>
      <c r="P61" s="599"/>
      <c r="Q61" s="599"/>
      <c r="R61" s="599"/>
      <c r="S61" s="599">
        <f>SUM('C053'!$D$239:$D$239)</f>
        <v>0</v>
      </c>
      <c r="T61" s="3859"/>
      <c r="U61" s="766"/>
      <c r="V61" s="766"/>
    </row>
    <row r="62" spans="2:30" ht="12.75" customHeight="1">
      <c r="B62" s="4572"/>
      <c r="C62" s="3938" t="str">
        <f>C12</f>
        <v>Line</v>
      </c>
      <c r="D62" s="2141">
        <f t="shared" si="1"/>
        <v>1</v>
      </c>
      <c r="E62" s="2141">
        <f t="shared" si="1"/>
        <v>2</v>
      </c>
      <c r="F62" s="2141">
        <f t="shared" si="1"/>
        <v>3</v>
      </c>
      <c r="G62" s="2141">
        <f t="shared" si="1"/>
        <v>4</v>
      </c>
      <c r="H62" s="2141">
        <f t="shared" si="1"/>
        <v>5</v>
      </c>
      <c r="I62" s="2141">
        <f t="shared" si="1"/>
        <v>6</v>
      </c>
      <c r="J62" s="2141">
        <f t="shared" si="1"/>
        <v>7</v>
      </c>
      <c r="K62" s="2231"/>
      <c r="L62" s="599">
        <f>SUM('C053'!$C$228:$C$244)</f>
        <v>0</v>
      </c>
      <c r="M62" s="599">
        <f>SUM('C053'!$D$228:$D$244)</f>
        <v>0</v>
      </c>
      <c r="N62" s="599">
        <f>SUM('C08'!$E$270:$E$282,'C08'!$E$284,'C08'!E286:E287)</f>
        <v>542951</v>
      </c>
      <c r="O62" s="596"/>
      <c r="P62" s="596"/>
      <c r="Q62" s="596"/>
      <c r="R62" s="596"/>
      <c r="S62" s="596"/>
    </row>
    <row r="63" spans="2:30" ht="12.75" customHeight="1">
      <c r="B63" s="3936" t="s">
        <v>798</v>
      </c>
      <c r="C63" s="3959"/>
      <c r="D63" s="3806"/>
      <c r="E63" s="3806"/>
      <c r="F63" s="3806"/>
      <c r="G63" s="3806"/>
      <c r="H63" s="3806"/>
      <c r="I63" s="3806"/>
      <c r="J63" s="3806"/>
      <c r="K63" s="2038"/>
      <c r="L63" s="599"/>
      <c r="M63" s="599"/>
      <c r="N63" s="596"/>
      <c r="O63" s="596"/>
      <c r="P63" s="596"/>
      <c r="Q63" s="596"/>
      <c r="R63" s="596"/>
      <c r="S63" s="765"/>
    </row>
    <row r="64" spans="2:30" ht="12.75" customHeight="1">
      <c r="B64" s="3937" t="s">
        <v>821</v>
      </c>
      <c r="C64" s="3938">
        <v>80</v>
      </c>
      <c r="D64" s="2142">
        <f>'C080'!$C$35</f>
        <v>0</v>
      </c>
      <c r="E64" s="2187">
        <f>OPEN!$B$33</f>
        <v>0</v>
      </c>
      <c r="F64" s="2142">
        <f>'C080'!$D$35</f>
        <v>0</v>
      </c>
      <c r="G64" s="2187">
        <f>OPEN!$D$33</f>
        <v>0</v>
      </c>
      <c r="H64" s="2142">
        <f>'C080'!$E$35</f>
        <v>0</v>
      </c>
      <c r="I64" s="2142">
        <f>IF(ISERROR('C080'!$F$41),0,'C080'!$F$41)</f>
        <v>0</v>
      </c>
      <c r="J64" s="2110">
        <f>IF(ISERROR(SUM(I64/$H$73*1000)),0,(SUM(I64/$H$73*1000)))</f>
        <v>0</v>
      </c>
      <c r="K64" s="2038"/>
      <c r="L64" s="595"/>
      <c r="M64" s="596"/>
      <c r="N64" s="596"/>
      <c r="O64" s="596"/>
      <c r="P64" s="596"/>
      <c r="Q64" s="596"/>
      <c r="R64" s="596"/>
      <c r="S64" s="596"/>
    </row>
    <row r="65" spans="2:30" ht="12.75" customHeight="1">
      <c r="B65" s="3943" t="s">
        <v>822</v>
      </c>
      <c r="C65" s="3929">
        <v>82</v>
      </c>
      <c r="D65" s="2203">
        <f>'C082'!$C$35</f>
        <v>0</v>
      </c>
      <c r="E65" s="2187">
        <f>OPEN!$B$34</f>
        <v>0</v>
      </c>
      <c r="F65" s="2203">
        <f>'C082'!$D$35</f>
        <v>0</v>
      </c>
      <c r="G65" s="2187">
        <f>OPEN!$D$34</f>
        <v>0</v>
      </c>
      <c r="H65" s="2203">
        <f>'C082'!$E$35</f>
        <v>0</v>
      </c>
      <c r="I65" s="2203">
        <f>IF(ISERROR('C082'!$F$41),0,'C082'!$F$41)</f>
        <v>0</v>
      </c>
      <c r="J65" s="2110">
        <f>IF(ISERROR(SUM(I65/$H$73*1000)),0,(SUM(I65/$H$73*1000)))</f>
        <v>0</v>
      </c>
      <c r="K65" s="2038"/>
      <c r="L65" s="595" t="s">
        <v>1093</v>
      </c>
      <c r="M65" s="596" t="s">
        <v>1142</v>
      </c>
      <c r="N65" s="596"/>
      <c r="O65" s="596"/>
      <c r="P65" s="596"/>
      <c r="Q65" s="596"/>
      <c r="R65" s="596"/>
      <c r="S65" s="596"/>
    </row>
    <row r="66" spans="2:30" ht="12.75" customHeight="1">
      <c r="B66" s="3943" t="s">
        <v>4898</v>
      </c>
      <c r="C66" s="3929">
        <v>83</v>
      </c>
      <c r="D66" s="2203">
        <f>'C083'!$C$35</f>
        <v>0</v>
      </c>
      <c r="E66" s="2187">
        <f>OPEN!$B$35</f>
        <v>0</v>
      </c>
      <c r="F66" s="2203">
        <f>'C083'!$D$35</f>
        <v>0</v>
      </c>
      <c r="G66" s="2187">
        <f>OPEN!$D$35</f>
        <v>0</v>
      </c>
      <c r="H66" s="2203">
        <f>'C083'!$E$35</f>
        <v>0</v>
      </c>
      <c r="I66" s="2203">
        <f>IF(ISERROR('C083'!$F$41),0,'C083'!$F$41)</f>
        <v>0</v>
      </c>
      <c r="J66" s="2110">
        <f>IF(ISERROR(SUM(I66/$H$73*1000)),0,(SUM(I66/$H$73*1000)))</f>
        <v>0</v>
      </c>
      <c r="K66" s="2038"/>
      <c r="L66" s="600">
        <f>IF(ISERROR(SUM(I67/$H$73*1000)),0,(SUM(I67/$H$73*1000)))</f>
        <v>0</v>
      </c>
      <c r="M66" s="600">
        <f>IF(ISERROR(SUM(I67/OPEN!A18*1000)),0,(SUM(I67/OPEN!A18*1000)))</f>
        <v>0</v>
      </c>
      <c r="N66" s="596"/>
      <c r="O66" s="596"/>
      <c r="P66" s="596"/>
      <c r="Q66" s="596"/>
      <c r="R66" s="596"/>
      <c r="S66" s="596"/>
    </row>
    <row r="67" spans="2:30" ht="12.75" customHeight="1">
      <c r="B67" s="3951" t="str">
        <f>OpenData!O53</f>
        <v>Recreation Commission</v>
      </c>
      <c r="C67" s="3929">
        <v>84</v>
      </c>
      <c r="D67" s="2203">
        <f>'C084'!$C$35</f>
        <v>0</v>
      </c>
      <c r="E67" s="2187">
        <f>OPEN!$B$36</f>
        <v>0</v>
      </c>
      <c r="F67" s="2203">
        <f>'C084'!$D$35</f>
        <v>0</v>
      </c>
      <c r="G67" s="2187">
        <f>OPEN!$D$36</f>
        <v>0</v>
      </c>
      <c r="H67" s="2203">
        <f>'C084'!$E$35</f>
        <v>0</v>
      </c>
      <c r="I67" s="2203">
        <f>IF(ISERROR('C084'!$F$41),0,'C084'!$F$41)</f>
        <v>0</v>
      </c>
      <c r="J67" s="2110">
        <f>IF(AND(OPEN!$B$4&lt;&gt;105,OPEN!$B$4&lt;&gt;110,OPEN!$B$4&lt;&gt;112,OPEN!$B$4&lt;&gt;113,OPEN!$B$4&lt;&gt;114,OPEN!$B$4&lt;&gt;422),L66,IF(OPEN!$B$4=113,M66,IF(OR(OPEN!$B$4=114,OPEN!$B$4=422),N68,O68)))</f>
        <v>0</v>
      </c>
      <c r="K67" s="2038"/>
      <c r="L67" s="597">
        <f>IF(ISERROR(SUM(I68/$H$73*1000)),0,SUM(I68/$H$73*1000))</f>
        <v>0</v>
      </c>
      <c r="M67" s="597"/>
      <c r="N67" s="596" t="s">
        <v>1151</v>
      </c>
      <c r="O67" s="596" t="s">
        <v>1152</v>
      </c>
      <c r="P67" s="596"/>
      <c r="Q67" s="596"/>
      <c r="R67" s="596"/>
      <c r="S67" s="596"/>
    </row>
    <row r="68" spans="2:30" ht="12.75" customHeight="1" thickBot="1">
      <c r="B68" s="3970" t="str">
        <f>OpenData!Q57</f>
        <v>Rec Comm Emp Benefits &amp; Spec Liab</v>
      </c>
      <c r="C68" s="3933">
        <v>86</v>
      </c>
      <c r="D68" s="2188">
        <f>'C086'!$C$35</f>
        <v>0</v>
      </c>
      <c r="E68" s="2189">
        <f>OPEN!$B$37</f>
        <v>0</v>
      </c>
      <c r="F68" s="2188">
        <f>'C086'!$D$35</f>
        <v>0</v>
      </c>
      <c r="G68" s="2189">
        <f>OPEN!$D$37</f>
        <v>0</v>
      </c>
      <c r="H68" s="2188">
        <f>'C086'!$E$35</f>
        <v>0</v>
      </c>
      <c r="I68" s="2188">
        <f>IF(ISERROR('C086'!$F$41),0,'C086'!$F$41)</f>
        <v>0</v>
      </c>
      <c r="J68" s="2190">
        <f>IF(OR(OPEN!$B$4=114,OPEN!$B$4=422),N69,L67)</f>
        <v>0</v>
      </c>
      <c r="K68" s="2038"/>
      <c r="L68" s="275"/>
      <c r="M68" s="275"/>
      <c r="N68" s="600">
        <f>IF(ISERROR(SUM(I67/(OPEN!A15-OPEN!A20)*1000)),0,(SUM(I67/(OPEN!A15-OPEN!A20)*1000)))</f>
        <v>0</v>
      </c>
      <c r="O68" s="600">
        <f>IF(ISERROR(SUM(I67/OPEN!A20*1000)),0,(SUM(I67/OPEN!A20*1000)))</f>
        <v>0</v>
      </c>
      <c r="P68" s="600"/>
      <c r="Q68" s="600"/>
      <c r="R68" s="600"/>
      <c r="S68" s="596"/>
    </row>
    <row r="69" spans="2:30" s="2045" customFormat="1" ht="12.75" customHeight="1" thickTop="1" thickBot="1">
      <c r="B69" s="3971" t="s">
        <v>4899</v>
      </c>
      <c r="C69" s="3965">
        <v>120</v>
      </c>
      <c r="D69" s="2191">
        <f t="shared" ref="D69:J69" si="2">SUM(D64:D68)</f>
        <v>0</v>
      </c>
      <c r="E69" s="2192">
        <f t="shared" si="2"/>
        <v>0</v>
      </c>
      <c r="F69" s="2191">
        <f t="shared" si="2"/>
        <v>0</v>
      </c>
      <c r="G69" s="2192">
        <f t="shared" si="2"/>
        <v>0</v>
      </c>
      <c r="H69" s="2191">
        <f t="shared" si="2"/>
        <v>0</v>
      </c>
      <c r="I69" s="2191">
        <f t="shared" si="2"/>
        <v>0</v>
      </c>
      <c r="J69" s="2193">
        <f t="shared" si="2"/>
        <v>0</v>
      </c>
      <c r="K69" s="2036"/>
      <c r="L69" s="2034"/>
      <c r="M69" s="2034"/>
      <c r="N69" s="597">
        <f>IF(ISERROR(SUM(I68/OPEN!A20*1000)),0,SUM(I68/OPEN!A20*1000))</f>
        <v>0</v>
      </c>
      <c r="O69" s="596"/>
      <c r="P69" s="596"/>
      <c r="Q69" s="596"/>
      <c r="R69" s="596"/>
      <c r="S69" s="596"/>
      <c r="T69" s="3858"/>
      <c r="U69" s="2037"/>
      <c r="V69" s="2037"/>
      <c r="W69" s="2037"/>
      <c r="X69" s="2037"/>
      <c r="Y69" s="2037"/>
      <c r="Z69" s="2037"/>
      <c r="AA69" s="2037"/>
      <c r="AB69" s="2037"/>
      <c r="AC69" s="2037"/>
      <c r="AD69" s="2037"/>
    </row>
    <row r="70" spans="2:30" ht="12.75" customHeight="1" thickTop="1">
      <c r="B70" s="3972" t="s">
        <v>799</v>
      </c>
      <c r="C70" s="3964">
        <v>125</v>
      </c>
      <c r="D70" s="2194">
        <f>SUM(OPEN!$F$23:$F$39)</f>
        <v>2248374</v>
      </c>
      <c r="E70" s="2036"/>
      <c r="F70" s="2194">
        <f>ROUND(F72*0.02,0)+'F110'!$G$16+'F110'!$I$16+'F110'!$K$16+'F110'!$M$16+'F110'!$E$64+'F110'!$G$64+'F110'!$I$64+'F110'!$K$64+'F110'!$M$64+'F110'!$E$113+'F110'!$G$113+'F110'!$I$113+'F110'!$K$113+'F110'!$M$113+'F110'!$E$155+'F110'!$G$155+'F110'!$I$155+'F110'!$K$155+'F110'!$M$155</f>
        <v>2345414</v>
      </c>
      <c r="G70" s="2044"/>
      <c r="H70" s="2194">
        <f>I52+I69</f>
        <v>2387818</v>
      </c>
      <c r="I70" s="2035"/>
      <c r="J70" s="2151"/>
      <c r="K70" s="2036"/>
      <c r="L70" s="275"/>
      <c r="M70" s="275"/>
      <c r="N70" s="275"/>
      <c r="O70" s="275"/>
      <c r="P70" s="275"/>
      <c r="Q70" s="275"/>
      <c r="R70" s="275"/>
      <c r="S70" s="275"/>
    </row>
    <row r="71" spans="2:30" ht="12.75" customHeight="1">
      <c r="B71" s="3958"/>
      <c r="C71" s="3963"/>
      <c r="D71" s="2196"/>
      <c r="E71" s="2036"/>
      <c r="F71" s="2196"/>
      <c r="G71" s="2044"/>
      <c r="H71" s="2196"/>
      <c r="I71" s="2035"/>
      <c r="J71" s="2151"/>
      <c r="K71" s="2041"/>
      <c r="L71" s="275"/>
      <c r="M71" s="275"/>
      <c r="N71" s="2034"/>
      <c r="O71" s="2034"/>
      <c r="P71" s="2034"/>
      <c r="Q71" s="2034"/>
      <c r="R71" s="2034"/>
      <c r="S71" s="2034"/>
    </row>
    <row r="72" spans="2:30" ht="12.75" customHeight="1">
      <c r="B72" s="3956" t="s">
        <v>801</v>
      </c>
      <c r="C72" s="3929">
        <v>128</v>
      </c>
      <c r="D72" s="2208">
        <f>OPEN!$A$10</f>
        <v>44681009</v>
      </c>
      <c r="E72" s="2041"/>
      <c r="F72" s="2208">
        <f>OPEN!$A$13</f>
        <v>47510259</v>
      </c>
      <c r="G72" s="2121"/>
      <c r="H72" s="2208">
        <f>OPEN!$A$16</f>
        <v>47913507</v>
      </c>
      <c r="I72" s="2039"/>
      <c r="J72" s="2152"/>
      <c r="K72" s="2121"/>
      <c r="L72" s="275"/>
      <c r="M72" s="275"/>
      <c r="N72" s="275"/>
      <c r="O72" s="275"/>
      <c r="P72" s="275"/>
      <c r="Q72" s="275"/>
      <c r="R72" s="275"/>
      <c r="S72" s="275"/>
    </row>
    <row r="73" spans="2:30" s="2045" customFormat="1" ht="12.75" customHeight="1">
      <c r="B73" s="3968" t="s">
        <v>802</v>
      </c>
      <c r="C73" s="3929">
        <v>130</v>
      </c>
      <c r="D73" s="2208">
        <f>OPEN!$A$9</f>
        <v>47690239</v>
      </c>
      <c r="E73" s="2041"/>
      <c r="F73" s="2208">
        <f>OPEN!$A$12</f>
        <v>50550106</v>
      </c>
      <c r="G73" s="2121"/>
      <c r="H73" s="2208">
        <f>OPEN!$A$15</f>
        <v>50987266</v>
      </c>
      <c r="I73" s="2039"/>
      <c r="J73" s="2136"/>
      <c r="K73" s="2121"/>
      <c r="L73" s="2034"/>
      <c r="M73" s="2034"/>
      <c r="N73" s="275"/>
      <c r="O73" s="275"/>
      <c r="P73" s="275"/>
      <c r="Q73" s="275"/>
      <c r="R73" s="275"/>
      <c r="S73" s="275"/>
      <c r="T73" s="3858"/>
      <c r="U73" s="2037"/>
      <c r="V73" s="2037"/>
      <c r="W73" s="2037"/>
      <c r="X73" s="2037"/>
      <c r="Y73" s="2037"/>
      <c r="Z73" s="2037"/>
      <c r="AA73" s="2037"/>
      <c r="AB73" s="2037"/>
      <c r="AC73" s="2037"/>
      <c r="AD73" s="2037"/>
    </row>
    <row r="74" spans="2:30" ht="12.75" customHeight="1">
      <c r="B74" s="3956" t="s">
        <v>4490</v>
      </c>
      <c r="C74" s="3929">
        <v>129</v>
      </c>
      <c r="D74" s="2208">
        <f>OPEN!$A$11</f>
        <v>47602770</v>
      </c>
      <c r="E74" s="2041"/>
      <c r="F74" s="2208">
        <f>OPEN!$A$14</f>
        <v>50470746</v>
      </c>
      <c r="G74" s="2121"/>
      <c r="H74" s="2208">
        <f>OPEN!$A$17</f>
        <v>50987266</v>
      </c>
      <c r="I74" s="2039"/>
      <c r="J74" s="2136"/>
      <c r="K74" s="2121"/>
      <c r="L74" s="275"/>
      <c r="M74" s="275"/>
      <c r="N74" s="275"/>
      <c r="O74" s="275"/>
      <c r="P74" s="275"/>
      <c r="Q74" s="275"/>
      <c r="R74" s="275"/>
      <c r="S74" s="275"/>
    </row>
    <row r="75" spans="2:30" ht="12.75" customHeight="1">
      <c r="B75" s="3969"/>
      <c r="C75" s="3935"/>
      <c r="D75" s="2197"/>
      <c r="E75" s="2041"/>
      <c r="F75" s="2197"/>
      <c r="G75" s="2121"/>
      <c r="H75" s="2197"/>
      <c r="I75" s="2039"/>
      <c r="J75" s="2136"/>
      <c r="K75" s="2044"/>
      <c r="L75" s="275"/>
      <c r="M75" s="275"/>
      <c r="N75" s="2034"/>
      <c r="O75" s="2034"/>
      <c r="P75" s="2034"/>
      <c r="Q75" s="2034"/>
      <c r="R75" s="2034"/>
      <c r="S75" s="2034"/>
    </row>
    <row r="76" spans="2:30" ht="12.75" customHeight="1">
      <c r="B76" s="3957" t="s">
        <v>803</v>
      </c>
      <c r="C76" s="3934"/>
      <c r="D76" s="2048">
        <f>OpenData!O5</f>
        <v>2019</v>
      </c>
      <c r="E76" s="2036"/>
      <c r="F76" s="2048">
        <f>OpenData!P5</f>
        <v>2020</v>
      </c>
      <c r="G76" s="2044"/>
      <c r="H76" s="2048">
        <f>OpenData!Q5</f>
        <v>2021</v>
      </c>
      <c r="I76" s="2044"/>
      <c r="J76" s="2153"/>
      <c r="K76" s="2121"/>
      <c r="L76" s="275"/>
      <c r="M76" s="275"/>
      <c r="N76" s="275"/>
      <c r="O76" s="275"/>
      <c r="P76" s="275"/>
      <c r="Q76" s="275"/>
      <c r="R76" s="275"/>
      <c r="S76" s="275"/>
    </row>
    <row r="77" spans="2:30" ht="12.75" customHeight="1">
      <c r="B77" s="3943" t="s">
        <v>829</v>
      </c>
      <c r="C77" s="3929">
        <v>135</v>
      </c>
      <c r="D77" s="2203">
        <f>OPEN!$B$129</f>
        <v>0</v>
      </c>
      <c r="E77" s="2121"/>
      <c r="F77" s="2203">
        <f>OPEN!$D$129</f>
        <v>0</v>
      </c>
      <c r="G77" s="2121"/>
      <c r="H77" s="2203">
        <f>OPEN!$F$129</f>
        <v>0</v>
      </c>
      <c r="I77" s="2121"/>
      <c r="J77" s="2136"/>
      <c r="K77" s="2121"/>
      <c r="L77" s="275"/>
      <c r="M77" s="275"/>
      <c r="N77" s="275"/>
      <c r="O77" s="275"/>
      <c r="P77" s="275"/>
      <c r="Q77" s="275"/>
      <c r="R77" s="275"/>
      <c r="S77" s="275"/>
    </row>
    <row r="78" spans="2:30" ht="12.75" customHeight="1">
      <c r="B78" s="3943" t="s">
        <v>830</v>
      </c>
      <c r="C78" s="3929">
        <v>140</v>
      </c>
      <c r="D78" s="2203">
        <f>OPEN!$B$130</f>
        <v>0</v>
      </c>
      <c r="E78" s="2121"/>
      <c r="F78" s="2203">
        <f>OPEN!$D$130</f>
        <v>0</v>
      </c>
      <c r="G78" s="2121"/>
      <c r="H78" s="2203">
        <f>OPEN!$F$130</f>
        <v>0</v>
      </c>
      <c r="I78" s="2121"/>
      <c r="J78" s="2136"/>
      <c r="K78" s="2121"/>
      <c r="L78" s="275"/>
      <c r="M78" s="275"/>
      <c r="N78" s="275"/>
      <c r="O78" s="275"/>
      <c r="P78" s="275"/>
      <c r="Q78" s="275"/>
      <c r="R78" s="275"/>
      <c r="S78" s="275"/>
    </row>
    <row r="79" spans="2:30" ht="12.75" customHeight="1">
      <c r="B79" s="3943" t="s">
        <v>820</v>
      </c>
      <c r="C79" s="3929">
        <v>145</v>
      </c>
      <c r="D79" s="2203">
        <f>OPEN!$B$131</f>
        <v>0</v>
      </c>
      <c r="E79" s="2121"/>
      <c r="F79" s="2203">
        <f>OPEN!$D$131</f>
        <v>0</v>
      </c>
      <c r="G79" s="2121"/>
      <c r="H79" s="2203">
        <f>OPEN!$F$131</f>
        <v>0</v>
      </c>
      <c r="I79" s="2121"/>
      <c r="J79" s="2136"/>
      <c r="K79" s="2121"/>
      <c r="L79" s="275"/>
      <c r="M79" s="275"/>
      <c r="N79" s="275"/>
      <c r="O79" s="275"/>
      <c r="P79" s="275"/>
      <c r="Q79" s="275"/>
      <c r="R79" s="275"/>
      <c r="S79" s="275"/>
    </row>
    <row r="80" spans="2:30" ht="12.75" customHeight="1">
      <c r="B80" s="3943" t="s">
        <v>831</v>
      </c>
      <c r="C80" s="3929">
        <v>150</v>
      </c>
      <c r="D80" s="2203">
        <f>OPEN!$B$132</f>
        <v>0</v>
      </c>
      <c r="E80" s="2121"/>
      <c r="F80" s="2203">
        <f>OPEN!$D$132</f>
        <v>0</v>
      </c>
      <c r="G80" s="2121"/>
      <c r="H80" s="2203">
        <f>OPEN!$F$132</f>
        <v>0</v>
      </c>
      <c r="I80" s="2121"/>
      <c r="J80" s="2136"/>
      <c r="K80" s="2121"/>
      <c r="L80" s="275"/>
      <c r="M80" s="275"/>
      <c r="N80" s="275"/>
      <c r="O80" s="275"/>
      <c r="P80" s="275"/>
      <c r="Q80" s="275"/>
      <c r="R80" s="275"/>
      <c r="S80" s="275"/>
    </row>
    <row r="81" spans="2:19" ht="12.75" customHeight="1" thickBot="1">
      <c r="B81" s="3952" t="s">
        <v>832</v>
      </c>
      <c r="C81" s="3933">
        <v>153</v>
      </c>
      <c r="D81" s="2188">
        <f>OPEN!$B$133</f>
        <v>85742</v>
      </c>
      <c r="E81" s="2198"/>
      <c r="F81" s="2188">
        <f>OPEN!$D$133</f>
        <v>0</v>
      </c>
      <c r="G81" s="2198"/>
      <c r="H81" s="2188">
        <f>OPEN!$F$133</f>
        <v>0</v>
      </c>
      <c r="I81" s="2121"/>
      <c r="J81" s="2136"/>
      <c r="K81" s="2121"/>
      <c r="L81" s="275"/>
      <c r="M81" s="275"/>
      <c r="N81" s="275"/>
      <c r="O81" s="275"/>
      <c r="P81" s="275"/>
      <c r="Q81" s="275"/>
      <c r="R81" s="275"/>
      <c r="S81" s="275"/>
    </row>
    <row r="82" spans="2:19" ht="12.75" customHeight="1" thickTop="1">
      <c r="B82" s="3940" t="s">
        <v>4900</v>
      </c>
      <c r="C82" s="3932">
        <v>155</v>
      </c>
      <c r="D82" s="2142">
        <f>SUM(D77:D81)</f>
        <v>85742</v>
      </c>
      <c r="E82" s="2121"/>
      <c r="F82" s="2142">
        <f>SUM(F77:F81)</f>
        <v>0</v>
      </c>
      <c r="G82" s="2121"/>
      <c r="H82" s="2142">
        <f>SUM(H77:H81)</f>
        <v>0</v>
      </c>
      <c r="I82" s="2121"/>
      <c r="J82" s="2136"/>
      <c r="K82" s="2223"/>
      <c r="L82" s="275"/>
      <c r="M82" s="275"/>
      <c r="N82" s="275"/>
      <c r="O82" s="275"/>
      <c r="P82" s="275"/>
      <c r="Q82" s="275"/>
      <c r="R82" s="275"/>
      <c r="S82" s="275"/>
    </row>
    <row r="83" spans="2:19" ht="12.75" customHeight="1">
      <c r="B83" s="6253" t="s">
        <v>4865</v>
      </c>
      <c r="C83" s="6254"/>
      <c r="D83" s="6254"/>
      <c r="E83" s="6254"/>
      <c r="F83" s="6254"/>
      <c r="G83" s="6254"/>
      <c r="H83" s="6254"/>
      <c r="I83" s="6254"/>
      <c r="J83" s="6255"/>
      <c r="K83" s="2220"/>
      <c r="L83" s="275"/>
      <c r="M83" s="275"/>
      <c r="N83" s="275"/>
      <c r="O83" s="275"/>
      <c r="P83" s="275"/>
      <c r="Q83" s="275"/>
      <c r="R83" s="275"/>
      <c r="S83" s="275"/>
    </row>
    <row r="84" spans="2:19" ht="12.75" customHeight="1">
      <c r="B84" s="4515"/>
      <c r="C84" s="2209"/>
      <c r="D84" s="2209"/>
      <c r="E84" s="4511"/>
      <c r="F84" s="4511"/>
      <c r="G84" s="4511"/>
      <c r="H84" s="4511"/>
      <c r="I84" s="4511"/>
      <c r="J84" s="4512"/>
      <c r="K84" s="2220"/>
      <c r="L84" s="275"/>
      <c r="M84" s="275"/>
      <c r="N84" s="275"/>
      <c r="O84" s="275"/>
      <c r="P84" s="275"/>
      <c r="Q84" s="275"/>
      <c r="R84" s="275"/>
      <c r="S84" s="275"/>
    </row>
    <row r="85" spans="2:19" ht="12.75" customHeight="1">
      <c r="B85" s="4516"/>
      <c r="C85" s="2209"/>
      <c r="D85" s="2209"/>
      <c r="E85" s="4511"/>
      <c r="F85" s="4511"/>
      <c r="G85" s="4513"/>
      <c r="H85" s="4513"/>
      <c r="I85" s="4513"/>
      <c r="J85" s="4514"/>
      <c r="K85" s="2228"/>
      <c r="L85" s="275"/>
      <c r="M85" s="275"/>
      <c r="N85" s="275"/>
      <c r="O85" s="275"/>
      <c r="P85" s="275"/>
      <c r="Q85" s="275"/>
      <c r="R85" s="275"/>
      <c r="S85" s="275"/>
    </row>
    <row r="86" spans="2:19" ht="12.75" customHeight="1">
      <c r="B86" s="3961" t="s">
        <v>4662</v>
      </c>
      <c r="C86" s="2185"/>
      <c r="D86" s="2185"/>
      <c r="E86" s="2185"/>
      <c r="F86" s="2185"/>
      <c r="G86" s="6200" t="s">
        <v>877</v>
      </c>
      <c r="H86" s="6200"/>
      <c r="I86" s="6200"/>
      <c r="J86" s="6201"/>
      <c r="K86" s="2228"/>
      <c r="L86" s="275"/>
      <c r="M86" s="275"/>
      <c r="N86" s="275"/>
      <c r="O86" s="275"/>
      <c r="P86" s="275"/>
      <c r="Q86" s="275"/>
      <c r="R86" s="275"/>
      <c r="S86" s="275"/>
    </row>
    <row r="87" spans="2:19" ht="12.75" customHeight="1">
      <c r="B87" s="2237"/>
      <c r="C87" s="3962"/>
      <c r="D87" s="2241"/>
      <c r="E87" s="2227"/>
      <c r="F87" s="2227"/>
      <c r="G87" s="2227"/>
      <c r="H87" s="2227"/>
      <c r="I87" s="2227"/>
      <c r="J87" s="2227"/>
      <c r="K87" s="2228"/>
      <c r="L87" s="275"/>
      <c r="M87" s="275"/>
      <c r="N87" s="275"/>
      <c r="O87" s="275"/>
      <c r="P87" s="275"/>
      <c r="Q87" s="275"/>
      <c r="R87" s="275"/>
      <c r="S87" s="275"/>
    </row>
    <row r="88" spans="2:19" ht="12.75" customHeight="1">
      <c r="B88" s="2238"/>
      <c r="C88" s="2239"/>
      <c r="D88" s="2240"/>
      <c r="E88" s="2239"/>
      <c r="F88" s="2239"/>
      <c r="G88" s="2239"/>
      <c r="H88" s="2239"/>
      <c r="I88" s="2239"/>
      <c r="J88" s="2239"/>
      <c r="K88" s="2224"/>
      <c r="L88" s="275"/>
      <c r="M88" s="6276"/>
      <c r="N88" s="6276"/>
      <c r="O88" s="3872"/>
      <c r="P88" s="3871"/>
      <c r="Q88" s="3871"/>
      <c r="R88" s="3852"/>
    </row>
    <row r="89" spans="2:19" ht="12.75" customHeight="1" thickBot="1">
      <c r="B89" s="6250" t="str">
        <f>"Exceeding the Revenue Neutral Tax Rate for the "&amp;OpenData!Q5&amp;"-"&amp;OpenData!Q5+1&amp;" School Year"</f>
        <v>Exceeding the Revenue Neutral Tax Rate for the 2021-2022 School Year</v>
      </c>
      <c r="C89" s="6251"/>
      <c r="D89" s="6251"/>
      <c r="E89" s="6251"/>
      <c r="F89" s="6251"/>
      <c r="G89" s="6251"/>
      <c r="H89" s="6251"/>
      <c r="I89" s="6251"/>
      <c r="J89" s="6252"/>
      <c r="K89" s="3870"/>
      <c r="L89" s="275"/>
      <c r="M89" s="3873"/>
      <c r="N89" s="3873"/>
      <c r="O89" s="3873"/>
      <c r="P89" s="3874"/>
      <c r="Q89" s="3875"/>
      <c r="R89" s="4517"/>
    </row>
    <row r="90" spans="2:19" ht="36" customHeight="1" thickTop="1">
      <c r="B90" s="6240" t="str">
        <f>"The governing body of Unified School District "&amp;OPEN!B4&amp;" will meet on the "&amp;N92&amp;" day of "&amp;N93&amp;" "&amp;OpenData!Q5&amp;" at "&amp;N94&amp;" "&amp;O94&amp;" at "&amp;N96&amp;", "&amp;N97&amp;", "&amp;O97&amp;" "&amp;P97&amp;" for the purpose of hearing and answering objections of taxpayers relating to the proposed use of all funds and the amount of tax to be levied.  Detailed budget information, including budget profile, is available at "&amp;N99&amp;" and will be available at this hearing."</f>
        <v>The governing body of Unified School District 237 will meet on the 13th  day of September 2021 at 6:40 PM at 216 S. Jefferson, Smith Center, KS 66967 for the purpose of hearing and answering objections of taxpayers relating to the proposed use of all funds and the amount of tax to be levied.  Detailed budget information, including budget profile, is available at District Office and will be available at this hearing.</v>
      </c>
      <c r="C90" s="6241"/>
      <c r="D90" s="6241"/>
      <c r="E90" s="6241"/>
      <c r="F90" s="6241"/>
      <c r="G90" s="6241"/>
      <c r="H90" s="6241"/>
      <c r="I90" s="6241"/>
      <c r="J90" s="6242"/>
      <c r="K90" s="2226"/>
      <c r="L90" s="275"/>
      <c r="M90" s="6266" t="s">
        <v>4854</v>
      </c>
      <c r="N90" s="6267"/>
      <c r="O90" s="6267"/>
      <c r="P90" s="6267"/>
      <c r="Q90" s="6267"/>
      <c r="R90" s="6268"/>
      <c r="S90" s="277"/>
    </row>
    <row r="91" spans="2:19" ht="28.5" customHeight="1">
      <c r="B91" s="6243"/>
      <c r="C91" s="6244"/>
      <c r="D91" s="6244"/>
      <c r="E91" s="6244"/>
      <c r="F91" s="6244"/>
      <c r="G91" s="6244"/>
      <c r="H91" s="6244"/>
      <c r="I91" s="6244"/>
      <c r="J91" s="6245"/>
      <c r="K91" s="2233"/>
      <c r="M91" s="2130" t="s">
        <v>1634</v>
      </c>
      <c r="N91" s="6246" t="str">
        <f>"Unified School District "&amp;OPEN!B4</f>
        <v>Unified School District 237</v>
      </c>
      <c r="O91" s="6246"/>
      <c r="P91" s="6246"/>
      <c r="Q91" s="6246"/>
      <c r="R91" s="6247"/>
      <c r="S91" s="277"/>
    </row>
    <row r="92" spans="2:19" ht="12.75" customHeight="1">
      <c r="B92" s="6281" t="s">
        <v>4849</v>
      </c>
      <c r="C92" s="6282"/>
      <c r="D92" s="6282"/>
      <c r="E92" s="6282"/>
      <c r="F92" s="6282"/>
      <c r="G92" s="6282"/>
      <c r="H92" s="6282"/>
      <c r="I92" s="6282"/>
      <c r="J92" s="6283"/>
      <c r="K92" s="2236"/>
      <c r="L92" s="2115"/>
      <c r="M92" s="2130" t="s">
        <v>4842</v>
      </c>
      <c r="N92" s="6270" t="str">
        <f>N3</f>
        <v xml:space="preserve">13th </v>
      </c>
      <c r="O92" s="6270"/>
      <c r="P92" s="6270"/>
      <c r="Q92" s="6246" t="s">
        <v>4855</v>
      </c>
      <c r="R92" s="6247"/>
      <c r="S92" s="277"/>
    </row>
    <row r="93" spans="2:19" ht="34.5" customHeight="1">
      <c r="B93" s="4503"/>
      <c r="C93" s="6202" t="str">
        <f>OpenData!Q5-1&amp;"-"&amp;OpenData!Q5</f>
        <v>2020-2021</v>
      </c>
      <c r="D93" s="6203"/>
      <c r="E93" s="6203"/>
      <c r="F93" s="6203"/>
      <c r="G93" s="6203"/>
      <c r="H93" s="6204"/>
      <c r="I93" s="6213" t="str">
        <f>OpenData!Q5&amp;"-"&amp;OpenData!Q5+1</f>
        <v>2021-2022</v>
      </c>
      <c r="J93" s="6214"/>
      <c r="K93" s="4520"/>
      <c r="M93" s="2130" t="s">
        <v>4841</v>
      </c>
      <c r="N93" s="6237" t="str">
        <f>N4</f>
        <v>September</v>
      </c>
      <c r="O93" s="6237"/>
      <c r="P93" s="6237"/>
      <c r="Q93" s="6246" t="s">
        <v>4856</v>
      </c>
      <c r="R93" s="6247"/>
      <c r="S93" s="277"/>
    </row>
    <row r="94" spans="2:19" ht="12.75" customHeight="1">
      <c r="B94" s="4500"/>
      <c r="C94" s="6286" t="s">
        <v>4850</v>
      </c>
      <c r="D94" s="6289"/>
      <c r="E94" s="6286" t="s">
        <v>4851</v>
      </c>
      <c r="F94" s="6287"/>
      <c r="G94" s="6286" t="s">
        <v>4852</v>
      </c>
      <c r="H94" s="6288"/>
      <c r="I94" s="4504" t="s">
        <v>4853</v>
      </c>
      <c r="J94" s="4521" t="s">
        <v>5167</v>
      </c>
      <c r="K94" s="2234"/>
      <c r="M94" s="2130" t="s">
        <v>4840</v>
      </c>
      <c r="N94" s="2129" t="s">
        <v>5313</v>
      </c>
      <c r="O94" s="6238" t="s">
        <v>5308</v>
      </c>
      <c r="P94" s="6239"/>
      <c r="Q94" s="6246" t="s">
        <v>4857</v>
      </c>
      <c r="R94" s="6247"/>
      <c r="S94" s="277"/>
    </row>
    <row r="95" spans="2:19" ht="12.75" customHeight="1">
      <c r="B95" s="2243" t="str">
        <f>B14</f>
        <v>General</v>
      </c>
      <c r="C95" s="6207">
        <v>950205</v>
      </c>
      <c r="D95" s="6208"/>
      <c r="E95" s="6248">
        <f>G14</f>
        <v>20</v>
      </c>
      <c r="F95" s="6249"/>
      <c r="G95" s="6235">
        <v>19.831</v>
      </c>
      <c r="H95" s="6236"/>
      <c r="I95" s="3925">
        <f>I14</f>
        <v>958270</v>
      </c>
      <c r="J95" s="3928">
        <f>J14</f>
        <v>20</v>
      </c>
      <c r="K95" s="2234"/>
      <c r="M95" s="2131"/>
      <c r="N95" s="2133" t="s">
        <v>4838</v>
      </c>
      <c r="O95" s="6259" t="s">
        <v>4832</v>
      </c>
      <c r="P95" s="6259"/>
      <c r="Q95" s="6220" t="s">
        <v>4858</v>
      </c>
      <c r="R95" s="6221"/>
      <c r="S95" s="277"/>
    </row>
    <row r="96" spans="2:19" ht="12.75" customHeight="1">
      <c r="B96" s="2243" t="str">
        <f>B24</f>
        <v>Capital Outlay</v>
      </c>
      <c r="C96" s="6205">
        <f>'F110'!I16</f>
        <v>403614</v>
      </c>
      <c r="D96" s="6206"/>
      <c r="E96" s="6248">
        <f>G24</f>
        <v>7.9809999999999999</v>
      </c>
      <c r="F96" s="6249"/>
      <c r="G96" s="6235">
        <v>7.915</v>
      </c>
      <c r="H96" s="6236"/>
      <c r="I96" s="3926">
        <f>I24</f>
        <v>407898</v>
      </c>
      <c r="J96" s="3928">
        <f>J24</f>
        <v>8</v>
      </c>
      <c r="K96" s="2234"/>
      <c r="M96" s="6298" t="s">
        <v>4839</v>
      </c>
      <c r="N96" s="6275" t="s">
        <v>5310</v>
      </c>
      <c r="O96" s="6275"/>
      <c r="P96" s="6275"/>
      <c r="Q96" s="6220"/>
      <c r="R96" s="6221"/>
      <c r="S96" s="277"/>
    </row>
    <row r="97" spans="2:19">
      <c r="B97" s="2243" t="str">
        <f>$B$46</f>
        <v>Bond and Interest #2</v>
      </c>
      <c r="C97" s="6205">
        <f>'F110'!K64</f>
        <v>0</v>
      </c>
      <c r="D97" s="6206"/>
      <c r="E97" s="6248">
        <f>G46</f>
        <v>0</v>
      </c>
      <c r="F97" s="6249"/>
      <c r="G97" s="6235"/>
      <c r="H97" s="6236"/>
      <c r="I97" s="3927">
        <f>I46</f>
        <v>0</v>
      </c>
      <c r="J97" s="4522">
        <f>J46</f>
        <v>0</v>
      </c>
      <c r="K97" s="2234"/>
      <c r="M97" s="6298"/>
      <c r="N97" s="2118" t="s">
        <v>5309</v>
      </c>
      <c r="O97" s="2117" t="str">
        <f>O9</f>
        <v>KS</v>
      </c>
      <c r="P97" s="2118">
        <v>66967</v>
      </c>
      <c r="Q97" s="6246" t="s">
        <v>4837</v>
      </c>
      <c r="R97" s="6247"/>
      <c r="S97" s="277"/>
    </row>
    <row r="98" spans="2:19" ht="12.75" customHeight="1">
      <c r="B98" s="4501" t="s">
        <v>4904</v>
      </c>
      <c r="C98" s="4499"/>
      <c r="D98" s="4499"/>
      <c r="E98" s="6217"/>
      <c r="F98" s="6217"/>
      <c r="G98" s="6205"/>
      <c r="H98" s="6205"/>
      <c r="I98" s="3960"/>
      <c r="J98" s="3924"/>
      <c r="K98" s="2234"/>
      <c r="M98" s="2130"/>
      <c r="N98" s="2133" t="s">
        <v>4833</v>
      </c>
      <c r="O98" s="2134" t="s">
        <v>4834</v>
      </c>
      <c r="P98" s="2133" t="s">
        <v>4835</v>
      </c>
      <c r="Q98" s="6220" t="s">
        <v>4859</v>
      </c>
      <c r="R98" s="6221"/>
      <c r="S98" s="277"/>
    </row>
    <row r="99" spans="2:19" ht="12.75" customHeight="1" thickBot="1">
      <c r="B99" s="2243" t="str">
        <f>B15</f>
        <v>Supplemental General (LOB)</v>
      </c>
      <c r="C99" s="6205">
        <f>'F110'!G16</f>
        <v>991595</v>
      </c>
      <c r="D99" s="6206"/>
      <c r="E99" s="6215">
        <f>G15</f>
        <v>19.608000000000001</v>
      </c>
      <c r="F99" s="6216"/>
      <c r="G99" s="6290"/>
      <c r="H99" s="6291"/>
      <c r="I99" s="3925">
        <f>I15</f>
        <v>1021650</v>
      </c>
      <c r="J99" s="3928">
        <f>J15</f>
        <v>20.036999999999999</v>
      </c>
      <c r="K99" s="2234"/>
      <c r="M99" s="2132" t="s">
        <v>4843</v>
      </c>
      <c r="N99" s="6285" t="s">
        <v>5311</v>
      </c>
      <c r="O99" s="6285"/>
      <c r="P99" s="6285"/>
      <c r="Q99" s="6222"/>
      <c r="R99" s="6223"/>
      <c r="S99" s="277"/>
    </row>
    <row r="100" spans="2:19" ht="12.75" customHeight="1" thickTop="1" thickBot="1">
      <c r="B100" s="2243" t="str">
        <f>B18</f>
        <v>Adult Education</v>
      </c>
      <c r="C100" s="6205">
        <f>'F110'!E64</f>
        <v>0</v>
      </c>
      <c r="D100" s="6206"/>
      <c r="E100" s="6215">
        <f>G18</f>
        <v>0</v>
      </c>
      <c r="F100" s="6216"/>
      <c r="G100" s="6218"/>
      <c r="H100" s="6219"/>
      <c r="I100" s="3926">
        <f>I18</f>
        <v>0</v>
      </c>
      <c r="J100" s="3928">
        <f>J18</f>
        <v>0</v>
      </c>
      <c r="K100" s="2234"/>
      <c r="S100" s="277"/>
    </row>
    <row r="101" spans="2:19" ht="12.75" customHeight="1" thickTop="1">
      <c r="B101" s="2243" t="str">
        <f>B33</f>
        <v>Cost of Living</v>
      </c>
      <c r="C101" s="6205">
        <f>'F110'!M155</f>
        <v>0</v>
      </c>
      <c r="D101" s="6206"/>
      <c r="E101" s="6215">
        <f>G33</f>
        <v>0</v>
      </c>
      <c r="F101" s="6216"/>
      <c r="G101" s="6218"/>
      <c r="H101" s="6219"/>
      <c r="I101" s="3926">
        <f>I33</f>
        <v>0</v>
      </c>
      <c r="J101" s="3928">
        <f>J33</f>
        <v>0</v>
      </c>
      <c r="K101" s="2234"/>
      <c r="M101" s="6232" t="s">
        <v>4862</v>
      </c>
      <c r="N101" s="6233"/>
      <c r="O101" s="6234"/>
      <c r="S101" s="277"/>
    </row>
    <row r="102" spans="2:19" ht="12.75" customHeight="1">
      <c r="B102" s="2243" t="str">
        <f>B36</f>
        <v>Special Liability Expense Fund</v>
      </c>
      <c r="C102" s="6205">
        <f>'F110'!G64</f>
        <v>0</v>
      </c>
      <c r="D102" s="6206"/>
      <c r="E102" s="6215">
        <f>G36</f>
        <v>0</v>
      </c>
      <c r="F102" s="6216"/>
      <c r="G102" s="6218"/>
      <c r="H102" s="6219"/>
      <c r="I102" s="3926">
        <f>I36</f>
        <v>0</v>
      </c>
      <c r="J102" s="3928">
        <f>J36</f>
        <v>0</v>
      </c>
      <c r="K102" s="2234"/>
      <c r="M102" s="6299" t="s">
        <v>4986</v>
      </c>
      <c r="N102" s="6300"/>
      <c r="O102" s="6301"/>
      <c r="S102" s="277"/>
    </row>
    <row r="103" spans="2:19" ht="12.75" customHeight="1">
      <c r="B103" s="2243" t="str">
        <f>B38</f>
        <v>Extraordinary Growth Facilities</v>
      </c>
      <c r="C103" s="6205">
        <f>'F110'!I155</f>
        <v>0</v>
      </c>
      <c r="D103" s="6206"/>
      <c r="E103" s="6215">
        <f>G38</f>
        <v>0</v>
      </c>
      <c r="F103" s="6216"/>
      <c r="G103" s="6218"/>
      <c r="H103" s="6219"/>
      <c r="I103" s="3926">
        <f>I38</f>
        <v>0</v>
      </c>
      <c r="J103" s="3928">
        <f>J38</f>
        <v>0</v>
      </c>
      <c r="K103" s="2234"/>
      <c r="M103" s="6299"/>
      <c r="N103" s="6300"/>
      <c r="O103" s="6301"/>
      <c r="S103" s="277"/>
    </row>
    <row r="104" spans="2:19" ht="12.75" customHeight="1">
      <c r="B104" s="2243" t="str">
        <f>$B$45</f>
        <v>Bond and Interest #1</v>
      </c>
      <c r="C104" s="6205">
        <f>'F110'!K16</f>
        <v>0</v>
      </c>
      <c r="D104" s="6206"/>
      <c r="E104" s="6215">
        <f>G45</f>
        <v>0</v>
      </c>
      <c r="F104" s="6216"/>
      <c r="G104" s="6218"/>
      <c r="H104" s="6219"/>
      <c r="I104" s="3926">
        <f>I45</f>
        <v>0</v>
      </c>
      <c r="J104" s="3928">
        <f>J45</f>
        <v>0</v>
      </c>
      <c r="K104" s="2234"/>
      <c r="M104" s="6299"/>
      <c r="N104" s="6300"/>
      <c r="O104" s="6301"/>
      <c r="S104" s="277"/>
    </row>
    <row r="105" spans="2:19" ht="12.75" customHeight="1">
      <c r="B105" s="2243" t="str">
        <f>B47</f>
        <v>No-Fund Warrant</v>
      </c>
      <c r="C105" s="6205">
        <f>'F110'!E113</f>
        <v>0</v>
      </c>
      <c r="D105" s="6206"/>
      <c r="E105" s="6215">
        <f>G47</f>
        <v>0</v>
      </c>
      <c r="F105" s="6216"/>
      <c r="G105" s="6218"/>
      <c r="H105" s="6219"/>
      <c r="I105" s="3926">
        <f t="shared" ref="I105:J107" si="3">I47</f>
        <v>0</v>
      </c>
      <c r="J105" s="3928">
        <f t="shared" si="3"/>
        <v>0</v>
      </c>
      <c r="K105" s="2234"/>
      <c r="M105" s="6299"/>
      <c r="N105" s="6300"/>
      <c r="O105" s="6301"/>
      <c r="S105" s="277"/>
    </row>
    <row r="106" spans="2:19" ht="12.75" customHeight="1">
      <c r="B106" s="2243" t="str">
        <f>B48</f>
        <v>Special Assessment</v>
      </c>
      <c r="C106" s="6205">
        <f>'F110'!G113</f>
        <v>0</v>
      </c>
      <c r="D106" s="6206"/>
      <c r="E106" s="6215">
        <f>G48</f>
        <v>0</v>
      </c>
      <c r="F106" s="6216"/>
      <c r="G106" s="6218"/>
      <c r="H106" s="6219"/>
      <c r="I106" s="3926">
        <f t="shared" si="3"/>
        <v>0</v>
      </c>
      <c r="J106" s="3928">
        <f t="shared" si="3"/>
        <v>0</v>
      </c>
      <c r="K106" s="2234"/>
      <c r="M106" s="6299"/>
      <c r="N106" s="6300"/>
      <c r="O106" s="6301"/>
      <c r="S106" s="277"/>
    </row>
    <row r="107" spans="2:19" ht="12.75" customHeight="1">
      <c r="B107" s="2243" t="str">
        <f>B49</f>
        <v>Temporary Note</v>
      </c>
      <c r="C107" s="6205">
        <f>'F110'!I113</f>
        <v>0</v>
      </c>
      <c r="D107" s="6206"/>
      <c r="E107" s="6215">
        <f>G49</f>
        <v>0</v>
      </c>
      <c r="F107" s="6216"/>
      <c r="G107" s="6218"/>
      <c r="H107" s="6219"/>
      <c r="I107" s="3926">
        <f t="shared" si="3"/>
        <v>0</v>
      </c>
      <c r="J107" s="3928">
        <f t="shared" si="3"/>
        <v>0</v>
      </c>
      <c r="K107" s="2234"/>
      <c r="M107" s="6299"/>
      <c r="N107" s="6300"/>
      <c r="O107" s="6301"/>
      <c r="S107" s="277"/>
    </row>
    <row r="108" spans="2:19" ht="12.75" customHeight="1" thickBot="1">
      <c r="B108" s="2243" t="str">
        <f>B64</f>
        <v>Historical Museum</v>
      </c>
      <c r="C108" s="6205">
        <f>'F110'!K113</f>
        <v>0</v>
      </c>
      <c r="D108" s="6206"/>
      <c r="E108" s="6215">
        <f>G64</f>
        <v>0</v>
      </c>
      <c r="F108" s="6216"/>
      <c r="G108" s="6218"/>
      <c r="H108" s="6219"/>
      <c r="I108" s="3926">
        <f t="shared" ref="I108:J110" si="4">I64</f>
        <v>0</v>
      </c>
      <c r="J108" s="3928">
        <f t="shared" si="4"/>
        <v>0</v>
      </c>
      <c r="K108" s="2234"/>
      <c r="M108" s="6302"/>
      <c r="N108" s="6303"/>
      <c r="O108" s="6304"/>
      <c r="S108" s="277"/>
    </row>
    <row r="109" spans="2:19" ht="12.75" customHeight="1" thickTop="1">
      <c r="B109" s="2243" t="str">
        <f>B65</f>
        <v>Public Library Board</v>
      </c>
      <c r="C109" s="6205">
        <f>'F110'!M113</f>
        <v>0</v>
      </c>
      <c r="D109" s="6206"/>
      <c r="E109" s="6215">
        <f>G65</f>
        <v>0</v>
      </c>
      <c r="F109" s="6216"/>
      <c r="G109" s="6218"/>
      <c r="H109" s="6219"/>
      <c r="I109" s="3926">
        <f t="shared" si="4"/>
        <v>0</v>
      </c>
      <c r="J109" s="3928">
        <f t="shared" si="4"/>
        <v>0</v>
      </c>
      <c r="K109" s="2234"/>
      <c r="S109" s="277"/>
    </row>
    <row r="110" spans="2:19" ht="12.75" customHeight="1" thickBot="1">
      <c r="B110" s="2244" t="str">
        <f>B66</f>
        <v>Public Library Board Employee Benefits</v>
      </c>
      <c r="C110" s="6211">
        <f>'F110'!K155</f>
        <v>0</v>
      </c>
      <c r="D110" s="6212"/>
      <c r="E110" s="6296">
        <f>G66</f>
        <v>0</v>
      </c>
      <c r="F110" s="6297"/>
      <c r="G110" s="6294"/>
      <c r="H110" s="6295"/>
      <c r="I110" s="4518">
        <f t="shared" si="4"/>
        <v>0</v>
      </c>
      <c r="J110" s="4523">
        <f t="shared" si="4"/>
        <v>0</v>
      </c>
      <c r="K110" s="2234"/>
      <c r="S110" s="277"/>
    </row>
    <row r="111" spans="2:19" ht="12.75" customHeight="1" thickTop="1">
      <c r="B111" s="4502" t="s">
        <v>4903</v>
      </c>
      <c r="C111" s="6209">
        <f>SUM(C99:C110)</f>
        <v>991595</v>
      </c>
      <c r="D111" s="6210"/>
      <c r="E111" s="6307">
        <f>SUM(E99:F110)</f>
        <v>19.608000000000001</v>
      </c>
      <c r="F111" s="6308"/>
      <c r="G111" s="6292">
        <v>19.437000000000001</v>
      </c>
      <c r="H111" s="6293"/>
      <c r="I111" s="4519">
        <f>SUM(I99:I110)</f>
        <v>1021650</v>
      </c>
      <c r="J111" s="4524">
        <f>SUM(J99:J110)</f>
        <v>20.036999999999999</v>
      </c>
      <c r="K111" s="2234"/>
      <c r="S111" s="277"/>
    </row>
    <row r="112" spans="2:19" ht="15" hidden="1" customHeight="1">
      <c r="B112" s="2245"/>
      <c r="C112" s="2246"/>
      <c r="D112" s="2247"/>
      <c r="E112" s="2155"/>
      <c r="F112" s="2155"/>
      <c r="G112" s="2247"/>
      <c r="H112" s="2247"/>
      <c r="I112" s="2247"/>
      <c r="J112" s="2248"/>
      <c r="K112" s="2234"/>
      <c r="S112" s="277"/>
    </row>
    <row r="113" spans="2:19" ht="11.25" hidden="1" customHeight="1">
      <c r="B113" s="4507" t="s">
        <v>4860</v>
      </c>
      <c r="C113" s="4508"/>
      <c r="D113" s="4508"/>
      <c r="E113" s="6305"/>
      <c r="F113" s="6305"/>
      <c r="G113" s="6305"/>
      <c r="H113" s="6305"/>
      <c r="I113" s="2155"/>
      <c r="J113" s="2156"/>
      <c r="K113" s="2234"/>
      <c r="S113" s="277"/>
    </row>
    <row r="114" spans="2:19" ht="15.75" hidden="1" customHeight="1">
      <c r="B114" s="4507"/>
      <c r="C114" s="4508"/>
      <c r="D114" s="4508"/>
      <c r="E114" s="6306"/>
      <c r="F114" s="6306"/>
      <c r="G114" s="6306"/>
      <c r="H114" s="6306"/>
      <c r="I114" s="2155"/>
      <c r="J114" s="2156"/>
      <c r="K114" s="2155"/>
      <c r="S114" s="277"/>
    </row>
    <row r="115" spans="2:19" ht="21" hidden="1" customHeight="1">
      <c r="B115" s="2154"/>
      <c r="C115" s="3923"/>
      <c r="D115" s="2155"/>
      <c r="E115" s="6284" t="s">
        <v>4861</v>
      </c>
      <c r="F115" s="6284"/>
      <c r="G115" s="6284"/>
      <c r="H115" s="6284"/>
      <c r="I115" s="2155"/>
      <c r="J115" s="2156"/>
      <c r="K115" s="2155"/>
      <c r="S115" s="277"/>
    </row>
    <row r="116" spans="2:19" ht="12.75" customHeight="1">
      <c r="B116" s="2154"/>
      <c r="C116" s="3923"/>
      <c r="D116" s="2155"/>
      <c r="E116" s="2135"/>
      <c r="F116" s="2135"/>
      <c r="G116" s="2135"/>
      <c r="H116" s="2135"/>
      <c r="I116" s="2155"/>
      <c r="J116" s="2156"/>
      <c r="K116" s="2155"/>
      <c r="S116" s="277"/>
    </row>
    <row r="117" spans="2:19" ht="12.75" customHeight="1">
      <c r="B117" s="4505"/>
      <c r="C117" s="2217"/>
      <c r="D117" s="2217"/>
      <c r="E117" s="2155"/>
      <c r="F117" s="2155"/>
      <c r="G117" s="2155"/>
      <c r="H117" s="2155"/>
      <c r="I117" s="2155"/>
      <c r="J117" s="2156"/>
      <c r="K117" s="2155"/>
      <c r="S117" s="277"/>
    </row>
    <row r="118" spans="2:19" ht="12.75" customHeight="1">
      <c r="B118" s="4506"/>
      <c r="C118" s="2217"/>
      <c r="D118" s="2217"/>
      <c r="E118" s="2155"/>
      <c r="F118" s="2155"/>
      <c r="G118" s="2219"/>
      <c r="H118" s="2219"/>
      <c r="I118" s="2219"/>
      <c r="J118" s="4509"/>
      <c r="K118" s="2155"/>
      <c r="S118" s="277"/>
    </row>
    <row r="119" spans="2:19" ht="15" customHeight="1">
      <c r="B119" s="3922" t="s">
        <v>4662</v>
      </c>
      <c r="C119" s="2218"/>
      <c r="D119" s="2218"/>
      <c r="E119" s="2219"/>
      <c r="F119" s="4510"/>
      <c r="G119" s="6198" t="s">
        <v>877</v>
      </c>
      <c r="H119" s="6198"/>
      <c r="I119" s="6198"/>
      <c r="J119" s="6199"/>
      <c r="K119" s="2221"/>
      <c r="S119" s="277"/>
    </row>
    <row r="120" spans="2:19" ht="15" customHeight="1">
      <c r="K120" s="2221"/>
      <c r="S120" s="277"/>
    </row>
    <row r="121" spans="2:19" ht="15" customHeight="1">
      <c r="K121" s="2235"/>
      <c r="S121" s="277"/>
    </row>
    <row r="122" spans="2:19" ht="7.5" customHeight="1">
      <c r="S122" s="277"/>
    </row>
    <row r="123" spans="2:19" ht="15" customHeight="1">
      <c r="S123" s="277"/>
    </row>
  </sheetData>
  <sheetProtection algorithmName="SHA-512" hashValue="6U2nhpMDqpAjAhLBa19hMkk8sMNiPJfAyPTFcylydQA46DehPXiEPAgm7vBv7+s7ckMSnIhpI+UckofxJ4POXA==" saltValue="NSqRy5WNYCZ/YUVKZPh7MQ==" spinCount="100000" sheet="1" objects="1" scenarios="1"/>
  <mergeCells count="109">
    <mergeCell ref="E115:H115"/>
    <mergeCell ref="N99:P99"/>
    <mergeCell ref="E94:F94"/>
    <mergeCell ref="G94:H94"/>
    <mergeCell ref="C94:D94"/>
    <mergeCell ref="E103:F103"/>
    <mergeCell ref="E95:F95"/>
    <mergeCell ref="G95:H95"/>
    <mergeCell ref="E99:F99"/>
    <mergeCell ref="G107:H107"/>
    <mergeCell ref="G108:H108"/>
    <mergeCell ref="G99:H99"/>
    <mergeCell ref="E97:F97"/>
    <mergeCell ref="G109:H109"/>
    <mergeCell ref="G111:H111"/>
    <mergeCell ref="G110:H110"/>
    <mergeCell ref="E110:F110"/>
    <mergeCell ref="N96:P96"/>
    <mergeCell ref="M96:M97"/>
    <mergeCell ref="M102:O108"/>
    <mergeCell ref="E102:F102"/>
    <mergeCell ref="E105:F105"/>
    <mergeCell ref="E113:H114"/>
    <mergeCell ref="E111:F111"/>
    <mergeCell ref="B83:J83"/>
    <mergeCell ref="G96:H96"/>
    <mergeCell ref="M1:R1"/>
    <mergeCell ref="O95:P95"/>
    <mergeCell ref="O7:P7"/>
    <mergeCell ref="N11:P11"/>
    <mergeCell ref="M8:M9"/>
    <mergeCell ref="B4:J4"/>
    <mergeCell ref="B57:J57"/>
    <mergeCell ref="B5:J5"/>
    <mergeCell ref="Q94:R94"/>
    <mergeCell ref="N91:R91"/>
    <mergeCell ref="M90:R90"/>
    <mergeCell ref="M5:M6"/>
    <mergeCell ref="N3:P3"/>
    <mergeCell ref="N4:P4"/>
    <mergeCell ref="O5:P6"/>
    <mergeCell ref="N8:P8"/>
    <mergeCell ref="M88:N88"/>
    <mergeCell ref="N92:P92"/>
    <mergeCell ref="N5:N6"/>
    <mergeCell ref="K1:L1"/>
    <mergeCell ref="B92:J92"/>
    <mergeCell ref="B6:J6"/>
    <mergeCell ref="Q98:R99"/>
    <mergeCell ref="Q3:R3"/>
    <mergeCell ref="Q4:R4"/>
    <mergeCell ref="Q5:R6"/>
    <mergeCell ref="Q9:R9"/>
    <mergeCell ref="Q10:R11"/>
    <mergeCell ref="M101:O101"/>
    <mergeCell ref="G98:H98"/>
    <mergeCell ref="G97:H97"/>
    <mergeCell ref="N93:P93"/>
    <mergeCell ref="O94:P94"/>
    <mergeCell ref="H58:J58"/>
    <mergeCell ref="B90:J91"/>
    <mergeCell ref="Q95:R96"/>
    <mergeCell ref="Q97:R97"/>
    <mergeCell ref="Q7:R8"/>
    <mergeCell ref="Q92:R92"/>
    <mergeCell ref="Q93:R93"/>
    <mergeCell ref="D58:E58"/>
    <mergeCell ref="F58:G58"/>
    <mergeCell ref="E96:F96"/>
    <mergeCell ref="G100:H100"/>
    <mergeCell ref="G101:H101"/>
    <mergeCell ref="B89:J89"/>
    <mergeCell ref="E106:F106"/>
    <mergeCell ref="E107:F107"/>
    <mergeCell ref="E108:F108"/>
    <mergeCell ref="E109:F109"/>
    <mergeCell ref="E98:F98"/>
    <mergeCell ref="E100:F100"/>
    <mergeCell ref="E101:F101"/>
    <mergeCell ref="E104:F104"/>
    <mergeCell ref="G104:H104"/>
    <mergeCell ref="G106:H106"/>
    <mergeCell ref="G105:H105"/>
    <mergeCell ref="G103:H103"/>
    <mergeCell ref="G102:H102"/>
    <mergeCell ref="H8:J8"/>
    <mergeCell ref="D8:E8"/>
    <mergeCell ref="F8:G8"/>
    <mergeCell ref="B56:J56"/>
    <mergeCell ref="G119:J119"/>
    <mergeCell ref="G86:J86"/>
    <mergeCell ref="C93:H93"/>
    <mergeCell ref="C97:D97"/>
    <mergeCell ref="C96:D96"/>
    <mergeCell ref="C95:D95"/>
    <mergeCell ref="C111:D111"/>
    <mergeCell ref="C110:D110"/>
    <mergeCell ref="C109:D109"/>
    <mergeCell ref="C107:D107"/>
    <mergeCell ref="C108:D108"/>
    <mergeCell ref="C106:D106"/>
    <mergeCell ref="C105:D105"/>
    <mergeCell ref="C104:D104"/>
    <mergeCell ref="C103:D103"/>
    <mergeCell ref="C102:D102"/>
    <mergeCell ref="C101:D101"/>
    <mergeCell ref="C100:D100"/>
    <mergeCell ref="C99:D99"/>
    <mergeCell ref="I93:J93"/>
  </mergeCells>
  <phoneticPr fontId="13" type="noConversion"/>
  <conditionalFormatting sqref="H14">
    <cfRule type="containsText" dxfId="8" priority="14" operator="containsText" text="Check Expend.">
      <formula>NOT(ISERROR(SEARCH("Check Expend.",H14)))</formula>
    </cfRule>
  </conditionalFormatting>
  <conditionalFormatting sqref="H15">
    <cfRule type="containsText" dxfId="7" priority="12" operator="containsText" text="Expend. &lt;&gt; LOB">
      <formula>NOT(ISERROR(SEARCH("Expend. &lt;&gt; LOB",H15)))</formula>
    </cfRule>
    <cfRule type="containsText" dxfId="6" priority="13" operator="containsText" text="Expend.&lt;&gt;LOB">
      <formula>NOT(ISERROR(SEARCH("Expend.&lt;&gt;LOB",H15)))</formula>
    </cfRule>
  </conditionalFormatting>
  <conditionalFormatting sqref="D40 F40 H40">
    <cfRule type="cellIs" dxfId="5" priority="11" operator="equal">
      <formula>"Exp. &lt;&gt; Resources"</formula>
    </cfRule>
  </conditionalFormatting>
  <conditionalFormatting sqref="G95">
    <cfRule type="expression" dxfId="4" priority="2">
      <formula>OR($O$88="",$O$88="Yes")</formula>
    </cfRule>
  </conditionalFormatting>
  <conditionalFormatting sqref="G96:G97">
    <cfRule type="expression" dxfId="3" priority="1">
      <formula>OR($O$88="",$O$88="Yes")</formula>
    </cfRule>
  </conditionalFormatting>
  <dataValidations count="5">
    <dataValidation type="list" allowBlank="1" showInputMessage="1" showErrorMessage="1" prompt="Select AM or PM from list." sqref="O5:P6">
      <formula1>"AM,PM"</formula1>
    </dataValidation>
    <dataValidation type="list" allowBlank="1" showInputMessage="1" showErrorMessage="1" prompt="Select Yes or No from list." sqref="O88:O89">
      <formula1>"Yes,No"</formula1>
    </dataValidation>
    <dataValidation type="list" allowBlank="1" showInputMessage="1" showErrorMessage="1" prompt="Select Day of the Month." sqref="N3:P3">
      <formula1>IF(N4="",January,INDIRECT(N4))</formula1>
    </dataValidation>
    <dataValidation type="list" allowBlank="1" showErrorMessage="1" prompt="Select AM or PM from list." sqref="O94:P94">
      <formula1>"AM,PM"</formula1>
    </dataValidation>
    <dataValidation type="list" allowBlank="1" showInputMessage="1" showErrorMessage="1" promptTitle="Month" prompt="Select Month from list." sqref="N4:P4">
      <formula1>$T$1:$AE$1</formula1>
    </dataValidation>
  </dataValidations>
  <hyperlinks>
    <hyperlink ref="K1" location="Contents!F1" display="Return to Contents page"/>
  </hyperlinks>
  <printOptions horizontalCentered="1"/>
  <pageMargins left="0.25" right="0.25" top="0.5" bottom="0.5" header="0.3" footer="0.3"/>
  <pageSetup scale="76" fitToHeight="0" orientation="portrait" blackAndWhite="1" r:id="rId1"/>
  <headerFooter scaleWithDoc="0">
    <oddFooter>&amp;L&amp;"Open Sans Light,Regular"&amp;8&amp;D   &amp;T&amp;C&amp;"Open Sans Light,Regular"&amp;8Page &amp;P&amp;R&amp;"Open Sans Light,Regular"&amp;8Code 99</oddFooter>
  </headerFooter>
  <rowBreaks count="1" manualBreakCount="1">
    <brk id="57" min="1" max="9" man="1"/>
  </rowBreaks>
  <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theme="6" tint="-0.249977111117893"/>
    <pageSetUpPr fitToPage="1"/>
  </sheetPr>
  <dimension ref="A1:AH42"/>
  <sheetViews>
    <sheetView showGridLines="0" topLeftCell="A10" zoomScaleNormal="100" zoomScaleSheetLayoutView="100" workbookViewId="0">
      <selection activeCell="E28" sqref="E28:G28"/>
    </sheetView>
  </sheetViews>
  <sheetFormatPr defaultColWidth="9.109375" defaultRowHeight="13.2"/>
  <cols>
    <col min="1" max="1" width="9.109375" style="488"/>
    <col min="2" max="2" width="5.44140625" style="488" customWidth="1"/>
    <col min="3" max="4" width="9.109375" style="488"/>
    <col min="5" max="5" width="10.44140625" style="488" customWidth="1"/>
    <col min="6" max="10" width="9.109375" style="488"/>
    <col min="11" max="11" width="2.44140625" style="488" customWidth="1"/>
    <col min="12" max="12" width="9.109375" style="488"/>
    <col min="13" max="13" width="25.44140625" style="488" bestFit="1" customWidth="1"/>
    <col min="14" max="16" width="9.109375" style="488"/>
    <col min="17" max="17" width="1.44140625" style="488" customWidth="1"/>
    <col min="18" max="22" width="9.109375" style="488"/>
    <col min="23" max="24" width="0" style="488" hidden="1" customWidth="1"/>
    <col min="25" max="34" width="9.109375" style="488"/>
    <col min="35" max="16384" width="9.109375" style="485"/>
  </cols>
  <sheetData>
    <row r="1" spans="1:28">
      <c r="A1" s="767"/>
      <c r="B1" s="768"/>
      <c r="C1" s="768"/>
      <c r="D1" s="768"/>
      <c r="E1" s="768"/>
      <c r="F1" s="768"/>
      <c r="G1" s="768"/>
      <c r="H1" s="768"/>
      <c r="I1" s="768"/>
      <c r="J1" s="769"/>
      <c r="M1" s="486" t="s">
        <v>1400</v>
      </c>
    </row>
    <row r="2" spans="1:28">
      <c r="A2" s="770"/>
      <c r="B2" s="658"/>
      <c r="C2" s="658"/>
      <c r="D2" s="658"/>
      <c r="E2" s="658"/>
      <c r="F2" s="658"/>
      <c r="G2" s="658"/>
      <c r="H2" s="658"/>
      <c r="I2" s="658"/>
      <c r="J2" s="771"/>
    </row>
    <row r="3" spans="1:28">
      <c r="A3" s="770"/>
      <c r="B3" s="658"/>
      <c r="C3" s="658"/>
      <c r="D3" s="658"/>
      <c r="E3" s="658"/>
      <c r="F3" s="658"/>
      <c r="G3" s="658"/>
      <c r="H3" s="658"/>
      <c r="I3" s="658"/>
      <c r="J3" s="771"/>
    </row>
    <row r="4" spans="1:28">
      <c r="A4" s="770"/>
      <c r="B4" s="658"/>
      <c r="C4" s="658"/>
      <c r="D4" s="658"/>
      <c r="E4" s="658"/>
      <c r="F4" s="658"/>
      <c r="G4" s="658"/>
      <c r="H4" s="658"/>
      <c r="I4" s="658"/>
      <c r="J4" s="771"/>
    </row>
    <row r="5" spans="1:28">
      <c r="A5" s="770"/>
      <c r="B5" s="658"/>
      <c r="C5" s="658"/>
      <c r="D5" s="658"/>
      <c r="E5" s="658"/>
      <c r="F5" s="658"/>
      <c r="G5" s="658"/>
      <c r="H5" s="658"/>
      <c r="I5" s="658"/>
      <c r="J5" s="771"/>
    </row>
    <row r="6" spans="1:28">
      <c r="A6" s="772"/>
      <c r="B6" s="773"/>
      <c r="C6" s="773"/>
      <c r="D6" s="773"/>
      <c r="E6" s="773"/>
      <c r="F6" s="773"/>
      <c r="G6" s="773"/>
      <c r="H6" s="773"/>
      <c r="I6" s="773"/>
      <c r="J6" s="774"/>
    </row>
    <row r="7" spans="1:28">
      <c r="A7" s="772"/>
      <c r="B7" s="773"/>
      <c r="C7" s="773"/>
      <c r="D7" s="773"/>
      <c r="E7" s="773"/>
      <c r="F7" s="773"/>
      <c r="G7" s="773"/>
      <c r="H7" s="773"/>
      <c r="I7" s="773"/>
      <c r="J7" s="774"/>
    </row>
    <row r="8" spans="1:28">
      <c r="A8" s="772"/>
      <c r="B8" s="773"/>
      <c r="C8" s="773"/>
      <c r="D8" s="773"/>
      <c r="E8" s="773"/>
      <c r="F8" s="773"/>
      <c r="G8" s="773"/>
      <c r="H8" s="773"/>
      <c r="I8" s="773"/>
      <c r="J8" s="774"/>
    </row>
    <row r="9" spans="1:28">
      <c r="A9" s="772"/>
      <c r="B9" s="773"/>
      <c r="C9" s="773"/>
      <c r="D9" s="773"/>
      <c r="E9" s="773"/>
      <c r="F9" s="773"/>
      <c r="G9" s="773"/>
      <c r="H9" s="773"/>
      <c r="I9" s="773"/>
      <c r="J9" s="774"/>
    </row>
    <row r="10" spans="1:28">
      <c r="A10" s="772"/>
      <c r="B10" s="773"/>
      <c r="C10" s="773"/>
      <c r="D10" s="773"/>
      <c r="E10" s="773"/>
      <c r="F10" s="773"/>
      <c r="G10" s="773"/>
      <c r="H10" s="773"/>
      <c r="I10" s="773"/>
      <c r="J10" s="774"/>
    </row>
    <row r="11" spans="1:28">
      <c r="A11" s="772"/>
      <c r="B11" s="773"/>
      <c r="C11" s="773"/>
      <c r="D11" s="773"/>
      <c r="E11" s="773"/>
      <c r="F11" s="773"/>
      <c r="G11" s="773"/>
      <c r="H11" s="773"/>
      <c r="I11" s="773"/>
      <c r="J11" s="774"/>
    </row>
    <row r="12" spans="1:28">
      <c r="A12" s="772"/>
      <c r="B12" s="773"/>
      <c r="C12" s="773"/>
      <c r="D12" s="773"/>
      <c r="E12" s="773"/>
      <c r="F12" s="773"/>
      <c r="G12" s="773"/>
      <c r="H12" s="773"/>
      <c r="I12" s="773"/>
      <c r="J12" s="774"/>
    </row>
    <row r="13" spans="1:28">
      <c r="A13" s="772"/>
      <c r="B13" s="773"/>
      <c r="C13" s="773"/>
      <c r="D13" s="773"/>
      <c r="E13" s="773"/>
      <c r="F13" s="773"/>
      <c r="G13" s="773"/>
      <c r="H13" s="773"/>
      <c r="I13" s="773"/>
      <c r="J13" s="774"/>
    </row>
    <row r="14" spans="1:28">
      <c r="A14" s="772"/>
      <c r="B14" s="773"/>
      <c r="C14" s="773"/>
      <c r="D14" s="773"/>
      <c r="E14" s="773"/>
      <c r="F14" s="773"/>
      <c r="G14" s="773"/>
      <c r="H14" s="773"/>
      <c r="I14" s="773"/>
      <c r="J14" s="774"/>
    </row>
    <row r="15" spans="1:28" ht="44.4">
      <c r="A15" s="4575" t="str">
        <f>W15</f>
        <v>Budget Certificate</v>
      </c>
      <c r="B15" s="4576"/>
      <c r="C15" s="4576"/>
      <c r="D15" s="4576"/>
      <c r="E15" s="4576"/>
      <c r="F15" s="4576"/>
      <c r="G15" s="4576"/>
      <c r="H15" s="4576"/>
      <c r="I15" s="4576"/>
      <c r="J15" s="4577"/>
      <c r="W15" s="775" t="str">
        <f>"Budget Certificate"</f>
        <v>Budget Certificate</v>
      </c>
      <c r="X15" s="776"/>
      <c r="Y15" s="776"/>
      <c r="Z15" s="776"/>
      <c r="AA15" s="776"/>
      <c r="AB15" s="776"/>
    </row>
    <row r="16" spans="1:28" ht="44.4">
      <c r="A16" s="4575"/>
      <c r="B16" s="4576"/>
      <c r="C16" s="4576"/>
      <c r="D16" s="4576"/>
      <c r="E16" s="4578" t="str">
        <f>OpenData!N2</f>
        <v>2021-2022</v>
      </c>
      <c r="F16" s="4579" t="s">
        <v>5197</v>
      </c>
      <c r="G16" s="4576"/>
      <c r="H16" s="4576"/>
      <c r="I16" s="4573"/>
      <c r="J16" s="4574"/>
      <c r="W16" s="777" t="str">
        <f>LEFT(OpenData!P12,7)</f>
        <v>2021-22</v>
      </c>
      <c r="X16" s="775" t="str">
        <f>"School Year"</f>
        <v>School Year</v>
      </c>
      <c r="Y16" s="776"/>
      <c r="Z16" s="776"/>
      <c r="AA16" s="776"/>
      <c r="AB16" s="776"/>
    </row>
    <row r="17" spans="1:19">
      <c r="A17" s="772"/>
      <c r="B17" s="773"/>
      <c r="C17" s="773"/>
      <c r="D17" s="773"/>
      <c r="E17" s="773"/>
      <c r="F17" s="773"/>
      <c r="G17" s="773"/>
      <c r="H17" s="773"/>
      <c r="I17" s="773"/>
      <c r="J17" s="774"/>
    </row>
    <row r="18" spans="1:19">
      <c r="A18" s="772"/>
      <c r="B18" s="773"/>
      <c r="C18" s="773"/>
      <c r="D18" s="773"/>
      <c r="E18" s="773"/>
      <c r="F18" s="773"/>
      <c r="G18" s="773"/>
      <c r="H18" s="773"/>
      <c r="I18" s="773"/>
      <c r="J18" s="774"/>
    </row>
    <row r="19" spans="1:19">
      <c r="A19" s="772"/>
      <c r="B19" s="773"/>
      <c r="C19" s="773"/>
      <c r="D19" s="773"/>
      <c r="E19" s="773"/>
      <c r="F19" s="773"/>
      <c r="G19" s="773"/>
      <c r="H19" s="773"/>
      <c r="I19" s="773"/>
      <c r="J19" s="774"/>
    </row>
    <row r="20" spans="1:19" ht="51" customHeight="1">
      <c r="A20" s="772"/>
      <c r="B20" s="6310" t="s">
        <v>1401</v>
      </c>
      <c r="C20" s="6310"/>
      <c r="D20" s="6310"/>
      <c r="E20" s="6310"/>
      <c r="F20" s="6310"/>
      <c r="G20" s="6310"/>
      <c r="H20" s="6310"/>
      <c r="I20" s="6310"/>
      <c r="J20" s="774"/>
    </row>
    <row r="21" spans="1:19">
      <c r="A21" s="772"/>
      <c r="B21" s="773"/>
      <c r="C21" s="773"/>
      <c r="D21" s="773"/>
      <c r="E21" s="773"/>
      <c r="F21" s="773"/>
      <c r="G21" s="773"/>
      <c r="H21" s="773"/>
      <c r="I21" s="773"/>
      <c r="J21" s="774"/>
    </row>
    <row r="22" spans="1:19">
      <c r="A22" s="772"/>
      <c r="B22" s="773"/>
      <c r="C22" s="773"/>
      <c r="D22" s="773"/>
      <c r="E22" s="773"/>
      <c r="F22" s="773"/>
      <c r="G22" s="773"/>
      <c r="H22" s="773"/>
      <c r="I22" s="773"/>
      <c r="J22" s="774"/>
    </row>
    <row r="23" spans="1:19">
      <c r="A23" s="772"/>
      <c r="B23" s="773"/>
      <c r="C23" s="773"/>
      <c r="D23" s="773"/>
      <c r="E23" s="773"/>
      <c r="F23" s="773"/>
      <c r="G23" s="773"/>
      <c r="H23" s="773"/>
      <c r="I23" s="773"/>
      <c r="J23" s="774"/>
    </row>
    <row r="24" spans="1:19" ht="20.399999999999999">
      <c r="A24" s="772"/>
      <c r="B24" s="773"/>
      <c r="C24" s="778"/>
      <c r="D24" s="779" t="s">
        <v>1402</v>
      </c>
      <c r="E24" s="780" t="str">
        <f>OPEN!$B$3</f>
        <v>237 - Smith Center</v>
      </c>
      <c r="F24" s="773"/>
      <c r="G24" s="773"/>
      <c r="H24" s="773"/>
      <c r="I24" s="773"/>
      <c r="J24" s="774"/>
    </row>
    <row r="25" spans="1:19">
      <c r="A25" s="772"/>
      <c r="B25" s="773"/>
      <c r="C25" s="773"/>
      <c r="D25" s="773"/>
      <c r="E25" s="773"/>
      <c r="F25" s="773"/>
      <c r="G25" s="773"/>
      <c r="H25" s="773"/>
      <c r="I25" s="773"/>
      <c r="J25" s="774"/>
    </row>
    <row r="26" spans="1:19" ht="15.6">
      <c r="A26" s="772"/>
      <c r="B26" s="773"/>
      <c r="C26" s="773"/>
      <c r="D26" s="779" t="s">
        <v>1403</v>
      </c>
      <c r="E26" s="773"/>
      <c r="F26" s="773"/>
      <c r="G26" s="773"/>
      <c r="H26" s="773"/>
      <c r="I26" s="773"/>
      <c r="J26" s="774"/>
      <c r="K26" s="781"/>
      <c r="L26" s="2389"/>
      <c r="M26" s="2390"/>
      <c r="N26" s="2390"/>
      <c r="O26" s="2390"/>
      <c r="P26" s="2390"/>
      <c r="Q26" s="2391"/>
      <c r="R26" s="2391"/>
      <c r="S26" s="2391"/>
    </row>
    <row r="27" spans="1:19">
      <c r="A27" s="772"/>
      <c r="B27" s="773"/>
      <c r="C27" s="773"/>
      <c r="D27" s="773"/>
      <c r="E27" s="773"/>
      <c r="F27" s="773"/>
      <c r="G27" s="773"/>
      <c r="H27" s="773"/>
      <c r="I27" s="773"/>
      <c r="J27" s="774"/>
      <c r="K27" s="782"/>
      <c r="L27" s="2392" t="s">
        <v>1704</v>
      </c>
      <c r="M27" s="2390"/>
      <c r="N27" s="2390"/>
      <c r="O27" s="2390"/>
      <c r="P27" s="2390"/>
      <c r="Q27" s="2391"/>
      <c r="R27" s="2391"/>
      <c r="S27" s="2391"/>
    </row>
    <row r="28" spans="1:19" ht="15.6">
      <c r="A28" s="772"/>
      <c r="B28" s="773"/>
      <c r="C28" s="773"/>
      <c r="D28" s="779" t="s">
        <v>1404</v>
      </c>
      <c r="E28" s="6309">
        <v>44459</v>
      </c>
      <c r="F28" s="6309"/>
      <c r="G28" s="6309"/>
      <c r="H28" s="773"/>
      <c r="I28" s="773"/>
      <c r="J28" s="774"/>
      <c r="K28" s="782"/>
      <c r="L28" s="2392" t="s">
        <v>1405</v>
      </c>
      <c r="M28" s="2390"/>
      <c r="N28" s="2390"/>
      <c r="O28" s="2390"/>
      <c r="P28" s="2390"/>
      <c r="Q28" s="2391"/>
      <c r="R28" s="2391"/>
      <c r="S28" s="2391"/>
    </row>
    <row r="29" spans="1:19">
      <c r="A29" s="772"/>
      <c r="B29" s="773"/>
      <c r="C29" s="773"/>
      <c r="D29" s="773"/>
      <c r="E29" s="773"/>
      <c r="F29" s="773"/>
      <c r="G29" s="773"/>
      <c r="H29" s="773"/>
      <c r="I29" s="773"/>
      <c r="J29" s="774"/>
      <c r="K29" s="782"/>
      <c r="L29" s="2393"/>
      <c r="M29" s="2390"/>
      <c r="N29" s="2390"/>
      <c r="O29" s="2390"/>
      <c r="P29" s="2390"/>
      <c r="Q29" s="2391"/>
      <c r="R29" s="2391"/>
      <c r="S29" s="2391"/>
    </row>
    <row r="30" spans="1:19">
      <c r="A30" s="772"/>
      <c r="B30" s="773"/>
      <c r="C30" s="773"/>
      <c r="D30" s="773"/>
      <c r="E30" s="773"/>
      <c r="F30" s="773"/>
      <c r="G30" s="773"/>
      <c r="H30" s="773"/>
      <c r="I30" s="773"/>
      <c r="J30" s="774"/>
      <c r="L30" s="3828"/>
      <c r="M30" s="2163"/>
      <c r="N30" s="2163"/>
      <c r="O30" s="2163"/>
      <c r="P30" s="2163"/>
      <c r="Q30" s="2163"/>
      <c r="R30" s="2163"/>
      <c r="S30" s="2163"/>
    </row>
    <row r="31" spans="1:19">
      <c r="A31" s="772"/>
      <c r="B31" s="773"/>
      <c r="C31" s="773"/>
      <c r="D31" s="773"/>
      <c r="E31" s="773"/>
      <c r="F31" s="773"/>
      <c r="G31" s="773"/>
      <c r="H31" s="773"/>
      <c r="I31" s="773"/>
      <c r="J31" s="774"/>
      <c r="L31" s="491"/>
      <c r="M31" s="491"/>
      <c r="N31" s="491"/>
      <c r="O31" s="491"/>
      <c r="P31" s="491"/>
      <c r="Q31" s="491"/>
    </row>
    <row r="32" spans="1:19">
      <c r="A32" s="772"/>
      <c r="B32" s="773"/>
      <c r="C32" s="773"/>
      <c r="D32" s="773"/>
      <c r="E32" s="773"/>
      <c r="F32" s="773"/>
      <c r="G32" s="773"/>
      <c r="H32" s="773"/>
      <c r="I32" s="773"/>
      <c r="J32" s="774"/>
    </row>
    <row r="33" spans="1:10">
      <c r="A33" s="772"/>
      <c r="B33" s="773"/>
      <c r="C33" s="773"/>
      <c r="D33" s="773"/>
      <c r="E33" s="773"/>
      <c r="F33" s="773"/>
      <c r="G33" s="773"/>
      <c r="H33" s="773"/>
      <c r="I33" s="773"/>
      <c r="J33" s="774"/>
    </row>
    <row r="34" spans="1:10">
      <c r="A34" s="772"/>
      <c r="B34" s="773"/>
      <c r="C34" s="773"/>
      <c r="D34" s="773"/>
      <c r="E34" s="773"/>
      <c r="F34" s="773"/>
      <c r="G34" s="773"/>
      <c r="H34" s="773"/>
      <c r="I34" s="773"/>
      <c r="J34" s="774"/>
    </row>
    <row r="35" spans="1:10">
      <c r="A35" s="772"/>
      <c r="B35" s="773"/>
      <c r="C35" s="773"/>
      <c r="D35" s="773"/>
      <c r="E35" s="773"/>
      <c r="F35" s="773"/>
      <c r="G35" s="773"/>
      <c r="H35" s="773"/>
      <c r="I35" s="773"/>
      <c r="J35" s="774"/>
    </row>
    <row r="36" spans="1:10">
      <c r="A36" s="772"/>
      <c r="B36" s="773"/>
      <c r="C36" s="773"/>
      <c r="D36" s="773"/>
      <c r="E36" s="773"/>
      <c r="F36" s="773"/>
      <c r="G36" s="773"/>
      <c r="H36" s="773"/>
      <c r="I36" s="773"/>
      <c r="J36" s="774"/>
    </row>
    <row r="37" spans="1:10">
      <c r="A37" s="772"/>
      <c r="B37" s="773"/>
      <c r="C37" s="773"/>
      <c r="D37" s="773"/>
      <c r="E37" s="773"/>
      <c r="F37" s="773"/>
      <c r="G37" s="773"/>
      <c r="H37" s="773"/>
      <c r="I37" s="773"/>
      <c r="J37" s="774"/>
    </row>
    <row r="38" spans="1:10">
      <c r="A38" s="772"/>
      <c r="B38" s="773"/>
      <c r="C38" s="773"/>
      <c r="D38" s="773"/>
      <c r="E38" s="773"/>
      <c r="F38" s="773"/>
      <c r="G38" s="773"/>
      <c r="H38" s="773"/>
      <c r="I38" s="773"/>
      <c r="J38" s="774"/>
    </row>
    <row r="39" spans="1:10">
      <c r="A39" s="772"/>
      <c r="B39" s="773"/>
      <c r="C39" s="773"/>
      <c r="D39" s="773"/>
      <c r="E39" s="773"/>
      <c r="F39" s="773"/>
      <c r="G39" s="773"/>
      <c r="H39" s="773"/>
      <c r="I39" s="773"/>
      <c r="J39" s="774"/>
    </row>
    <row r="40" spans="1:10">
      <c r="A40" s="770"/>
      <c r="B40" s="658"/>
      <c r="C40" s="658"/>
      <c r="D40" s="658"/>
      <c r="E40" s="658"/>
      <c r="F40" s="658"/>
      <c r="G40" s="658"/>
      <c r="H40" s="658"/>
      <c r="I40" s="658"/>
      <c r="J40" s="771"/>
    </row>
    <row r="41" spans="1:10">
      <c r="A41" s="770"/>
      <c r="B41" s="658"/>
      <c r="C41" s="658"/>
      <c r="D41" s="658"/>
      <c r="E41" s="658"/>
      <c r="F41" s="658"/>
      <c r="G41" s="658"/>
      <c r="H41" s="658"/>
      <c r="I41" s="658"/>
      <c r="J41" s="771"/>
    </row>
    <row r="42" spans="1:10" ht="13.8" thickBot="1">
      <c r="A42" s="783"/>
      <c r="B42" s="784"/>
      <c r="C42" s="784"/>
      <c r="D42" s="784"/>
      <c r="E42" s="784"/>
      <c r="F42" s="784"/>
      <c r="G42" s="784"/>
      <c r="H42" s="784"/>
      <c r="I42" s="784"/>
      <c r="J42" s="785"/>
    </row>
  </sheetData>
  <mergeCells count="2">
    <mergeCell ref="E28:G28"/>
    <mergeCell ref="B20:I20"/>
  </mergeCells>
  <hyperlinks>
    <hyperlink ref="M1" location="Contents!A1" display="Return to Contents"/>
  </hyperlinks>
  <printOptions horizontalCentered="1" verticalCentered="1"/>
  <pageMargins left="0.75" right="0.75" top="0.5" bottom="0.5" header="0.3" footer="0.3"/>
  <pageSetup orientation="portrait" blackAndWhite="1" r:id="rId1"/>
  <headerFooter alignWithMargins="0"/>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theme="4" tint="0.39997558519241921"/>
  </sheetPr>
  <dimension ref="A1:AA60"/>
  <sheetViews>
    <sheetView showGridLines="0" topLeftCell="A10" zoomScaleNormal="100" zoomScaleSheetLayoutView="100" workbookViewId="0">
      <selection activeCell="B22" sqref="B22"/>
    </sheetView>
  </sheetViews>
  <sheetFormatPr defaultColWidth="8.88671875" defaultRowHeight="13.2"/>
  <cols>
    <col min="1" max="1" width="3.6640625" style="667" customWidth="1"/>
    <col min="2" max="2" width="34.44140625" style="282" customWidth="1"/>
    <col min="3" max="3" width="17.44140625" style="282" customWidth="1"/>
    <col min="4" max="4" width="17" style="282" customWidth="1"/>
    <col min="5" max="5" width="19.44140625" style="282" customWidth="1"/>
    <col min="6" max="6" width="21" style="282" customWidth="1"/>
    <col min="7" max="7" width="3.88671875" style="282" customWidth="1"/>
    <col min="8" max="8" width="21.88671875" style="282" bestFit="1" customWidth="1"/>
    <col min="9" max="12" width="9.109375" style="282"/>
    <col min="13" max="13" width="12.6640625" style="282" bestFit="1" customWidth="1"/>
    <col min="14" max="27" width="9.109375" style="282"/>
  </cols>
  <sheetData>
    <row r="1" spans="2:27">
      <c r="B1" s="459" t="s">
        <v>4902</v>
      </c>
      <c r="F1" s="2202" t="str">
        <f>"USD #"&amp;OPEN!$B$4</f>
        <v>USD #237</v>
      </c>
      <c r="H1" s="304" t="s">
        <v>754</v>
      </c>
      <c r="AA1"/>
    </row>
    <row r="2" spans="2:27">
      <c r="B2" s="459" t="s">
        <v>4901</v>
      </c>
      <c r="F2" s="2202" t="str">
        <f>OpenData!N2</f>
        <v>2021-2022</v>
      </c>
      <c r="AA2"/>
    </row>
    <row r="3" spans="2:27">
      <c r="B3" s="4526"/>
      <c r="C3" s="4526"/>
      <c r="D3" s="4526"/>
      <c r="E3" s="4526"/>
      <c r="F3" s="4526"/>
      <c r="G3" s="459"/>
      <c r="Q3" s="453"/>
    </row>
    <row r="4" spans="2:27">
      <c r="B4" s="2213"/>
      <c r="C4" s="2213"/>
      <c r="D4" s="2213"/>
      <c r="E4" s="2213"/>
      <c r="F4" s="2213"/>
      <c r="G4" s="2213"/>
    </row>
    <row r="5" spans="2:27">
      <c r="B5" s="694"/>
      <c r="C5" s="694"/>
      <c r="D5" s="694"/>
      <c r="E5" s="694"/>
      <c r="F5" s="694"/>
      <c r="G5" s="694"/>
    </row>
    <row r="6" spans="2:27">
      <c r="B6" s="2213"/>
      <c r="C6" s="2213"/>
      <c r="D6" s="2213"/>
      <c r="E6" s="2213"/>
      <c r="F6" s="2213"/>
      <c r="G6" s="2213"/>
    </row>
    <row r="7" spans="2:27">
      <c r="B7" s="694"/>
      <c r="C7" s="694"/>
      <c r="D7" s="694"/>
      <c r="E7" s="694"/>
      <c r="F7" s="694"/>
      <c r="G7" s="694"/>
    </row>
    <row r="8" spans="2:27">
      <c r="B8" s="2213"/>
      <c r="C8" s="2213"/>
      <c r="D8" s="2213"/>
      <c r="E8" s="2213"/>
      <c r="F8" s="2213"/>
      <c r="G8" s="2213"/>
    </row>
    <row r="9" spans="2:27">
      <c r="B9" s="2213"/>
      <c r="C9" s="2213"/>
      <c r="D9" s="2213"/>
      <c r="E9" s="2213"/>
      <c r="F9" s="2213"/>
      <c r="G9" s="2213"/>
    </row>
    <row r="10" spans="2:27">
      <c r="B10" s="694"/>
      <c r="C10" s="694"/>
      <c r="D10" s="694"/>
      <c r="E10" s="694"/>
      <c r="F10" s="694"/>
      <c r="G10" s="694"/>
    </row>
    <row r="11" spans="2:27">
      <c r="B11" s="694"/>
      <c r="C11" s="694"/>
      <c r="D11" s="694"/>
      <c r="E11" s="694"/>
      <c r="F11" s="694"/>
      <c r="G11" s="694"/>
    </row>
    <row r="12" spans="2:27">
      <c r="B12" s="694"/>
      <c r="C12" s="2213"/>
      <c r="D12" s="2213"/>
      <c r="E12" s="2213"/>
      <c r="F12" s="2213"/>
      <c r="G12" s="694"/>
    </row>
    <row r="13" spans="2:27">
      <c r="B13" s="694"/>
      <c r="C13" s="2212"/>
      <c r="D13" s="2212"/>
      <c r="E13" s="2212"/>
      <c r="F13" s="2212"/>
      <c r="G13" s="2212"/>
      <c r="M13" s="379"/>
    </row>
    <row r="14" spans="2:27">
      <c r="B14" s="694"/>
      <c r="C14" s="694"/>
      <c r="D14" s="2214"/>
      <c r="E14" s="694"/>
      <c r="F14" s="2214"/>
      <c r="G14" s="2214"/>
    </row>
    <row r="15" spans="2:27">
      <c r="B15" s="694"/>
      <c r="C15" s="2215"/>
      <c r="D15" s="2214"/>
      <c r="E15" s="2215"/>
      <c r="F15" s="2214"/>
      <c r="G15" s="2216"/>
    </row>
    <row r="16" spans="2:27">
      <c r="B16" s="694"/>
      <c r="C16" s="2215"/>
      <c r="D16" s="2214"/>
      <c r="E16" s="2215"/>
      <c r="F16" s="2214"/>
      <c r="G16" s="2216"/>
    </row>
    <row r="17" spans="1:27">
      <c r="B17" s="694"/>
      <c r="C17" s="2215"/>
      <c r="D17" s="2214"/>
      <c r="E17" s="2215"/>
      <c r="F17" s="2214"/>
      <c r="G17" s="2216"/>
    </row>
    <row r="18" spans="1:27">
      <c r="B18" s="694"/>
      <c r="C18" s="2215"/>
      <c r="D18" s="2214"/>
      <c r="E18" s="2215"/>
      <c r="F18" s="2214"/>
      <c r="G18" s="2216"/>
    </row>
    <row r="19" spans="1:27">
      <c r="B19" s="694"/>
      <c r="C19" s="2215"/>
      <c r="D19" s="2214"/>
      <c r="E19" s="2215"/>
      <c r="F19" s="2214"/>
      <c r="G19" s="2216"/>
    </row>
    <row r="20" spans="1:27">
      <c r="B20" s="694"/>
      <c r="C20" s="2215"/>
      <c r="D20" s="2214"/>
      <c r="E20" s="2215"/>
      <c r="F20" s="2214"/>
      <c r="G20" s="2216"/>
    </row>
    <row r="21" spans="1:27" s="633" customFormat="1">
      <c r="A21" s="667"/>
      <c r="B21" s="694"/>
      <c r="C21" s="2215"/>
      <c r="D21" s="2214"/>
      <c r="E21" s="2215"/>
      <c r="F21" s="2214"/>
      <c r="G21" s="2216"/>
      <c r="H21" s="282"/>
      <c r="I21" s="282"/>
      <c r="J21" s="282"/>
      <c r="K21" s="282"/>
      <c r="L21" s="282"/>
      <c r="M21" s="282"/>
      <c r="N21" s="282"/>
      <c r="O21" s="282"/>
      <c r="P21" s="282"/>
      <c r="Q21" s="282"/>
      <c r="R21" s="282"/>
      <c r="S21" s="282"/>
      <c r="T21" s="282"/>
      <c r="U21" s="282"/>
      <c r="V21" s="282"/>
      <c r="W21" s="282"/>
      <c r="X21" s="282"/>
      <c r="Y21" s="282"/>
      <c r="Z21" s="282"/>
      <c r="AA21" s="282"/>
    </row>
    <row r="22" spans="1:27">
      <c r="B22" s="694"/>
      <c r="C22" s="694"/>
      <c r="D22" s="694"/>
      <c r="E22" s="694"/>
      <c r="F22" s="2214"/>
      <c r="G22" s="2214"/>
    </row>
    <row r="23" spans="1:27">
      <c r="B23" s="694"/>
      <c r="C23" s="2215"/>
      <c r="D23" s="2214"/>
      <c r="E23" s="2215"/>
      <c r="F23" s="2214"/>
      <c r="G23" s="2216"/>
    </row>
    <row r="24" spans="1:27">
      <c r="B24" s="694"/>
      <c r="C24" s="694"/>
      <c r="D24" s="694"/>
      <c r="E24" s="694"/>
      <c r="F24" s="694"/>
      <c r="G24" s="694"/>
      <c r="J24" s="453"/>
      <c r="N24" s="786"/>
    </row>
    <row r="25" spans="1:27">
      <c r="B25" s="694"/>
      <c r="C25" s="694"/>
      <c r="D25" s="694"/>
      <c r="E25" s="694"/>
      <c r="F25" s="694"/>
      <c r="G25" s="2216"/>
    </row>
    <row r="26" spans="1:27">
      <c r="B26" s="694"/>
      <c r="C26" s="694"/>
      <c r="D26" s="694"/>
      <c r="E26" s="694"/>
      <c r="F26" s="694"/>
      <c r="G26" s="694"/>
      <c r="N26" s="787"/>
    </row>
    <row r="27" spans="1:27">
      <c r="B27" s="694"/>
      <c r="C27" s="694"/>
      <c r="D27" s="694"/>
      <c r="E27" s="694"/>
      <c r="F27" s="694"/>
      <c r="G27" s="694"/>
    </row>
    <row r="28" spans="1:27">
      <c r="B28" s="694"/>
      <c r="C28" s="694"/>
      <c r="D28" s="694"/>
      <c r="E28" s="694"/>
      <c r="F28" s="694"/>
      <c r="G28" s="694"/>
    </row>
    <row r="29" spans="1:27">
      <c r="B29" s="694"/>
      <c r="C29" s="694"/>
      <c r="D29" s="694"/>
      <c r="E29" s="694"/>
      <c r="F29" s="694"/>
      <c r="G29" s="694"/>
    </row>
    <row r="30" spans="1:27">
      <c r="B30" s="694"/>
      <c r="C30" s="694"/>
      <c r="D30" s="694"/>
      <c r="E30" s="694"/>
      <c r="F30" s="694"/>
      <c r="G30" s="694"/>
    </row>
    <row r="31" spans="1:27">
      <c r="B31" s="694"/>
      <c r="C31" s="694"/>
      <c r="D31" s="694"/>
      <c r="E31" s="694"/>
      <c r="F31" s="694"/>
      <c r="G31" s="2210"/>
    </row>
    <row r="32" spans="1:27" s="461" customFormat="1">
      <c r="A32" s="667"/>
      <c r="B32" s="2213"/>
      <c r="C32" s="2213"/>
      <c r="D32" s="2213"/>
      <c r="E32" s="2213"/>
      <c r="F32" s="2213"/>
      <c r="G32" s="2213"/>
      <c r="H32" s="282"/>
      <c r="I32" s="282"/>
      <c r="J32" s="282"/>
      <c r="K32" s="282"/>
      <c r="L32" s="282"/>
      <c r="M32" s="282"/>
      <c r="N32" s="282"/>
      <c r="O32" s="282"/>
      <c r="P32" s="282"/>
      <c r="Q32" s="282"/>
      <c r="R32" s="282"/>
      <c r="S32" s="282"/>
      <c r="T32" s="282"/>
      <c r="U32" s="282"/>
      <c r="V32" s="282"/>
      <c r="W32" s="282"/>
      <c r="X32" s="282"/>
      <c r="Y32" s="282"/>
      <c r="Z32" s="282"/>
      <c r="AA32" s="282"/>
    </row>
    <row r="33" spans="2:7">
      <c r="B33" s="2212"/>
      <c r="C33" s="2212"/>
      <c r="D33" s="2212"/>
      <c r="E33" s="2212"/>
      <c r="F33" s="2212"/>
      <c r="G33" s="694"/>
    </row>
    <row r="34" spans="2:7">
      <c r="B34" s="694"/>
      <c r="C34" s="694"/>
      <c r="D34" s="694"/>
      <c r="E34" s="694"/>
      <c r="F34" s="694"/>
      <c r="G34" s="694"/>
    </row>
    <row r="35" spans="2:7">
      <c r="B35" s="695"/>
      <c r="C35" s="2211"/>
      <c r="D35" s="694"/>
      <c r="E35" s="2211"/>
      <c r="F35" s="694"/>
      <c r="G35" s="694"/>
    </row>
    <row r="36" spans="2:7">
      <c r="B36" s="694"/>
      <c r="C36" s="694"/>
      <c r="D36" s="694"/>
      <c r="E36" s="694"/>
      <c r="F36" s="694"/>
      <c r="G36" s="694"/>
    </row>
    <row r="37" spans="2:7">
      <c r="B37" s="694"/>
      <c r="C37" s="694"/>
      <c r="D37" s="694"/>
      <c r="E37" s="694"/>
      <c r="F37" s="694"/>
      <c r="G37" s="694"/>
    </row>
    <row r="38" spans="2:7">
      <c r="B38" s="694"/>
      <c r="C38" s="694"/>
      <c r="D38" s="694"/>
      <c r="E38" s="694"/>
      <c r="F38" s="694"/>
      <c r="G38" s="694"/>
    </row>
    <row r="39" spans="2:7">
      <c r="B39" s="2213"/>
      <c r="C39" s="2213"/>
      <c r="D39" s="2213"/>
      <c r="E39" s="2213"/>
      <c r="F39" s="2213"/>
      <c r="G39" s="2213"/>
    </row>
    <row r="40" spans="2:7">
      <c r="B40" s="2213"/>
      <c r="C40" s="2213"/>
      <c r="D40" s="2213"/>
      <c r="E40" s="2213"/>
      <c r="F40" s="2213"/>
      <c r="G40" s="694"/>
    </row>
    <row r="41" spans="2:7">
      <c r="B41" s="694"/>
      <c r="C41" s="694"/>
      <c r="D41" s="694"/>
      <c r="E41" s="694"/>
      <c r="F41" s="694"/>
      <c r="G41" s="694"/>
    </row>
    <row r="42" spans="2:7">
      <c r="B42" s="694"/>
      <c r="C42" s="694"/>
      <c r="D42" s="694"/>
      <c r="E42" s="694"/>
      <c r="F42" s="694"/>
      <c r="G42" s="694"/>
    </row>
    <row r="43" spans="2:7">
      <c r="B43" s="459"/>
      <c r="C43" s="459"/>
      <c r="D43" s="459"/>
      <c r="E43" s="459"/>
      <c r="F43" s="459"/>
      <c r="G43" s="459"/>
    </row>
    <row r="44" spans="2:7">
      <c r="B44" s="459"/>
      <c r="C44" s="459"/>
      <c r="D44" s="459"/>
      <c r="E44" s="459"/>
      <c r="F44" s="459"/>
      <c r="G44" s="459"/>
    </row>
    <row r="45" spans="2:7">
      <c r="B45" s="459"/>
      <c r="C45" s="459"/>
      <c r="D45" s="459"/>
      <c r="E45" s="459"/>
      <c r="F45" s="459"/>
      <c r="G45" s="459"/>
    </row>
    <row r="46" spans="2:7">
      <c r="B46" s="459"/>
      <c r="C46" s="459"/>
      <c r="D46" s="459"/>
      <c r="E46" s="459"/>
      <c r="F46" s="459"/>
      <c r="G46" s="459"/>
    </row>
    <row r="47" spans="2:7">
      <c r="B47" s="459"/>
      <c r="C47" s="459"/>
      <c r="D47" s="459"/>
      <c r="E47" s="459"/>
      <c r="F47" s="459"/>
      <c r="G47" s="459"/>
    </row>
    <row r="48" spans="2:7">
      <c r="B48" s="459"/>
      <c r="C48" s="459"/>
      <c r="D48" s="459"/>
      <c r="E48" s="459"/>
      <c r="F48" s="459"/>
      <c r="G48" s="459"/>
    </row>
    <row r="49" spans="2:7">
      <c r="B49" s="459"/>
      <c r="C49" s="459"/>
      <c r="D49" s="459"/>
      <c r="E49" s="459"/>
      <c r="F49" s="459"/>
      <c r="G49" s="459"/>
    </row>
    <row r="50" spans="2:7">
      <c r="B50" s="459"/>
      <c r="C50" s="459"/>
      <c r="D50" s="459"/>
      <c r="E50" s="459"/>
      <c r="F50" s="459"/>
      <c r="G50" s="459"/>
    </row>
    <row r="51" spans="2:7">
      <c r="B51" s="459"/>
      <c r="C51" s="459"/>
      <c r="D51" s="459"/>
      <c r="E51" s="459"/>
      <c r="F51" s="459"/>
      <c r="G51" s="459"/>
    </row>
    <row r="52" spans="2:7">
      <c r="B52" s="459"/>
      <c r="C52" s="459"/>
      <c r="D52" s="459"/>
      <c r="E52" s="459"/>
      <c r="F52" s="459"/>
      <c r="G52" s="459"/>
    </row>
    <row r="53" spans="2:7">
      <c r="B53" s="459"/>
      <c r="C53" s="459"/>
      <c r="D53" s="459"/>
      <c r="E53" s="459"/>
      <c r="F53" s="459"/>
      <c r="G53" s="459"/>
    </row>
    <row r="54" spans="2:7">
      <c r="B54" s="459"/>
      <c r="C54" s="459"/>
      <c r="D54" s="459"/>
      <c r="E54" s="459"/>
      <c r="F54" s="459"/>
      <c r="G54" s="459"/>
    </row>
    <row r="55" spans="2:7">
      <c r="B55" s="898"/>
      <c r="C55" s="898"/>
      <c r="D55" s="898"/>
      <c r="E55" s="898"/>
      <c r="F55" s="898"/>
      <c r="G55" s="898"/>
    </row>
    <row r="56" spans="2:7">
      <c r="B56" s="898"/>
      <c r="C56" s="898"/>
      <c r="D56" s="898"/>
      <c r="E56" s="898"/>
      <c r="F56" s="898"/>
      <c r="G56" s="898"/>
    </row>
    <row r="57" spans="2:7">
      <c r="B57" s="898"/>
      <c r="C57" s="898"/>
      <c r="D57" s="898"/>
      <c r="E57" s="898"/>
      <c r="F57" s="898"/>
      <c r="G57" s="898"/>
    </row>
    <row r="58" spans="2:7">
      <c r="B58" s="898"/>
      <c r="C58" s="898"/>
      <c r="D58" s="898"/>
      <c r="E58" s="898"/>
      <c r="F58" s="898"/>
      <c r="G58" s="898"/>
    </row>
    <row r="59" spans="2:7">
      <c r="B59" s="898"/>
      <c r="C59" s="898"/>
      <c r="D59" s="898"/>
      <c r="E59" s="898"/>
      <c r="F59" s="898"/>
      <c r="G59" s="898"/>
    </row>
    <row r="60" spans="2:7">
      <c r="B60" s="898"/>
      <c r="C60" s="898"/>
      <c r="D60" s="898"/>
      <c r="E60" s="898"/>
      <c r="F60" s="898"/>
      <c r="G60" s="898"/>
    </row>
  </sheetData>
  <sheetProtection algorithmName="SHA-512" hashValue="E0StLK0q7K08vcWbBfu/rUieA1+iFXqXK5cz6VZEU8tCjRTNz+6HqSIDT0kvfnMBw75UM5eaU3DfzhBUxhEmEA==" saltValue="319wiMJeuHiJVWAe/12eDw==" spinCount="100000" sheet="1" objects="1" scenarios="1"/>
  <hyperlinks>
    <hyperlink ref="H1" location="Contents!F1" display="Return to Contents page"/>
  </hyperlinks>
  <printOptions horizontalCentered="1"/>
  <pageMargins left="0.75" right="0.75" top="0.5" bottom="0.5" header="0.3" footer="0.3"/>
  <pageSetup scale="76" fitToWidth="0" fitToHeight="0" orientation="portrait" blackAndWhite="1" r:id="rId1"/>
  <headerFooter scaleWithDoc="0">
    <oddFooter>&amp;L&amp;"Open Sans Light,Regular"&amp;8&amp;D   &amp;T&amp;C&amp;"Open Sans Light,Regular"&amp;8Page &amp;P&amp;R&amp;"Open Sans Light,Regular"&amp;8&amp;A</oddFooter>
  </headerFooter>
  <drawing r:id="rId2"/>
  <legacy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6" tint="-0.249977111117893"/>
    <pageSetUpPr fitToPage="1"/>
  </sheetPr>
  <dimension ref="A1:Z30"/>
  <sheetViews>
    <sheetView workbookViewId="0">
      <selection activeCell="A7" sqref="A7"/>
    </sheetView>
  </sheetViews>
  <sheetFormatPr defaultColWidth="9.109375" defaultRowHeight="13.2"/>
  <cols>
    <col min="1" max="1" width="31.6640625" style="488" customWidth="1"/>
    <col min="2" max="2" width="23.33203125" style="488" customWidth="1"/>
    <col min="3" max="3" width="41.44140625" style="488" customWidth="1"/>
    <col min="4" max="4" width="32.88671875" style="488" customWidth="1"/>
    <col min="5" max="5" width="2.6640625" style="488" customWidth="1"/>
    <col min="6" max="26" width="9.109375" style="488"/>
    <col min="27" max="16384" width="9.109375" style="485"/>
  </cols>
  <sheetData>
    <row r="1" spans="1:12">
      <c r="A1" s="788"/>
      <c r="B1" s="788"/>
      <c r="C1" s="788"/>
      <c r="D1" s="788"/>
      <c r="F1" s="486" t="s">
        <v>1400</v>
      </c>
      <c r="I1" s="789" t="s">
        <v>1627</v>
      </c>
      <c r="J1" s="488">
        <f>OPEN!$B$4</f>
        <v>237</v>
      </c>
      <c r="K1" s="789" t="s">
        <v>1628</v>
      </c>
      <c r="L1" s="488">
        <f>OpenData!$S$5</f>
        <v>2022</v>
      </c>
    </row>
    <row r="2" spans="1:12">
      <c r="A2" s="790" t="s">
        <v>1629</v>
      </c>
      <c r="B2" s="788"/>
      <c r="C2" s="788"/>
      <c r="D2" s="788"/>
    </row>
    <row r="3" spans="1:12">
      <c r="A3" s="790" t="s">
        <v>1630</v>
      </c>
      <c r="B3" s="791"/>
      <c r="C3" s="791"/>
      <c r="D3" s="788"/>
    </row>
    <row r="4" spans="1:12">
      <c r="A4" s="788"/>
      <c r="B4" s="788"/>
      <c r="C4" s="788"/>
      <c r="D4" s="788"/>
    </row>
    <row r="5" spans="1:12">
      <c r="A5" s="792" t="s">
        <v>1631</v>
      </c>
      <c r="B5" s="515"/>
      <c r="C5" s="515"/>
      <c r="D5" s="515"/>
    </row>
    <row r="6" spans="1:12">
      <c r="A6" s="793" t="s">
        <v>879</v>
      </c>
      <c r="B6" s="514" t="str">
        <f>UPPER(OPEN!B5)</f>
        <v>SMITH</v>
      </c>
      <c r="C6" s="515"/>
      <c r="D6" s="515"/>
    </row>
    <row r="7" spans="1:12">
      <c r="A7" s="793" t="s">
        <v>1632</v>
      </c>
      <c r="B7" s="515" t="str">
        <f>"UNIFIED SCHOOL DISTRICT "&amp;OPEN!B4</f>
        <v>UNIFIED SCHOOL DISTRICT 237</v>
      </c>
      <c r="C7" s="515"/>
      <c r="D7" s="515"/>
    </row>
    <row r="8" spans="1:12">
      <c r="A8" s="515"/>
      <c r="B8" s="515"/>
      <c r="C8" s="515"/>
      <c r="D8" s="515"/>
    </row>
    <row r="9" spans="1:12">
      <c r="A9" s="792" t="s">
        <v>1633</v>
      </c>
      <c r="B9" s="515"/>
      <c r="C9" s="515"/>
      <c r="D9" s="515"/>
    </row>
    <row r="10" spans="1:12">
      <c r="A10" s="793" t="s">
        <v>1634</v>
      </c>
      <c r="B10" s="515" t="str">
        <f>"Unified School District "&amp;OPEN!B4</f>
        <v>Unified School District 237</v>
      </c>
      <c r="C10" s="515"/>
      <c r="D10" s="515"/>
    </row>
    <row r="11" spans="1:12">
      <c r="A11" s="793" t="s">
        <v>1635</v>
      </c>
      <c r="B11" s="515" t="str">
        <f>'CO99'!$N$3</f>
        <v xml:space="preserve">13th </v>
      </c>
      <c r="C11" s="515" t="s">
        <v>1731</v>
      </c>
      <c r="D11" s="515"/>
    </row>
    <row r="12" spans="1:12">
      <c r="A12" s="793" t="s">
        <v>1636</v>
      </c>
      <c r="B12" s="515" t="str">
        <f>'CO99'!N4</f>
        <v>September</v>
      </c>
      <c r="C12" s="515" t="s">
        <v>1637</v>
      </c>
      <c r="D12" s="515"/>
    </row>
    <row r="13" spans="1:12">
      <c r="A13" s="793" t="s">
        <v>1638</v>
      </c>
      <c r="B13" s="515" t="str">
        <f>'CO99'!N5&amp;" "&amp;'CO99'!O5</f>
        <v>6:50 PM</v>
      </c>
      <c r="C13" s="515" t="s">
        <v>1639</v>
      </c>
      <c r="D13" s="515"/>
    </row>
    <row r="14" spans="1:12">
      <c r="A14" s="793" t="s">
        <v>1638</v>
      </c>
      <c r="B14" s="515" t="str">
        <f>'CO99'!N8&amp;", "&amp;'CO99'!N9&amp;", "&amp;'CO99'!O9&amp;" "&amp;'CO99'!P9</f>
        <v>216 S. Jefferson, Smith Center, KS 66967</v>
      </c>
      <c r="C14" s="515" t="s">
        <v>1640</v>
      </c>
      <c r="D14" s="515"/>
    </row>
    <row r="15" spans="1:12">
      <c r="A15" s="515" t="s">
        <v>1641</v>
      </c>
      <c r="B15" s="515" t="str">
        <f>'CO99'!N11</f>
        <v>District Office</v>
      </c>
      <c r="C15" s="515" t="s">
        <v>1642</v>
      </c>
      <c r="D15" s="515"/>
    </row>
    <row r="16" spans="1:12">
      <c r="A16" s="515"/>
      <c r="B16" s="515"/>
      <c r="C16" s="515"/>
      <c r="D16" s="515"/>
    </row>
    <row r="17" spans="1:4">
      <c r="A17" s="794" t="s">
        <v>1643</v>
      </c>
      <c r="B17" s="515"/>
      <c r="C17" s="515"/>
      <c r="D17" s="515"/>
    </row>
    <row r="18" spans="1:4">
      <c r="A18" s="793" t="s">
        <v>1634</v>
      </c>
      <c r="B18" s="515" t="str">
        <f>"Unified School District "&amp;OPEN!B4</f>
        <v>Unified School District 237</v>
      </c>
      <c r="C18" s="515"/>
      <c r="D18" s="515"/>
    </row>
    <row r="19" spans="1:4">
      <c r="A19" s="793" t="s">
        <v>1635</v>
      </c>
      <c r="B19" s="517"/>
      <c r="C19" s="514" t="s">
        <v>1731</v>
      </c>
      <c r="D19" s="515"/>
    </row>
    <row r="20" spans="1:4">
      <c r="A20" s="793" t="s">
        <v>1644</v>
      </c>
      <c r="B20" s="516"/>
      <c r="C20" s="515" t="s">
        <v>1645</v>
      </c>
      <c r="D20" s="515"/>
    </row>
    <row r="21" spans="1:4">
      <c r="A21" s="793" t="s">
        <v>1638</v>
      </c>
      <c r="B21" s="634"/>
      <c r="C21" s="515" t="s">
        <v>1646</v>
      </c>
      <c r="D21" s="515"/>
    </row>
    <row r="22" spans="1:4">
      <c r="A22" s="793"/>
      <c r="B22" s="518"/>
      <c r="C22" s="514" t="s">
        <v>4615</v>
      </c>
      <c r="D22" s="515"/>
    </row>
    <row r="23" spans="1:4">
      <c r="A23" s="793" t="s">
        <v>1638</v>
      </c>
      <c r="B23" s="631"/>
      <c r="C23" s="515" t="s">
        <v>1640</v>
      </c>
      <c r="D23" s="515"/>
    </row>
    <row r="24" spans="1:4">
      <c r="A24" s="515" t="s">
        <v>1641</v>
      </c>
      <c r="B24" s="517"/>
      <c r="C24" s="515" t="s">
        <v>1642</v>
      </c>
      <c r="D24" s="515"/>
    </row>
    <row r="25" spans="1:4">
      <c r="A25" s="795"/>
      <c r="B25" s="795"/>
      <c r="C25" s="795"/>
      <c r="D25" s="795"/>
    </row>
    <row r="26" spans="1:4">
      <c r="A26" s="796" t="s">
        <v>1647</v>
      </c>
      <c r="B26" s="795"/>
      <c r="C26" s="795"/>
      <c r="D26" s="795"/>
    </row>
    <row r="27" spans="1:4">
      <c r="A27" s="797" t="s">
        <v>1404</v>
      </c>
      <c r="B27" s="632"/>
      <c r="C27" s="798" t="s">
        <v>4616</v>
      </c>
      <c r="D27" s="795"/>
    </row>
    <row r="28" spans="1:4">
      <c r="A28" s="795"/>
      <c r="B28" s="795"/>
      <c r="C28" s="795"/>
      <c r="D28" s="795"/>
    </row>
    <row r="29" spans="1:4">
      <c r="A29" s="795"/>
      <c r="B29" s="795"/>
      <c r="C29" s="795"/>
      <c r="D29" s="795"/>
    </row>
    <row r="30" spans="1:4">
      <c r="A30" s="795"/>
      <c r="B30" s="795"/>
      <c r="C30" s="795"/>
      <c r="D30" s="795"/>
    </row>
  </sheetData>
  <dataValidations count="1">
    <dataValidation type="list" allowBlank="1" showInputMessage="1" showErrorMessage="1" promptTitle="Month" prompt="Select the month from one of the following:" sqref="B20">
      <formula1>"January,February,March,April,May,June,July,August,September,October,November,December"</formula1>
    </dataValidation>
  </dataValidations>
  <hyperlinks>
    <hyperlink ref="F1" location="Contents!A1" display="Return to Contents"/>
  </hyperlinks>
  <printOptions horizontalCentered="1"/>
  <pageMargins left="0.75" right="0.75" top="0.5" bottom="0.5" header="0.3" footer="0.3"/>
  <pageSetup scale="70" orientation="portrait" r:id="rId1"/>
  <headerFooter alignWithMargins="0">
    <oddHeader>&amp;CBUDGET CONTENTS - FUNDS</oddHeader>
    <oddFooter>&amp;L&amp;F(&amp;A)</oddFooter>
  </headerFooter>
  <colBreaks count="1" manualBreakCount="1">
    <brk id="5"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6" tint="-0.249977111117893"/>
    <pageSetUpPr fitToPage="1"/>
  </sheetPr>
  <dimension ref="A1:N35"/>
  <sheetViews>
    <sheetView showGridLines="0" workbookViewId="0">
      <selection activeCell="A17" sqref="A17"/>
    </sheetView>
  </sheetViews>
  <sheetFormatPr defaultColWidth="10.6640625" defaultRowHeight="13.8"/>
  <cols>
    <col min="1" max="1" width="24.88671875" style="493" customWidth="1"/>
    <col min="2" max="2" width="10.33203125" style="493" customWidth="1"/>
    <col min="3" max="5" width="19.44140625" style="493" customWidth="1"/>
    <col min="6" max="6" width="2.88671875" style="493" customWidth="1"/>
    <col min="7" max="7" width="9.109375" style="493" customWidth="1"/>
    <col min="8" max="8" width="32.33203125" style="493" customWidth="1"/>
    <col min="9" max="9" width="17.88671875" style="493" customWidth="1"/>
    <col min="10" max="10" width="13.6640625" style="493" customWidth="1"/>
    <col min="11" max="11" width="16.109375" style="493" customWidth="1"/>
    <col min="12" max="12" width="45.44140625" style="493" customWidth="1"/>
    <col min="13" max="16384" width="10.6640625" style="493"/>
  </cols>
  <sheetData>
    <row r="1" spans="1:12" ht="12.75" customHeight="1">
      <c r="A1" s="3864" t="s">
        <v>4902</v>
      </c>
      <c r="B1" s="492"/>
      <c r="C1" s="492"/>
      <c r="D1" s="492"/>
      <c r="E1" s="3865" t="str">
        <f>"USD #"&amp;OPEN!$B$4</f>
        <v>USD #237</v>
      </c>
      <c r="H1" s="486" t="s">
        <v>754</v>
      </c>
    </row>
    <row r="2" spans="1:12" ht="12.75" customHeight="1">
      <c r="A2" s="3864" t="s">
        <v>5012</v>
      </c>
      <c r="B2" s="492"/>
      <c r="C2" s="492"/>
      <c r="D2" s="492"/>
      <c r="E2" s="3865" t="str">
        <f>OpenData!$P$4</f>
        <v>2021-2022</v>
      </c>
    </row>
    <row r="3" spans="1:12" ht="12.75" customHeight="1">
      <c r="A3" s="6311"/>
      <c r="B3" s="6311"/>
      <c r="C3" s="6311"/>
      <c r="D3" s="6311"/>
      <c r="E3" s="6311"/>
      <c r="H3" s="6316" t="s">
        <v>1590</v>
      </c>
      <c r="I3" s="6316"/>
      <c r="J3" s="6316"/>
      <c r="K3" s="6316"/>
      <c r="L3" s="6316"/>
    </row>
    <row r="4" spans="1:12" ht="12.75" customHeight="1">
      <c r="A4" s="6263" t="str">
        <f>"NOTICE OF HEARING ON AMENDING THE "&amp;OpenData!$N$42&amp;" BUDGET"</f>
        <v>NOTICE OF HEARING ON AMENDING THE 2021-22 BUDGET</v>
      </c>
      <c r="B4" s="6263"/>
      <c r="C4" s="6263"/>
      <c r="D4" s="6263"/>
      <c r="E4" s="6263"/>
      <c r="H4" s="6316"/>
      <c r="I4" s="6316"/>
      <c r="J4" s="6316"/>
      <c r="K4" s="6316"/>
      <c r="L4" s="6316"/>
    </row>
    <row r="5" spans="1:12" ht="12.75" customHeight="1">
      <c r="A5" s="4527"/>
      <c r="B5" s="4527"/>
      <c r="C5" s="4527"/>
      <c r="D5" s="4527"/>
      <c r="E5" s="4527"/>
      <c r="F5" s="3844"/>
      <c r="H5" s="6341" t="s">
        <v>5121</v>
      </c>
      <c r="I5" s="6341"/>
      <c r="J5" s="6341"/>
      <c r="K5" s="6341"/>
      <c r="L5" s="6341"/>
    </row>
    <row r="6" spans="1:12" ht="12.75" customHeight="1">
      <c r="A6" s="6342" t="str">
        <f>"The governing body of Unified School District " &amp;I24&amp;" will meet on the " &amp;I25&amp;" day of "&amp;I26&amp;", "&amp;I27&amp;" at "&amp;I28&amp;" "&amp;K28&amp;", at "&amp;I30&amp;", "&amp;I31&amp;", "&amp;J31&amp;", "&amp;K31&amp;" for the purpose of hearing and answering objections of taxpayers relating to the proposed amended use of funds.  Detailed budget information is available at "&amp;I33&amp;" and will be available at this hearing."</f>
        <v>The governing body of Unified School District 237 will meet on the  day of ,  at  , at , , KS,  for the purpose of hearing and answering objections of taxpayers relating to the proposed amended use of funds.  Detailed budget information is available at  and will be available at this hearing.</v>
      </c>
      <c r="B6" s="6342"/>
      <c r="C6" s="6342"/>
      <c r="D6" s="6342"/>
      <c r="E6" s="6342"/>
      <c r="F6" s="3844"/>
      <c r="H6" s="6341"/>
      <c r="I6" s="6341"/>
      <c r="J6" s="6341"/>
      <c r="K6" s="6341"/>
      <c r="L6" s="6341"/>
    </row>
    <row r="7" spans="1:12" ht="12.75" customHeight="1">
      <c r="A7" s="6342"/>
      <c r="B7" s="6342"/>
      <c r="C7" s="6342"/>
      <c r="D7" s="6342"/>
      <c r="E7" s="6342"/>
      <c r="H7" s="6341"/>
      <c r="I7" s="6341"/>
      <c r="J7" s="6341"/>
      <c r="K7" s="6341"/>
      <c r="L7" s="6341"/>
    </row>
    <row r="8" spans="1:12" ht="12.75" customHeight="1">
      <c r="A8" s="6342"/>
      <c r="B8" s="6342"/>
      <c r="C8" s="6342"/>
      <c r="D8" s="6342"/>
      <c r="E8" s="6342"/>
      <c r="F8" s="3845"/>
      <c r="H8" s="6341"/>
      <c r="I8" s="6341"/>
      <c r="J8" s="6341"/>
      <c r="K8" s="6341"/>
      <c r="L8" s="6341"/>
    </row>
    <row r="9" spans="1:12" ht="12.75" customHeight="1">
      <c r="A9" s="6342"/>
      <c r="B9" s="6342"/>
      <c r="C9" s="6342"/>
      <c r="D9" s="6342"/>
      <c r="E9" s="6342"/>
      <c r="F9" s="3845"/>
      <c r="H9" s="6316" t="s">
        <v>1591</v>
      </c>
      <c r="I9" s="6316"/>
      <c r="J9" s="6316"/>
      <c r="K9" s="6316"/>
      <c r="L9" s="6316"/>
    </row>
    <row r="10" spans="1:12" ht="12.75" customHeight="1">
      <c r="A10" s="6342"/>
      <c r="B10" s="6342"/>
      <c r="C10" s="6342"/>
      <c r="D10" s="6342"/>
      <c r="E10" s="6342"/>
      <c r="F10" s="3845"/>
      <c r="H10" s="6316"/>
      <c r="I10" s="6316"/>
      <c r="J10" s="6316"/>
      <c r="K10" s="6316"/>
      <c r="L10" s="6316"/>
    </row>
    <row r="11" spans="1:12" ht="12.75" customHeight="1">
      <c r="A11" s="6317" t="s">
        <v>1592</v>
      </c>
      <c r="B11" s="6317"/>
      <c r="C11" s="6317"/>
      <c r="D11" s="6317"/>
      <c r="E11" s="6317"/>
      <c r="F11" s="668"/>
      <c r="H11" s="6326" t="str">
        <f>"1.   Publish the Notice of Hearing on Amending the "&amp;OpenData!$N$42&amp;" Budget (form to the left)."</f>
        <v>1.   Publish the Notice of Hearing on Amending the 2021-22 Budget (form to the left).</v>
      </c>
      <c r="I11" s="6326"/>
      <c r="J11" s="6326"/>
      <c r="K11" s="6326"/>
      <c r="L11" s="6326"/>
    </row>
    <row r="12" spans="1:12" ht="12.75" customHeight="1">
      <c r="A12" s="6317"/>
      <c r="B12" s="6317"/>
      <c r="C12" s="6317"/>
      <c r="D12" s="6317"/>
      <c r="E12" s="6317"/>
      <c r="F12" s="3846"/>
      <c r="H12" s="6315" t="s">
        <v>5103</v>
      </c>
      <c r="I12" s="6315"/>
      <c r="J12" s="6315"/>
      <c r="K12" s="6315"/>
      <c r="L12" s="6315"/>
    </row>
    <row r="13" spans="1:12" ht="12.75" customHeight="1">
      <c r="A13" s="492"/>
      <c r="B13" s="6312" t="s">
        <v>855</v>
      </c>
      <c r="C13" s="6313"/>
      <c r="D13" s="6314"/>
      <c r="E13" s="495" t="s">
        <v>1593</v>
      </c>
      <c r="H13" s="6326" t="s">
        <v>5016</v>
      </c>
      <c r="I13" s="6326"/>
      <c r="J13" s="6326"/>
      <c r="K13" s="6326"/>
      <c r="L13" s="6326"/>
    </row>
    <row r="14" spans="1:12" ht="12.75" customHeight="1">
      <c r="A14" s="492"/>
      <c r="B14" s="6338" t="str">
        <f>OpenData!$N$42</f>
        <v>2021-22</v>
      </c>
      <c r="C14" s="6339"/>
      <c r="D14" s="6340"/>
      <c r="E14" s="799" t="str">
        <f>OpenData!$N$42&amp;"  Budget"</f>
        <v>2021-22  Budget</v>
      </c>
      <c r="F14" s="3844"/>
      <c r="H14" s="6326" t="s">
        <v>5105</v>
      </c>
      <c r="I14" s="6326"/>
      <c r="J14" s="6326"/>
      <c r="K14" s="6326"/>
      <c r="L14" s="6326"/>
    </row>
    <row r="15" spans="1:12" ht="12.75" customHeight="1">
      <c r="A15" s="492"/>
      <c r="B15" s="6324" t="s">
        <v>4851</v>
      </c>
      <c r="C15" s="6322" t="s">
        <v>5014</v>
      </c>
      <c r="D15" s="6320" t="s">
        <v>5015</v>
      </c>
      <c r="E15" s="6318" t="s">
        <v>5015</v>
      </c>
      <c r="H15" s="6337" t="s">
        <v>5104</v>
      </c>
      <c r="I15" s="6337"/>
      <c r="J15" s="6337"/>
      <c r="K15" s="6337"/>
      <c r="L15" s="6337"/>
    </row>
    <row r="16" spans="1:12" ht="12.75" customHeight="1">
      <c r="A16" s="3845" t="s">
        <v>896</v>
      </c>
      <c r="B16" s="6325"/>
      <c r="C16" s="6323"/>
      <c r="D16" s="6321"/>
      <c r="E16" s="6319"/>
      <c r="H16" s="6315" t="s">
        <v>5017</v>
      </c>
      <c r="I16" s="6315"/>
      <c r="J16" s="3861"/>
      <c r="K16" s="3861"/>
      <c r="L16" s="3850" t="s">
        <v>5018</v>
      </c>
    </row>
    <row r="17" spans="1:14" ht="12.75" customHeight="1">
      <c r="A17" s="496"/>
      <c r="B17" s="497"/>
      <c r="C17" s="498"/>
      <c r="D17" s="498"/>
      <c r="E17" s="498"/>
      <c r="H17" s="6315" t="s">
        <v>5019</v>
      </c>
      <c r="I17" s="6315"/>
      <c r="J17" s="3861"/>
      <c r="K17" s="3861"/>
      <c r="L17" s="3851" t="s">
        <v>5020</v>
      </c>
    </row>
    <row r="18" spans="1:14" ht="12.75" customHeight="1">
      <c r="A18" s="496"/>
      <c r="B18" s="497"/>
      <c r="C18" s="498"/>
      <c r="D18" s="498"/>
      <c r="E18" s="498"/>
      <c r="H18" s="6315" t="s">
        <v>5021</v>
      </c>
      <c r="I18" s="6315"/>
      <c r="J18" s="3861"/>
      <c r="K18" s="3861"/>
      <c r="L18" s="492"/>
    </row>
    <row r="19" spans="1:14" ht="12.75" customHeight="1">
      <c r="A19" s="496"/>
      <c r="B19" s="497"/>
      <c r="C19" s="498"/>
      <c r="D19" s="498"/>
      <c r="E19" s="498"/>
      <c r="H19" s="6328" t="s">
        <v>5022</v>
      </c>
      <c r="I19" s="6328"/>
      <c r="J19" s="6328"/>
      <c r="K19" s="6328"/>
      <c r="L19" s="6328"/>
    </row>
    <row r="20" spans="1:14" ht="12.75" customHeight="1">
      <c r="A20" s="496"/>
      <c r="B20" s="497"/>
      <c r="C20" s="498"/>
      <c r="D20" s="498"/>
      <c r="E20" s="498"/>
      <c r="H20" s="6328"/>
      <c r="I20" s="6328"/>
      <c r="J20" s="6328"/>
      <c r="K20" s="6328"/>
      <c r="L20" s="6328"/>
    </row>
    <row r="21" spans="1:14" ht="12.75" customHeight="1">
      <c r="A21" s="496"/>
      <c r="B21" s="497"/>
      <c r="C21" s="498"/>
      <c r="D21" s="498"/>
      <c r="E21" s="498"/>
      <c r="H21" s="6328"/>
      <c r="I21" s="6328"/>
      <c r="J21" s="6328"/>
      <c r="K21" s="6328"/>
      <c r="L21" s="6328"/>
    </row>
    <row r="22" spans="1:14" ht="12.75" customHeight="1" thickBot="1">
      <c r="A22" s="496"/>
      <c r="B22" s="497"/>
      <c r="C22" s="498"/>
      <c r="D22" s="498"/>
      <c r="E22" s="498"/>
      <c r="H22" s="3849"/>
      <c r="I22" s="3849"/>
      <c r="J22" s="3849"/>
      <c r="K22" s="3849"/>
      <c r="L22" s="3849"/>
    </row>
    <row r="23" spans="1:14" ht="12.75" customHeight="1" thickTop="1">
      <c r="A23" s="496"/>
      <c r="B23" s="497"/>
      <c r="C23" s="498"/>
      <c r="D23" s="498"/>
      <c r="E23" s="498"/>
      <c r="H23" s="6329" t="s">
        <v>5023</v>
      </c>
      <c r="I23" s="6330"/>
      <c r="J23" s="6330"/>
      <c r="K23" s="6330"/>
      <c r="L23" s="6331"/>
      <c r="M23" s="3852"/>
      <c r="N23" s="3852"/>
    </row>
    <row r="24" spans="1:14" ht="12.75" customHeight="1">
      <c r="A24" s="496"/>
      <c r="B24" s="497"/>
      <c r="C24" s="498"/>
      <c r="D24" s="498"/>
      <c r="E24" s="498"/>
      <c r="H24" s="3853" t="s">
        <v>1634</v>
      </c>
      <c r="I24" s="6333">
        <f>OPEN!B4</f>
        <v>237</v>
      </c>
      <c r="J24" s="6333"/>
      <c r="K24" s="6333"/>
      <c r="L24" s="3854"/>
    </row>
    <row r="25" spans="1:14" ht="12.75" customHeight="1">
      <c r="A25" s="496"/>
      <c r="B25" s="497"/>
      <c r="C25" s="498"/>
      <c r="D25" s="498"/>
      <c r="E25" s="498"/>
      <c r="H25" s="3853" t="s">
        <v>4842</v>
      </c>
      <c r="I25" s="6275"/>
      <c r="J25" s="6275"/>
      <c r="K25" s="6275"/>
      <c r="L25" s="2124" t="s">
        <v>5096</v>
      </c>
      <c r="M25" s="3860"/>
    </row>
    <row r="26" spans="1:14" ht="12.75" customHeight="1">
      <c r="A26" s="496"/>
      <c r="B26" s="497"/>
      <c r="C26" s="498"/>
      <c r="D26" s="498"/>
      <c r="E26" s="498"/>
      <c r="H26" s="3853" t="s">
        <v>4841</v>
      </c>
      <c r="I26" s="6275"/>
      <c r="J26" s="6275"/>
      <c r="K26" s="6275"/>
      <c r="L26" s="2124" t="s">
        <v>5097</v>
      </c>
      <c r="M26" s="3860"/>
    </row>
    <row r="27" spans="1:14" ht="12.75" customHeight="1">
      <c r="A27" s="492"/>
      <c r="B27" s="492"/>
      <c r="C27" s="492"/>
      <c r="D27" s="492"/>
      <c r="E27" s="492"/>
      <c r="H27" s="3853"/>
      <c r="I27" s="6332"/>
      <c r="J27" s="6332"/>
      <c r="K27" s="6332"/>
      <c r="L27" s="3854" t="s">
        <v>5098</v>
      </c>
    </row>
    <row r="28" spans="1:14" ht="12.75" customHeight="1">
      <c r="A28" s="492"/>
      <c r="B28" s="492"/>
      <c r="C28" s="492"/>
      <c r="D28" s="492"/>
      <c r="E28" s="492"/>
      <c r="H28" s="3853" t="s">
        <v>4840</v>
      </c>
      <c r="I28" s="6332"/>
      <c r="J28" s="6336"/>
      <c r="K28" s="3867"/>
      <c r="L28" s="3854" t="s">
        <v>5099</v>
      </c>
    </row>
    <row r="29" spans="1:14" ht="12.75" customHeight="1">
      <c r="A29" s="800"/>
      <c r="B29" s="492"/>
      <c r="C29" s="492"/>
      <c r="D29" s="3847"/>
      <c r="E29" s="3848"/>
      <c r="H29" s="3853"/>
      <c r="I29" s="2127" t="s">
        <v>4838</v>
      </c>
      <c r="J29" s="2127"/>
      <c r="K29" s="3843" t="s">
        <v>4832</v>
      </c>
      <c r="L29" s="2124"/>
    </row>
    <row r="30" spans="1:14" ht="12.75" customHeight="1">
      <c r="A30" s="494"/>
      <c r="B30" s="492"/>
      <c r="C30" s="492"/>
      <c r="D30" s="6313" t="s">
        <v>5013</v>
      </c>
      <c r="E30" s="6313"/>
      <c r="H30" s="6334" t="s">
        <v>4839</v>
      </c>
      <c r="I30" s="6335"/>
      <c r="J30" s="6335"/>
      <c r="K30" s="6335"/>
      <c r="L30" s="3854" t="s">
        <v>5100</v>
      </c>
    </row>
    <row r="31" spans="1:14" ht="14.25" customHeight="1">
      <c r="A31" s="492"/>
      <c r="B31" s="492"/>
      <c r="C31" s="492"/>
      <c r="D31" s="492"/>
      <c r="E31" s="492"/>
      <c r="H31" s="6334"/>
      <c r="I31" s="3866"/>
      <c r="J31" s="3862" t="s">
        <v>4836</v>
      </c>
      <c r="K31" s="3866"/>
      <c r="L31" s="3854" t="s">
        <v>4837</v>
      </c>
    </row>
    <row r="32" spans="1:14">
      <c r="A32" s="499"/>
      <c r="B32" s="492"/>
      <c r="C32" s="492"/>
      <c r="D32" s="492"/>
      <c r="E32" s="492"/>
      <c r="H32" s="3853"/>
      <c r="I32" s="2127" t="s">
        <v>4833</v>
      </c>
      <c r="J32" s="2128" t="s">
        <v>4834</v>
      </c>
      <c r="K32" s="2127" t="s">
        <v>4835</v>
      </c>
      <c r="L32" s="3854"/>
    </row>
    <row r="33" spans="1:12">
      <c r="A33" s="499"/>
      <c r="B33" s="492"/>
      <c r="C33" s="492"/>
      <c r="D33" s="492"/>
      <c r="E33" s="492"/>
      <c r="H33" s="3853" t="s">
        <v>1641</v>
      </c>
      <c r="I33" s="6327"/>
      <c r="J33" s="6327"/>
      <c r="K33" s="6327"/>
      <c r="L33" s="3854" t="s">
        <v>5102</v>
      </c>
    </row>
    <row r="34" spans="1:12" ht="14.4" thickBot="1">
      <c r="H34" s="3855"/>
      <c r="I34" s="3856"/>
      <c r="J34" s="3856"/>
      <c r="K34" s="3856"/>
      <c r="L34" s="3863" t="s">
        <v>5101</v>
      </c>
    </row>
    <row r="35" spans="1:12" ht="14.4" thickTop="1"/>
  </sheetData>
  <sheetProtection algorithmName="SHA-512" hashValue="61iH4kBPCc3yqg+aFt0oW1T5NlFLAMhWy20yXPzzws+vOg6Z01LteeoL13PrDBoiB8g9RC6MbMGRrqicmDH00g==" saltValue="rsNKou0dd+ntFG/pPSMJkw==" spinCount="100000" sheet="1" objects="1" scenarios="1"/>
  <mergeCells count="32">
    <mergeCell ref="H14:L14"/>
    <mergeCell ref="H15:L15"/>
    <mergeCell ref="B14:D14"/>
    <mergeCell ref="H5:L8"/>
    <mergeCell ref="A6:E10"/>
    <mergeCell ref="D30:E30"/>
    <mergeCell ref="I33:K33"/>
    <mergeCell ref="H19:L21"/>
    <mergeCell ref="H23:L23"/>
    <mergeCell ref="I25:K25"/>
    <mergeCell ref="I26:K26"/>
    <mergeCell ref="I27:K27"/>
    <mergeCell ref="I24:K24"/>
    <mergeCell ref="H30:H31"/>
    <mergeCell ref="I30:K30"/>
    <mergeCell ref="I28:J28"/>
    <mergeCell ref="A3:E3"/>
    <mergeCell ref="A4:E4"/>
    <mergeCell ref="B13:D13"/>
    <mergeCell ref="H17:I17"/>
    <mergeCell ref="H18:I18"/>
    <mergeCell ref="H16:I16"/>
    <mergeCell ref="H3:L4"/>
    <mergeCell ref="A11:E12"/>
    <mergeCell ref="H9:L10"/>
    <mergeCell ref="E15:E16"/>
    <mergeCell ref="D15:D16"/>
    <mergeCell ref="C15:C16"/>
    <mergeCell ref="B15:B16"/>
    <mergeCell ref="H11:L11"/>
    <mergeCell ref="H12:L12"/>
    <mergeCell ref="H13:L13"/>
  </mergeCells>
  <dataValidations count="2">
    <dataValidation type="list" allowBlank="1" showInputMessage="1" showErrorMessage="1" prompt="Select AM or PM from list." sqref="K28">
      <formula1>"AM,PM"</formula1>
    </dataValidation>
    <dataValidation type="list" allowBlank="1" showInputMessage="1" showErrorMessage="1" prompt="Select Day of the Month." sqref="I25:K25">
      <formula1>IF(I26="",January,INDIRECT(I26))</formula1>
    </dataValidation>
  </dataValidations>
  <hyperlinks>
    <hyperlink ref="H1" location="Contents!A1" display="Return to Contents page"/>
  </hyperlinks>
  <printOptions horizontalCentered="1"/>
  <pageMargins left="0.75" right="0.75" top="0.5" bottom="0.5" header="0.3" footer="0.3"/>
  <pageSetup scale="97" orientation="portrait" blackAndWhite="1" r:id="rId1"/>
  <headerFooter scaleWithDoc="0">
    <oddFooter>&amp;L&amp;"Open Sans Light,Regular"&amp;8&amp;D &amp;T&amp;C&amp;"Open Sans Light,Regular"&amp;8Page &amp;P&amp;R&amp;"Open Sans Light,Regular"&amp;8&amp;A</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'CO99'!$S$1:$S$2</xm:f>
          </x14:formula1>
          <xm:sqref>I27:K27</xm:sqref>
        </x14:dataValidation>
        <x14:dataValidation type="list" allowBlank="1" showInputMessage="1" showErrorMessage="1" promptTitle="Month" prompt="Select Month from list.">
          <x14:formula1>
            <xm:f>'CO99'!$T$1:$AE$1</xm:f>
          </x14:formula1>
          <xm:sqref>I26:K26</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6" tint="-0.249977111117893"/>
    <pageSetUpPr fitToPage="1"/>
  </sheetPr>
  <dimension ref="B1:AV46"/>
  <sheetViews>
    <sheetView showGridLines="0" topLeftCell="A10" workbookViewId="0">
      <selection activeCell="C36" sqref="C36"/>
    </sheetView>
  </sheetViews>
  <sheetFormatPr defaultColWidth="9.109375" defaultRowHeight="12"/>
  <cols>
    <col min="1" max="1" width="2.6640625" style="522" customWidth="1"/>
    <col min="2" max="2" width="8.33203125" style="522" customWidth="1"/>
    <col min="3" max="3" width="12" style="522" customWidth="1"/>
    <col min="4" max="4" width="8.88671875" style="522" customWidth="1"/>
    <col min="5" max="5" width="9.109375" style="522"/>
    <col min="6" max="6" width="4.109375" style="524" customWidth="1"/>
    <col min="7" max="7" width="9.109375" style="522"/>
    <col min="8" max="8" width="4.109375" style="522" customWidth="1"/>
    <col min="9" max="9" width="9.109375" style="522"/>
    <col min="10" max="10" width="4.109375" style="522" customWidth="1"/>
    <col min="11" max="11" width="9.109375" style="522"/>
    <col min="12" max="12" width="4.109375" style="522" customWidth="1"/>
    <col min="13" max="13" width="9.109375" style="522"/>
    <col min="14" max="14" width="4.109375" style="522" customWidth="1"/>
    <col min="15" max="15" width="9.109375" style="522"/>
    <col min="16" max="16" width="4.109375" style="522" customWidth="1"/>
    <col min="17" max="17" width="9.109375" style="522"/>
    <col min="18" max="18" width="4.109375" style="522" customWidth="1"/>
    <col min="19" max="19" width="9.109375" style="522"/>
    <col min="20" max="20" width="4.109375" style="522" customWidth="1"/>
    <col min="21" max="21" width="10.33203125" style="522" customWidth="1"/>
    <col min="22" max="22" width="4.109375" style="522" customWidth="1"/>
    <col min="23" max="23" width="9.109375" style="522"/>
    <col min="24" max="24" width="4.109375" style="522" customWidth="1"/>
    <col min="25" max="25" width="9.109375" style="522"/>
    <col min="26" max="26" width="4.109375" style="522" customWidth="1"/>
    <col min="27" max="27" width="9.109375" style="522"/>
    <col min="28" max="28" width="4.109375" style="522" customWidth="1"/>
    <col min="29" max="29" width="9.109375" style="522"/>
    <col min="30" max="30" width="4.109375" style="522" customWidth="1"/>
    <col min="31" max="31" width="9.109375" style="522"/>
    <col min="32" max="32" width="4.109375" style="522" customWidth="1"/>
    <col min="33" max="33" width="9.109375" style="522"/>
    <col min="34" max="34" width="4.109375" style="522" customWidth="1"/>
    <col min="35" max="35" width="9.109375" style="522"/>
    <col min="36" max="36" width="4.109375" style="522" customWidth="1"/>
    <col min="37" max="37" width="9.109375" style="522"/>
    <col min="38" max="38" width="4.109375" style="522" customWidth="1"/>
    <col min="39" max="39" width="9.109375" style="522"/>
    <col min="40" max="40" width="4.109375" style="522" hidden="1" customWidth="1"/>
    <col min="41" max="41" width="4.109375" style="522" customWidth="1"/>
    <col min="42" max="42" width="9.109375" style="522"/>
    <col min="43" max="43" width="4.109375" style="522" customWidth="1"/>
    <col min="44" max="44" width="15" style="522" customWidth="1"/>
    <col min="45" max="45" width="4.88671875" style="522" customWidth="1"/>
    <col min="46" max="16384" width="9.109375" style="522"/>
  </cols>
  <sheetData>
    <row r="1" spans="2:48" ht="13.2">
      <c r="C1" s="523" t="s">
        <v>4644</v>
      </c>
      <c r="U1" s="303" t="s">
        <v>754</v>
      </c>
      <c r="V1" s="525"/>
      <c r="W1" s="526"/>
    </row>
    <row r="2" spans="2:48">
      <c r="C2" s="523"/>
      <c r="V2" s="525"/>
      <c r="W2" s="526"/>
    </row>
    <row r="3" spans="2:48" ht="18">
      <c r="C3" s="527" t="s">
        <v>1676</v>
      </c>
      <c r="V3" s="525"/>
      <c r="W3" s="526"/>
    </row>
    <row r="4" spans="2:48">
      <c r="C4" s="528" t="s">
        <v>1666</v>
      </c>
      <c r="V4" s="525"/>
      <c r="W4" s="526"/>
    </row>
    <row r="5" spans="2:48">
      <c r="B5" s="522" t="str">
        <f>CONCATENATE(MID(OpenData!$N$4,1,5),MID(OpenData!$N$4,8,2))</f>
        <v>2019-20</v>
      </c>
      <c r="C5" s="523"/>
      <c r="V5" s="525"/>
      <c r="W5" s="526"/>
    </row>
    <row r="6" spans="2:48" ht="15.6">
      <c r="B6" s="529" t="str">
        <f>"Left Column:  (" &amp; OpenData!$N$4 &amp; ")"</f>
        <v>Left Column:  (2019-2020)</v>
      </c>
      <c r="AR6" s="530" t="s">
        <v>1667</v>
      </c>
      <c r="AT6" s="530" t="s">
        <v>1668</v>
      </c>
    </row>
    <row r="7" spans="2:48">
      <c r="B7" s="531"/>
      <c r="C7" s="531" t="s">
        <v>91</v>
      </c>
      <c r="D7" s="532" t="s">
        <v>1648</v>
      </c>
      <c r="E7" s="531" t="s">
        <v>92</v>
      </c>
      <c r="F7" s="533" t="s">
        <v>1648</v>
      </c>
      <c r="G7" s="531" t="s">
        <v>93</v>
      </c>
      <c r="H7" s="533" t="s">
        <v>1648</v>
      </c>
      <c r="I7" s="531" t="s">
        <v>94</v>
      </c>
      <c r="J7" s="533" t="s">
        <v>1648</v>
      </c>
      <c r="K7" s="531" t="s">
        <v>95</v>
      </c>
      <c r="L7" s="533" t="s">
        <v>1648</v>
      </c>
      <c r="M7" s="531" t="s">
        <v>96</v>
      </c>
      <c r="N7" s="533" t="s">
        <v>1648</v>
      </c>
      <c r="O7" s="531" t="s">
        <v>97</v>
      </c>
      <c r="P7" s="533" t="s">
        <v>1648</v>
      </c>
      <c r="Q7" s="531" t="s">
        <v>98</v>
      </c>
      <c r="R7" s="533" t="s">
        <v>1648</v>
      </c>
      <c r="S7" s="531" t="s">
        <v>470</v>
      </c>
      <c r="T7" s="533" t="s">
        <v>1648</v>
      </c>
      <c r="U7" s="534" t="s">
        <v>1372</v>
      </c>
      <c r="V7" s="533" t="s">
        <v>1648</v>
      </c>
      <c r="W7" s="531" t="s">
        <v>99</v>
      </c>
      <c r="X7" s="533" t="s">
        <v>1648</v>
      </c>
      <c r="Y7" s="531" t="s">
        <v>100</v>
      </c>
      <c r="Z7" s="533" t="s">
        <v>1648</v>
      </c>
      <c r="AA7" s="531" t="s">
        <v>101</v>
      </c>
      <c r="AB7" s="533" t="s">
        <v>1648</v>
      </c>
      <c r="AC7" s="531" t="s">
        <v>102</v>
      </c>
      <c r="AD7" s="533" t="s">
        <v>1648</v>
      </c>
      <c r="AE7" s="531" t="s">
        <v>103</v>
      </c>
      <c r="AF7" s="533" t="s">
        <v>1648</v>
      </c>
      <c r="AG7" s="531" t="s">
        <v>104</v>
      </c>
      <c r="AH7" s="533" t="s">
        <v>1648</v>
      </c>
      <c r="AI7" s="531" t="s">
        <v>105</v>
      </c>
      <c r="AJ7" s="533" t="s">
        <v>1648</v>
      </c>
      <c r="AK7" s="531" t="s">
        <v>106</v>
      </c>
      <c r="AL7" s="533" t="s">
        <v>1648</v>
      </c>
      <c r="AM7" s="531" t="s">
        <v>107</v>
      </c>
      <c r="AN7" s="533" t="s">
        <v>1648</v>
      </c>
      <c r="AO7" s="533" t="s">
        <v>1648</v>
      </c>
      <c r="AP7" s="531" t="s">
        <v>108</v>
      </c>
      <c r="AQ7" s="533" t="s">
        <v>1648</v>
      </c>
      <c r="AR7" s="531" t="s">
        <v>1669</v>
      </c>
      <c r="AT7" s="530" t="s">
        <v>1669</v>
      </c>
    </row>
    <row r="8" spans="2:48">
      <c r="B8" s="531">
        <v>1000</v>
      </c>
      <c r="C8" s="535">
        <f>SUM('C06'!$C$48:$C$49)</f>
        <v>1383543</v>
      </c>
      <c r="D8" s="536"/>
      <c r="E8" s="535">
        <f>SUM('C07'!$C$41:$C$42)</f>
        <v>88283</v>
      </c>
      <c r="F8" s="537"/>
      <c r="G8" s="535">
        <f>SUM('C08'!$C$53:$C$54)</f>
        <v>195000</v>
      </c>
      <c r="H8" s="536"/>
      <c r="I8" s="535">
        <f>SUM('C010'!$C$68:$C$69)</f>
        <v>0</v>
      </c>
      <c r="J8" s="536"/>
      <c r="K8" s="538">
        <f>SUM('C011'!$C$44:$C$45)</f>
        <v>0</v>
      </c>
      <c r="L8" s="536"/>
      <c r="M8" s="538">
        <f>SUM('C012'!$C$40:$C$41)</f>
        <v>0</v>
      </c>
      <c r="N8" s="536"/>
      <c r="O8" s="538">
        <f>SUM('C013'!$C$44:$C$45)</f>
        <v>340934</v>
      </c>
      <c r="P8" s="536"/>
      <c r="Q8" s="539">
        <f>SUM('C014'!$C$39:$C$40)</f>
        <v>0</v>
      </c>
      <c r="R8" s="536"/>
      <c r="S8" s="539">
        <f>SUM('C015'!$C$40:$C$41)</f>
        <v>0</v>
      </c>
      <c r="T8" s="536"/>
      <c r="U8" s="540"/>
      <c r="V8" s="541"/>
      <c r="W8" s="535">
        <f>SUM('C018'!$C$40:$C$41)</f>
        <v>5131</v>
      </c>
      <c r="X8" s="536"/>
      <c r="Y8" s="535">
        <f>SUM('C022'!$C$39:$C$40)</f>
        <v>0</v>
      </c>
      <c r="Z8" s="536"/>
      <c r="AA8" s="542"/>
      <c r="AB8" s="542"/>
      <c r="AC8" s="542"/>
      <c r="AD8" s="542"/>
      <c r="AE8" s="542"/>
      <c r="AF8" s="542"/>
      <c r="AG8" s="535">
        <f>SUM('C029'!$C$43:$C$44)</f>
        <v>0</v>
      </c>
      <c r="AH8" s="543"/>
      <c r="AI8" s="535">
        <f>SUM('C030'!$C$47:$C$48)</f>
        <v>89785</v>
      </c>
      <c r="AJ8" s="536"/>
      <c r="AK8" s="535">
        <f>SUM('C034'!$C$51:$C$52)</f>
        <v>137138</v>
      </c>
      <c r="AL8" s="536"/>
      <c r="AM8" s="535">
        <f>SUM('C035'!$C$52:$C$53)</f>
        <v>0</v>
      </c>
      <c r="AN8" s="536"/>
      <c r="AO8" s="536"/>
      <c r="AP8" s="535">
        <f>SUM('C078'!$C$40:$C$41)</f>
        <v>0</v>
      </c>
      <c r="AQ8" s="543"/>
      <c r="AR8" s="544">
        <f t="shared" ref="AR8:AR17" si="0">SUM(AP8,AM8,AK8,AI8,AG8,AE8,AC8,AA8,Y8,W8,S8,Q8,O8,M8,K8,I8,G8,E8,C8)</f>
        <v>2239814</v>
      </c>
      <c r="AT8" s="545">
        <f t="shared" ref="AT8:AT18" si="1">SUM(AQ8,AO8,AN8,AL8,AJ8,AH8,AF8,AD8,AB8,Z8,X8,T8,R8,P8,N8,L8,J8,H8,F8,D8)</f>
        <v>0</v>
      </c>
      <c r="AV8" s="546"/>
    </row>
    <row r="9" spans="2:48">
      <c r="B9" s="531">
        <v>2100</v>
      </c>
      <c r="C9" s="535">
        <f>SUM('C06'!$C$72:$C$73)</f>
        <v>45877</v>
      </c>
      <c r="D9" s="536"/>
      <c r="E9" s="535">
        <f>SUM('C07'!$C$65:$C$66)</f>
        <v>0</v>
      </c>
      <c r="F9" s="537"/>
      <c r="G9" s="535">
        <f>SUM('C08'!$C$77:$C$78)</f>
        <v>0</v>
      </c>
      <c r="H9" s="536"/>
      <c r="I9" s="535">
        <f>SUM('C010'!$C$89:$C$90)</f>
        <v>0</v>
      </c>
      <c r="J9" s="536"/>
      <c r="K9" s="538">
        <f>SUM('C011'!$C$67:$C$68)</f>
        <v>0</v>
      </c>
      <c r="L9" s="536"/>
      <c r="M9" s="538">
        <f>SUM('C012'!$C$62:$C$63)</f>
        <v>0</v>
      </c>
      <c r="N9" s="536"/>
      <c r="O9" s="538">
        <f>SUM('C013'!$C$67:$C$68)</f>
        <v>0</v>
      </c>
      <c r="P9" s="536"/>
      <c r="Q9" s="539">
        <f>SUM('C014'!$C$63:$C$64)</f>
        <v>0</v>
      </c>
      <c r="R9" s="536"/>
      <c r="S9" s="539">
        <f>SUM('C015'!$C$63:$C$64)</f>
        <v>0</v>
      </c>
      <c r="T9" s="536"/>
      <c r="U9" s="540"/>
      <c r="V9" s="541"/>
      <c r="W9" s="535">
        <f>SUM('C018'!$C$63:$C$64)</f>
        <v>0</v>
      </c>
      <c r="X9" s="536"/>
      <c r="Y9" s="535">
        <f>SUM('C022'!$C$63:$C$64)</f>
        <v>0</v>
      </c>
      <c r="Z9" s="536"/>
      <c r="AA9" s="542"/>
      <c r="AB9" s="542"/>
      <c r="AC9" s="542"/>
      <c r="AD9" s="542"/>
      <c r="AE9" s="535">
        <f>SUM('C028'!$C$42:$C$43)</f>
        <v>32418</v>
      </c>
      <c r="AF9" s="536"/>
      <c r="AG9" s="535">
        <f>SUM('C029'!$C$67:$C$68)</f>
        <v>0</v>
      </c>
      <c r="AH9" s="543"/>
      <c r="AI9" s="535">
        <f>SUM('C030'!$C$72:$C$73)</f>
        <v>1714</v>
      </c>
      <c r="AJ9" s="536"/>
      <c r="AK9" s="535">
        <f>SUM('C034'!$C$73:$C$74)</f>
        <v>0</v>
      </c>
      <c r="AL9" s="536"/>
      <c r="AM9" s="535">
        <f>SUM('C035'!$C$76:$C$77)</f>
        <v>0</v>
      </c>
      <c r="AN9" s="536"/>
      <c r="AO9" s="536"/>
      <c r="AP9" s="535">
        <f>SUM('C078'!$C$63:$C$64)</f>
        <v>0</v>
      </c>
      <c r="AQ9" s="543"/>
      <c r="AR9" s="544">
        <f t="shared" si="0"/>
        <v>80009</v>
      </c>
      <c r="AT9" s="545">
        <f t="shared" si="1"/>
        <v>0</v>
      </c>
      <c r="AV9" s="546"/>
    </row>
    <row r="10" spans="2:48">
      <c r="B10" s="531">
        <v>2200</v>
      </c>
      <c r="C10" s="535">
        <f>SUM('C06'!$C$86:$C$87)</f>
        <v>79988</v>
      </c>
      <c r="D10" s="536"/>
      <c r="E10" s="535">
        <f>SUM('C07'!$C$79:$C$80)</f>
        <v>0</v>
      </c>
      <c r="F10" s="537"/>
      <c r="G10" s="535">
        <f>SUM('C08'!$C$91:$C$92)</f>
        <v>18698</v>
      </c>
      <c r="H10" s="536"/>
      <c r="I10" s="535">
        <f>SUM('C010'!$C$103:$C$104)</f>
        <v>0</v>
      </c>
      <c r="J10" s="536"/>
      <c r="K10" s="538">
        <f>SUM('C011'!$C$81:$C$82)</f>
        <v>0</v>
      </c>
      <c r="L10" s="536"/>
      <c r="M10" s="538">
        <f>SUM('C012'!$C$76:$C$77)</f>
        <v>0</v>
      </c>
      <c r="N10" s="536"/>
      <c r="O10" s="538">
        <f>SUM('C013'!$C$81:$C$82)</f>
        <v>4521</v>
      </c>
      <c r="P10" s="536"/>
      <c r="Q10" s="539">
        <f>SUM('C014'!$C$77:$C$78)</f>
        <v>0</v>
      </c>
      <c r="R10" s="536"/>
      <c r="S10" s="539">
        <f>SUM('C015'!$C$77:$C$78)</f>
        <v>0</v>
      </c>
      <c r="T10" s="536"/>
      <c r="U10" s="540"/>
      <c r="V10" s="541"/>
      <c r="W10" s="535">
        <f>SUM('C018'!$C$77:$C$78)</f>
        <v>0</v>
      </c>
      <c r="X10" s="536"/>
      <c r="Y10" s="535">
        <f>SUM('C022'!$C$77:$C$78)</f>
        <v>0</v>
      </c>
      <c r="Z10" s="536"/>
      <c r="AA10" s="542"/>
      <c r="AB10" s="542"/>
      <c r="AC10" s="535">
        <f>SUM('C026'!$C$39:$C$40)</f>
        <v>9884</v>
      </c>
      <c r="AD10" s="536"/>
      <c r="AE10" s="535">
        <f>SUM('C028'!$C$62:$C$63)</f>
        <v>0</v>
      </c>
      <c r="AF10" s="536"/>
      <c r="AG10" s="535">
        <f>SUM('C029'!$C$81:$C$82)</f>
        <v>0</v>
      </c>
      <c r="AH10" s="543"/>
      <c r="AI10" s="535">
        <f>SUM('C030'!$C$86:$C$87)</f>
        <v>0</v>
      </c>
      <c r="AJ10" s="536"/>
      <c r="AK10" s="535">
        <f>SUM('C034'!$C$87:$C$88)</f>
        <v>0</v>
      </c>
      <c r="AL10" s="536"/>
      <c r="AM10" s="535">
        <f>SUM('C035'!$C$90:$C$91)</f>
        <v>0</v>
      </c>
      <c r="AN10" s="536"/>
      <c r="AO10" s="536"/>
      <c r="AP10" s="535">
        <f>SUM('C078'!$C$77:$C$78)</f>
        <v>0</v>
      </c>
      <c r="AQ10" s="543"/>
      <c r="AR10" s="544">
        <f t="shared" si="0"/>
        <v>113091</v>
      </c>
      <c r="AT10" s="545">
        <f t="shared" si="1"/>
        <v>0</v>
      </c>
      <c r="AV10" s="546"/>
    </row>
    <row r="11" spans="2:48">
      <c r="B11" s="531">
        <v>2300</v>
      </c>
      <c r="C11" s="535">
        <f>SUM('C06'!$C$103:$C$104)</f>
        <v>146971</v>
      </c>
      <c r="D11" s="536"/>
      <c r="E11" s="535">
        <f>SUM('C07'!$C$96:$C$97)</f>
        <v>0</v>
      </c>
      <c r="F11" s="537"/>
      <c r="G11" s="535">
        <f>SUM('C08'!$C$108:$C$109)</f>
        <v>0</v>
      </c>
      <c r="H11" s="536"/>
      <c r="I11" s="535">
        <f>SUM('C010'!$C$120:$C$121)</f>
        <v>0</v>
      </c>
      <c r="J11" s="536"/>
      <c r="K11" s="542"/>
      <c r="L11" s="547"/>
      <c r="M11" s="542"/>
      <c r="N11" s="547"/>
      <c r="O11" s="542"/>
      <c r="P11" s="547"/>
      <c r="Q11" s="542"/>
      <c r="R11" s="547"/>
      <c r="S11" s="542"/>
      <c r="T11" s="542"/>
      <c r="U11" s="548"/>
      <c r="V11" s="541"/>
      <c r="W11" s="542"/>
      <c r="X11" s="547"/>
      <c r="Y11" s="542"/>
      <c r="Z11" s="547"/>
      <c r="AA11" s="542"/>
      <c r="AB11" s="542"/>
      <c r="AC11" s="542"/>
      <c r="AD11" s="542"/>
      <c r="AE11" s="542"/>
      <c r="AF11" s="542"/>
      <c r="AG11" s="542"/>
      <c r="AH11" s="542"/>
      <c r="AI11" s="535">
        <f>SUM('C030'!$C$104:$C$105)</f>
        <v>0</v>
      </c>
      <c r="AJ11" s="536"/>
      <c r="AK11" s="542"/>
      <c r="AL11" s="542"/>
      <c r="AM11" s="535">
        <f>SUM('C035'!$C$107:$C$108)</f>
        <v>0</v>
      </c>
      <c r="AN11" s="536"/>
      <c r="AO11" s="536"/>
      <c r="AP11" s="535">
        <f>SUM('C078'!$C$95:$C$96)</f>
        <v>0</v>
      </c>
      <c r="AQ11" s="543"/>
      <c r="AR11" s="544">
        <f t="shared" si="0"/>
        <v>146971</v>
      </c>
      <c r="AT11" s="545">
        <f t="shared" si="1"/>
        <v>0</v>
      </c>
      <c r="AV11" s="546"/>
    </row>
    <row r="12" spans="2:48">
      <c r="B12" s="531">
        <v>2400</v>
      </c>
      <c r="C12" s="535">
        <f>SUM('C06'!$C$120:$C$121)</f>
        <v>176969</v>
      </c>
      <c r="D12" s="536"/>
      <c r="E12" s="535">
        <f>SUM('C07'!$C$113:$C$114)</f>
        <v>2100</v>
      </c>
      <c r="F12" s="537"/>
      <c r="G12" s="535">
        <f>SUM('C08'!$C$125:$C$126)</f>
        <v>0</v>
      </c>
      <c r="H12" s="536"/>
      <c r="I12" s="542"/>
      <c r="J12" s="547"/>
      <c r="K12" s="535">
        <f>SUM('C011'!$C$98:$C$99)</f>
        <v>0</v>
      </c>
      <c r="L12" s="536"/>
      <c r="M12" s="538">
        <f>SUM('C012'!$C$90:$C$91)</f>
        <v>0</v>
      </c>
      <c r="N12" s="536"/>
      <c r="O12" s="538">
        <f>SUM('C013'!$C$98:$C$99)</f>
        <v>0</v>
      </c>
      <c r="P12" s="536"/>
      <c r="Q12" s="539">
        <f>SUM('C014'!$C$94:$C$95)</f>
        <v>0</v>
      </c>
      <c r="R12" s="536"/>
      <c r="S12" s="539">
        <f>SUM('C015'!$C$94:$C$95)</f>
        <v>0</v>
      </c>
      <c r="T12" s="536"/>
      <c r="U12" s="540"/>
      <c r="V12" s="541"/>
      <c r="W12" s="535">
        <f>SUM('C018'!$C$94:$C$95)</f>
        <v>0</v>
      </c>
      <c r="X12" s="536"/>
      <c r="Y12" s="535">
        <f>SUM('C022'!$C$94:$C$95)</f>
        <v>0</v>
      </c>
      <c r="Z12" s="536"/>
      <c r="AA12" s="542"/>
      <c r="AB12" s="542"/>
      <c r="AC12" s="542"/>
      <c r="AD12" s="542"/>
      <c r="AE12" s="542"/>
      <c r="AF12" s="542"/>
      <c r="AG12" s="535">
        <f>SUM('C029'!$C$98:$C$99)</f>
        <v>0</v>
      </c>
      <c r="AH12" s="543"/>
      <c r="AI12" s="535">
        <f>SUM('C030'!$C$118:$C$119)</f>
        <v>0</v>
      </c>
      <c r="AJ12" s="536"/>
      <c r="AK12" s="535">
        <f>SUM('C034'!$C$104:$C$105)</f>
        <v>0</v>
      </c>
      <c r="AL12" s="536"/>
      <c r="AM12" s="535">
        <f>SUM('C035'!$C$124:$C$125)</f>
        <v>0</v>
      </c>
      <c r="AN12" s="536"/>
      <c r="AO12" s="536"/>
      <c r="AP12" s="535">
        <f>SUM('C078'!$C$109:$C$110)</f>
        <v>0</v>
      </c>
      <c r="AQ12" s="543"/>
      <c r="AR12" s="544">
        <f t="shared" si="0"/>
        <v>179069</v>
      </c>
      <c r="AT12" s="545">
        <f t="shared" si="1"/>
        <v>0</v>
      </c>
      <c r="AV12" s="546"/>
    </row>
    <row r="13" spans="2:48">
      <c r="B13" s="531">
        <v>2500</v>
      </c>
      <c r="C13" s="535">
        <f>SUM('C06'!$C$136:$C$137)</f>
        <v>33878</v>
      </c>
      <c r="D13" s="536"/>
      <c r="E13" s="535">
        <f>SUM('C07'!$C$129:$C$130)</f>
        <v>0</v>
      </c>
      <c r="F13" s="537"/>
      <c r="G13" s="535">
        <f>SUM('C08'!$C$141:$C$142)</f>
        <v>0</v>
      </c>
      <c r="H13" s="536"/>
      <c r="I13" s="542"/>
      <c r="J13" s="547"/>
      <c r="K13" s="535">
        <f>SUM('C011'!$C$111:$C$112)</f>
        <v>0</v>
      </c>
      <c r="L13" s="536"/>
      <c r="M13" s="542"/>
      <c r="N13" s="547"/>
      <c r="O13" s="535">
        <f>SUM('C013'!$C$111:$C$112)</f>
        <v>0</v>
      </c>
      <c r="P13" s="536"/>
      <c r="Q13" s="539">
        <f>SUM('C014'!$C$107:$C$108)</f>
        <v>0</v>
      </c>
      <c r="R13" s="536"/>
      <c r="S13" s="539">
        <f>SUM('C015'!$C$107:$C$108)</f>
        <v>0</v>
      </c>
      <c r="T13" s="536"/>
      <c r="U13" s="535">
        <f>SUM('C016'!$C$78)</f>
        <v>0</v>
      </c>
      <c r="V13" s="543"/>
      <c r="W13" s="535">
        <f>SUM('C018'!$C$107:$C$108)</f>
        <v>0</v>
      </c>
      <c r="X13" s="536"/>
      <c r="Y13" s="535">
        <f>SUM('C022'!$C$107:$C$108)</f>
        <v>0</v>
      </c>
      <c r="Z13" s="536"/>
      <c r="AA13" s="542"/>
      <c r="AB13" s="542"/>
      <c r="AC13" s="535">
        <f>SUM('C026'!$C$56:$C$57)</f>
        <v>0</v>
      </c>
      <c r="AD13" s="536"/>
      <c r="AE13" s="535">
        <f>SUM('C028'!$C$76:$C$77)</f>
        <v>0</v>
      </c>
      <c r="AF13" s="536"/>
      <c r="AG13" s="535">
        <f>SUM('C029'!$C$142:$C$143)</f>
        <v>0</v>
      </c>
      <c r="AH13" s="543"/>
      <c r="AI13" s="535">
        <f>SUM('C030'!$C$131:$C$132)</f>
        <v>0</v>
      </c>
      <c r="AJ13" s="536"/>
      <c r="AK13" s="535">
        <f>SUM('C034'!$C$117:$C$118)</f>
        <v>0</v>
      </c>
      <c r="AL13" s="536"/>
      <c r="AM13" s="535">
        <f>SUM('C035'!$C$140:$C$141)</f>
        <v>0</v>
      </c>
      <c r="AN13" s="536"/>
      <c r="AO13" s="536"/>
      <c r="AP13" s="535">
        <f>SUM('C078'!$C$122:$C$123)</f>
        <v>0</v>
      </c>
      <c r="AQ13" s="543"/>
      <c r="AR13" s="544">
        <f t="shared" si="0"/>
        <v>33878</v>
      </c>
      <c r="AT13" s="545">
        <f t="shared" si="1"/>
        <v>0</v>
      </c>
      <c r="AV13" s="546"/>
    </row>
    <row r="14" spans="2:48">
      <c r="B14" s="531">
        <v>2600</v>
      </c>
      <c r="C14" s="535">
        <f>SUM('C06'!$C$150,'C06'!$C$178)</f>
        <v>200148</v>
      </c>
      <c r="D14" s="536"/>
      <c r="E14" s="535">
        <f>'C07'!$C$143</f>
        <v>0</v>
      </c>
      <c r="F14" s="537"/>
      <c r="G14" s="535">
        <f>SUM('C08'!$C$183,'C08'!$C$155)</f>
        <v>0</v>
      </c>
      <c r="H14" s="536"/>
      <c r="I14" s="535">
        <f>SUM('C010'!$C$134)</f>
        <v>0</v>
      </c>
      <c r="J14" s="536"/>
      <c r="K14" s="535">
        <f>SUM('C011'!$C$125)</f>
        <v>0</v>
      </c>
      <c r="L14" s="536"/>
      <c r="M14" s="538">
        <f>SUM('C012'!$C$103)</f>
        <v>0</v>
      </c>
      <c r="N14" s="536"/>
      <c r="O14" s="538">
        <f>SUM('C013'!$C$125)</f>
        <v>0</v>
      </c>
      <c r="P14" s="536"/>
      <c r="Q14" s="539">
        <f>SUM('C014'!$C$121)</f>
        <v>0</v>
      </c>
      <c r="R14" s="536"/>
      <c r="S14" s="538">
        <f>SUM('C015'!$C$121)</f>
        <v>0</v>
      </c>
      <c r="T14" s="549"/>
      <c r="U14" s="535">
        <f>SUM('C016'!$C$87)</f>
        <v>35236</v>
      </c>
      <c r="V14" s="543"/>
      <c r="W14" s="535">
        <f>SUM('C018'!$C$121,'C018'!$C$141)</f>
        <v>0</v>
      </c>
      <c r="X14" s="536"/>
      <c r="Y14" s="535">
        <f>SUM('C022'!$C$121)</f>
        <v>0</v>
      </c>
      <c r="Z14" s="536"/>
      <c r="AA14" s="535">
        <f>SUM('C024'!$C$48)</f>
        <v>0</v>
      </c>
      <c r="AB14" s="536"/>
      <c r="AC14" s="542"/>
      <c r="AD14" s="542"/>
      <c r="AE14" s="542"/>
      <c r="AF14" s="542"/>
      <c r="AG14" s="535">
        <f>SUM('C029'!$C$114)</f>
        <v>0</v>
      </c>
      <c r="AH14" s="543"/>
      <c r="AI14" s="535">
        <f>SUM('C030'!$C$145)</f>
        <v>0</v>
      </c>
      <c r="AJ14" s="536"/>
      <c r="AK14" s="535">
        <f>SUM('C034'!$C$131)</f>
        <v>0</v>
      </c>
      <c r="AL14" s="536"/>
      <c r="AM14" s="535">
        <f>SUM('C035'!$C$154)</f>
        <v>0</v>
      </c>
      <c r="AN14" s="536"/>
      <c r="AO14" s="536"/>
      <c r="AP14" s="535">
        <f>SUM('C078'!$C$136)</f>
        <v>0</v>
      </c>
      <c r="AQ14" s="543"/>
      <c r="AR14" s="544">
        <f t="shared" si="0"/>
        <v>200148</v>
      </c>
      <c r="AT14" s="545">
        <f t="shared" si="1"/>
        <v>0</v>
      </c>
      <c r="AV14" s="546"/>
    </row>
    <row r="15" spans="2:48">
      <c r="B15" s="531">
        <v>2700</v>
      </c>
      <c r="C15" s="535">
        <f>SUM('C06'!$C$199,'C06'!$C$209,'C06'!$C$224,'C06'!$C$237)</f>
        <v>118402</v>
      </c>
      <c r="D15" s="536"/>
      <c r="E15" s="535">
        <f>'C07'!$C$172</f>
        <v>0</v>
      </c>
      <c r="F15" s="537"/>
      <c r="G15" s="535">
        <f>SUM('C08'!$C$204,'C08'!$C$214,'C08'!$C$229,'C08'!$C$242)</f>
        <v>0</v>
      </c>
      <c r="H15" s="536"/>
      <c r="I15" s="542"/>
      <c r="J15" s="547"/>
      <c r="K15" s="535">
        <f>SUM('C011'!$C$149)</f>
        <v>0</v>
      </c>
      <c r="L15" s="536"/>
      <c r="M15" s="542"/>
      <c r="N15" s="542"/>
      <c r="O15" s="535">
        <f>SUM('C013'!$C$149)</f>
        <v>0</v>
      </c>
      <c r="P15" s="536"/>
      <c r="Q15" s="539">
        <f>SUM('C014'!$C$145)</f>
        <v>0</v>
      </c>
      <c r="R15" s="536"/>
      <c r="S15" s="550"/>
      <c r="T15" s="550"/>
      <c r="U15" s="535">
        <f>SUM('C016'!$C$109)</f>
        <v>38748</v>
      </c>
      <c r="V15" s="551"/>
      <c r="W15" s="542"/>
      <c r="X15" s="547"/>
      <c r="Y15" s="542"/>
      <c r="Z15" s="547"/>
      <c r="AA15" s="542"/>
      <c r="AB15" s="542"/>
      <c r="AC15" s="542"/>
      <c r="AD15" s="542"/>
      <c r="AE15" s="542"/>
      <c r="AF15" s="542"/>
      <c r="AG15" s="542"/>
      <c r="AH15" s="542"/>
      <c r="AI15" s="535">
        <f>SUM('C030'!$C$171,'C030'!$C$182,'C030'!$C$202,'C030'!$C$214)</f>
        <v>33463</v>
      </c>
      <c r="AJ15" s="536"/>
      <c r="AK15" s="535">
        <f>SUM('C034'!$C$155)</f>
        <v>0</v>
      </c>
      <c r="AL15" s="551"/>
      <c r="AM15" s="535">
        <f>SUM('C035'!$C$183)</f>
        <v>0</v>
      </c>
      <c r="AN15" s="536"/>
      <c r="AO15" s="542"/>
      <c r="AP15" s="535">
        <f>SUM('C078'!$C$162,'C078'!$C$173,'C078'!$C$193,'C078'!$C$205)</f>
        <v>0</v>
      </c>
      <c r="AQ15" s="543"/>
      <c r="AR15" s="544">
        <f t="shared" si="0"/>
        <v>151865</v>
      </c>
      <c r="AT15" s="545">
        <f t="shared" si="1"/>
        <v>0</v>
      </c>
      <c r="AV15" s="546"/>
    </row>
    <row r="16" spans="2:48">
      <c r="B16" s="531">
        <v>2900</v>
      </c>
      <c r="C16" s="535">
        <f>SUM('C06'!$C$250:$C$251)</f>
        <v>0</v>
      </c>
      <c r="D16" s="536"/>
      <c r="E16" s="535">
        <f>SUM('C07'!$C$187:$C$188)</f>
        <v>0</v>
      </c>
      <c r="F16" s="537"/>
      <c r="G16" s="535">
        <f>SUM('C08'!$C$255:$C$256)</f>
        <v>0</v>
      </c>
      <c r="H16" s="536"/>
      <c r="I16" s="548"/>
      <c r="J16" s="541"/>
      <c r="K16" s="535">
        <f>SUM('C011'!$C$154:$C$155)</f>
        <v>0</v>
      </c>
      <c r="L16" s="536"/>
      <c r="M16" s="548"/>
      <c r="N16" s="548"/>
      <c r="O16" s="535">
        <f>SUM('C013'!$C$154:$C$155)</f>
        <v>0</v>
      </c>
      <c r="P16" s="536"/>
      <c r="Q16" s="539">
        <f>SUM('C014'!$C$150:$C$151)</f>
        <v>0</v>
      </c>
      <c r="R16" s="536"/>
      <c r="S16" s="539">
        <f>SUM('C015'!$C$146:$C$147)</f>
        <v>0</v>
      </c>
      <c r="T16" s="536"/>
      <c r="U16" s="540"/>
      <c r="V16" s="541"/>
      <c r="W16" s="535">
        <f>SUM('C018'!$C$154:$C$155)</f>
        <v>0</v>
      </c>
      <c r="X16" s="536"/>
      <c r="Y16" s="535">
        <f>SUM('C022'!$C$146:$C$147)</f>
        <v>0</v>
      </c>
      <c r="Z16" s="536"/>
      <c r="AA16" s="548"/>
      <c r="AB16" s="548"/>
      <c r="AC16" s="535">
        <f>SUM('C026'!$C$70:$C$71)</f>
        <v>0</v>
      </c>
      <c r="AD16" s="536"/>
      <c r="AE16" s="552">
        <f>SUM('C028'!$C$90:$C$91)</f>
        <v>0</v>
      </c>
      <c r="AF16" s="536"/>
      <c r="AG16" s="553">
        <f>SUM('C029'!$C$156:$C$157)</f>
        <v>0</v>
      </c>
      <c r="AH16" s="543"/>
      <c r="AI16" s="535">
        <f>SUM('C030'!$C$227:$C$228)</f>
        <v>0</v>
      </c>
      <c r="AJ16" s="536"/>
      <c r="AK16" s="535">
        <f>SUM('C034'!$C$161:$C$162)</f>
        <v>0</v>
      </c>
      <c r="AL16" s="536"/>
      <c r="AM16" s="535">
        <f>SUM('C028'!$C$90:$C$91)</f>
        <v>0</v>
      </c>
      <c r="AN16" s="536"/>
      <c r="AO16" s="536"/>
      <c r="AP16" s="535">
        <f>SUM('C078'!$C$218:$C$219)</f>
        <v>0</v>
      </c>
      <c r="AQ16" s="543"/>
      <c r="AR16" s="544">
        <f t="shared" si="0"/>
        <v>0</v>
      </c>
      <c r="AT16" s="545">
        <f t="shared" si="1"/>
        <v>0</v>
      </c>
      <c r="AV16" s="546"/>
    </row>
    <row r="17" spans="2:48">
      <c r="B17" s="531">
        <v>3000</v>
      </c>
      <c r="C17" s="554"/>
      <c r="D17" s="554"/>
      <c r="E17" s="555">
        <f>SUM('C07'!$C$202:$C$203)</f>
        <v>0</v>
      </c>
      <c r="F17" s="556"/>
      <c r="G17" s="554"/>
      <c r="H17" s="554"/>
      <c r="I17" s="554"/>
      <c r="J17" s="554"/>
      <c r="K17" s="554"/>
      <c r="L17" s="554"/>
      <c r="M17" s="554"/>
      <c r="N17" s="554"/>
      <c r="O17" s="554"/>
      <c r="P17" s="557"/>
      <c r="Q17" s="554"/>
      <c r="R17" s="554"/>
      <c r="S17" s="554"/>
      <c r="T17" s="554"/>
      <c r="U17" s="554"/>
      <c r="V17" s="554"/>
      <c r="W17" s="554"/>
      <c r="X17" s="557"/>
      <c r="Y17" s="554"/>
      <c r="Z17" s="554"/>
      <c r="AA17" s="558">
        <f>SUM('C024'!$C$70:$C$71)</f>
        <v>131940</v>
      </c>
      <c r="AB17" s="559"/>
      <c r="AC17" s="554"/>
      <c r="AD17" s="554"/>
      <c r="AE17" s="554"/>
      <c r="AF17" s="554"/>
      <c r="AG17" s="554"/>
      <c r="AH17" s="554"/>
      <c r="AI17" s="554"/>
      <c r="AJ17" s="554"/>
      <c r="AK17" s="554"/>
      <c r="AL17" s="554"/>
      <c r="AM17" s="560"/>
      <c r="AN17" s="561"/>
      <c r="AO17" s="554"/>
      <c r="AP17" s="554"/>
      <c r="AQ17" s="557"/>
      <c r="AR17" s="544">
        <f t="shared" si="0"/>
        <v>131940</v>
      </c>
      <c r="AT17" s="545">
        <f t="shared" si="1"/>
        <v>0</v>
      </c>
      <c r="AV17" s="546"/>
    </row>
    <row r="18" spans="2:48">
      <c r="B18" s="562"/>
      <c r="C18" s="563">
        <f>SUM(C8:C17)</f>
        <v>2185776</v>
      </c>
      <c r="D18" s="564">
        <f t="shared" ref="D18:AR18" si="2">SUM(D8:D17)</f>
        <v>0</v>
      </c>
      <c r="E18" s="563">
        <f t="shared" si="2"/>
        <v>90383</v>
      </c>
      <c r="F18" s="564">
        <f t="shared" si="2"/>
        <v>0</v>
      </c>
      <c r="G18" s="563">
        <f t="shared" si="2"/>
        <v>213698</v>
      </c>
      <c r="H18" s="564">
        <f t="shared" si="2"/>
        <v>0</v>
      </c>
      <c r="I18" s="563">
        <f t="shared" si="2"/>
        <v>0</v>
      </c>
      <c r="J18" s="564">
        <f t="shared" si="2"/>
        <v>0</v>
      </c>
      <c r="K18" s="563">
        <f t="shared" si="2"/>
        <v>0</v>
      </c>
      <c r="L18" s="564">
        <f t="shared" si="2"/>
        <v>0</v>
      </c>
      <c r="M18" s="563">
        <f t="shared" si="2"/>
        <v>0</v>
      </c>
      <c r="N18" s="564">
        <f t="shared" si="2"/>
        <v>0</v>
      </c>
      <c r="O18" s="563">
        <f t="shared" si="2"/>
        <v>345455</v>
      </c>
      <c r="P18" s="564">
        <f t="shared" si="2"/>
        <v>0</v>
      </c>
      <c r="Q18" s="563">
        <f t="shared" si="2"/>
        <v>0</v>
      </c>
      <c r="R18" s="564">
        <f t="shared" si="2"/>
        <v>0</v>
      </c>
      <c r="S18" s="563">
        <f t="shared" si="2"/>
        <v>0</v>
      </c>
      <c r="T18" s="564">
        <f t="shared" si="2"/>
        <v>0</v>
      </c>
      <c r="U18" s="563">
        <f t="shared" si="2"/>
        <v>73984</v>
      </c>
      <c r="V18" s="564">
        <f t="shared" si="2"/>
        <v>0</v>
      </c>
      <c r="W18" s="563">
        <f t="shared" si="2"/>
        <v>5131</v>
      </c>
      <c r="X18" s="564">
        <f t="shared" si="2"/>
        <v>0</v>
      </c>
      <c r="Y18" s="563">
        <f t="shared" si="2"/>
        <v>0</v>
      </c>
      <c r="Z18" s="564">
        <f t="shared" si="2"/>
        <v>0</v>
      </c>
      <c r="AA18" s="563">
        <f t="shared" si="2"/>
        <v>131940</v>
      </c>
      <c r="AB18" s="564">
        <f t="shared" si="2"/>
        <v>0</v>
      </c>
      <c r="AC18" s="563">
        <f t="shared" si="2"/>
        <v>9884</v>
      </c>
      <c r="AD18" s="564">
        <f t="shared" si="2"/>
        <v>0</v>
      </c>
      <c r="AE18" s="563">
        <f t="shared" si="2"/>
        <v>32418</v>
      </c>
      <c r="AF18" s="564">
        <f t="shared" si="2"/>
        <v>0</v>
      </c>
      <c r="AG18" s="563">
        <f t="shared" si="2"/>
        <v>0</v>
      </c>
      <c r="AH18" s="564">
        <f t="shared" si="2"/>
        <v>0</v>
      </c>
      <c r="AI18" s="563">
        <f t="shared" si="2"/>
        <v>124962</v>
      </c>
      <c r="AJ18" s="564">
        <f t="shared" si="2"/>
        <v>0</v>
      </c>
      <c r="AK18" s="563">
        <f t="shared" si="2"/>
        <v>137138</v>
      </c>
      <c r="AL18" s="564">
        <f t="shared" si="2"/>
        <v>0</v>
      </c>
      <c r="AM18" s="563">
        <f t="shared" si="2"/>
        <v>0</v>
      </c>
      <c r="AN18" s="564">
        <f t="shared" si="2"/>
        <v>0</v>
      </c>
      <c r="AO18" s="564">
        <f t="shared" si="2"/>
        <v>0</v>
      </c>
      <c r="AP18" s="563">
        <f t="shared" si="2"/>
        <v>0</v>
      </c>
      <c r="AQ18" s="564">
        <f t="shared" si="2"/>
        <v>0</v>
      </c>
      <c r="AR18" s="563">
        <f t="shared" si="2"/>
        <v>3276785</v>
      </c>
      <c r="AT18" s="565">
        <f t="shared" si="1"/>
        <v>0</v>
      </c>
      <c r="AV18" s="546"/>
    </row>
    <row r="19" spans="2:48">
      <c r="B19" s="522" t="str">
        <f>CONCATENATE(MID(OpenData!$O$4,1,5),MID(OpenData!$O$4,8,2))</f>
        <v>2020-21</v>
      </c>
    </row>
    <row r="20" spans="2:48" ht="15.6">
      <c r="B20" s="529" t="str">
        <f>"Middle Column:  (" &amp; OpenData!$O$4 &amp; ")"</f>
        <v>Middle Column:  (2020-2021)</v>
      </c>
      <c r="AR20" s="531" t="s">
        <v>1667</v>
      </c>
      <c r="AT20" s="530" t="s">
        <v>1668</v>
      </c>
    </row>
    <row r="21" spans="2:48">
      <c r="B21" s="531"/>
      <c r="C21" s="531" t="s">
        <v>91</v>
      </c>
      <c r="D21" s="531"/>
      <c r="E21" s="531" t="s">
        <v>92</v>
      </c>
      <c r="F21" s="533"/>
      <c r="G21" s="531" t="s">
        <v>93</v>
      </c>
      <c r="H21" s="531"/>
      <c r="I21" s="531" t="s">
        <v>94</v>
      </c>
      <c r="J21" s="531"/>
      <c r="K21" s="531" t="s">
        <v>95</v>
      </c>
      <c r="L21" s="531"/>
      <c r="M21" s="531" t="s">
        <v>96</v>
      </c>
      <c r="N21" s="531"/>
      <c r="O21" s="531" t="s">
        <v>97</v>
      </c>
      <c r="P21" s="531"/>
      <c r="Q21" s="531" t="s">
        <v>98</v>
      </c>
      <c r="R21" s="531"/>
      <c r="S21" s="531" t="s">
        <v>470</v>
      </c>
      <c r="T21" s="531"/>
      <c r="U21" s="534" t="s">
        <v>1372</v>
      </c>
      <c r="V21" s="531"/>
      <c r="W21" s="531" t="s">
        <v>99</v>
      </c>
      <c r="X21" s="531"/>
      <c r="Y21" s="531" t="s">
        <v>100</v>
      </c>
      <c r="Z21" s="531"/>
      <c r="AA21" s="531" t="s">
        <v>101</v>
      </c>
      <c r="AB21" s="531"/>
      <c r="AC21" s="531" t="s">
        <v>102</v>
      </c>
      <c r="AD21" s="531"/>
      <c r="AE21" s="531" t="s">
        <v>103</v>
      </c>
      <c r="AF21" s="531"/>
      <c r="AG21" s="531" t="s">
        <v>104</v>
      </c>
      <c r="AH21" s="531"/>
      <c r="AI21" s="531" t="s">
        <v>105</v>
      </c>
      <c r="AJ21" s="531"/>
      <c r="AK21" s="531" t="s">
        <v>106</v>
      </c>
      <c r="AL21" s="531"/>
      <c r="AM21" s="531" t="s">
        <v>107</v>
      </c>
      <c r="AN21" s="531"/>
      <c r="AO21" s="531"/>
      <c r="AP21" s="531" t="s">
        <v>108</v>
      </c>
      <c r="AQ21" s="531"/>
      <c r="AR21" s="531" t="s">
        <v>1669</v>
      </c>
      <c r="AT21" s="530" t="s">
        <v>1669</v>
      </c>
    </row>
    <row r="22" spans="2:48">
      <c r="B22" s="531">
        <v>1000</v>
      </c>
      <c r="C22" s="535">
        <f>SUM('C06'!$D$48:$D$49)</f>
        <v>1456684</v>
      </c>
      <c r="D22" s="536"/>
      <c r="E22" s="535">
        <f>SUM('C07'!$D$41:$D$42)</f>
        <v>90874</v>
      </c>
      <c r="F22" s="537"/>
      <c r="G22" s="535">
        <f>SUM('C08'!$D$53:$D$54)</f>
        <v>146000</v>
      </c>
      <c r="H22" s="543"/>
      <c r="I22" s="535">
        <f>SUM('C010'!$D$68:$D$69)</f>
        <v>0</v>
      </c>
      <c r="J22" s="536"/>
      <c r="K22" s="535">
        <f>SUM('C011'!$D$44:$D$45)</f>
        <v>0</v>
      </c>
      <c r="L22" s="543"/>
      <c r="M22" s="535">
        <f>SUM('C012'!$D$40:$D$41)</f>
        <v>0</v>
      </c>
      <c r="N22" s="536"/>
      <c r="O22" s="535">
        <f>SUM('C013'!$D$44:$D$45)</f>
        <v>313621</v>
      </c>
      <c r="P22" s="536"/>
      <c r="Q22" s="535">
        <f>SUM('C014'!$D$39:$D$40)</f>
        <v>1000</v>
      </c>
      <c r="R22" s="536"/>
      <c r="S22" s="535">
        <f>SUM('C015'!$D$40:$D$41)</f>
        <v>0</v>
      </c>
      <c r="T22" s="536"/>
      <c r="U22" s="540"/>
      <c r="V22" s="541"/>
      <c r="W22" s="535">
        <f>SUM('C018'!$D$40:$D$41)</f>
        <v>5619</v>
      </c>
      <c r="X22" s="536"/>
      <c r="Y22" s="535">
        <f>SUM('C022'!$D$39:$D$40)</f>
        <v>0</v>
      </c>
      <c r="Z22" s="536"/>
      <c r="AA22" s="542"/>
      <c r="AB22" s="542"/>
      <c r="AC22" s="542"/>
      <c r="AD22" s="542"/>
      <c r="AE22" s="542"/>
      <c r="AF22" s="542"/>
      <c r="AG22" s="535">
        <f>SUM('C029'!$D$43:$D$44)</f>
        <v>0</v>
      </c>
      <c r="AH22" s="543"/>
      <c r="AI22" s="535">
        <f>SUM('C030'!$D$47:$D$48)</f>
        <v>77752</v>
      </c>
      <c r="AJ22" s="536"/>
      <c r="AK22" s="535">
        <f>SUM('C034'!$D$51:$D$52)</f>
        <v>139267</v>
      </c>
      <c r="AL22" s="536"/>
      <c r="AM22" s="535">
        <f>SUM('C035'!$D$52:$D$53)</f>
        <v>0</v>
      </c>
      <c r="AN22" s="536"/>
      <c r="AO22" s="536"/>
      <c r="AP22" s="535">
        <f>SUM('C078'!$D$40:$D$41)</f>
        <v>0</v>
      </c>
      <c r="AQ22" s="543"/>
      <c r="AR22" s="544">
        <f t="shared" ref="AR22:AR31" si="3">SUM(AP22,AM22,AK22,AI22,AG22,AE22,AC22,AA22,Y22,W22,S22,Q22,O22,M22,K22,I22,G22,E22,C22)</f>
        <v>2230817</v>
      </c>
      <c r="AT22" s="545">
        <f t="shared" ref="AT22:AT32" si="4">SUM(AQ22,AO22,AN22,AL22,AJ22,AH22,AF22,AD22,AB22,Z22,X22,T22,R22,P22,N22,L22,J22,H22,F22,D22)</f>
        <v>0</v>
      </c>
      <c r="AV22" s="546"/>
    </row>
    <row r="23" spans="2:48">
      <c r="B23" s="531">
        <v>2100</v>
      </c>
      <c r="C23" s="535">
        <f>SUM('C06'!$D$72:$D$73)</f>
        <v>41968</v>
      </c>
      <c r="D23" s="536"/>
      <c r="E23" s="535">
        <f>SUM('C07'!$D$65:$D$66)</f>
        <v>0</v>
      </c>
      <c r="F23" s="537"/>
      <c r="G23" s="535">
        <f>SUM('C08'!$D$77:$D$78)</f>
        <v>0</v>
      </c>
      <c r="H23" s="543"/>
      <c r="I23" s="535">
        <f>SUM('C010'!$D$89:$D$90)</f>
        <v>0</v>
      </c>
      <c r="J23" s="536"/>
      <c r="K23" s="535">
        <f>SUM('C011'!$D$67:$D$68)</f>
        <v>0</v>
      </c>
      <c r="L23" s="543"/>
      <c r="M23" s="535">
        <f>SUM('C012'!$D$62:$D$63)</f>
        <v>0</v>
      </c>
      <c r="N23" s="536"/>
      <c r="O23" s="535">
        <f>SUM('C013'!$D$67:$D$68)</f>
        <v>0</v>
      </c>
      <c r="P23" s="536"/>
      <c r="Q23" s="535">
        <f>SUM('C014'!$D$63:$D$64)</f>
        <v>0</v>
      </c>
      <c r="R23" s="536"/>
      <c r="S23" s="535">
        <f>SUM('C015'!$D$63:$D$64)</f>
        <v>0</v>
      </c>
      <c r="T23" s="536"/>
      <c r="U23" s="540"/>
      <c r="V23" s="541"/>
      <c r="W23" s="535">
        <f>SUM('C018'!$D$63:$D$64)</f>
        <v>0</v>
      </c>
      <c r="X23" s="536"/>
      <c r="Y23" s="535">
        <f>SUM('C022'!$D$63:$D$64)</f>
        <v>0</v>
      </c>
      <c r="Z23" s="536"/>
      <c r="AA23" s="542"/>
      <c r="AB23" s="542"/>
      <c r="AC23" s="542"/>
      <c r="AD23" s="542"/>
      <c r="AE23" s="535">
        <f>SUM('C028'!$D$42:$D$43)</f>
        <v>32211</v>
      </c>
      <c r="AF23" s="536"/>
      <c r="AG23" s="535">
        <f>SUM('C029'!$D$67:$D$68)</f>
        <v>0</v>
      </c>
      <c r="AH23" s="543"/>
      <c r="AI23" s="535">
        <f>SUM('C030'!$D$72:$D$73)</f>
        <v>1616</v>
      </c>
      <c r="AJ23" s="536"/>
      <c r="AK23" s="535">
        <f>SUM('C034'!$D$73:$D$74)</f>
        <v>0</v>
      </c>
      <c r="AL23" s="536"/>
      <c r="AM23" s="535">
        <f>SUM('C035'!$D$76:$D$77)</f>
        <v>0</v>
      </c>
      <c r="AN23" s="536"/>
      <c r="AO23" s="536"/>
      <c r="AP23" s="535">
        <f>SUM('C078'!$D$63:$D$64)</f>
        <v>0</v>
      </c>
      <c r="AQ23" s="543"/>
      <c r="AR23" s="544">
        <f t="shared" si="3"/>
        <v>75795</v>
      </c>
      <c r="AT23" s="545">
        <f t="shared" si="4"/>
        <v>0</v>
      </c>
      <c r="AV23" s="546"/>
    </row>
    <row r="24" spans="2:48">
      <c r="B24" s="531">
        <v>2200</v>
      </c>
      <c r="C24" s="535">
        <f>SUM('C06'!$D$86:$D$87)</f>
        <v>86708</v>
      </c>
      <c r="D24" s="536"/>
      <c r="E24" s="535">
        <f>SUM('C07'!$D$79:$D$80)</f>
        <v>0</v>
      </c>
      <c r="F24" s="537"/>
      <c r="G24" s="535">
        <f>SUM('C08'!$D$91:$D$92)</f>
        <v>23315</v>
      </c>
      <c r="H24" s="543"/>
      <c r="I24" s="535">
        <f>SUM('C010'!$D$103:$D$104)</f>
        <v>0</v>
      </c>
      <c r="J24" s="536"/>
      <c r="K24" s="535">
        <f>SUM('C011'!$D$81:$D$82)</f>
        <v>0</v>
      </c>
      <c r="L24" s="543"/>
      <c r="M24" s="535">
        <f>SUM('C012'!$D$76:$D$77)</f>
        <v>0</v>
      </c>
      <c r="N24" s="536"/>
      <c r="O24" s="535">
        <f>SUM('C013'!$D$81:$D$82)</f>
        <v>20976</v>
      </c>
      <c r="P24" s="536"/>
      <c r="Q24" s="535">
        <f>SUM('C014'!$D$77:$D$78)</f>
        <v>0</v>
      </c>
      <c r="R24" s="536"/>
      <c r="S24" s="535">
        <f>SUM('C015'!$D$77:$D$78)</f>
        <v>0</v>
      </c>
      <c r="T24" s="536"/>
      <c r="U24" s="540"/>
      <c r="V24" s="541"/>
      <c r="W24" s="535">
        <f>SUM('C018'!$D$77:$D$78)</f>
        <v>0</v>
      </c>
      <c r="X24" s="536"/>
      <c r="Y24" s="535">
        <f>SUM('C022'!$D$77:$D$78)</f>
        <v>0</v>
      </c>
      <c r="Z24" s="536"/>
      <c r="AA24" s="542"/>
      <c r="AB24" s="542"/>
      <c r="AC24" s="535">
        <f>SUM('C026'!$D$39:$D$40)</f>
        <v>6447</v>
      </c>
      <c r="AD24" s="536"/>
      <c r="AE24" s="535">
        <f>SUM('C028'!$D$62:$D$63)</f>
        <v>0</v>
      </c>
      <c r="AF24" s="536"/>
      <c r="AG24" s="535">
        <f>SUM('C029'!$D$81:$D$82)</f>
        <v>0</v>
      </c>
      <c r="AH24" s="543"/>
      <c r="AI24" s="535">
        <f>SUM('C030'!$D$86:$D$87)</f>
        <v>0</v>
      </c>
      <c r="AJ24" s="536"/>
      <c r="AK24" s="535">
        <f>SUM('C034'!$D$87:$D$88)</f>
        <v>0</v>
      </c>
      <c r="AL24" s="536"/>
      <c r="AM24" s="535">
        <f>SUM('C035'!$D$90:$D$91)</f>
        <v>0</v>
      </c>
      <c r="AN24" s="536"/>
      <c r="AO24" s="536"/>
      <c r="AP24" s="535">
        <f>SUM('C078'!$D$77:$D$78)</f>
        <v>0</v>
      </c>
      <c r="AQ24" s="543"/>
      <c r="AR24" s="544">
        <f t="shared" si="3"/>
        <v>137446</v>
      </c>
      <c r="AT24" s="545">
        <f t="shared" si="4"/>
        <v>0</v>
      </c>
      <c r="AV24" s="546"/>
    </row>
    <row r="25" spans="2:48">
      <c r="B25" s="531">
        <v>2300</v>
      </c>
      <c r="C25" s="535">
        <f>SUM('C06'!$D$103:$D$104)</f>
        <v>168924</v>
      </c>
      <c r="D25" s="536"/>
      <c r="E25" s="535">
        <f>SUM('C07'!$D$96:$D$97)</f>
        <v>0</v>
      </c>
      <c r="F25" s="537"/>
      <c r="G25" s="535">
        <f>SUM('C08'!$D$108:$D$109)</f>
        <v>0</v>
      </c>
      <c r="H25" s="543"/>
      <c r="I25" s="535">
        <f>SUM('C010'!$D$120:$D$121)</f>
        <v>0</v>
      </c>
      <c r="J25" s="536"/>
      <c r="K25" s="542"/>
      <c r="L25" s="542"/>
      <c r="M25" s="542"/>
      <c r="N25" s="542"/>
      <c r="O25" s="542"/>
      <c r="P25" s="542"/>
      <c r="Q25" s="542"/>
      <c r="R25" s="542"/>
      <c r="S25" s="542"/>
      <c r="T25" s="542"/>
      <c r="U25" s="548"/>
      <c r="V25" s="548"/>
      <c r="W25" s="542"/>
      <c r="X25" s="542"/>
      <c r="Y25" s="542"/>
      <c r="Z25" s="542"/>
      <c r="AA25" s="542"/>
      <c r="AB25" s="542"/>
      <c r="AC25" s="542"/>
      <c r="AD25" s="542"/>
      <c r="AE25" s="542"/>
      <c r="AF25" s="542"/>
      <c r="AG25" s="542"/>
      <c r="AH25" s="542"/>
      <c r="AI25" s="535">
        <f>SUM('C030'!$D$104:$D$105)</f>
        <v>0</v>
      </c>
      <c r="AJ25" s="536"/>
      <c r="AK25" s="542"/>
      <c r="AL25" s="542"/>
      <c r="AM25" s="535">
        <f>SUM('C035'!$D$107:$D$108)</f>
        <v>0</v>
      </c>
      <c r="AN25" s="536"/>
      <c r="AO25" s="536"/>
      <c r="AP25" s="535">
        <f>SUM('C078'!$D$95:$D$96)</f>
        <v>0</v>
      </c>
      <c r="AQ25" s="543"/>
      <c r="AR25" s="544">
        <f t="shared" si="3"/>
        <v>168924</v>
      </c>
      <c r="AT25" s="545">
        <f t="shared" si="4"/>
        <v>0</v>
      </c>
      <c r="AV25" s="546"/>
    </row>
    <row r="26" spans="2:48">
      <c r="B26" s="531">
        <v>2400</v>
      </c>
      <c r="C26" s="535">
        <f>SUM('C06'!$D$120:$D$121)</f>
        <v>177597</v>
      </c>
      <c r="D26" s="536"/>
      <c r="E26" s="535">
        <f>SUM('C07'!$D$113:$D$114)</f>
        <v>3150</v>
      </c>
      <c r="F26" s="537"/>
      <c r="G26" s="535">
        <f>SUM('C08'!$D$125:$D$126)</f>
        <v>0</v>
      </c>
      <c r="H26" s="536"/>
      <c r="I26" s="542"/>
      <c r="J26" s="542"/>
      <c r="K26" s="535">
        <f>SUM('C011'!$D$98:$D$99)</f>
        <v>0</v>
      </c>
      <c r="L26" s="543"/>
      <c r="M26" s="535">
        <f>SUM('C012'!$D$90:$D$91)</f>
        <v>0</v>
      </c>
      <c r="N26" s="536"/>
      <c r="O26" s="535">
        <f>SUM('C013'!$D$98:$D$99)</f>
        <v>0</v>
      </c>
      <c r="P26" s="536"/>
      <c r="Q26" s="535">
        <f>SUM('C014'!$D$94:$D$95)</f>
        <v>0</v>
      </c>
      <c r="R26" s="536"/>
      <c r="S26" s="535">
        <f>SUM('C015'!$D$94:$D$95)</f>
        <v>0</v>
      </c>
      <c r="T26" s="536"/>
      <c r="U26" s="540"/>
      <c r="V26" s="541"/>
      <c r="W26" s="535">
        <f>SUM('C018'!$D$94:$D$95)</f>
        <v>0</v>
      </c>
      <c r="X26" s="536"/>
      <c r="Y26" s="535">
        <f>SUM('C022'!$D$94:$D$95)</f>
        <v>0</v>
      </c>
      <c r="Z26" s="536"/>
      <c r="AA26" s="542"/>
      <c r="AB26" s="542"/>
      <c r="AC26" s="542"/>
      <c r="AD26" s="542"/>
      <c r="AE26" s="542"/>
      <c r="AF26" s="542"/>
      <c r="AG26" s="535">
        <f>SUM('C029'!$D$98:$D$99)</f>
        <v>0</v>
      </c>
      <c r="AH26" s="543"/>
      <c r="AI26" s="535">
        <f>SUM('C030'!$D$118:$D$119)</f>
        <v>0</v>
      </c>
      <c r="AJ26" s="536"/>
      <c r="AK26" s="535">
        <f>SUM('C034'!$D$104:$D$105)</f>
        <v>0</v>
      </c>
      <c r="AL26" s="536"/>
      <c r="AM26" s="535">
        <f>SUM('C035'!$D$124:$D$125)</f>
        <v>0</v>
      </c>
      <c r="AN26" s="536"/>
      <c r="AO26" s="536"/>
      <c r="AP26" s="535">
        <f>SUM('C078'!$D$109:$D$110)</f>
        <v>0</v>
      </c>
      <c r="AQ26" s="543"/>
      <c r="AR26" s="544">
        <f t="shared" si="3"/>
        <v>180747</v>
      </c>
      <c r="AT26" s="545">
        <f t="shared" si="4"/>
        <v>0</v>
      </c>
      <c r="AV26" s="546"/>
    </row>
    <row r="27" spans="2:48">
      <c r="B27" s="531">
        <v>2500</v>
      </c>
      <c r="C27" s="535">
        <f>SUM('C06'!$D$136:$D$137)</f>
        <v>33907</v>
      </c>
      <c r="D27" s="536"/>
      <c r="E27" s="535">
        <f>SUM('C07'!$D$129:$D$130)</f>
        <v>0</v>
      </c>
      <c r="F27" s="537"/>
      <c r="G27" s="535">
        <f>SUM('C08'!$D$141:$D$142)</f>
        <v>0</v>
      </c>
      <c r="H27" s="536"/>
      <c r="I27" s="542"/>
      <c r="J27" s="542"/>
      <c r="K27" s="535">
        <f>SUM('C011'!$D$111:$D$112)</f>
        <v>0</v>
      </c>
      <c r="L27" s="536"/>
      <c r="M27" s="542"/>
      <c r="N27" s="542"/>
      <c r="O27" s="535">
        <f>SUM('C013'!$D$111:$D$112)</f>
        <v>0</v>
      </c>
      <c r="P27" s="536"/>
      <c r="Q27" s="535">
        <f>SUM('C014'!$D$107:$D$108)</f>
        <v>0</v>
      </c>
      <c r="R27" s="536"/>
      <c r="S27" s="535">
        <f>SUM('C015'!$D$107:$D$108)</f>
        <v>0</v>
      </c>
      <c r="T27" s="536"/>
      <c r="U27" s="535">
        <f>SUM('C016'!$D$78)</f>
        <v>0</v>
      </c>
      <c r="V27" s="543"/>
      <c r="W27" s="535">
        <f>SUM('C018'!$D$107:$D$108)</f>
        <v>0</v>
      </c>
      <c r="X27" s="536"/>
      <c r="Y27" s="535">
        <f>SUM('C022'!$D$107:$D$108)</f>
        <v>0</v>
      </c>
      <c r="Z27" s="536"/>
      <c r="AA27" s="542"/>
      <c r="AB27" s="542"/>
      <c r="AC27" s="535">
        <f>SUM('C026'!$D$56:$D$57)</f>
        <v>0</v>
      </c>
      <c r="AD27" s="536"/>
      <c r="AE27" s="535">
        <f>SUM('C028'!$D$76:$D$77)</f>
        <v>0</v>
      </c>
      <c r="AF27" s="536"/>
      <c r="AG27" s="535">
        <f>SUM('C029'!$D$142:$D$143)</f>
        <v>0</v>
      </c>
      <c r="AH27" s="543"/>
      <c r="AI27" s="535">
        <f>SUM('C030'!$D$131:$D$132)</f>
        <v>0</v>
      </c>
      <c r="AJ27" s="536"/>
      <c r="AK27" s="535">
        <f>SUM('C034'!$D$117:$D$118)</f>
        <v>0</v>
      </c>
      <c r="AL27" s="536"/>
      <c r="AM27" s="535">
        <f>SUM('C035'!$D$140:$D$141)</f>
        <v>0</v>
      </c>
      <c r="AN27" s="536"/>
      <c r="AO27" s="536"/>
      <c r="AP27" s="535">
        <f>SUM('C078'!$D$122:$D$123)</f>
        <v>0</v>
      </c>
      <c r="AQ27" s="543"/>
      <c r="AR27" s="544">
        <f t="shared" si="3"/>
        <v>33907</v>
      </c>
      <c r="AT27" s="545">
        <f t="shared" si="4"/>
        <v>0</v>
      </c>
      <c r="AV27" s="546"/>
    </row>
    <row r="28" spans="2:48">
      <c r="B28" s="531">
        <v>2600</v>
      </c>
      <c r="C28" s="535">
        <f>SUM('C06'!$D$150,'C06'!$D$178)</f>
        <v>185277</v>
      </c>
      <c r="D28" s="536"/>
      <c r="E28" s="535">
        <f>SUM('C07'!$D$143)</f>
        <v>0</v>
      </c>
      <c r="F28" s="537"/>
      <c r="G28" s="535">
        <f>SUM('C08'!$D$155,'C08'!$D$183)</f>
        <v>0</v>
      </c>
      <c r="H28" s="543"/>
      <c r="I28" s="535">
        <f>SUM('C010'!$D$134)</f>
        <v>0</v>
      </c>
      <c r="J28" s="536"/>
      <c r="K28" s="535">
        <f>SUM('C011'!$D$125)</f>
        <v>0</v>
      </c>
      <c r="L28" s="543"/>
      <c r="M28" s="535">
        <f>SUM('C012'!$D$103)</f>
        <v>0</v>
      </c>
      <c r="N28" s="536"/>
      <c r="O28" s="566">
        <f>SUM('C013'!$D$125)</f>
        <v>0</v>
      </c>
      <c r="P28" s="567"/>
      <c r="Q28" s="568">
        <f>SUM('C014'!$D$121)</f>
        <v>0</v>
      </c>
      <c r="R28" s="567"/>
      <c r="S28" s="535">
        <f>SUM('C015'!$D$121)</f>
        <v>0</v>
      </c>
      <c r="T28" s="569"/>
      <c r="U28" s="535">
        <f>SUM('C016'!$D$87)</f>
        <v>55000</v>
      </c>
      <c r="V28" s="543"/>
      <c r="W28" s="535">
        <f>SUM('C018'!$D$121,'C018'!$D$141)</f>
        <v>0</v>
      </c>
      <c r="X28" s="536"/>
      <c r="Y28" s="535">
        <f>SUM('C022'!$D$121)</f>
        <v>0</v>
      </c>
      <c r="Z28" s="536"/>
      <c r="AA28" s="535">
        <f>SUM('C024'!$D$48)</f>
        <v>0</v>
      </c>
      <c r="AB28" s="536"/>
      <c r="AC28" s="542"/>
      <c r="AD28" s="542"/>
      <c r="AE28" s="542"/>
      <c r="AF28" s="542"/>
      <c r="AG28" s="535">
        <f>SUM('C029'!$D$114)</f>
        <v>0</v>
      </c>
      <c r="AH28" s="543"/>
      <c r="AI28" s="535">
        <f>SUM('C030'!$D$145)</f>
        <v>0</v>
      </c>
      <c r="AJ28" s="536"/>
      <c r="AK28" s="535">
        <f>SUM('C034'!$D$131)</f>
        <v>0</v>
      </c>
      <c r="AL28" s="536"/>
      <c r="AM28" s="535">
        <f>SUM('C035'!$D$154)</f>
        <v>0</v>
      </c>
      <c r="AN28" s="536"/>
      <c r="AO28" s="536"/>
      <c r="AP28" s="535">
        <f>SUM('C078'!$D$136)</f>
        <v>0</v>
      </c>
      <c r="AQ28" s="543"/>
      <c r="AR28" s="544">
        <f t="shared" si="3"/>
        <v>185277</v>
      </c>
      <c r="AT28" s="545">
        <f t="shared" si="4"/>
        <v>0</v>
      </c>
      <c r="AV28" s="546"/>
    </row>
    <row r="29" spans="2:48">
      <c r="B29" s="531">
        <v>2700</v>
      </c>
      <c r="C29" s="535">
        <f>SUM('C06'!$D$199,'C06'!$D$209,'C06'!$D$224,'C06'!$D$237)</f>
        <v>110451</v>
      </c>
      <c r="D29" s="536"/>
      <c r="E29" s="535">
        <f>SUM('C07'!$D$172)</f>
        <v>0</v>
      </c>
      <c r="F29" s="537"/>
      <c r="G29" s="535">
        <f>SUM('C08'!$D$204,'C08'!$D$214,'C08'!$D$229,'C08'!$D$242)</f>
        <v>0</v>
      </c>
      <c r="H29" s="536"/>
      <c r="I29" s="542"/>
      <c r="J29" s="542"/>
      <c r="K29" s="535">
        <f>SUM('C011'!$D$149)</f>
        <v>0</v>
      </c>
      <c r="L29" s="536"/>
      <c r="M29" s="542"/>
      <c r="N29" s="542"/>
      <c r="O29" s="535">
        <f>SUM('C013'!$D$149)</f>
        <v>0</v>
      </c>
      <c r="P29" s="536"/>
      <c r="Q29" s="535">
        <f>SUM('C014'!$D$145)</f>
        <v>0</v>
      </c>
      <c r="R29" s="536"/>
      <c r="S29" s="550"/>
      <c r="T29" s="550"/>
      <c r="U29" s="535">
        <f>SUM('C016'!$D$109)</f>
        <v>45000</v>
      </c>
      <c r="V29" s="549"/>
      <c r="W29" s="542"/>
      <c r="X29" s="542"/>
      <c r="Y29" s="542"/>
      <c r="Z29" s="542"/>
      <c r="AA29" s="542"/>
      <c r="AB29" s="542"/>
      <c r="AC29" s="542"/>
      <c r="AD29" s="542"/>
      <c r="AE29" s="542"/>
      <c r="AF29" s="542"/>
      <c r="AG29" s="542"/>
      <c r="AH29" s="542"/>
      <c r="AI29" s="535">
        <f>SUM('C030'!$D$171,'C030'!$D$182,'C030'!$D$202,'C030'!$D$214)</f>
        <v>30162</v>
      </c>
      <c r="AJ29" s="536"/>
      <c r="AK29" s="535">
        <f>SUM('C034'!$D$155)</f>
        <v>0</v>
      </c>
      <c r="AL29" s="551"/>
      <c r="AM29" s="535">
        <f>SUM('C035'!$D$183)</f>
        <v>0</v>
      </c>
      <c r="AN29" s="536"/>
      <c r="AO29" s="542"/>
      <c r="AP29" s="535">
        <f>SUM('C078'!$D$162,'C078'!$D$173,'C078'!$D$193,'C078'!$D$205)</f>
        <v>0</v>
      </c>
      <c r="AQ29" s="543"/>
      <c r="AR29" s="544">
        <f t="shared" si="3"/>
        <v>140613</v>
      </c>
      <c r="AT29" s="545">
        <f t="shared" si="4"/>
        <v>0</v>
      </c>
      <c r="AV29" s="546"/>
    </row>
    <row r="30" spans="2:48">
      <c r="B30" s="531">
        <v>2900</v>
      </c>
      <c r="C30" s="535">
        <f>SUM('C06'!$D$250:$D$251)</f>
        <v>0</v>
      </c>
      <c r="D30" s="536"/>
      <c r="E30" s="535">
        <f>SUM('C07'!$D$187:$D$188)</f>
        <v>0</v>
      </c>
      <c r="F30" s="537"/>
      <c r="G30" s="535">
        <f>SUM('C08'!$D$255:$D$256)</f>
        <v>0</v>
      </c>
      <c r="H30" s="536"/>
      <c r="I30" s="548"/>
      <c r="J30" s="541"/>
      <c r="K30" s="535">
        <f>SUM('C011'!$D$154:$D$155)</f>
        <v>0</v>
      </c>
      <c r="L30" s="536"/>
      <c r="M30" s="548"/>
      <c r="N30" s="548"/>
      <c r="O30" s="535">
        <f>SUM('C013'!$D$154:$D$155)</f>
        <v>0</v>
      </c>
      <c r="P30" s="536"/>
      <c r="Q30" s="535">
        <f>SUM('C014'!$D$150:$D$151)</f>
        <v>0</v>
      </c>
      <c r="R30" s="536"/>
      <c r="S30" s="535">
        <f>SUM('C015'!$D$146:$D$147)</f>
        <v>0</v>
      </c>
      <c r="T30" s="536"/>
      <c r="U30" s="540"/>
      <c r="V30" s="541"/>
      <c r="W30" s="535">
        <f>SUM('C018'!$D$154:$D$155)</f>
        <v>0</v>
      </c>
      <c r="X30" s="536"/>
      <c r="Y30" s="535">
        <f>SUM('C022'!$D$146:$D$147)</f>
        <v>0</v>
      </c>
      <c r="Z30" s="536"/>
      <c r="AA30" s="548"/>
      <c r="AB30" s="548"/>
      <c r="AC30" s="535">
        <f>SUM('C026'!$D$70:$D$71)</f>
        <v>0</v>
      </c>
      <c r="AD30" s="536"/>
      <c r="AE30" s="552">
        <f>SUM('C028'!$D$90:$D$91)</f>
        <v>0</v>
      </c>
      <c r="AF30" s="536"/>
      <c r="AG30" s="552">
        <f>SUM('C029'!$D$156:$D$157)</f>
        <v>0</v>
      </c>
      <c r="AH30" s="543"/>
      <c r="AI30" s="535">
        <f>SUM('C030'!$D$227:$D$228)</f>
        <v>0</v>
      </c>
      <c r="AJ30" s="536"/>
      <c r="AK30" s="535">
        <f>SUM('C034'!$D$161:$D$162)</f>
        <v>0</v>
      </c>
      <c r="AL30" s="536"/>
      <c r="AM30" s="535">
        <f>SUM('C035'!$D$198:$D$199)</f>
        <v>0</v>
      </c>
      <c r="AN30" s="536"/>
      <c r="AO30" s="536"/>
      <c r="AP30" s="535">
        <f>SUM('C078'!$D$218:$D$219)</f>
        <v>0</v>
      </c>
      <c r="AQ30" s="543"/>
      <c r="AR30" s="544">
        <f t="shared" si="3"/>
        <v>0</v>
      </c>
      <c r="AT30" s="545">
        <f t="shared" si="4"/>
        <v>0</v>
      </c>
      <c r="AV30" s="546"/>
    </row>
    <row r="31" spans="2:48">
      <c r="B31" s="531">
        <v>3000</v>
      </c>
      <c r="C31" s="554"/>
      <c r="D31" s="554"/>
      <c r="E31" s="555">
        <f>SUM('C07'!$D$202:$D$203)</f>
        <v>0</v>
      </c>
      <c r="F31" s="556"/>
      <c r="G31" s="554"/>
      <c r="H31" s="557"/>
      <c r="I31" s="554"/>
      <c r="J31" s="554"/>
      <c r="K31" s="554"/>
      <c r="L31" s="554"/>
      <c r="M31" s="554"/>
      <c r="N31" s="554"/>
      <c r="O31" s="554"/>
      <c r="P31" s="554"/>
      <c r="Q31" s="554"/>
      <c r="R31" s="557"/>
      <c r="S31" s="554"/>
      <c r="T31" s="554"/>
      <c r="U31" s="554"/>
      <c r="V31" s="554"/>
      <c r="W31" s="554"/>
      <c r="X31" s="554"/>
      <c r="Y31" s="554"/>
      <c r="Z31" s="554"/>
      <c r="AA31" s="558">
        <f>SUM('C024'!$D$70:$D$71)</f>
        <v>127233</v>
      </c>
      <c r="AB31" s="559"/>
      <c r="AC31" s="554"/>
      <c r="AD31" s="554"/>
      <c r="AE31" s="554"/>
      <c r="AF31" s="554"/>
      <c r="AG31" s="554"/>
      <c r="AH31" s="554"/>
      <c r="AI31" s="554"/>
      <c r="AJ31" s="554"/>
      <c r="AK31" s="554"/>
      <c r="AL31" s="554"/>
      <c r="AM31" s="558">
        <f>SUM('C035'!$D$213:$D$214)</f>
        <v>0</v>
      </c>
      <c r="AN31" s="559"/>
      <c r="AO31" s="554"/>
      <c r="AP31" s="554"/>
      <c r="AQ31" s="557"/>
      <c r="AR31" s="544">
        <f t="shared" si="3"/>
        <v>127233</v>
      </c>
      <c r="AT31" s="545">
        <f t="shared" si="4"/>
        <v>0</v>
      </c>
      <c r="AV31" s="546"/>
    </row>
    <row r="32" spans="2:48">
      <c r="B32" s="562"/>
      <c r="C32" s="563">
        <f>SUM(C22:C31)</f>
        <v>2261516</v>
      </c>
      <c r="D32" s="564">
        <f t="shared" ref="D32:AR32" si="5">SUM(D22:D31)</f>
        <v>0</v>
      </c>
      <c r="E32" s="563">
        <f t="shared" si="5"/>
        <v>94024</v>
      </c>
      <c r="F32" s="564">
        <f t="shared" si="5"/>
        <v>0</v>
      </c>
      <c r="G32" s="563">
        <f t="shared" si="5"/>
        <v>169315</v>
      </c>
      <c r="H32" s="564">
        <f t="shared" si="5"/>
        <v>0</v>
      </c>
      <c r="I32" s="563">
        <f t="shared" si="5"/>
        <v>0</v>
      </c>
      <c r="J32" s="564">
        <f t="shared" si="5"/>
        <v>0</v>
      </c>
      <c r="K32" s="563">
        <f t="shared" si="5"/>
        <v>0</v>
      </c>
      <c r="L32" s="564">
        <f t="shared" si="5"/>
        <v>0</v>
      </c>
      <c r="M32" s="563">
        <f t="shared" si="5"/>
        <v>0</v>
      </c>
      <c r="N32" s="564">
        <f t="shared" si="5"/>
        <v>0</v>
      </c>
      <c r="O32" s="563">
        <f t="shared" si="5"/>
        <v>334597</v>
      </c>
      <c r="P32" s="564">
        <f t="shared" si="5"/>
        <v>0</v>
      </c>
      <c r="Q32" s="563">
        <f t="shared" si="5"/>
        <v>1000</v>
      </c>
      <c r="R32" s="564">
        <f t="shared" si="5"/>
        <v>0</v>
      </c>
      <c r="S32" s="563">
        <f t="shared" si="5"/>
        <v>0</v>
      </c>
      <c r="T32" s="564">
        <f t="shared" si="5"/>
        <v>0</v>
      </c>
      <c r="U32" s="563">
        <f t="shared" si="5"/>
        <v>100000</v>
      </c>
      <c r="V32" s="564">
        <f t="shared" si="5"/>
        <v>0</v>
      </c>
      <c r="W32" s="563">
        <f t="shared" si="5"/>
        <v>5619</v>
      </c>
      <c r="X32" s="564">
        <f t="shared" si="5"/>
        <v>0</v>
      </c>
      <c r="Y32" s="563">
        <f t="shared" si="5"/>
        <v>0</v>
      </c>
      <c r="Z32" s="564">
        <f t="shared" si="5"/>
        <v>0</v>
      </c>
      <c r="AA32" s="563">
        <f t="shared" si="5"/>
        <v>127233</v>
      </c>
      <c r="AB32" s="564">
        <f t="shared" si="5"/>
        <v>0</v>
      </c>
      <c r="AC32" s="563">
        <f t="shared" si="5"/>
        <v>6447</v>
      </c>
      <c r="AD32" s="564">
        <f t="shared" si="5"/>
        <v>0</v>
      </c>
      <c r="AE32" s="563">
        <f t="shared" si="5"/>
        <v>32211</v>
      </c>
      <c r="AF32" s="564">
        <f t="shared" si="5"/>
        <v>0</v>
      </c>
      <c r="AG32" s="563">
        <f t="shared" si="5"/>
        <v>0</v>
      </c>
      <c r="AH32" s="564">
        <f t="shared" si="5"/>
        <v>0</v>
      </c>
      <c r="AI32" s="563">
        <f t="shared" si="5"/>
        <v>109530</v>
      </c>
      <c r="AJ32" s="564">
        <f t="shared" si="5"/>
        <v>0</v>
      </c>
      <c r="AK32" s="563">
        <f t="shared" si="5"/>
        <v>139267</v>
      </c>
      <c r="AL32" s="564">
        <f t="shared" si="5"/>
        <v>0</v>
      </c>
      <c r="AM32" s="563">
        <f t="shared" si="5"/>
        <v>0</v>
      </c>
      <c r="AN32" s="564">
        <f t="shared" si="5"/>
        <v>0</v>
      </c>
      <c r="AO32" s="564">
        <f t="shared" si="5"/>
        <v>0</v>
      </c>
      <c r="AP32" s="563">
        <f t="shared" si="5"/>
        <v>0</v>
      </c>
      <c r="AQ32" s="564">
        <f t="shared" si="5"/>
        <v>0</v>
      </c>
      <c r="AR32" s="563">
        <f t="shared" si="5"/>
        <v>3280759</v>
      </c>
      <c r="AT32" s="565">
        <f t="shared" si="4"/>
        <v>0</v>
      </c>
      <c r="AV32" s="546"/>
    </row>
    <row r="33" spans="2:48">
      <c r="B33" s="522" t="str">
        <f>CONCATENATE(MID(OpenData!$P$4,1,5),MID(OpenData!$P$4,8,2))</f>
        <v>2021-22</v>
      </c>
      <c r="AV33" s="546"/>
    </row>
    <row r="34" spans="2:48" ht="15.6">
      <c r="B34" s="529" t="str">
        <f>"Right Column:  ("&amp;OpenData!$P$4&amp;")"</f>
        <v>Right Column:  (2021-2022)</v>
      </c>
      <c r="AR34" s="531" t="s">
        <v>1667</v>
      </c>
      <c r="AT34" s="530" t="s">
        <v>1668</v>
      </c>
    </row>
    <row r="35" spans="2:48">
      <c r="B35" s="531"/>
      <c r="C35" s="531" t="s">
        <v>91</v>
      </c>
      <c r="D35" s="531"/>
      <c r="E35" s="531" t="s">
        <v>92</v>
      </c>
      <c r="F35" s="533"/>
      <c r="G35" s="531" t="s">
        <v>93</v>
      </c>
      <c r="H35" s="531"/>
      <c r="I35" s="531" t="s">
        <v>94</v>
      </c>
      <c r="J35" s="531"/>
      <c r="K35" s="531" t="s">
        <v>95</v>
      </c>
      <c r="L35" s="531"/>
      <c r="M35" s="531" t="s">
        <v>96</v>
      </c>
      <c r="N35" s="531"/>
      <c r="O35" s="531" t="s">
        <v>97</v>
      </c>
      <c r="P35" s="531"/>
      <c r="Q35" s="531" t="s">
        <v>98</v>
      </c>
      <c r="R35" s="531"/>
      <c r="S35" s="531" t="s">
        <v>470</v>
      </c>
      <c r="T35" s="531"/>
      <c r="U35" s="534" t="s">
        <v>1372</v>
      </c>
      <c r="V35" s="531"/>
      <c r="W35" s="531" t="s">
        <v>99</v>
      </c>
      <c r="X35" s="531"/>
      <c r="Y35" s="531" t="s">
        <v>100</v>
      </c>
      <c r="Z35" s="531"/>
      <c r="AA35" s="531" t="s">
        <v>101</v>
      </c>
      <c r="AB35" s="531"/>
      <c r="AC35" s="531" t="s">
        <v>102</v>
      </c>
      <c r="AD35" s="531"/>
      <c r="AE35" s="531" t="s">
        <v>103</v>
      </c>
      <c r="AF35" s="531"/>
      <c r="AG35" s="531" t="s">
        <v>104</v>
      </c>
      <c r="AH35" s="531"/>
      <c r="AI35" s="531" t="s">
        <v>105</v>
      </c>
      <c r="AJ35" s="531"/>
      <c r="AK35" s="531" t="s">
        <v>106</v>
      </c>
      <c r="AL35" s="531"/>
      <c r="AM35" s="531" t="s">
        <v>107</v>
      </c>
      <c r="AN35" s="531"/>
      <c r="AO35" s="531"/>
      <c r="AP35" s="531" t="s">
        <v>108</v>
      </c>
      <c r="AQ35" s="531"/>
      <c r="AR35" s="531" t="s">
        <v>1669</v>
      </c>
      <c r="AT35" s="530" t="s">
        <v>1669</v>
      </c>
    </row>
    <row r="36" spans="2:48">
      <c r="B36" s="531">
        <v>1000</v>
      </c>
      <c r="C36" s="535">
        <f>SUM('C06'!$E$48:$E$49)</f>
        <v>1401684</v>
      </c>
      <c r="D36" s="536">
        <v>0</v>
      </c>
      <c r="E36" s="535">
        <f>SUM('C07'!$E$41:$E$42)</f>
        <v>90874</v>
      </c>
      <c r="F36" s="537"/>
      <c r="G36" s="535">
        <f>SUM('C08'!$E$53:$E$54)</f>
        <v>156321</v>
      </c>
      <c r="H36" s="536"/>
      <c r="I36" s="535">
        <f>SUM('C010'!$E$68:$E$69)</f>
        <v>0</v>
      </c>
      <c r="J36" s="536"/>
      <c r="K36" s="535">
        <f>SUM('C011'!$E$44:$E$45)</f>
        <v>0</v>
      </c>
      <c r="L36" s="536"/>
      <c r="M36" s="535">
        <f>SUM('C012'!$E$40:$E$41)</f>
        <v>0</v>
      </c>
      <c r="N36" s="536"/>
      <c r="O36" s="535">
        <f>SUM('C013'!$E$44:$E$45)</f>
        <v>360100</v>
      </c>
      <c r="P36" s="536"/>
      <c r="Q36" s="535">
        <f>SUM('C014'!$E$39:$E$40)</f>
        <v>1000</v>
      </c>
      <c r="R36" s="536"/>
      <c r="S36" s="535">
        <f>SUM('C015'!$E$40:$E$41)</f>
        <v>0</v>
      </c>
      <c r="T36" s="536"/>
      <c r="U36" s="540"/>
      <c r="V36" s="541"/>
      <c r="W36" s="535">
        <f>SUM('C018'!$E$40:$E$41)</f>
        <v>10619</v>
      </c>
      <c r="X36" s="536"/>
      <c r="Y36" s="535">
        <f>SUM('C022'!$E$39:$E$40)</f>
        <v>0</v>
      </c>
      <c r="Z36" s="536"/>
      <c r="AA36" s="542"/>
      <c r="AB36" s="542"/>
      <c r="AC36" s="542"/>
      <c r="AD36" s="542"/>
      <c r="AE36" s="542"/>
      <c r="AF36" s="542"/>
      <c r="AG36" s="535">
        <f>SUM('C029'!$E$43:$E$44)</f>
        <v>0</v>
      </c>
      <c r="AH36" s="536"/>
      <c r="AI36" s="535">
        <f>SUM('C030'!$E$47:$E$48)</f>
        <v>94000</v>
      </c>
      <c r="AJ36" s="536"/>
      <c r="AK36" s="538">
        <f>SUM('C034'!$E$51:$E$52)</f>
        <v>142000</v>
      </c>
      <c r="AL36" s="536"/>
      <c r="AM36" s="535">
        <f>SUM('C035'!$E$52:$E$53)</f>
        <v>0</v>
      </c>
      <c r="AN36" s="536"/>
      <c r="AO36" s="536"/>
      <c r="AP36" s="535">
        <f>SUM('C078'!$E$40:$E$41)</f>
        <v>0</v>
      </c>
      <c r="AQ36" s="570"/>
      <c r="AR36" s="544">
        <f t="shared" ref="AR36:AR45" si="6">SUM(AP36,AM36,AK36,AI36,AG36,AE36,AC36,AA36,Y36,W36,S36,Q36,O36,M36,K36,I36,G36,E36,C36)</f>
        <v>2256598</v>
      </c>
      <c r="AT36" s="545">
        <f t="shared" ref="AT36:AT46" si="7">SUM(AQ36,AO36,AN36,AL36,AJ36,AH36,AF36,AD36,AB36,Z36,X36,T36,R36,P36,N36,L36,J36,H36,F36,D36)</f>
        <v>0</v>
      </c>
      <c r="AV36" s="546"/>
    </row>
    <row r="37" spans="2:48">
      <c r="B37" s="531">
        <v>2100</v>
      </c>
      <c r="C37" s="535">
        <f>SUM('C06'!$E$72:$E$73)</f>
        <v>41968</v>
      </c>
      <c r="D37" s="536"/>
      <c r="E37" s="535">
        <f>SUM('C07'!$E$65:$E$66)</f>
        <v>0</v>
      </c>
      <c r="F37" s="537"/>
      <c r="G37" s="535">
        <f>SUM('C08'!$E$77:$E$78)</f>
        <v>0</v>
      </c>
      <c r="H37" s="536"/>
      <c r="I37" s="535">
        <f>SUM('C010'!$E$89:$E$90)</f>
        <v>0</v>
      </c>
      <c r="J37" s="536"/>
      <c r="K37" s="535">
        <f>SUM('C011'!$E$67:$E$68)</f>
        <v>0</v>
      </c>
      <c r="L37" s="536"/>
      <c r="M37" s="535">
        <f>SUM('C012'!$E$62:$E$63)</f>
        <v>0</v>
      </c>
      <c r="N37" s="536"/>
      <c r="O37" s="535">
        <f>SUM('C013'!$E$67:$E$68)</f>
        <v>0</v>
      </c>
      <c r="P37" s="536"/>
      <c r="Q37" s="535">
        <f>SUM('C014'!$E$63:$E$64)</f>
        <v>0</v>
      </c>
      <c r="R37" s="536"/>
      <c r="S37" s="535">
        <f>SUM('C015'!$E$63:$E$64)</f>
        <v>0</v>
      </c>
      <c r="T37" s="536"/>
      <c r="U37" s="540"/>
      <c r="V37" s="541"/>
      <c r="W37" s="535">
        <f>SUM('C018'!$E$63:$E$64)</f>
        <v>0</v>
      </c>
      <c r="X37" s="536"/>
      <c r="Y37" s="535">
        <f>SUM('C022'!$E$63:$E$64)</f>
        <v>0</v>
      </c>
      <c r="Z37" s="536"/>
      <c r="AA37" s="542"/>
      <c r="AB37" s="542"/>
      <c r="AC37" s="542"/>
      <c r="AD37" s="542"/>
      <c r="AE37" s="535">
        <f>SUM('C028'!$E$42:$E$43)</f>
        <v>34000</v>
      </c>
      <c r="AF37" s="536"/>
      <c r="AG37" s="535">
        <f>SUM('C029'!$E$67:$E$68)</f>
        <v>0</v>
      </c>
      <c r="AH37" s="536"/>
      <c r="AI37" s="535">
        <f>SUM('C030'!$E$72:$E$73)</f>
        <v>1616</v>
      </c>
      <c r="AJ37" s="536"/>
      <c r="AK37" s="538">
        <f>SUM('C034'!$E$73:$E$74)</f>
        <v>0</v>
      </c>
      <c r="AL37" s="536"/>
      <c r="AM37" s="535">
        <f>SUM('C035'!$E$76:$E$77)</f>
        <v>0</v>
      </c>
      <c r="AN37" s="536"/>
      <c r="AO37" s="536"/>
      <c r="AP37" s="535">
        <f>SUM('C078'!$E$63:$E$64)</f>
        <v>0</v>
      </c>
      <c r="AQ37" s="570"/>
      <c r="AR37" s="544">
        <f t="shared" si="6"/>
        <v>77584</v>
      </c>
      <c r="AT37" s="545">
        <f t="shared" si="7"/>
        <v>0</v>
      </c>
      <c r="AV37" s="546"/>
    </row>
    <row r="38" spans="2:48">
      <c r="B38" s="531">
        <v>2200</v>
      </c>
      <c r="C38" s="535">
        <f>SUM('C06'!$E$86:$E$87)</f>
        <v>86708</v>
      </c>
      <c r="D38" s="536"/>
      <c r="E38" s="535">
        <f>SUM('C07'!$E$79:$E$80)</f>
        <v>0</v>
      </c>
      <c r="F38" s="537"/>
      <c r="G38" s="535">
        <f>SUM('C08'!$E$91:$E$92)</f>
        <v>23315</v>
      </c>
      <c r="H38" s="536"/>
      <c r="I38" s="535">
        <f>SUM('C010'!$E$103:$E$104)</f>
        <v>0</v>
      </c>
      <c r="J38" s="536"/>
      <c r="K38" s="535">
        <f>SUM('C011'!$E$81:$E$82)</f>
        <v>0</v>
      </c>
      <c r="L38" s="536"/>
      <c r="M38" s="535">
        <f>SUM('C012'!$E$76:$E$77)</f>
        <v>0</v>
      </c>
      <c r="N38" s="536"/>
      <c r="O38" s="535">
        <f>SUM('C013'!$E$81:$E$82)</f>
        <v>20976</v>
      </c>
      <c r="P38" s="536"/>
      <c r="Q38" s="535">
        <f>SUM('C014'!$E$77:$E$78)</f>
        <v>0</v>
      </c>
      <c r="R38" s="536"/>
      <c r="S38" s="535">
        <f>SUM('C015'!$E$77:$E$78)</f>
        <v>0</v>
      </c>
      <c r="T38" s="536"/>
      <c r="U38" s="540"/>
      <c r="V38" s="541"/>
      <c r="W38" s="535">
        <f>SUM('C018'!$E$77:$E$78)</f>
        <v>0</v>
      </c>
      <c r="X38" s="536"/>
      <c r="Y38" s="535">
        <f>SUM('C022'!$E$77:$E$78)</f>
        <v>0</v>
      </c>
      <c r="Z38" s="536"/>
      <c r="AA38" s="542"/>
      <c r="AB38" s="542"/>
      <c r="AC38" s="535">
        <f>SUM('C026'!$E$39:$E$40)</f>
        <v>6447</v>
      </c>
      <c r="AD38" s="536"/>
      <c r="AE38" s="538">
        <f>SUM('C028'!$E$62:$E$63)</f>
        <v>0</v>
      </c>
      <c r="AF38" s="536"/>
      <c r="AG38" s="535">
        <f>SUM('C029'!$E$81:$E$82)</f>
        <v>0</v>
      </c>
      <c r="AH38" s="536"/>
      <c r="AI38" s="535">
        <f>SUM('C030'!$E$86:$E$87)</f>
        <v>0</v>
      </c>
      <c r="AJ38" s="536"/>
      <c r="AK38" s="538">
        <f>SUM('C034'!$E$87:$E$88)</f>
        <v>0</v>
      </c>
      <c r="AL38" s="536"/>
      <c r="AM38" s="535">
        <f>SUM('C035'!$E$90:$E$91)</f>
        <v>0</v>
      </c>
      <c r="AN38" s="536"/>
      <c r="AO38" s="536"/>
      <c r="AP38" s="535">
        <f>SUM('C078'!$E$77:$E$78)</f>
        <v>0</v>
      </c>
      <c r="AQ38" s="570"/>
      <c r="AR38" s="544">
        <f t="shared" si="6"/>
        <v>137446</v>
      </c>
      <c r="AT38" s="545">
        <f t="shared" si="7"/>
        <v>0</v>
      </c>
      <c r="AV38" s="546"/>
    </row>
    <row r="39" spans="2:48">
      <c r="B39" s="531">
        <v>2300</v>
      </c>
      <c r="C39" s="535">
        <f>SUM('C06'!$E$103:$E$104)</f>
        <v>153827</v>
      </c>
      <c r="D39" s="536"/>
      <c r="E39" s="535">
        <f>SUM('C07'!$E$96:$E$97)</f>
        <v>0</v>
      </c>
      <c r="F39" s="537"/>
      <c r="G39" s="535">
        <f>SUM('C08'!$E$108:$E$109)</f>
        <v>0</v>
      </c>
      <c r="H39" s="536"/>
      <c r="I39" s="535">
        <f>SUM('C010'!$E$120:$E$121)</f>
        <v>0</v>
      </c>
      <c r="J39" s="536"/>
      <c r="K39" s="542"/>
      <c r="L39" s="542"/>
      <c r="M39" s="542"/>
      <c r="N39" s="542"/>
      <c r="O39" s="542"/>
      <c r="P39" s="547"/>
      <c r="Q39" s="542"/>
      <c r="R39" s="547"/>
      <c r="S39" s="542"/>
      <c r="T39" s="547"/>
      <c r="U39" s="548"/>
      <c r="V39" s="548"/>
      <c r="W39" s="542"/>
      <c r="X39" s="542"/>
      <c r="Y39" s="542"/>
      <c r="Z39" s="542"/>
      <c r="AA39" s="542"/>
      <c r="AB39" s="542"/>
      <c r="AC39" s="542"/>
      <c r="AD39" s="547"/>
      <c r="AE39" s="542"/>
      <c r="AF39" s="542"/>
      <c r="AG39" s="542"/>
      <c r="AH39" s="542"/>
      <c r="AI39" s="535">
        <f>SUM('C030'!$E$104:$E$105)</f>
        <v>0</v>
      </c>
      <c r="AJ39" s="536"/>
      <c r="AK39" s="542"/>
      <c r="AL39" s="542"/>
      <c r="AM39" s="535">
        <f>SUM('C035'!$E$107:$E$108)</f>
        <v>0</v>
      </c>
      <c r="AN39" s="536"/>
      <c r="AO39" s="536"/>
      <c r="AP39" s="535">
        <f>SUM('C078'!$E$95:$E$96)</f>
        <v>0</v>
      </c>
      <c r="AQ39" s="570"/>
      <c r="AR39" s="544">
        <f t="shared" si="6"/>
        <v>153827</v>
      </c>
      <c r="AT39" s="545">
        <f t="shared" si="7"/>
        <v>0</v>
      </c>
      <c r="AV39" s="546"/>
    </row>
    <row r="40" spans="2:48">
      <c r="B40" s="531">
        <v>2400</v>
      </c>
      <c r="C40" s="535">
        <f>SUM('C06'!$E$120:$E$121)</f>
        <v>155597</v>
      </c>
      <c r="D40" s="536"/>
      <c r="E40" s="535">
        <f>SUM('C07'!$E$113:$E$114)</f>
        <v>3150</v>
      </c>
      <c r="F40" s="537"/>
      <c r="G40" s="535">
        <f>SUM('C08'!$E$125:$E$126)</f>
        <v>0</v>
      </c>
      <c r="H40" s="536"/>
      <c r="I40" s="542"/>
      <c r="J40" s="542"/>
      <c r="K40" s="535">
        <f>SUM('C011'!$E$98:$E$99)</f>
        <v>0</v>
      </c>
      <c r="L40" s="536"/>
      <c r="M40" s="535">
        <f>SUM('C012'!$E$90:$E$91)</f>
        <v>0</v>
      </c>
      <c r="N40" s="536"/>
      <c r="O40" s="535">
        <f>SUM('C013'!$E$98:$E$99)</f>
        <v>22000</v>
      </c>
      <c r="P40" s="536"/>
      <c r="Q40" s="535">
        <f>SUM('C014'!$E$94:$E$95)</f>
        <v>0</v>
      </c>
      <c r="R40" s="536"/>
      <c r="S40" s="535">
        <f>SUM('C015'!$E$94:$E$95)</f>
        <v>0</v>
      </c>
      <c r="T40" s="536"/>
      <c r="U40" s="540"/>
      <c r="V40" s="541"/>
      <c r="W40" s="535">
        <f>SUM('C018'!$E$94:$E$95)</f>
        <v>0</v>
      </c>
      <c r="X40" s="536"/>
      <c r="Y40" s="535">
        <f>SUM('C022'!$E$94:$E$95)</f>
        <v>0</v>
      </c>
      <c r="Z40" s="536"/>
      <c r="AA40" s="542"/>
      <c r="AB40" s="542"/>
      <c r="AC40" s="542"/>
      <c r="AD40" s="542"/>
      <c r="AE40" s="542"/>
      <c r="AF40" s="542"/>
      <c r="AG40" s="535">
        <f>SUM('C029'!$E$98:$E$99)</f>
        <v>0</v>
      </c>
      <c r="AH40" s="536"/>
      <c r="AI40" s="535">
        <f>SUM('C030'!$E$118:$E$119)</f>
        <v>0</v>
      </c>
      <c r="AJ40" s="536"/>
      <c r="AK40" s="538">
        <f>SUM('C034'!$E$104:$E$105)</f>
        <v>0</v>
      </c>
      <c r="AL40" s="536"/>
      <c r="AM40" s="535">
        <f>SUM('C035'!$E$124:$E$125)</f>
        <v>0</v>
      </c>
      <c r="AN40" s="536"/>
      <c r="AO40" s="536"/>
      <c r="AP40" s="535">
        <f>SUM('C078'!$E$109:$E$110)</f>
        <v>0</v>
      </c>
      <c r="AQ40" s="570"/>
      <c r="AR40" s="544">
        <f t="shared" si="6"/>
        <v>180747</v>
      </c>
      <c r="AT40" s="545">
        <f t="shared" si="7"/>
        <v>0</v>
      </c>
      <c r="AV40" s="546"/>
    </row>
    <row r="41" spans="2:48">
      <c r="B41" s="531">
        <v>2500</v>
      </c>
      <c r="C41" s="535">
        <f>SUM('C06'!$E$136:$E$137)</f>
        <v>33907</v>
      </c>
      <c r="D41" s="536"/>
      <c r="E41" s="535">
        <f>SUM('C07'!$E$129:$E$130)</f>
        <v>0</v>
      </c>
      <c r="F41" s="537"/>
      <c r="G41" s="535">
        <f>SUM('C08'!$E$141:$E$142)</f>
        <v>0</v>
      </c>
      <c r="H41" s="536"/>
      <c r="I41" s="542"/>
      <c r="J41" s="542"/>
      <c r="K41" s="535">
        <f>SUM('C011'!$E$111:$E$112)</f>
        <v>0</v>
      </c>
      <c r="L41" s="536"/>
      <c r="M41" s="542"/>
      <c r="N41" s="542"/>
      <c r="O41" s="535">
        <f>SUM('C013'!$E$111:$E$112)</f>
        <v>0</v>
      </c>
      <c r="P41" s="536"/>
      <c r="Q41" s="535">
        <f>SUM('C014'!$E$107:$E$108)</f>
        <v>0</v>
      </c>
      <c r="R41" s="536"/>
      <c r="S41" s="535">
        <f>SUM('C015'!$E$107:$E$108)</f>
        <v>0</v>
      </c>
      <c r="T41" s="536"/>
      <c r="U41" s="535">
        <f>SUM('C016'!$E$78)</f>
        <v>0</v>
      </c>
      <c r="V41" s="543"/>
      <c r="W41" s="535">
        <f>SUM('C018'!$E$107:$E$108)</f>
        <v>0</v>
      </c>
      <c r="X41" s="536"/>
      <c r="Y41" s="535">
        <f>SUM('C022'!$E$107:$E$108)</f>
        <v>0</v>
      </c>
      <c r="Z41" s="536"/>
      <c r="AA41" s="542"/>
      <c r="AB41" s="542"/>
      <c r="AC41" s="535">
        <f>SUM('C026'!$E$56:$E$57)</f>
        <v>0</v>
      </c>
      <c r="AD41" s="536"/>
      <c r="AE41" s="535">
        <f>SUM('C028'!$E$76:$E$77)</f>
        <v>0</v>
      </c>
      <c r="AF41" s="536"/>
      <c r="AG41" s="538">
        <f>SUM('C029'!$E$142:$E$143)</f>
        <v>0</v>
      </c>
      <c r="AH41" s="536"/>
      <c r="AI41" s="535">
        <f>SUM('C030'!$E$131:$E$132)</f>
        <v>0</v>
      </c>
      <c r="AJ41" s="536"/>
      <c r="AK41" s="538">
        <f>SUM('C034'!$E$117:$E$118)</f>
        <v>0</v>
      </c>
      <c r="AL41" s="536"/>
      <c r="AM41" s="535">
        <f>SUM('C035'!$E$140:$E$141)</f>
        <v>0</v>
      </c>
      <c r="AN41" s="536"/>
      <c r="AO41" s="536"/>
      <c r="AP41" s="535">
        <f>SUM('C078'!$E$122:$E$123)</f>
        <v>0</v>
      </c>
      <c r="AQ41" s="570"/>
      <c r="AR41" s="544">
        <f t="shared" si="6"/>
        <v>33907</v>
      </c>
      <c r="AT41" s="545">
        <f t="shared" si="7"/>
        <v>0</v>
      </c>
      <c r="AV41" s="546"/>
    </row>
    <row r="42" spans="2:48">
      <c r="B42" s="531">
        <v>2600</v>
      </c>
      <c r="C42" s="535">
        <f>SUM('C06'!$D$150,'C06'!$D$178)</f>
        <v>185277</v>
      </c>
      <c r="D42" s="536"/>
      <c r="E42" s="535">
        <f>SUM('C07'!$E$143)</f>
        <v>0</v>
      </c>
      <c r="F42" s="537"/>
      <c r="G42" s="535">
        <f>SUM('C08'!$E$155,'C08'!$E$183)</f>
        <v>0</v>
      </c>
      <c r="H42" s="536"/>
      <c r="I42" s="535">
        <f>SUM('C010'!$E$134)</f>
        <v>0</v>
      </c>
      <c r="J42" s="543"/>
      <c r="K42" s="568">
        <f>SUM('C011'!$E$125)</f>
        <v>0</v>
      </c>
      <c r="L42" s="567"/>
      <c r="M42" s="535">
        <f>SUM('C012'!$E$103)</f>
        <v>0</v>
      </c>
      <c r="N42" s="536"/>
      <c r="O42" s="568">
        <f>SUM('C013'!$E$125)</f>
        <v>0</v>
      </c>
      <c r="P42" s="567"/>
      <c r="Q42" s="568">
        <f>SUM('C014'!$E$121)</f>
        <v>0</v>
      </c>
      <c r="R42" s="567"/>
      <c r="S42" s="535">
        <f>SUM('C015'!$E$121)</f>
        <v>0</v>
      </c>
      <c r="T42" s="571"/>
      <c r="U42" s="535">
        <f>SUM('C016'!$E$101)</f>
        <v>0</v>
      </c>
      <c r="V42" s="543"/>
      <c r="W42" s="535">
        <f>SUM('C018'!$E$121,'C018'!$E$141)</f>
        <v>0</v>
      </c>
      <c r="X42" s="536"/>
      <c r="Y42" s="535">
        <f>SUM('C022'!$E$121)</f>
        <v>0</v>
      </c>
      <c r="Z42" s="536"/>
      <c r="AA42" s="538">
        <f>SUM('C024'!$E$48)</f>
        <v>0</v>
      </c>
      <c r="AB42" s="536"/>
      <c r="AC42" s="542"/>
      <c r="AD42" s="542"/>
      <c r="AE42" s="542"/>
      <c r="AF42" s="542"/>
      <c r="AG42" s="535">
        <f>SUM('C029'!$E$114)</f>
        <v>0</v>
      </c>
      <c r="AH42" s="536"/>
      <c r="AI42" s="535">
        <f>SUM('C030'!$E$145)</f>
        <v>0</v>
      </c>
      <c r="AJ42" s="536"/>
      <c r="AK42" s="538">
        <f>SUM('C034'!$E$131)</f>
        <v>0</v>
      </c>
      <c r="AL42" s="536"/>
      <c r="AM42" s="568">
        <f>SUM('C035'!$E$154)</f>
        <v>0</v>
      </c>
      <c r="AN42" s="567"/>
      <c r="AO42" s="536"/>
      <c r="AP42" s="535">
        <f>SUM('C078'!$E$136)</f>
        <v>0</v>
      </c>
      <c r="AQ42" s="570"/>
      <c r="AR42" s="544">
        <f t="shared" si="6"/>
        <v>185277</v>
      </c>
      <c r="AT42" s="545">
        <f t="shared" si="7"/>
        <v>0</v>
      </c>
      <c r="AV42" s="546"/>
    </row>
    <row r="43" spans="2:48">
      <c r="B43" s="531">
        <v>2700</v>
      </c>
      <c r="C43" s="535">
        <f>SUM('C06'!$E$199,'C06'!$E$209,'C06'!$E$224,'C06'!$E$237)</f>
        <v>110451</v>
      </c>
      <c r="D43" s="536"/>
      <c r="E43" s="535">
        <f>SUM('C07'!$E$172)</f>
        <v>0</v>
      </c>
      <c r="F43" s="537"/>
      <c r="G43" s="535">
        <f>SUM('C08'!$E$204,'C08'!$E$214,'C08'!$E$229,'C08'!$E$242)</f>
        <v>0</v>
      </c>
      <c r="H43" s="536"/>
      <c r="I43" s="542"/>
      <c r="J43" s="542"/>
      <c r="K43" s="535">
        <f>SUM('C011'!$E$149)</f>
        <v>0</v>
      </c>
      <c r="L43" s="536"/>
      <c r="M43" s="542"/>
      <c r="N43" s="547"/>
      <c r="O43" s="535">
        <f>SUM('C013'!$E$149)</f>
        <v>0</v>
      </c>
      <c r="P43" s="536"/>
      <c r="Q43" s="535">
        <f>SUM('C014'!$E$145)</f>
        <v>0</v>
      </c>
      <c r="R43" s="536"/>
      <c r="S43" s="550"/>
      <c r="T43" s="550"/>
      <c r="U43" s="535">
        <f>SUM('C016'!$E$87)</f>
        <v>55000</v>
      </c>
      <c r="V43" s="549"/>
      <c r="W43" s="542"/>
      <c r="X43" s="542"/>
      <c r="Y43" s="542"/>
      <c r="Z43" s="542"/>
      <c r="AA43" s="542"/>
      <c r="AB43" s="542"/>
      <c r="AC43" s="542"/>
      <c r="AD43" s="542"/>
      <c r="AE43" s="542"/>
      <c r="AF43" s="542"/>
      <c r="AG43" s="542"/>
      <c r="AH43" s="542"/>
      <c r="AI43" s="535">
        <f>SUM('C030'!$E$171,'C030'!$E$182,'C030'!$E$202,'C030'!$E$214)</f>
        <v>30162</v>
      </c>
      <c r="AJ43" s="536"/>
      <c r="AK43" s="535">
        <f>SUM('C034'!$E$155)</f>
        <v>0</v>
      </c>
      <c r="AL43" s="551"/>
      <c r="AM43" s="535">
        <f>SUM('C035'!$E$183)</f>
        <v>0</v>
      </c>
      <c r="AN43" s="536"/>
      <c r="AO43" s="542"/>
      <c r="AP43" s="535">
        <f>SUM('C078'!$E$162,'C078'!$E$173,'C078'!$E$193,'C078'!$E$205)</f>
        <v>0</v>
      </c>
      <c r="AQ43" s="570"/>
      <c r="AR43" s="544">
        <f t="shared" si="6"/>
        <v>140613</v>
      </c>
      <c r="AT43" s="545">
        <f t="shared" si="7"/>
        <v>0</v>
      </c>
      <c r="AV43" s="546"/>
    </row>
    <row r="44" spans="2:48">
      <c r="B44" s="531">
        <v>2900</v>
      </c>
      <c r="C44" s="535">
        <f>SUM('C06'!$E$250:$E$251)</f>
        <v>0</v>
      </c>
      <c r="D44" s="536"/>
      <c r="E44" s="535">
        <f>SUM('C07'!$E$187:$E$188)</f>
        <v>0</v>
      </c>
      <c r="F44" s="537"/>
      <c r="G44" s="535">
        <f>SUM('C08'!$E$255:$E$256)</f>
        <v>0</v>
      </c>
      <c r="H44" s="536"/>
      <c r="I44" s="548"/>
      <c r="J44" s="541"/>
      <c r="K44" s="535">
        <f>SUM('C011'!$E$154:$E$155)</f>
        <v>0</v>
      </c>
      <c r="L44" s="536"/>
      <c r="M44" s="548"/>
      <c r="N44" s="548"/>
      <c r="O44" s="535">
        <f>SUM('C013'!$E$154:$E$155)</f>
        <v>0</v>
      </c>
      <c r="P44" s="536"/>
      <c r="Q44" s="535">
        <f>SUM('C014'!$E$150:$E$151)</f>
        <v>0</v>
      </c>
      <c r="R44" s="536"/>
      <c r="S44" s="535">
        <f>SUM('C015'!$E$146:$E$147)</f>
        <v>0</v>
      </c>
      <c r="T44" s="536"/>
      <c r="U44" s="540"/>
      <c r="V44" s="541"/>
      <c r="W44" s="535">
        <f>SUM('C018'!$E$154:$E$155)</f>
        <v>0</v>
      </c>
      <c r="X44" s="536"/>
      <c r="Y44" s="535">
        <f>SUM('C022'!$E$146:$E$147)</f>
        <v>0</v>
      </c>
      <c r="Z44" s="536"/>
      <c r="AA44" s="548"/>
      <c r="AB44" s="548"/>
      <c r="AC44" s="535">
        <f>SUM('C026'!$E$70:$E$71)</f>
        <v>0</v>
      </c>
      <c r="AD44" s="536"/>
      <c r="AE44" s="552">
        <f>SUM('C028'!$E$90:$E$91)</f>
        <v>0</v>
      </c>
      <c r="AF44" s="536"/>
      <c r="AG44" s="572">
        <f>SUM('C029'!$E$156:$E$157)</f>
        <v>0</v>
      </c>
      <c r="AH44" s="536"/>
      <c r="AI44" s="535">
        <f>SUM('C030'!$E$227:$E$228)</f>
        <v>0</v>
      </c>
      <c r="AJ44" s="536"/>
      <c r="AK44" s="538">
        <f>SUM('C034'!$E$161:$E$162)</f>
        <v>0</v>
      </c>
      <c r="AL44" s="536"/>
      <c r="AM44" s="535">
        <f>SUM('C035'!$E$198:$E$199)</f>
        <v>0</v>
      </c>
      <c r="AN44" s="536"/>
      <c r="AO44" s="536"/>
      <c r="AP44" s="538">
        <f>SUM('C078'!$E$218:$E$219)</f>
        <v>0</v>
      </c>
      <c r="AQ44" s="570"/>
      <c r="AR44" s="544">
        <f t="shared" si="6"/>
        <v>0</v>
      </c>
      <c r="AT44" s="545">
        <f t="shared" si="7"/>
        <v>0</v>
      </c>
      <c r="AV44" s="546"/>
    </row>
    <row r="45" spans="2:48">
      <c r="B45" s="531">
        <v>3000</v>
      </c>
      <c r="C45" s="554"/>
      <c r="D45" s="554"/>
      <c r="E45" s="555">
        <f>SUM('C07'!$E$202:$E$203)</f>
        <v>0</v>
      </c>
      <c r="F45" s="556"/>
      <c r="G45" s="554"/>
      <c r="H45" s="554"/>
      <c r="I45" s="554"/>
      <c r="J45" s="554"/>
      <c r="K45" s="554"/>
      <c r="L45" s="554"/>
      <c r="M45" s="554"/>
      <c r="N45" s="554"/>
      <c r="O45" s="554"/>
      <c r="P45" s="554"/>
      <c r="Q45" s="554"/>
      <c r="R45" s="554"/>
      <c r="S45" s="554"/>
      <c r="T45" s="557"/>
      <c r="U45" s="554"/>
      <c r="V45" s="554"/>
      <c r="W45" s="554"/>
      <c r="X45" s="554"/>
      <c r="Y45" s="554"/>
      <c r="Z45" s="554"/>
      <c r="AA45" s="558">
        <f>SUM('C024'!$E$70:$E$71)</f>
        <v>135000</v>
      </c>
      <c r="AB45" s="559"/>
      <c r="AC45" s="554"/>
      <c r="AD45" s="554"/>
      <c r="AE45" s="554"/>
      <c r="AF45" s="554"/>
      <c r="AG45" s="554"/>
      <c r="AH45" s="554"/>
      <c r="AI45" s="554"/>
      <c r="AJ45" s="557"/>
      <c r="AK45" s="554"/>
      <c r="AL45" s="554"/>
      <c r="AM45" s="558">
        <f>SUM('C035'!$E$213:$E$214)</f>
        <v>0</v>
      </c>
      <c r="AN45" s="559"/>
      <c r="AO45" s="554"/>
      <c r="AP45" s="554"/>
      <c r="AQ45" s="557"/>
      <c r="AR45" s="544">
        <f t="shared" si="6"/>
        <v>135000</v>
      </c>
      <c r="AT45" s="545">
        <f t="shared" si="7"/>
        <v>0</v>
      </c>
      <c r="AV45" s="546"/>
    </row>
    <row r="46" spans="2:48">
      <c r="B46" s="562"/>
      <c r="C46" s="563">
        <f>SUM(C36:C45)</f>
        <v>2169419</v>
      </c>
      <c r="D46" s="564">
        <f t="shared" ref="D46:AR46" si="8">SUM(D36:D45)</f>
        <v>0</v>
      </c>
      <c r="E46" s="563">
        <f t="shared" si="8"/>
        <v>94024</v>
      </c>
      <c r="F46" s="564">
        <f t="shared" si="8"/>
        <v>0</v>
      </c>
      <c r="G46" s="563">
        <f t="shared" si="8"/>
        <v>179636</v>
      </c>
      <c r="H46" s="564">
        <f t="shared" si="8"/>
        <v>0</v>
      </c>
      <c r="I46" s="563">
        <f t="shared" si="8"/>
        <v>0</v>
      </c>
      <c r="J46" s="564">
        <f t="shared" si="8"/>
        <v>0</v>
      </c>
      <c r="K46" s="563">
        <f t="shared" si="8"/>
        <v>0</v>
      </c>
      <c r="L46" s="564">
        <f t="shared" si="8"/>
        <v>0</v>
      </c>
      <c r="M46" s="563">
        <f t="shared" si="8"/>
        <v>0</v>
      </c>
      <c r="N46" s="564">
        <f t="shared" si="8"/>
        <v>0</v>
      </c>
      <c r="O46" s="563">
        <f t="shared" si="8"/>
        <v>403076</v>
      </c>
      <c r="P46" s="564">
        <f t="shared" si="8"/>
        <v>0</v>
      </c>
      <c r="Q46" s="563">
        <f t="shared" si="8"/>
        <v>1000</v>
      </c>
      <c r="R46" s="564">
        <f t="shared" si="8"/>
        <v>0</v>
      </c>
      <c r="S46" s="563">
        <f t="shared" si="8"/>
        <v>0</v>
      </c>
      <c r="T46" s="564">
        <f t="shared" si="8"/>
        <v>0</v>
      </c>
      <c r="U46" s="563">
        <f t="shared" si="8"/>
        <v>55000</v>
      </c>
      <c r="V46" s="564">
        <f t="shared" si="8"/>
        <v>0</v>
      </c>
      <c r="W46" s="563">
        <f t="shared" si="8"/>
        <v>10619</v>
      </c>
      <c r="X46" s="564">
        <f t="shared" si="8"/>
        <v>0</v>
      </c>
      <c r="Y46" s="563">
        <f t="shared" si="8"/>
        <v>0</v>
      </c>
      <c r="Z46" s="564">
        <f t="shared" si="8"/>
        <v>0</v>
      </c>
      <c r="AA46" s="563">
        <f t="shared" si="8"/>
        <v>135000</v>
      </c>
      <c r="AB46" s="564">
        <f t="shared" si="8"/>
        <v>0</v>
      </c>
      <c r="AC46" s="563">
        <f t="shared" si="8"/>
        <v>6447</v>
      </c>
      <c r="AD46" s="564">
        <f t="shared" si="8"/>
        <v>0</v>
      </c>
      <c r="AE46" s="563">
        <f t="shared" si="8"/>
        <v>34000</v>
      </c>
      <c r="AF46" s="564">
        <f t="shared" si="8"/>
        <v>0</v>
      </c>
      <c r="AG46" s="563">
        <f t="shared" si="8"/>
        <v>0</v>
      </c>
      <c r="AH46" s="564">
        <f t="shared" si="8"/>
        <v>0</v>
      </c>
      <c r="AI46" s="563">
        <f t="shared" si="8"/>
        <v>125778</v>
      </c>
      <c r="AJ46" s="564">
        <f t="shared" si="8"/>
        <v>0</v>
      </c>
      <c r="AK46" s="563">
        <f t="shared" si="8"/>
        <v>142000</v>
      </c>
      <c r="AL46" s="564">
        <f t="shared" si="8"/>
        <v>0</v>
      </c>
      <c r="AM46" s="563">
        <f t="shared" si="8"/>
        <v>0</v>
      </c>
      <c r="AN46" s="564">
        <f t="shared" si="8"/>
        <v>0</v>
      </c>
      <c r="AO46" s="564">
        <f t="shared" si="8"/>
        <v>0</v>
      </c>
      <c r="AP46" s="563">
        <f t="shared" si="8"/>
        <v>0</v>
      </c>
      <c r="AQ46" s="564">
        <f t="shared" si="8"/>
        <v>0</v>
      </c>
      <c r="AR46" s="563">
        <f t="shared" si="8"/>
        <v>3300999</v>
      </c>
      <c r="AT46" s="565">
        <f t="shared" si="7"/>
        <v>0</v>
      </c>
      <c r="AV46" s="546"/>
    </row>
  </sheetData>
  <sheetProtection algorithmName="SHA-512" hashValue="kMM3uQi/mfSWLS8ymv146lIZdkaJVzDcrO5BS+Z2CBBLzJIByJ1B6sTL2D6ySyelXyQOTcGSede5yQjJqOZw7Q==" saltValue="hhKl3ljwW51nq/Ikko4kbQ==" spinCount="100000" sheet="1" objects="1" scenarios="1"/>
  <hyperlinks>
    <hyperlink ref="U1" location="Contents!A1" display="Return to Contents page"/>
  </hyperlinks>
  <printOptions horizontalCentered="1"/>
  <pageMargins left="0.75" right="0.75" top="0.5" bottom="0.5" header="0.3" footer="0.3"/>
  <pageSetup paperSize="3" orientation="landscape" r:id="rId1"/>
  <headerFooter alignWithMargins="0">
    <oddHeader>&amp;CBUDGET CONTENTS - FUNDS</oddHeader>
    <oddFooter>&amp;L&amp;F(&amp;A)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6" tint="-0.249977111117893"/>
  </sheetPr>
  <dimension ref="A1:X56"/>
  <sheetViews>
    <sheetView showGridLines="0" zoomScaleNormal="100" zoomScaleSheetLayoutView="100" workbookViewId="0">
      <selection activeCell="I10" sqref="I10"/>
    </sheetView>
  </sheetViews>
  <sheetFormatPr defaultColWidth="9.109375" defaultRowHeight="12.75" customHeight="1"/>
  <cols>
    <col min="1" max="1" width="33.44140625" style="488" customWidth="1"/>
    <col min="2" max="2" width="7.6640625" style="488" customWidth="1"/>
    <col min="3" max="3" width="11.6640625" style="488" customWidth="1"/>
    <col min="4" max="4" width="13.44140625" style="488" customWidth="1"/>
    <col min="5" max="5" width="7.6640625" style="488" customWidth="1"/>
    <col min="6" max="6" width="11.6640625" style="488" customWidth="1"/>
    <col min="7" max="7" width="12.88671875" style="488" customWidth="1"/>
    <col min="8" max="8" width="7.6640625" style="488" customWidth="1"/>
    <col min="9" max="9" width="11.6640625" style="488" customWidth="1"/>
    <col min="10" max="10" width="13.44140625" style="488" customWidth="1"/>
    <col min="11" max="17" width="9.109375" style="488"/>
    <col min="18" max="18" width="33.33203125" style="488" bestFit="1" customWidth="1"/>
    <col min="19" max="21" width="9.44140625" style="488" bestFit="1" customWidth="1"/>
    <col min="22" max="24" width="9.109375" style="488"/>
    <col min="25" max="16384" width="9.109375" style="485"/>
  </cols>
  <sheetData>
    <row r="1" spans="1:24" ht="12.75" customHeight="1">
      <c r="C1" s="801"/>
      <c r="D1" s="801" t="s">
        <v>809</v>
      </c>
      <c r="E1" s="802">
        <f>OPEN!B4</f>
        <v>237</v>
      </c>
      <c r="K1" s="486" t="s">
        <v>1400</v>
      </c>
    </row>
    <row r="2" spans="1:24" ht="12.75" customHeight="1">
      <c r="A2" s="6351" t="s">
        <v>5169</v>
      </c>
      <c r="B2" s="6351"/>
      <c r="C2" s="6351"/>
      <c r="D2" s="6351"/>
      <c r="E2" s="6351"/>
      <c r="F2" s="6351"/>
      <c r="G2" s="6351"/>
      <c r="H2" s="6351"/>
      <c r="I2" s="6351"/>
      <c r="J2" s="6351"/>
    </row>
    <row r="3" spans="1:24" ht="12.75" customHeight="1">
      <c r="B3" s="6352" t="str">
        <f>OpenData!N12</f>
        <v>2019-20 Actual</v>
      </c>
      <c r="C3" s="6352"/>
      <c r="D3" s="6352"/>
      <c r="E3" s="6353" t="str">
        <f>OpenData!O12</f>
        <v>2020-21 Actual</v>
      </c>
      <c r="F3" s="6352"/>
      <c r="G3" s="6354"/>
      <c r="H3" s="6353" t="str">
        <f>OpenData!P12</f>
        <v>2021-22 Contracted</v>
      </c>
      <c r="I3" s="6352"/>
      <c r="J3" s="6352"/>
    </row>
    <row r="4" spans="1:24" ht="12.75" customHeight="1">
      <c r="B4" s="4541" t="s">
        <v>1648</v>
      </c>
      <c r="C4" s="4540" t="s">
        <v>1649</v>
      </c>
      <c r="D4" s="664" t="s">
        <v>1650</v>
      </c>
      <c r="E4" s="4531" t="s">
        <v>1648</v>
      </c>
      <c r="F4" s="4540" t="s">
        <v>1649</v>
      </c>
      <c r="G4" s="4537" t="s">
        <v>1650</v>
      </c>
      <c r="H4" s="4531" t="s">
        <v>1648</v>
      </c>
      <c r="I4" s="4540" t="s">
        <v>1649</v>
      </c>
      <c r="J4" s="4541" t="s">
        <v>1650</v>
      </c>
    </row>
    <row r="5" spans="1:24" ht="12.75" customHeight="1" thickBot="1">
      <c r="A5" s="803" t="s">
        <v>1652</v>
      </c>
      <c r="B5" s="519">
        <v>7</v>
      </c>
      <c r="C5" s="489">
        <v>503291</v>
      </c>
      <c r="D5" s="4529">
        <f>IF(B5&lt;1,C5,C5/B5)</f>
        <v>71899</v>
      </c>
      <c r="E5" s="4532">
        <v>7.5</v>
      </c>
      <c r="F5" s="4533">
        <v>563233</v>
      </c>
      <c r="G5" s="4538">
        <f>IF(E5&lt;1,F5,F5/E5)</f>
        <v>75098</v>
      </c>
      <c r="H5" s="4532">
        <v>7</v>
      </c>
      <c r="I5" s="4533">
        <v>561008</v>
      </c>
      <c r="J5" s="4534">
        <f>IF(H5&lt;1,I5,I5/H5)</f>
        <v>80144</v>
      </c>
      <c r="R5" s="661" t="s">
        <v>1651</v>
      </c>
      <c r="S5" s="784" t="str">
        <f>OpenData!$N$4</f>
        <v>2019-2020</v>
      </c>
      <c r="T5" s="784" t="str">
        <f>OpenData!$O$4</f>
        <v>2020-2021</v>
      </c>
      <c r="U5" s="784" t="str">
        <f>OpenData!$P$4</f>
        <v>2021-2022</v>
      </c>
    </row>
    <row r="6" spans="1:24" ht="12.75" customHeight="1">
      <c r="A6" s="803" t="s">
        <v>1653</v>
      </c>
      <c r="B6" s="519">
        <v>35.799999999999997</v>
      </c>
      <c r="C6" s="489">
        <v>1926144</v>
      </c>
      <c r="D6" s="4529">
        <f>IF(B6&lt;1,C6,C6/B6)</f>
        <v>53803</v>
      </c>
      <c r="E6" s="4532">
        <v>33.700000000000003</v>
      </c>
      <c r="F6" s="4533">
        <v>2204988</v>
      </c>
      <c r="G6" s="4538">
        <f>IF(E6&lt;1,F6,F6/E6)</f>
        <v>65430</v>
      </c>
      <c r="H6" s="4532">
        <v>33.700000000000003</v>
      </c>
      <c r="I6" s="4533">
        <v>2252696</v>
      </c>
      <c r="J6" s="4534">
        <f>IF(H6&lt;1,I6,I6/H6)</f>
        <v>66846</v>
      </c>
      <c r="R6" s="803" t="s">
        <v>3039</v>
      </c>
      <c r="S6" s="662">
        <f>D5</f>
        <v>71899</v>
      </c>
      <c r="T6" s="662">
        <f>G5</f>
        <v>75098</v>
      </c>
      <c r="U6" s="662">
        <f>J5</f>
        <v>80144</v>
      </c>
    </row>
    <row r="7" spans="1:24" ht="12.75" customHeight="1">
      <c r="A7" s="803" t="s">
        <v>1654</v>
      </c>
      <c r="B7" s="519">
        <v>2.9</v>
      </c>
      <c r="C7" s="489">
        <v>172278</v>
      </c>
      <c r="D7" s="4529">
        <f>IF(B7&lt;1,C7,C7/B7)</f>
        <v>59406</v>
      </c>
      <c r="E7" s="4532">
        <v>4.5</v>
      </c>
      <c r="F7" s="4533">
        <v>221355</v>
      </c>
      <c r="G7" s="4538">
        <f>IF(E7&lt;1,F7,F7/E7)</f>
        <v>49190</v>
      </c>
      <c r="H7" s="4532">
        <v>4.5</v>
      </c>
      <c r="I7" s="4533">
        <v>224554</v>
      </c>
      <c r="J7" s="4534">
        <f>IF(H7&lt;1,I7,I7/H7)</f>
        <v>49901</v>
      </c>
      <c r="R7" s="803" t="s">
        <v>1653</v>
      </c>
      <c r="S7" s="662">
        <f>D6</f>
        <v>53803</v>
      </c>
      <c r="T7" s="662">
        <f>G6</f>
        <v>65430</v>
      </c>
      <c r="U7" s="662">
        <f>J6</f>
        <v>66846</v>
      </c>
    </row>
    <row r="8" spans="1:24" ht="12.75" customHeight="1">
      <c r="A8" s="803" t="s">
        <v>1655</v>
      </c>
      <c r="B8" s="519">
        <v>17.399999999999999</v>
      </c>
      <c r="C8" s="489">
        <v>784668</v>
      </c>
      <c r="D8" s="4529">
        <f>IF(B8&lt;1,C8,C8/B8)</f>
        <v>45096</v>
      </c>
      <c r="E8" s="4532">
        <v>21.8</v>
      </c>
      <c r="F8" s="4533">
        <v>758244</v>
      </c>
      <c r="G8" s="4538">
        <f>IF(E8&lt;1,F8,F8/E8)</f>
        <v>34782</v>
      </c>
      <c r="H8" s="4532">
        <v>21.1</v>
      </c>
      <c r="I8" s="4533">
        <v>769511</v>
      </c>
      <c r="J8" s="4534">
        <f>IF(H8&lt;1,I8,I8/H8)</f>
        <v>36470</v>
      </c>
      <c r="R8" s="803" t="s">
        <v>3040</v>
      </c>
      <c r="S8" s="662">
        <f>D7</f>
        <v>59406</v>
      </c>
      <c r="T8" s="662">
        <f>G7</f>
        <v>49190</v>
      </c>
      <c r="U8" s="662">
        <f>J7</f>
        <v>49901</v>
      </c>
    </row>
    <row r="9" spans="1:24" ht="12.75" customHeight="1">
      <c r="A9" s="803" t="s">
        <v>1656</v>
      </c>
      <c r="B9" s="520" t="s">
        <v>5168</v>
      </c>
      <c r="C9" s="489">
        <v>205469</v>
      </c>
      <c r="D9" s="4530" t="s">
        <v>4905</v>
      </c>
      <c r="E9" s="4535" t="s">
        <v>5168</v>
      </c>
      <c r="F9" s="4533">
        <v>245599</v>
      </c>
      <c r="G9" s="4539" t="s">
        <v>4905</v>
      </c>
      <c r="H9" s="4535" t="s">
        <v>5168</v>
      </c>
      <c r="I9" s="4533">
        <v>244529</v>
      </c>
      <c r="J9" s="4536" t="s">
        <v>4905</v>
      </c>
      <c r="R9" s="803" t="s">
        <v>1655</v>
      </c>
      <c r="S9" s="662">
        <f>D8</f>
        <v>45096</v>
      </c>
      <c r="T9" s="662">
        <f>G8</f>
        <v>34782</v>
      </c>
      <c r="U9" s="662">
        <f>J8</f>
        <v>36470</v>
      </c>
    </row>
    <row r="10" spans="1:24" ht="12.75" customHeight="1">
      <c r="A10" s="804"/>
      <c r="B10" s="521"/>
      <c r="C10" s="805"/>
      <c r="D10" s="806"/>
      <c r="E10" s="521"/>
      <c r="F10" s="805"/>
      <c r="G10" s="806"/>
      <c r="H10" s="521"/>
      <c r="I10" s="805"/>
      <c r="J10" s="806"/>
    </row>
    <row r="11" spans="1:24" s="487" customFormat="1" ht="12.75" customHeight="1">
      <c r="A11" s="804"/>
      <c r="B11" s="521"/>
      <c r="C11" s="805"/>
      <c r="D11" s="806"/>
      <c r="E11" s="521"/>
      <c r="F11" s="805"/>
      <c r="G11" s="806"/>
      <c r="H11" s="521"/>
      <c r="I11" s="805"/>
      <c r="J11" s="806"/>
      <c r="K11" s="491"/>
      <c r="L11" s="491"/>
      <c r="M11" s="491"/>
      <c r="N11" s="491"/>
      <c r="O11" s="491"/>
      <c r="P11" s="491"/>
      <c r="Q11" s="491"/>
      <c r="R11" s="491"/>
      <c r="S11" s="491"/>
      <c r="T11" s="491"/>
      <c r="U11" s="491"/>
      <c r="V11" s="491"/>
      <c r="W11" s="491"/>
      <c r="X11" s="491"/>
    </row>
    <row r="12" spans="1:24" s="487" customFormat="1" ht="12.75" customHeight="1">
      <c r="A12" s="804"/>
      <c r="B12" s="521"/>
      <c r="C12" s="805"/>
      <c r="D12" s="806"/>
      <c r="E12" s="521"/>
      <c r="F12" s="805"/>
      <c r="G12" s="806"/>
      <c r="H12" s="521"/>
      <c r="I12" s="805"/>
      <c r="J12" s="806"/>
      <c r="K12" s="491"/>
      <c r="L12" s="491"/>
      <c r="M12" s="491"/>
      <c r="N12" s="491"/>
      <c r="O12" s="491"/>
      <c r="P12" s="491"/>
      <c r="Q12" s="491"/>
      <c r="R12" s="491"/>
      <c r="S12" s="491"/>
      <c r="T12" s="491"/>
      <c r="U12" s="491"/>
      <c r="V12" s="491"/>
      <c r="W12" s="491"/>
      <c r="X12" s="491"/>
    </row>
    <row r="13" spans="1:24" s="487" customFormat="1" ht="12.75" customHeight="1">
      <c r="A13" s="804"/>
      <c r="B13" s="521"/>
      <c r="C13" s="805"/>
      <c r="D13" s="806"/>
      <c r="E13" s="521"/>
      <c r="F13" s="805"/>
      <c r="G13" s="806"/>
      <c r="H13" s="521"/>
      <c r="I13" s="805"/>
      <c r="J13" s="806"/>
      <c r="K13" s="491"/>
      <c r="L13" s="491"/>
      <c r="M13" s="491"/>
      <c r="N13" s="491"/>
      <c r="O13" s="491"/>
      <c r="P13" s="491"/>
      <c r="Q13" s="491"/>
      <c r="R13" s="491"/>
      <c r="S13" s="491"/>
      <c r="T13" s="491"/>
      <c r="U13" s="491"/>
      <c r="V13" s="491"/>
      <c r="W13" s="491"/>
      <c r="X13" s="491"/>
    </row>
    <row r="14" spans="1:24" s="487" customFormat="1" ht="12.75" customHeight="1">
      <c r="A14" s="804"/>
      <c r="B14" s="521"/>
      <c r="C14" s="805"/>
      <c r="D14" s="806"/>
      <c r="E14" s="521"/>
      <c r="F14" s="805"/>
      <c r="G14" s="806"/>
      <c r="H14" s="521"/>
      <c r="I14" s="805"/>
      <c r="J14" s="806"/>
      <c r="K14" s="491"/>
      <c r="L14" s="491"/>
      <c r="M14" s="491"/>
      <c r="N14" s="491"/>
      <c r="O14" s="491"/>
      <c r="P14" s="491"/>
      <c r="Q14" s="491"/>
      <c r="R14" s="491"/>
      <c r="S14" s="491"/>
      <c r="T14" s="491"/>
      <c r="U14" s="491"/>
      <c r="V14" s="491"/>
      <c r="W14" s="491"/>
      <c r="X14" s="491"/>
    </row>
    <row r="15" spans="1:24" s="487" customFormat="1" ht="12.75" customHeight="1">
      <c r="A15" s="804"/>
      <c r="B15" s="521"/>
      <c r="C15" s="805"/>
      <c r="D15" s="806"/>
      <c r="E15" s="521"/>
      <c r="F15" s="805"/>
      <c r="G15" s="806"/>
      <c r="H15" s="521"/>
      <c r="I15" s="805"/>
      <c r="J15" s="806"/>
      <c r="K15" s="491"/>
      <c r="L15" s="491"/>
      <c r="M15" s="491"/>
      <c r="N15" s="491"/>
      <c r="O15" s="491"/>
      <c r="P15" s="491"/>
      <c r="Q15" s="491"/>
      <c r="R15" s="491"/>
      <c r="S15" s="491"/>
      <c r="T15" s="491"/>
      <c r="U15" s="491"/>
      <c r="V15" s="491"/>
      <c r="W15" s="491"/>
      <c r="X15" s="491"/>
    </row>
    <row r="16" spans="1:24" s="487" customFormat="1" ht="12.75" customHeight="1">
      <c r="A16" s="804"/>
      <c r="B16" s="521"/>
      <c r="C16" s="805"/>
      <c r="D16" s="806"/>
      <c r="E16" s="521"/>
      <c r="F16" s="805"/>
      <c r="G16" s="806"/>
      <c r="H16" s="521"/>
      <c r="I16" s="805"/>
      <c r="J16" s="806"/>
      <c r="K16" s="491"/>
      <c r="L16" s="491"/>
      <c r="M16" s="491"/>
      <c r="N16" s="491"/>
      <c r="O16" s="491"/>
      <c r="P16" s="491"/>
      <c r="Q16" s="491"/>
      <c r="R16" s="491"/>
      <c r="S16" s="491"/>
      <c r="T16" s="491"/>
      <c r="U16" s="491"/>
      <c r="V16" s="491"/>
      <c r="W16" s="491"/>
      <c r="X16" s="491"/>
    </row>
    <row r="17" spans="1:24" s="487" customFormat="1" ht="12.75" customHeight="1">
      <c r="A17" s="804"/>
      <c r="B17" s="521"/>
      <c r="C17" s="805"/>
      <c r="D17" s="806"/>
      <c r="E17" s="521"/>
      <c r="F17" s="805"/>
      <c r="G17" s="806"/>
      <c r="H17" s="521"/>
      <c r="I17" s="805"/>
      <c r="J17" s="806"/>
      <c r="K17" s="491"/>
      <c r="L17" s="491"/>
      <c r="M17" s="491"/>
      <c r="N17" s="491"/>
      <c r="O17" s="491"/>
      <c r="P17" s="491"/>
      <c r="Q17" s="491"/>
      <c r="R17" s="491"/>
      <c r="S17" s="491"/>
      <c r="T17" s="491"/>
      <c r="U17" s="491"/>
      <c r="V17" s="491"/>
      <c r="W17" s="491"/>
      <c r="X17" s="491"/>
    </row>
    <row r="18" spans="1:24" s="487" customFormat="1" ht="12.75" customHeight="1">
      <c r="A18" s="804"/>
      <c r="B18" s="521"/>
      <c r="C18" s="805"/>
      <c r="D18" s="806"/>
      <c r="E18" s="521"/>
      <c r="F18" s="805"/>
      <c r="G18" s="806"/>
      <c r="H18" s="521"/>
      <c r="I18" s="805"/>
      <c r="J18" s="806"/>
      <c r="K18" s="491"/>
      <c r="L18" s="491"/>
      <c r="M18" s="491"/>
      <c r="N18" s="491"/>
      <c r="O18" s="491"/>
      <c r="P18" s="491"/>
      <c r="Q18" s="491"/>
      <c r="R18" s="491"/>
      <c r="S18" s="491"/>
      <c r="T18" s="491"/>
      <c r="U18" s="491"/>
      <c r="V18" s="491"/>
      <c r="W18" s="491"/>
      <c r="X18" s="491"/>
    </row>
    <row r="19" spans="1:24" s="487" customFormat="1" ht="12.75" customHeight="1">
      <c r="A19" s="804"/>
      <c r="B19" s="521"/>
      <c r="C19" s="805"/>
      <c r="D19" s="806"/>
      <c r="E19" s="521"/>
      <c r="F19" s="805"/>
      <c r="G19" s="806"/>
      <c r="H19" s="521"/>
      <c r="I19" s="805"/>
      <c r="J19" s="806"/>
      <c r="K19" s="491"/>
      <c r="L19" s="491"/>
      <c r="M19" s="491"/>
      <c r="N19" s="491"/>
      <c r="O19" s="491"/>
      <c r="P19" s="491"/>
      <c r="Q19" s="491"/>
      <c r="R19" s="491"/>
      <c r="S19" s="491"/>
      <c r="T19" s="491"/>
      <c r="U19" s="491"/>
      <c r="V19" s="491"/>
      <c r="W19" s="491"/>
      <c r="X19" s="491"/>
    </row>
    <row r="20" spans="1:24" s="487" customFormat="1" ht="12.75" customHeight="1">
      <c r="A20" s="804"/>
      <c r="B20" s="521"/>
      <c r="C20" s="805"/>
      <c r="D20" s="806"/>
      <c r="E20" s="521"/>
      <c r="F20" s="805"/>
      <c r="G20" s="806"/>
      <c r="H20" s="521"/>
      <c r="I20" s="805"/>
      <c r="J20" s="806"/>
      <c r="K20" s="491"/>
      <c r="L20" s="491"/>
      <c r="M20" s="491"/>
      <c r="N20" s="491"/>
      <c r="O20" s="491"/>
      <c r="P20" s="491"/>
      <c r="Q20" s="491"/>
      <c r="R20" s="491"/>
      <c r="S20" s="491"/>
      <c r="T20" s="491"/>
      <c r="U20" s="491"/>
      <c r="V20" s="491"/>
      <c r="W20" s="491"/>
      <c r="X20" s="491"/>
    </row>
    <row r="21" spans="1:24" s="487" customFormat="1" ht="12.75" customHeight="1">
      <c r="A21" s="804"/>
      <c r="B21" s="521"/>
      <c r="C21" s="805"/>
      <c r="D21" s="806"/>
      <c r="E21" s="521"/>
      <c r="F21" s="805"/>
      <c r="G21" s="806"/>
      <c r="H21" s="521"/>
      <c r="I21" s="805"/>
      <c r="J21" s="806"/>
      <c r="K21" s="491"/>
      <c r="L21" s="491"/>
      <c r="M21" s="491"/>
      <c r="N21" s="491"/>
      <c r="O21" s="491"/>
      <c r="P21" s="491"/>
      <c r="Q21" s="491"/>
      <c r="R21" s="491"/>
      <c r="S21" s="491"/>
      <c r="T21" s="491"/>
      <c r="U21" s="491"/>
      <c r="V21" s="491"/>
      <c r="W21" s="491"/>
      <c r="X21" s="491"/>
    </row>
    <row r="22" spans="1:24" s="487" customFormat="1" ht="12.75" customHeight="1">
      <c r="A22" s="804"/>
      <c r="B22" s="521"/>
      <c r="C22" s="805"/>
      <c r="D22" s="806"/>
      <c r="E22" s="521"/>
      <c r="F22" s="805"/>
      <c r="G22" s="806"/>
      <c r="H22" s="521"/>
      <c r="I22" s="805"/>
      <c r="J22" s="806"/>
      <c r="K22" s="491"/>
      <c r="L22" s="491"/>
      <c r="M22" s="491"/>
      <c r="N22" s="491"/>
      <c r="O22" s="491"/>
      <c r="P22" s="491"/>
      <c r="Q22" s="491"/>
      <c r="R22" s="491"/>
      <c r="S22" s="491"/>
      <c r="T22" s="491"/>
      <c r="U22" s="491"/>
      <c r="V22" s="491"/>
      <c r="W22" s="491"/>
      <c r="X22" s="491"/>
    </row>
    <row r="23" spans="1:24" s="487" customFormat="1" ht="12.75" customHeight="1">
      <c r="A23" s="804"/>
      <c r="B23" s="521"/>
      <c r="C23" s="805"/>
      <c r="D23" s="806"/>
      <c r="E23" s="521"/>
      <c r="F23" s="805"/>
      <c r="G23" s="806"/>
      <c r="H23" s="521"/>
      <c r="I23" s="805"/>
      <c r="J23" s="806"/>
      <c r="K23" s="491"/>
      <c r="L23" s="491"/>
      <c r="M23" s="491"/>
      <c r="N23" s="491"/>
      <c r="O23" s="491"/>
      <c r="P23" s="491"/>
      <c r="Q23" s="491"/>
      <c r="R23" s="491"/>
      <c r="S23" s="491"/>
      <c r="T23" s="491"/>
      <c r="U23" s="491"/>
      <c r="V23" s="491"/>
      <c r="W23" s="491"/>
      <c r="X23" s="491"/>
    </row>
    <row r="24" spans="1:24" s="487" customFormat="1" ht="12.75" customHeight="1">
      <c r="A24" s="804"/>
      <c r="B24" s="521"/>
      <c r="C24" s="805"/>
      <c r="D24" s="806"/>
      <c r="E24" s="521"/>
      <c r="F24" s="805"/>
      <c r="G24" s="806"/>
      <c r="H24" s="521"/>
      <c r="I24" s="805"/>
      <c r="J24" s="806"/>
      <c r="K24" s="491"/>
      <c r="L24" s="491"/>
      <c r="M24" s="491"/>
      <c r="N24" s="491"/>
      <c r="O24" s="491"/>
      <c r="P24" s="491"/>
      <c r="Q24" s="491"/>
      <c r="R24" s="491"/>
      <c r="S24" s="491"/>
      <c r="T24" s="491"/>
      <c r="U24" s="491"/>
      <c r="V24" s="491"/>
      <c r="W24" s="491"/>
      <c r="X24" s="491"/>
    </row>
    <row r="25" spans="1:24" s="487" customFormat="1" ht="12.75" customHeight="1">
      <c r="A25" s="804"/>
      <c r="B25" s="521"/>
      <c r="C25" s="805"/>
      <c r="D25" s="806"/>
      <c r="E25" s="521"/>
      <c r="F25" s="805"/>
      <c r="G25" s="806"/>
      <c r="H25" s="521"/>
      <c r="I25" s="805"/>
      <c r="J25" s="806"/>
      <c r="K25" s="491"/>
      <c r="L25" s="491"/>
      <c r="M25" s="491"/>
      <c r="N25" s="491"/>
      <c r="O25" s="491"/>
      <c r="P25" s="491"/>
      <c r="Q25" s="491"/>
      <c r="R25" s="491"/>
      <c r="S25" s="491"/>
      <c r="T25" s="491"/>
      <c r="U25" s="491"/>
      <c r="V25" s="491"/>
      <c r="W25" s="491"/>
      <c r="X25" s="491"/>
    </row>
    <row r="26" spans="1:24" s="487" customFormat="1" ht="12.75" customHeight="1" thickBot="1">
      <c r="A26" s="4528" t="s">
        <v>1657</v>
      </c>
      <c r="B26" s="807"/>
      <c r="C26" s="807"/>
      <c r="D26" s="807"/>
      <c r="E26" s="807"/>
      <c r="F26" s="807"/>
      <c r="G26" s="807"/>
      <c r="H26" s="807"/>
      <c r="I26" s="807"/>
      <c r="J26" s="807"/>
      <c r="K26" s="491"/>
      <c r="L26" s="491"/>
      <c r="M26" s="491"/>
      <c r="N26" s="491"/>
      <c r="O26" s="491"/>
      <c r="P26" s="491"/>
      <c r="Q26" s="491"/>
      <c r="R26" s="491"/>
      <c r="S26" s="491"/>
      <c r="T26" s="491"/>
      <c r="U26" s="491"/>
      <c r="V26" s="491"/>
      <c r="W26" s="491"/>
      <c r="X26" s="491"/>
    </row>
    <row r="27" spans="1:24" ht="12.75" customHeight="1">
      <c r="A27" s="6349" t="s">
        <v>1658</v>
      </c>
      <c r="B27" s="6348" t="s">
        <v>5170</v>
      </c>
      <c r="C27" s="6348"/>
      <c r="D27" s="6348"/>
      <c r="E27" s="6348"/>
      <c r="F27" s="6348"/>
      <c r="G27" s="6348"/>
      <c r="H27" s="6348"/>
      <c r="I27" s="6348"/>
      <c r="J27" s="6348"/>
    </row>
    <row r="28" spans="1:24" ht="37.5" customHeight="1" thickBot="1">
      <c r="A28" s="6350"/>
      <c r="B28" s="6344" t="s">
        <v>5171</v>
      </c>
      <c r="C28" s="6344"/>
      <c r="D28" s="6344"/>
      <c r="E28" s="6344"/>
      <c r="F28" s="6344"/>
      <c r="G28" s="6344"/>
      <c r="H28" s="6344"/>
      <c r="I28" s="6344"/>
      <c r="J28" s="6344"/>
    </row>
    <row r="29" spans="1:24" ht="36.75" customHeight="1" thickBot="1">
      <c r="A29" s="4542" t="s">
        <v>1659</v>
      </c>
      <c r="B29" s="6345" t="s">
        <v>5172</v>
      </c>
      <c r="C29" s="6345"/>
      <c r="D29" s="6345"/>
      <c r="E29" s="6345"/>
      <c r="F29" s="6345"/>
      <c r="G29" s="6345"/>
      <c r="H29" s="6345"/>
      <c r="I29" s="6345"/>
      <c r="J29" s="6345"/>
    </row>
    <row r="30" spans="1:24" ht="27" customHeight="1" thickBot="1">
      <c r="A30" s="4542" t="s">
        <v>1660</v>
      </c>
      <c r="B30" s="6345" t="s">
        <v>5173</v>
      </c>
      <c r="C30" s="6345"/>
      <c r="D30" s="6345"/>
      <c r="E30" s="6345"/>
      <c r="F30" s="6345"/>
      <c r="G30" s="6345"/>
      <c r="H30" s="6345"/>
      <c r="I30" s="6345"/>
      <c r="J30" s="6345"/>
    </row>
    <row r="31" spans="1:24" ht="25.5" customHeight="1" thickBot="1">
      <c r="A31" s="4543" t="s">
        <v>1661</v>
      </c>
      <c r="B31" s="6346" t="s">
        <v>5174</v>
      </c>
      <c r="C31" s="6346"/>
      <c r="D31" s="6346"/>
      <c r="E31" s="6346"/>
      <c r="F31" s="6346"/>
      <c r="G31" s="6346"/>
      <c r="H31" s="6346"/>
      <c r="I31" s="6346"/>
      <c r="J31" s="6346"/>
    </row>
    <row r="32" spans="1:24" ht="26.25" customHeight="1" thickBot="1">
      <c r="A32" s="808" t="s">
        <v>1662</v>
      </c>
      <c r="B32" s="807" t="s">
        <v>1663</v>
      </c>
      <c r="C32" s="807"/>
      <c r="D32" s="807"/>
      <c r="E32" s="807"/>
      <c r="F32" s="807"/>
      <c r="G32" s="807"/>
      <c r="H32" s="807"/>
      <c r="I32" s="807"/>
      <c r="J32" s="807"/>
    </row>
    <row r="33" spans="1:10" ht="14.4" thickBot="1">
      <c r="A33" s="4543" t="s">
        <v>1664</v>
      </c>
      <c r="B33" s="6347" t="s">
        <v>5175</v>
      </c>
      <c r="C33" s="6347"/>
      <c r="D33" s="6347"/>
      <c r="E33" s="6347"/>
      <c r="F33" s="6347"/>
      <c r="G33" s="6347"/>
      <c r="H33" s="6347"/>
      <c r="I33" s="6347"/>
      <c r="J33" s="6347"/>
    </row>
    <row r="34" spans="1:10" ht="12.75" customHeight="1">
      <c r="A34" s="6348" t="s">
        <v>5176</v>
      </c>
      <c r="B34" s="6348"/>
      <c r="C34" s="6348"/>
      <c r="D34" s="6348"/>
      <c r="E34" s="6348"/>
      <c r="F34" s="6348"/>
      <c r="G34" s="6348"/>
      <c r="H34" s="6348"/>
      <c r="I34" s="6348"/>
      <c r="J34" s="6348"/>
    </row>
    <row r="35" spans="1:10" ht="24.75" customHeight="1">
      <c r="A35" s="6343" t="s">
        <v>1665</v>
      </c>
      <c r="B35" s="6343"/>
      <c r="C35" s="6343"/>
      <c r="D35" s="6343"/>
      <c r="E35" s="6343"/>
      <c r="F35" s="6343"/>
      <c r="G35" s="6343"/>
      <c r="H35" s="6343"/>
      <c r="I35" s="6343"/>
      <c r="J35" s="6343"/>
    </row>
    <row r="36" spans="1:10" ht="13.8">
      <c r="A36" s="6344" t="s">
        <v>5177</v>
      </c>
      <c r="B36" s="6344"/>
      <c r="C36" s="6344"/>
      <c r="D36" s="6344"/>
      <c r="E36" s="6344"/>
      <c r="F36" s="6344"/>
      <c r="G36" s="6344"/>
      <c r="H36" s="6344"/>
      <c r="I36" s="6344"/>
      <c r="J36" s="6344"/>
    </row>
    <row r="37" spans="1:10" ht="12.75" customHeight="1">
      <c r="A37" s="6344" t="s">
        <v>5178</v>
      </c>
      <c r="B37" s="6344"/>
      <c r="C37" s="6344"/>
      <c r="D37" s="6344"/>
      <c r="E37" s="6344"/>
      <c r="F37" s="6344"/>
      <c r="G37" s="6344"/>
      <c r="H37" s="6344"/>
      <c r="I37" s="6344"/>
      <c r="J37" s="6344"/>
    </row>
    <row r="38" spans="1:10" ht="24.75" customHeight="1">
      <c r="A38" s="665"/>
      <c r="B38" s="665"/>
      <c r="C38" s="665"/>
      <c r="D38" s="665"/>
      <c r="E38" s="665"/>
      <c r="F38" s="665"/>
      <c r="G38" s="665"/>
      <c r="H38" s="665"/>
      <c r="I38" s="665"/>
      <c r="J38" s="665"/>
    </row>
    <row r="39" spans="1:10" ht="25.5" customHeight="1">
      <c r="A39" s="665"/>
      <c r="B39" s="665"/>
      <c r="C39" s="665"/>
      <c r="D39" s="665"/>
      <c r="E39" s="665"/>
      <c r="F39" s="665"/>
      <c r="G39" s="665"/>
      <c r="H39" s="665"/>
      <c r="I39" s="665"/>
      <c r="J39" s="665"/>
    </row>
    <row r="40" spans="1:10" ht="12.75" customHeight="1">
      <c r="A40" s="665"/>
      <c r="B40" s="665"/>
      <c r="C40" s="665"/>
      <c r="D40" s="665"/>
      <c r="E40" s="665"/>
      <c r="F40" s="665"/>
      <c r="G40" s="665"/>
      <c r="H40" s="665"/>
      <c r="I40" s="665"/>
      <c r="J40" s="665"/>
    </row>
    <row r="41" spans="1:10" ht="12.75" customHeight="1">
      <c r="A41" s="665"/>
      <c r="B41" s="665"/>
      <c r="C41" s="665"/>
      <c r="D41" s="665"/>
      <c r="E41" s="665"/>
      <c r="F41" s="665"/>
      <c r="G41" s="665"/>
      <c r="H41" s="665"/>
      <c r="I41" s="665"/>
      <c r="J41" s="665"/>
    </row>
    <row r="56" spans="2:9" ht="12.75" customHeight="1">
      <c r="B56" s="809">
        <f>SUM(B5:B8)</f>
        <v>63.1</v>
      </c>
      <c r="C56" s="810">
        <f>SUM(C5:C9)</f>
        <v>3591850</v>
      </c>
      <c r="D56" s="811"/>
      <c r="E56" s="809">
        <f>SUM(E5:E8)</f>
        <v>67.5</v>
      </c>
      <c r="F56" s="810">
        <f>SUM(F5:F9)</f>
        <v>3993419</v>
      </c>
      <c r="G56" s="811"/>
      <c r="H56" s="809">
        <f>SUM(H5:H8)</f>
        <v>66.3</v>
      </c>
      <c r="I56" s="810">
        <f>SUM(I5:I9)</f>
        <v>4052298</v>
      </c>
    </row>
  </sheetData>
  <sheetProtection algorithmName="SHA-512" hashValue="NzrmM7Go6gyUN4vHsCODzYEIdNACUjFn2YngU7JJtoJXfRnG+7NaCRAuV8+G+mcAGY1glEJ94xHHA+ehAZzUNA==" saltValue="NfLUiP0q0rrf+GtcI/zChw==" spinCount="100000" sheet="1" objects="1" scenarios="1"/>
  <mergeCells count="15">
    <mergeCell ref="A27:A28"/>
    <mergeCell ref="A2:J2"/>
    <mergeCell ref="B3:D3"/>
    <mergeCell ref="E3:G3"/>
    <mergeCell ref="H3:J3"/>
    <mergeCell ref="B27:J27"/>
    <mergeCell ref="B28:J28"/>
    <mergeCell ref="A35:J35"/>
    <mergeCell ref="A36:J36"/>
    <mergeCell ref="A37:J37"/>
    <mergeCell ref="B29:J29"/>
    <mergeCell ref="B30:J30"/>
    <mergeCell ref="B31:J31"/>
    <mergeCell ref="B33:J33"/>
    <mergeCell ref="A34:J34"/>
  </mergeCells>
  <dataValidations count="2">
    <dataValidation type="whole" operator="greaterThanOrEqual" showInputMessage="1" showErrorMessage="1" errorTitle="Invalid Data Entry" error="Please enter a whole, positive number or press the delete key or enter zero." sqref="C5:C25 F5:F25 I5:I25">
      <formula1>0</formula1>
    </dataValidation>
    <dataValidation type="decimal" operator="greaterThanOrEqual" showInputMessage="1" showErrorMessage="1" errorTitle="Invalid Data Entry" error="Please enter a positive number (up to a 10th of a decimal) or press the delete key or enter zero." sqref="B5:B8 E5:E8 H5:H8">
      <formula1>0</formula1>
    </dataValidation>
  </dataValidations>
  <hyperlinks>
    <hyperlink ref="K1" location="Contents!A1" display="Return to Contents"/>
  </hyperlinks>
  <printOptions horizontalCentered="1"/>
  <pageMargins left="0.75" right="0.75" top="0.5" bottom="0.5" header="0.3" footer="0.3"/>
  <pageSetup scale="86" orientation="landscape" blackAndWhite="1" r:id="rId1"/>
  <headerFooter scaleWithDoc="0">
    <oddFooter>&amp;L&amp;"Open Sans Light,Regular"&amp;8&amp;D &amp;T&amp;C&amp;"Open Sans Light,Regular"&amp;8Page &amp;P&amp;R&amp;"Open Sans Light,Regular"&amp;8&amp;A</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6" tint="-0.249977111117893"/>
  </sheetPr>
  <dimension ref="A1:H60"/>
  <sheetViews>
    <sheetView showGridLines="0" zoomScaleNormal="100" zoomScaleSheetLayoutView="100" workbookViewId="0">
      <pane ySplit="6" topLeftCell="A46" activePane="bottomLeft" state="frozen"/>
      <selection activeCell="B22" sqref="B22"/>
      <selection pane="bottomLeft" activeCell="A7" sqref="A7:A40"/>
    </sheetView>
  </sheetViews>
  <sheetFormatPr defaultColWidth="9.109375" defaultRowHeight="12.75" customHeight="1"/>
  <cols>
    <col min="1" max="1" width="40.6640625" style="488" customWidth="1"/>
    <col min="2" max="2" width="5.6640625" style="488" customWidth="1"/>
    <col min="3" max="5" width="14.33203125" style="488" customWidth="1"/>
    <col min="6" max="6" width="4.88671875" style="488" customWidth="1"/>
    <col min="7" max="16384" width="9.109375" style="488"/>
  </cols>
  <sheetData>
    <row r="1" spans="1:8" ht="12.75" customHeight="1">
      <c r="A1" s="500" t="s">
        <v>836</v>
      </c>
      <c r="B1" s="500"/>
      <c r="C1" s="490"/>
      <c r="D1" s="501"/>
      <c r="E1" s="501" t="str">
        <f>"USD #"&amp;OPEN!$B$4</f>
        <v>USD #237</v>
      </c>
      <c r="F1" s="490"/>
      <c r="G1" s="486" t="s">
        <v>754</v>
      </c>
      <c r="H1" s="490"/>
    </row>
    <row r="2" spans="1:8" ht="12.75" customHeight="1">
      <c r="A2" s="500" t="str">
        <f>"Budget " &amp; OpenData!P14</f>
        <v>Budget 2021-22</v>
      </c>
      <c r="B2" s="500"/>
      <c r="C2" s="490"/>
      <c r="D2" s="490"/>
      <c r="E2" s="490"/>
      <c r="F2" s="490"/>
      <c r="G2" s="490"/>
      <c r="H2" s="490"/>
    </row>
    <row r="3" spans="1:8" ht="12.75" customHeight="1">
      <c r="A3" s="500"/>
      <c r="B3" s="500"/>
      <c r="C3" s="490"/>
      <c r="D3" s="490"/>
      <c r="E3" s="490"/>
      <c r="F3" s="490"/>
      <c r="G3" s="490"/>
      <c r="H3" s="490"/>
    </row>
    <row r="4" spans="1:8" ht="12.75" customHeight="1">
      <c r="A4" s="6351" t="s">
        <v>1594</v>
      </c>
      <c r="B4" s="6351"/>
      <c r="C4" s="6351"/>
      <c r="D4" s="6351"/>
      <c r="E4" s="6351"/>
      <c r="F4" s="490"/>
      <c r="G4" s="490"/>
      <c r="H4" s="490"/>
    </row>
    <row r="5" spans="1:8" ht="12.75" customHeight="1">
      <c r="A5" s="490"/>
      <c r="B5" s="490"/>
      <c r="C5" s="490"/>
      <c r="D5" s="490"/>
      <c r="E5" s="490"/>
      <c r="F5" s="490"/>
      <c r="G5" s="490"/>
      <c r="H5" s="490"/>
    </row>
    <row r="6" spans="1:8" ht="12.75" customHeight="1">
      <c r="A6" s="4544"/>
      <c r="B6" s="4548" t="s">
        <v>896</v>
      </c>
      <c r="C6" s="4549">
        <f>OpenData!N17</f>
        <v>43647</v>
      </c>
      <c r="D6" s="4550" t="str">
        <f>OpenData!O17</f>
        <v>July 1, 2020</v>
      </c>
      <c r="E6" s="4550" t="str">
        <f>OpenData!P17</f>
        <v>July 1, 2021</v>
      </c>
      <c r="F6" s="490"/>
      <c r="G6" s="490"/>
      <c r="H6" s="490"/>
    </row>
    <row r="7" spans="1:8" ht="12.75" customHeight="1">
      <c r="A7" s="502" t="s">
        <v>813</v>
      </c>
      <c r="B7" s="4545">
        <v>6</v>
      </c>
      <c r="C7" s="503">
        <f>'C06'!C8</f>
        <v>0</v>
      </c>
      <c r="D7" s="504">
        <f>IF(ISERROR('C06'!D8),0,'C06'!D8)</f>
        <v>0</v>
      </c>
      <c r="E7" s="504">
        <f>IF(ISERROR('C06'!E8),0,'C06'!E8)</f>
        <v>0</v>
      </c>
      <c r="F7" s="490"/>
      <c r="G7" s="490"/>
      <c r="H7" s="490"/>
    </row>
    <row r="8" spans="1:8" ht="12.75" customHeight="1">
      <c r="A8" s="502" t="s">
        <v>1014</v>
      </c>
      <c r="B8" s="4545">
        <v>7</v>
      </c>
      <c r="C8" s="503">
        <f>'C07'!C9</f>
        <v>0</v>
      </c>
      <c r="D8" s="504">
        <f>'C07'!D9</f>
        <v>0</v>
      </c>
      <c r="E8" s="504">
        <f>'C07'!E9</f>
        <v>-17796</v>
      </c>
      <c r="F8" s="490"/>
      <c r="G8" s="490"/>
      <c r="H8" s="490"/>
    </row>
    <row r="9" spans="1:8" ht="12.75" customHeight="1">
      <c r="A9" s="502" t="s">
        <v>814</v>
      </c>
      <c r="B9" s="4545">
        <v>8</v>
      </c>
      <c r="C9" s="503">
        <f>'C08'!C9</f>
        <v>149731</v>
      </c>
      <c r="D9" s="504">
        <f>IF(ISERROR('C08'!D9),0,'C08'!D9)</f>
        <v>141872</v>
      </c>
      <c r="E9" s="504">
        <f>IF(ISERROR('C08'!E9),0,'C08'!E9)</f>
        <v>156025</v>
      </c>
      <c r="F9" s="490"/>
      <c r="G9" s="490"/>
      <c r="H9" s="490"/>
    </row>
    <row r="10" spans="1:8" ht="12.75" customHeight="1">
      <c r="A10" s="505" t="s">
        <v>815</v>
      </c>
      <c r="B10" s="4545">
        <v>10</v>
      </c>
      <c r="C10" s="503">
        <f>'C010'!C9</f>
        <v>0</v>
      </c>
      <c r="D10" s="504">
        <f>'C010'!D9</f>
        <v>0</v>
      </c>
      <c r="E10" s="504">
        <f>'C010'!E9</f>
        <v>0</v>
      </c>
      <c r="F10" s="490"/>
      <c r="G10" s="490"/>
      <c r="H10" s="490"/>
    </row>
    <row r="11" spans="1:8" ht="12.75" customHeight="1">
      <c r="A11" s="502" t="s">
        <v>4549</v>
      </c>
      <c r="B11" s="4545">
        <v>11</v>
      </c>
      <c r="C11" s="503">
        <f>'C011'!C9</f>
        <v>0</v>
      </c>
      <c r="D11" s="504">
        <f>'C011'!D9</f>
        <v>0</v>
      </c>
      <c r="E11" s="504">
        <f>'C011'!E9</f>
        <v>0</v>
      </c>
      <c r="F11" s="490"/>
      <c r="G11" s="490"/>
      <c r="H11" s="490"/>
    </row>
    <row r="12" spans="1:8" ht="12.75" customHeight="1">
      <c r="A12" s="505" t="s">
        <v>1595</v>
      </c>
      <c r="B12" s="4545">
        <v>12</v>
      </c>
      <c r="C12" s="503">
        <f>'C012'!C9</f>
        <v>0</v>
      </c>
      <c r="D12" s="504">
        <f>'C012'!D9</f>
        <v>0</v>
      </c>
      <c r="E12" s="504">
        <f>'C012'!E9</f>
        <v>0</v>
      </c>
      <c r="F12" s="490"/>
      <c r="G12" s="490"/>
      <c r="H12" s="490"/>
    </row>
    <row r="13" spans="1:8" ht="12.75" customHeight="1">
      <c r="A13" s="502" t="s">
        <v>1596</v>
      </c>
      <c r="B13" s="4545">
        <v>13</v>
      </c>
      <c r="C13" s="503">
        <f>'C013'!C9</f>
        <v>25769</v>
      </c>
      <c r="D13" s="504">
        <f>'C013'!D9</f>
        <v>16546</v>
      </c>
      <c r="E13" s="504">
        <f>'C013'!E9</f>
        <v>17328</v>
      </c>
      <c r="F13" s="507"/>
      <c r="G13" s="490"/>
      <c r="H13" s="490"/>
    </row>
    <row r="14" spans="1:8" ht="12.75" customHeight="1">
      <c r="A14" s="502" t="s">
        <v>1505</v>
      </c>
      <c r="B14" s="4545">
        <v>14</v>
      </c>
      <c r="C14" s="503">
        <f>'C014'!C9</f>
        <v>1000</v>
      </c>
      <c r="D14" s="504">
        <f>'C014'!D9</f>
        <v>2035</v>
      </c>
      <c r="E14" s="504">
        <f>'C014'!E9</f>
        <v>1947</v>
      </c>
      <c r="F14" s="490"/>
      <c r="G14" s="490"/>
      <c r="H14" s="490"/>
    </row>
    <row r="15" spans="1:8" ht="12.75" customHeight="1">
      <c r="A15" s="502" t="s">
        <v>1509</v>
      </c>
      <c r="B15" s="4545">
        <v>15</v>
      </c>
      <c r="C15" s="503">
        <f>'C015'!C9</f>
        <v>0</v>
      </c>
      <c r="D15" s="504">
        <f>'C015'!D9</f>
        <v>0</v>
      </c>
      <c r="E15" s="504">
        <f>'C015'!E9</f>
        <v>0</v>
      </c>
      <c r="F15" s="490"/>
      <c r="G15" s="490"/>
      <c r="H15" s="490"/>
    </row>
    <row r="16" spans="1:8" ht="12.75" customHeight="1">
      <c r="A16" s="502" t="s">
        <v>816</v>
      </c>
      <c r="B16" s="4545">
        <v>16</v>
      </c>
      <c r="C16" s="503">
        <f>'C016'!C9</f>
        <v>175951</v>
      </c>
      <c r="D16" s="504">
        <f>'C016'!D9</f>
        <v>182557</v>
      </c>
      <c r="E16" s="504">
        <f>'C016'!E9</f>
        <v>204548</v>
      </c>
      <c r="F16" s="490"/>
      <c r="G16" s="490"/>
      <c r="H16" s="490"/>
    </row>
    <row r="17" spans="1:8" ht="12.75" customHeight="1">
      <c r="A17" s="502" t="s">
        <v>1597</v>
      </c>
      <c r="B17" s="4545">
        <v>18</v>
      </c>
      <c r="C17" s="503">
        <f>'C018'!C9</f>
        <v>16370</v>
      </c>
      <c r="D17" s="504">
        <f>'C018'!D9</f>
        <v>16352</v>
      </c>
      <c r="E17" s="504">
        <f>'C018'!E9</f>
        <v>14876</v>
      </c>
      <c r="F17" s="490"/>
      <c r="G17" s="490"/>
      <c r="H17" s="490"/>
    </row>
    <row r="18" spans="1:8" ht="12.75" customHeight="1">
      <c r="A18" s="502" t="s">
        <v>305</v>
      </c>
      <c r="B18" s="4545">
        <v>19</v>
      </c>
      <c r="C18" s="503">
        <f>'C019'!C9</f>
        <v>0</v>
      </c>
      <c r="D18" s="504">
        <f>'C019'!D9</f>
        <v>0</v>
      </c>
      <c r="E18" s="504">
        <f>'C019'!E9</f>
        <v>0</v>
      </c>
      <c r="F18" s="490"/>
      <c r="G18" s="490"/>
      <c r="H18" s="490"/>
    </row>
    <row r="19" spans="1:8" ht="12.75" customHeight="1">
      <c r="A19" s="502" t="s">
        <v>1598</v>
      </c>
      <c r="B19" s="4545">
        <v>22</v>
      </c>
      <c r="C19" s="503">
        <f>'C022'!C9</f>
        <v>0</v>
      </c>
      <c r="D19" s="504">
        <f>'C022'!D9</f>
        <v>0</v>
      </c>
      <c r="E19" s="504">
        <f>'C022'!E9</f>
        <v>0</v>
      </c>
      <c r="F19" s="490"/>
      <c r="G19" s="490"/>
      <c r="H19" s="490"/>
    </row>
    <row r="20" spans="1:8" ht="12.75" customHeight="1">
      <c r="A20" s="502" t="s">
        <v>1599</v>
      </c>
      <c r="B20" s="4545">
        <v>24</v>
      </c>
      <c r="C20" s="503">
        <f>'C024'!C9</f>
        <v>70202</v>
      </c>
      <c r="D20" s="504">
        <f>'C024'!D9</f>
        <v>47708</v>
      </c>
      <c r="E20" s="504">
        <f>'C024'!E9</f>
        <v>62070</v>
      </c>
      <c r="F20" s="490"/>
      <c r="G20" s="490"/>
      <c r="H20" s="490"/>
    </row>
    <row r="21" spans="1:8" ht="12.75" customHeight="1">
      <c r="A21" s="502" t="s">
        <v>1507</v>
      </c>
      <c r="B21" s="4545">
        <v>26</v>
      </c>
      <c r="C21" s="503">
        <f>'C026'!C9</f>
        <v>15674</v>
      </c>
      <c r="D21" s="504">
        <f>'C026'!D9</f>
        <v>16670</v>
      </c>
      <c r="E21" s="504">
        <f>'C026'!E9</f>
        <v>9696</v>
      </c>
      <c r="F21" s="490"/>
      <c r="G21" s="490"/>
      <c r="H21" s="490"/>
    </row>
    <row r="22" spans="1:8" ht="12.75" customHeight="1">
      <c r="A22" s="502" t="s">
        <v>1506</v>
      </c>
      <c r="B22" s="4545">
        <v>28</v>
      </c>
      <c r="C22" s="503">
        <f>'C028'!C9</f>
        <v>0</v>
      </c>
      <c r="D22" s="504">
        <f>'C028'!D9</f>
        <v>9997</v>
      </c>
      <c r="E22" s="504">
        <f>'C028'!E9</f>
        <v>8794</v>
      </c>
      <c r="F22" s="490"/>
      <c r="G22" s="490"/>
      <c r="H22" s="490"/>
    </row>
    <row r="23" spans="1:8" ht="12.75" customHeight="1">
      <c r="A23" s="502" t="s">
        <v>1508</v>
      </c>
      <c r="B23" s="4545">
        <v>29</v>
      </c>
      <c r="C23" s="503">
        <f>'C029'!C9</f>
        <v>0</v>
      </c>
      <c r="D23" s="504">
        <f>'C029'!D9</f>
        <v>0</v>
      </c>
      <c r="E23" s="504">
        <f>'C029'!E9</f>
        <v>0</v>
      </c>
      <c r="F23" s="490"/>
      <c r="G23" s="490"/>
      <c r="H23" s="490"/>
    </row>
    <row r="24" spans="1:8" ht="12.75" customHeight="1">
      <c r="A24" s="502" t="s">
        <v>1600</v>
      </c>
      <c r="B24" s="4545">
        <v>30</v>
      </c>
      <c r="C24" s="503">
        <f>'C030'!C9</f>
        <v>93737</v>
      </c>
      <c r="D24" s="504">
        <f>'C030'!D9</f>
        <v>67621</v>
      </c>
      <c r="E24" s="504">
        <f>'C030'!E9</f>
        <v>65039</v>
      </c>
      <c r="F24" s="490"/>
      <c r="G24" s="490"/>
      <c r="H24" s="490"/>
    </row>
    <row r="25" spans="1:8" ht="12.75" customHeight="1">
      <c r="A25" s="502" t="s">
        <v>929</v>
      </c>
      <c r="B25" s="4545">
        <v>33</v>
      </c>
      <c r="C25" s="503">
        <f>'C033'!C9</f>
        <v>0</v>
      </c>
      <c r="D25" s="504">
        <f>'C033'!D9</f>
        <v>0</v>
      </c>
      <c r="E25" s="504">
        <f>'C033'!E9</f>
        <v>0</v>
      </c>
      <c r="F25" s="490"/>
      <c r="G25" s="490"/>
      <c r="H25" s="490"/>
    </row>
    <row r="26" spans="1:8" ht="12.75" customHeight="1">
      <c r="A26" s="502" t="s">
        <v>3019</v>
      </c>
      <c r="B26" s="4545">
        <v>34</v>
      </c>
      <c r="C26" s="503">
        <f>'C034'!C9</f>
        <v>25079</v>
      </c>
      <c r="D26" s="504">
        <f>'C034'!D9</f>
        <v>7761</v>
      </c>
      <c r="E26" s="504">
        <f>'C034'!E9</f>
        <v>18218</v>
      </c>
      <c r="F26" s="490"/>
      <c r="G26" s="490"/>
      <c r="H26" s="490"/>
    </row>
    <row r="27" spans="1:8" ht="12.75" customHeight="1">
      <c r="A27" s="502" t="s">
        <v>1601</v>
      </c>
      <c r="B27" s="4545">
        <v>35</v>
      </c>
      <c r="C27" s="503">
        <f>'C035'!C9</f>
        <v>0</v>
      </c>
      <c r="D27" s="504">
        <f>'C035'!D9</f>
        <v>16575</v>
      </c>
      <c r="E27" s="504">
        <f>'C035'!E9</f>
        <v>7657</v>
      </c>
      <c r="F27" s="490"/>
      <c r="G27" s="490"/>
      <c r="H27" s="490"/>
    </row>
    <row r="28" spans="1:8" ht="12.75" customHeight="1">
      <c r="A28" s="505" t="s">
        <v>1602</v>
      </c>
      <c r="B28" s="4545">
        <v>42</v>
      </c>
      <c r="C28" s="503">
        <f>'C042'!C9</f>
        <v>0</v>
      </c>
      <c r="D28" s="504">
        <f>'C042'!D9</f>
        <v>0</v>
      </c>
      <c r="E28" s="504">
        <f>'C042'!E9</f>
        <v>0</v>
      </c>
      <c r="F28" s="490"/>
      <c r="G28" s="490"/>
      <c r="H28" s="490"/>
    </row>
    <row r="29" spans="1:8" ht="12.75" customHeight="1">
      <c r="A29" s="505" t="s">
        <v>817</v>
      </c>
      <c r="B29" s="4545">
        <v>44</v>
      </c>
      <c r="C29" s="503">
        <f>'C044'!C9</f>
        <v>0</v>
      </c>
      <c r="D29" s="504">
        <f>'C044'!D9</f>
        <v>0</v>
      </c>
      <c r="E29" s="504">
        <f>'C044'!E9</f>
        <v>0</v>
      </c>
      <c r="F29" s="490"/>
      <c r="G29" s="490"/>
      <c r="H29" s="490"/>
    </row>
    <row r="30" spans="1:8" ht="12.75" customHeight="1">
      <c r="A30" s="505" t="s">
        <v>824</v>
      </c>
      <c r="B30" s="4545">
        <v>45</v>
      </c>
      <c r="C30" s="503">
        <f>'C045'!C9</f>
        <v>0</v>
      </c>
      <c r="D30" s="504">
        <f>'C045'!D9</f>
        <v>0</v>
      </c>
      <c r="E30" s="504">
        <f>'C045'!E9</f>
        <v>0</v>
      </c>
      <c r="F30" s="490"/>
      <c r="G30" s="490"/>
      <c r="H30" s="490"/>
    </row>
    <row r="31" spans="1:8" ht="12.75" customHeight="1">
      <c r="A31" s="505" t="s">
        <v>1603</v>
      </c>
      <c r="B31" s="4545">
        <v>47</v>
      </c>
      <c r="C31" s="503">
        <f>'C047'!C9</f>
        <v>0</v>
      </c>
      <c r="D31" s="504">
        <f>'C047'!D9</f>
        <v>0</v>
      </c>
      <c r="E31" s="504">
        <f>'C047'!E9</f>
        <v>0</v>
      </c>
      <c r="F31" s="490"/>
      <c r="G31" s="490"/>
      <c r="H31" s="490"/>
    </row>
    <row r="32" spans="1:8" ht="12.75" customHeight="1">
      <c r="A32" s="505" t="s">
        <v>1604</v>
      </c>
      <c r="B32" s="4545">
        <v>51</v>
      </c>
      <c r="C32" s="505">
        <v>0</v>
      </c>
      <c r="D32" s="4546">
        <v>0</v>
      </c>
      <c r="E32" s="4546">
        <v>0</v>
      </c>
      <c r="F32" s="490"/>
      <c r="G32" s="490"/>
      <c r="H32" s="490"/>
    </row>
    <row r="33" spans="1:8" ht="12.75" customHeight="1">
      <c r="A33" s="505" t="s">
        <v>1605</v>
      </c>
      <c r="B33" s="4545">
        <v>53</v>
      </c>
      <c r="C33" s="503">
        <f>'C053'!C9</f>
        <v>16540</v>
      </c>
      <c r="D33" s="504">
        <f>'C053'!D9</f>
        <v>16540</v>
      </c>
      <c r="E33" s="504">
        <f>'C053'!E9</f>
        <v>0</v>
      </c>
      <c r="F33" s="490"/>
      <c r="G33" s="490"/>
      <c r="H33" s="490"/>
    </row>
    <row r="34" spans="1:8" ht="12.75" customHeight="1">
      <c r="A34" s="505" t="s">
        <v>1606</v>
      </c>
      <c r="B34" s="4545">
        <v>55</v>
      </c>
      <c r="C34" s="503">
        <f>'C055'!C9</f>
        <v>72020</v>
      </c>
      <c r="D34" s="504">
        <f>'C055'!D9</f>
        <v>77040</v>
      </c>
      <c r="E34" s="504">
        <f>'C055'!E9</f>
        <v>76513</v>
      </c>
      <c r="F34" s="490"/>
      <c r="G34" s="490"/>
      <c r="H34" s="490"/>
    </row>
    <row r="35" spans="1:8" ht="12.75" customHeight="1">
      <c r="A35" s="505" t="s">
        <v>1607</v>
      </c>
      <c r="B35" s="4545">
        <v>56</v>
      </c>
      <c r="C35" s="503">
        <f>'C056'!$C$9</f>
        <v>21712</v>
      </c>
      <c r="D35" s="504">
        <f>'C056'!$D$9</f>
        <v>32544</v>
      </c>
      <c r="E35" s="504">
        <f>'C056'!$E$9</f>
        <v>55791</v>
      </c>
      <c r="F35" s="490"/>
      <c r="G35" s="490"/>
      <c r="H35" s="490"/>
    </row>
    <row r="36" spans="1:8" ht="12.75" customHeight="1">
      <c r="A36" s="505" t="s">
        <v>1608</v>
      </c>
      <c r="B36" s="4545">
        <v>62</v>
      </c>
      <c r="C36" s="503">
        <f>'C062'!C9</f>
        <v>0</v>
      </c>
      <c r="D36" s="504">
        <f>'C062'!D9</f>
        <v>0</v>
      </c>
      <c r="E36" s="504">
        <f>'C062'!E9</f>
        <v>0</v>
      </c>
      <c r="F36" s="490"/>
      <c r="G36" s="490"/>
      <c r="H36" s="490"/>
    </row>
    <row r="37" spans="1:8" ht="12.75" customHeight="1">
      <c r="A37" s="505" t="s">
        <v>1609</v>
      </c>
      <c r="B37" s="4545">
        <v>63</v>
      </c>
      <c r="C37" s="503">
        <f>'C063'!C9</f>
        <v>0</v>
      </c>
      <c r="D37" s="504">
        <f>'C063'!D9</f>
        <v>0</v>
      </c>
      <c r="E37" s="504">
        <f>'C063'!E9</f>
        <v>0</v>
      </c>
      <c r="F37" s="490"/>
      <c r="G37" s="490"/>
      <c r="H37" s="490"/>
    </row>
    <row r="38" spans="1:8" ht="12.75" customHeight="1">
      <c r="A38" s="505" t="s">
        <v>818</v>
      </c>
      <c r="B38" s="4545">
        <v>66</v>
      </c>
      <c r="C38" s="503">
        <f>'C066'!C9</f>
        <v>0</v>
      </c>
      <c r="D38" s="504">
        <f>'C066'!D9</f>
        <v>0</v>
      </c>
      <c r="E38" s="504">
        <f>'C066'!E9</f>
        <v>0</v>
      </c>
      <c r="F38" s="490"/>
      <c r="G38" s="490"/>
      <c r="H38" s="490"/>
    </row>
    <row r="39" spans="1:8" ht="12.75" customHeight="1">
      <c r="A39" s="505" t="s">
        <v>820</v>
      </c>
      <c r="B39" s="4545">
        <v>68</v>
      </c>
      <c r="C39" s="503">
        <f>'C068'!C9</f>
        <v>0</v>
      </c>
      <c r="D39" s="504">
        <f>'C068'!D9</f>
        <v>0</v>
      </c>
      <c r="E39" s="504">
        <f>'C068'!E9</f>
        <v>0</v>
      </c>
      <c r="F39" s="490"/>
      <c r="G39" s="490"/>
      <c r="H39" s="490"/>
    </row>
    <row r="40" spans="1:8" ht="12.75" customHeight="1" thickBot="1">
      <c r="A40" s="4551" t="s">
        <v>1610</v>
      </c>
      <c r="B40" s="4552">
        <v>78</v>
      </c>
      <c r="C40" s="4553">
        <f>'C078'!C9</f>
        <v>0</v>
      </c>
      <c r="D40" s="4554">
        <f>'C078'!D9</f>
        <v>0</v>
      </c>
      <c r="E40" s="4554">
        <f>'C078'!E9</f>
        <v>0</v>
      </c>
      <c r="F40" s="490"/>
      <c r="G40" s="490"/>
      <c r="H40" s="490"/>
    </row>
    <row r="41" spans="1:8" ht="12.75" customHeight="1" thickTop="1">
      <c r="A41" s="510" t="s">
        <v>1611</v>
      </c>
      <c r="B41" s="4555" t="s">
        <v>5179</v>
      </c>
      <c r="C41" s="503">
        <f>SUM(C7:C40)</f>
        <v>683785</v>
      </c>
      <c r="D41" s="504">
        <f>SUM(D7:D40)</f>
        <v>651818</v>
      </c>
      <c r="E41" s="504">
        <f>SUM(E7:E40)</f>
        <v>680706</v>
      </c>
      <c r="F41" s="490"/>
      <c r="G41" s="490"/>
      <c r="H41" s="490"/>
    </row>
    <row r="42" spans="1:8" ht="12.75" customHeight="1">
      <c r="A42" s="505" t="s">
        <v>5181</v>
      </c>
      <c r="B42" s="4557" t="s">
        <v>5179</v>
      </c>
      <c r="C42" s="511">
        <f>IF(ISERROR(OPEN!A150),0,OPEN!A150)</f>
        <v>399</v>
      </c>
      <c r="D42" s="4547">
        <f>IF(ISERROR(OPEN!A151),0,OPEN!A151)</f>
        <v>397.4</v>
      </c>
      <c r="E42" s="4547">
        <f>OPEN!A152</f>
        <v>433.5</v>
      </c>
      <c r="F42" s="490"/>
      <c r="G42" s="490"/>
      <c r="H42" s="490"/>
    </row>
    <row r="43" spans="1:8" ht="12.75" customHeight="1">
      <c r="A43" s="505" t="s">
        <v>5182</v>
      </c>
      <c r="B43" s="4556" t="s">
        <v>5179</v>
      </c>
      <c r="C43" s="503">
        <f>IF(C41=0,0,ROUND(C41/C42,0))</f>
        <v>1714</v>
      </c>
      <c r="D43" s="504">
        <f>IF(D41=0,0,ROUND(D41/D42,0))</f>
        <v>1640</v>
      </c>
      <c r="E43" s="504">
        <f>IF(OR(E41=0,E42=0),0,ROUND(E41/E42,0))</f>
        <v>1570</v>
      </c>
      <c r="F43" s="490"/>
      <c r="G43" s="490"/>
      <c r="H43" s="490"/>
    </row>
    <row r="44" spans="1:8" ht="12.75" customHeight="1">
      <c r="A44" s="508"/>
      <c r="B44" s="509"/>
      <c r="C44" s="508"/>
      <c r="D44" s="508"/>
      <c r="E44" s="508"/>
      <c r="F44" s="490"/>
      <c r="G44" s="490"/>
      <c r="H44" s="490"/>
    </row>
    <row r="45" spans="1:8" ht="12.75" customHeight="1">
      <c r="A45" s="505" t="s">
        <v>819</v>
      </c>
      <c r="B45" s="506">
        <v>67</v>
      </c>
      <c r="C45" s="503">
        <f>'C067'!C9</f>
        <v>0</v>
      </c>
      <c r="D45" s="503">
        <f>'C067'!D9</f>
        <v>0</v>
      </c>
      <c r="E45" s="503">
        <f>'C067'!E9</f>
        <v>0</v>
      </c>
      <c r="F45" s="490"/>
      <c r="G45" s="490"/>
      <c r="H45" s="490"/>
    </row>
    <row r="46" spans="1:8" ht="12.75" customHeight="1">
      <c r="A46" s="505" t="s">
        <v>821</v>
      </c>
      <c r="B46" s="506">
        <v>80</v>
      </c>
      <c r="C46" s="503">
        <f>'C080'!C9</f>
        <v>0</v>
      </c>
      <c r="D46" s="503">
        <f>'C080'!D9</f>
        <v>0</v>
      </c>
      <c r="E46" s="503">
        <f>'C080'!E9</f>
        <v>0</v>
      </c>
      <c r="F46" s="490"/>
      <c r="G46" s="490"/>
      <c r="H46" s="490"/>
    </row>
    <row r="47" spans="1:8" ht="12.75" customHeight="1">
      <c r="A47" s="505" t="s">
        <v>1466</v>
      </c>
      <c r="B47" s="506">
        <v>82</v>
      </c>
      <c r="C47" s="503">
        <f>'C082'!C9</f>
        <v>0</v>
      </c>
      <c r="D47" s="503">
        <f>'C082'!D9</f>
        <v>0</v>
      </c>
      <c r="E47" s="503">
        <f>'C082'!E9</f>
        <v>0</v>
      </c>
      <c r="F47" s="490"/>
      <c r="G47" s="490"/>
      <c r="H47" s="490"/>
    </row>
    <row r="48" spans="1:8" ht="12.75" customHeight="1">
      <c r="A48" s="505" t="s">
        <v>1612</v>
      </c>
      <c r="B48" s="506">
        <v>83</v>
      </c>
      <c r="C48" s="503">
        <f>'C083'!C9</f>
        <v>0</v>
      </c>
      <c r="D48" s="503">
        <f>'C083'!D9</f>
        <v>0</v>
      </c>
      <c r="E48" s="503">
        <f>'C083'!E9</f>
        <v>0</v>
      </c>
      <c r="F48" s="490"/>
      <c r="G48" s="490"/>
      <c r="H48" s="490"/>
    </row>
    <row r="49" spans="1:8" ht="12.75" customHeight="1">
      <c r="A49" s="505" t="s">
        <v>1613</v>
      </c>
      <c r="B49" s="506">
        <v>84</v>
      </c>
      <c r="C49" s="503">
        <f>'C084'!C9</f>
        <v>0</v>
      </c>
      <c r="D49" s="503">
        <f>'C084'!D9</f>
        <v>0</v>
      </c>
      <c r="E49" s="503">
        <f>'C084'!E9</f>
        <v>0</v>
      </c>
      <c r="F49" s="490"/>
      <c r="G49" s="490"/>
      <c r="H49" s="490"/>
    </row>
    <row r="50" spans="1:8" ht="12.75" customHeight="1" thickBot="1">
      <c r="A50" s="4551" t="s">
        <v>1614</v>
      </c>
      <c r="B50" s="4561">
        <v>86</v>
      </c>
      <c r="C50" s="4553">
        <f>'C086'!C9</f>
        <v>0</v>
      </c>
      <c r="D50" s="4553">
        <f>'C086'!D9</f>
        <v>0</v>
      </c>
      <c r="E50" s="4553">
        <f>'C086'!E9</f>
        <v>0</v>
      </c>
      <c r="F50" s="490"/>
      <c r="G50" s="490"/>
      <c r="H50" s="490"/>
    </row>
    <row r="51" spans="1:8" ht="12.75" customHeight="1" thickTop="1">
      <c r="A51" s="4558" t="s">
        <v>1615</v>
      </c>
      <c r="B51" s="4556" t="s">
        <v>5179</v>
      </c>
      <c r="C51" s="4559">
        <f>SUM(C45:C50)</f>
        <v>0</v>
      </c>
      <c r="D51" s="4560">
        <f>SUM(D45:D50)</f>
        <v>0</v>
      </c>
      <c r="E51" s="4559">
        <f>SUM(E45:E50)</f>
        <v>0</v>
      </c>
      <c r="F51" s="490"/>
      <c r="G51" s="490"/>
      <c r="H51" s="490"/>
    </row>
    <row r="52" spans="1:8" ht="12.75" customHeight="1">
      <c r="A52" s="6355" t="s">
        <v>5180</v>
      </c>
      <c r="B52" s="6355"/>
      <c r="C52" s="6355"/>
      <c r="D52" s="6355"/>
      <c r="E52" s="6355"/>
      <c r="F52" s="490"/>
      <c r="G52" s="490"/>
      <c r="H52" s="490"/>
    </row>
    <row r="53" spans="1:8" ht="12.75" customHeight="1">
      <c r="A53" s="6356" t="s">
        <v>5183</v>
      </c>
      <c r="B53" s="6356"/>
      <c r="C53" s="6356"/>
      <c r="D53" s="6356"/>
      <c r="E53" s="6356"/>
      <c r="F53" s="490"/>
      <c r="G53" s="490"/>
      <c r="H53" s="490"/>
    </row>
    <row r="54" spans="1:8" ht="24.75" customHeight="1">
      <c r="A54" s="6357" t="s">
        <v>5184</v>
      </c>
      <c r="B54" s="6357"/>
      <c r="C54" s="6357"/>
      <c r="D54" s="6357"/>
      <c r="E54" s="6357"/>
      <c r="F54" s="490"/>
      <c r="G54" s="490"/>
      <c r="H54" s="490"/>
    </row>
    <row r="55" spans="1:8" ht="12.75" customHeight="1">
      <c r="A55" s="512"/>
      <c r="B55" s="513"/>
      <c r="C55" s="490"/>
      <c r="D55" s="490"/>
      <c r="E55" s="490"/>
      <c r="F55" s="490"/>
      <c r="G55" s="490"/>
      <c r="H55" s="490"/>
    </row>
    <row r="56" spans="1:8" ht="12.75" customHeight="1">
      <c r="A56" s="512"/>
      <c r="B56" s="490"/>
      <c r="C56" s="490"/>
      <c r="D56" s="490"/>
      <c r="E56" s="490"/>
      <c r="F56" s="490"/>
      <c r="G56" s="490"/>
      <c r="H56" s="490"/>
    </row>
    <row r="57" spans="1:8" ht="12.75" customHeight="1">
      <c r="A57" s="512"/>
      <c r="B57" s="513"/>
      <c r="C57" s="490"/>
      <c r="D57" s="490"/>
      <c r="E57" s="490"/>
      <c r="F57" s="490"/>
      <c r="G57" s="490"/>
      <c r="H57" s="490"/>
    </row>
    <row r="58" spans="1:8" ht="12.75" customHeight="1">
      <c r="A58" s="512"/>
      <c r="B58" s="513"/>
      <c r="C58" s="490"/>
      <c r="D58" s="490"/>
      <c r="E58" s="490"/>
      <c r="F58" s="490"/>
      <c r="G58" s="490"/>
      <c r="H58" s="490"/>
    </row>
    <row r="59" spans="1:8" ht="12.75" customHeight="1">
      <c r="F59" s="490"/>
      <c r="G59" s="490"/>
      <c r="H59" s="490"/>
    </row>
    <row r="60" spans="1:8" ht="12.75" customHeight="1">
      <c r="F60" s="490"/>
      <c r="G60" s="490"/>
      <c r="H60" s="490"/>
    </row>
  </sheetData>
  <sheetProtection algorithmName="SHA-512" hashValue="JYQRBbLtvK9NTvi0krxgODO8VK4CfgzxkdLGZVC+PTS/4sSTLgPBbTcdQ3mSJI8I1/8eOcx4wtN1wsRcY1f8gg==" saltValue="6wjhRKw929rgvwPAj6tMmg==" spinCount="100000" sheet="1" objects="1" scenarios="1"/>
  <mergeCells count="4">
    <mergeCell ref="A4:E4"/>
    <mergeCell ref="A52:E52"/>
    <mergeCell ref="A53:E53"/>
    <mergeCell ref="A54:E54"/>
  </mergeCells>
  <hyperlinks>
    <hyperlink ref="G1" location="Contents!A1" display="Return to Contents page"/>
  </hyperlinks>
  <printOptions horizontalCentered="1"/>
  <pageMargins left="0.75" right="0.75" top="0.5" bottom="0.5" header="0.3" footer="0.3"/>
  <pageSetup scale="93" orientation="portrait" blackAndWhite="1" r:id="rId1"/>
  <headerFooter scaleWithDoc="0">
    <oddFooter>&amp;L&amp;"Open Sans Light,Regular"&amp;8&amp;D &amp;T&amp;C&amp;"Open Sans Light,Regular"&amp;8Page &amp;P&amp;R&amp;"Open Sans Light,Regular"&amp;8&amp;A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5050"/>
    <pageSetUpPr fitToPage="1"/>
  </sheetPr>
  <dimension ref="A1:AZ39"/>
  <sheetViews>
    <sheetView topLeftCell="M1" workbookViewId="0">
      <selection activeCell="I9" sqref="I9"/>
    </sheetView>
  </sheetViews>
  <sheetFormatPr defaultColWidth="8.88671875" defaultRowHeight="13.2"/>
  <cols>
    <col min="1" max="1" width="4.6640625" style="282" customWidth="1"/>
    <col min="2" max="6" width="9.109375" style="282"/>
    <col min="7" max="7" width="5.33203125" style="282" customWidth="1"/>
    <col min="8" max="8" width="2.109375" style="282" customWidth="1"/>
    <col min="9" max="9" width="9.33203125" style="666" customWidth="1"/>
    <col min="10" max="10" width="7.33203125" style="666" customWidth="1"/>
    <col min="11" max="11" width="8.6640625" style="666" customWidth="1"/>
    <col min="12" max="36" width="7.33203125" style="666" customWidth="1"/>
    <col min="37" max="37" width="12.6640625" style="666" customWidth="1"/>
    <col min="38" max="38" width="8.88671875" style="666" customWidth="1"/>
    <col min="39" max="39" width="9" style="666" customWidth="1"/>
    <col min="40" max="47" width="7.33203125" style="666" customWidth="1"/>
    <col min="48" max="52" width="9.109375" style="282"/>
  </cols>
  <sheetData>
    <row r="1" spans="1:52" ht="12.75" customHeight="1">
      <c r="A1" s="6358" t="str">
        <f>"Bdgt" &amp; OpenData!S5 &amp; " Checks for USD# " &amp; OPEN!B4</f>
        <v>Bdgt2022 Checks for USD# 237</v>
      </c>
      <c r="B1" s="6358"/>
      <c r="C1" s="6358"/>
      <c r="D1" s="6358"/>
      <c r="E1" s="6358"/>
      <c r="F1" s="6358"/>
      <c r="G1" s="6358"/>
      <c r="I1" s="303" t="s">
        <v>1270</v>
      </c>
    </row>
    <row r="2" spans="1:52" ht="12.75" customHeight="1">
      <c r="A2" s="6358"/>
      <c r="B2" s="6358"/>
      <c r="C2" s="6358"/>
      <c r="D2" s="6358"/>
      <c r="E2" s="6358"/>
      <c r="F2" s="6358"/>
      <c r="G2" s="6358"/>
    </row>
    <row r="3" spans="1:52" ht="12.75" customHeight="1">
      <c r="A3" s="6358"/>
      <c r="B3" s="6358"/>
      <c r="C3" s="6358"/>
      <c r="D3" s="6358"/>
      <c r="E3" s="6358"/>
      <c r="F3" s="6358"/>
      <c r="G3" s="6358"/>
      <c r="I3" s="462" t="s">
        <v>1233</v>
      </c>
      <c r="J3" s="462" t="s">
        <v>1237</v>
      </c>
      <c r="K3" s="462" t="s">
        <v>1234</v>
      </c>
      <c r="L3" s="462" t="s">
        <v>1235</v>
      </c>
      <c r="M3" s="462" t="s">
        <v>1113</v>
      </c>
      <c r="N3" s="462" t="s">
        <v>1236</v>
      </c>
      <c r="O3" s="462" t="s">
        <v>1114</v>
      </c>
      <c r="P3" s="462" t="s">
        <v>1115</v>
      </c>
      <c r="Q3" s="462" t="s">
        <v>1116</v>
      </c>
      <c r="R3" s="462" t="s">
        <v>1238</v>
      </c>
      <c r="S3" s="462" t="s">
        <v>1117</v>
      </c>
      <c r="T3" s="462" t="s">
        <v>1239</v>
      </c>
      <c r="U3" s="462" t="s">
        <v>1240</v>
      </c>
      <c r="V3" s="462" t="s">
        <v>1241</v>
      </c>
      <c r="W3" s="462" t="s">
        <v>1118</v>
      </c>
      <c r="X3" s="462" t="s">
        <v>1119</v>
      </c>
      <c r="Y3" s="462" t="s">
        <v>1120</v>
      </c>
      <c r="Z3" s="462" t="s">
        <v>1121</v>
      </c>
      <c r="AA3" s="462" t="s">
        <v>1242</v>
      </c>
      <c r="AB3" s="462" t="s">
        <v>1122</v>
      </c>
      <c r="AC3" s="462" t="s">
        <v>1243</v>
      </c>
      <c r="AD3" s="462" t="s">
        <v>1244</v>
      </c>
      <c r="AE3" s="462" t="s">
        <v>1245</v>
      </c>
      <c r="AF3" s="462" t="s">
        <v>1246</v>
      </c>
      <c r="AG3" s="462" t="s">
        <v>1247</v>
      </c>
      <c r="AH3" s="462" t="s">
        <v>1248</v>
      </c>
      <c r="AI3" s="462" t="s">
        <v>1123</v>
      </c>
      <c r="AJ3" s="462" t="s">
        <v>1124</v>
      </c>
      <c r="AK3" s="462" t="s">
        <v>1249</v>
      </c>
      <c r="AL3" s="462" t="s">
        <v>1250</v>
      </c>
      <c r="AM3" s="462" t="s">
        <v>1251</v>
      </c>
      <c r="AN3" s="462" t="s">
        <v>1252</v>
      </c>
      <c r="AO3" s="462" t="s">
        <v>1253</v>
      </c>
      <c r="AP3" s="462" t="s">
        <v>1254</v>
      </c>
      <c r="AQ3" s="462" t="s">
        <v>1255</v>
      </c>
      <c r="AR3" s="462" t="s">
        <v>1256</v>
      </c>
      <c r="AS3" s="462" t="s">
        <v>1257</v>
      </c>
      <c r="AT3" s="462" t="s">
        <v>1258</v>
      </c>
      <c r="AU3" s="462" t="s">
        <v>1259</v>
      </c>
    </row>
    <row r="4" spans="1:52">
      <c r="A4" s="812"/>
      <c r="B4" s="813"/>
      <c r="C4" s="813"/>
      <c r="D4" s="813"/>
      <c r="E4" s="813"/>
      <c r="F4" s="814"/>
      <c r="G4" s="815"/>
      <c r="I4" s="816"/>
      <c r="J4" s="817"/>
      <c r="K4" s="816"/>
      <c r="L4" s="818"/>
      <c r="M4" s="816"/>
      <c r="N4" s="818"/>
      <c r="O4" s="816"/>
      <c r="P4" s="818"/>
      <c r="Q4" s="816"/>
      <c r="R4" s="818"/>
      <c r="S4" s="816"/>
      <c r="T4" s="818"/>
      <c r="U4" s="816"/>
      <c r="V4" s="818"/>
      <c r="W4" s="816"/>
      <c r="X4" s="818"/>
      <c r="Y4" s="816"/>
      <c r="Z4" s="818"/>
      <c r="AA4" s="816"/>
      <c r="AB4" s="818"/>
      <c r="AC4" s="816"/>
      <c r="AD4" s="818"/>
      <c r="AE4" s="816"/>
      <c r="AF4" s="818"/>
      <c r="AG4" s="816"/>
      <c r="AH4" s="818"/>
      <c r="AI4" s="816"/>
      <c r="AJ4" s="818"/>
      <c r="AK4" s="816"/>
      <c r="AL4" s="818"/>
      <c r="AM4" s="816"/>
      <c r="AN4" s="818"/>
      <c r="AO4" s="816"/>
      <c r="AP4" s="818"/>
      <c r="AQ4" s="816"/>
      <c r="AR4" s="818"/>
      <c r="AS4" s="816"/>
      <c r="AT4" s="818"/>
      <c r="AU4" s="816"/>
    </row>
    <row r="5" spans="1:52">
      <c r="A5" s="819"/>
      <c r="B5" s="820">
        <f>COUNTIF(I5:AU5,"=ERROR")</f>
        <v>0</v>
      </c>
      <c r="C5" s="709" t="s">
        <v>1261</v>
      </c>
      <c r="D5" s="708"/>
      <c r="E5" s="708"/>
      <c r="F5" s="708"/>
      <c r="G5" s="821"/>
      <c r="I5" s="822" t="str">
        <f>IF(SUM(Edits1!B3)&gt;0,"ERROR","OK")</f>
        <v>OK</v>
      </c>
      <c r="J5" s="823" t="str">
        <f>IF(SUM(Edits1!C3)&gt;0,"ERROR","OK")</f>
        <v>OK</v>
      </c>
      <c r="K5" s="822" t="str">
        <f>IF(SUM(Edits1!D3)&gt;0,"ERROR","OK")</f>
        <v>OK</v>
      </c>
      <c r="L5" s="824" t="str">
        <f>IF(SUM(Edits1!E3)&gt;0,"ERROR","OK")</f>
        <v>OK</v>
      </c>
      <c r="M5" s="822" t="str">
        <f>IF(Edits1!F3&gt;0,"ERROR","OK")</f>
        <v>OK</v>
      </c>
      <c r="N5" s="824" t="str">
        <f>IF(Edits1!G3&gt;0,"ERROR","OK")</f>
        <v>OK</v>
      </c>
      <c r="O5" s="822" t="str">
        <f>IF(Edits1!H3&gt;0,"ERROR","OK")</f>
        <v>OK</v>
      </c>
      <c r="P5" s="824" t="str">
        <f>IF(Edits1!I3&gt;0,"ERROR","OK")</f>
        <v>OK</v>
      </c>
      <c r="Q5" s="822" t="str">
        <f>IF(Edits1!J3&gt;0,"ERROR","OK")</f>
        <v>OK</v>
      </c>
      <c r="R5" s="824" t="str">
        <f>IF(Edits1!K3&gt;0,"ERROR","OK")</f>
        <v>OK</v>
      </c>
      <c r="S5" s="822" t="str">
        <f>IF(Edits1!L3&gt;0,"ERROR","OK")</f>
        <v>OK</v>
      </c>
      <c r="T5" s="824" t="str">
        <f>IF(Edits1!M3&gt;0,"ERROR","OK")</f>
        <v>OK</v>
      </c>
      <c r="U5" s="822" t="str">
        <f>IF(Edits1!N3&gt;0,"ERROR","OK")</f>
        <v>OK</v>
      </c>
      <c r="V5" s="824" t="str">
        <f>IF(Edits1!O3&gt;0,"ERROR","OK")</f>
        <v>OK</v>
      </c>
      <c r="W5" s="822" t="str">
        <f>IF(Edits1!P3&gt;0,"ERROR","OK")</f>
        <v>OK</v>
      </c>
      <c r="X5" s="824" t="str">
        <f>IF(Edits1!Q3&gt;0,"ERROR","OK")</f>
        <v>OK</v>
      </c>
      <c r="Y5" s="822" t="str">
        <f>IF(Edits1!R3&gt;0,"ERROR","OK")</f>
        <v>OK</v>
      </c>
      <c r="Z5" s="824" t="str">
        <f>IF(Edits1!S3&gt;0,"ERROR","OK")</f>
        <v>OK</v>
      </c>
      <c r="AA5" s="822" t="str">
        <f>IF(Edits1!T3&gt;0,"ERROR","OK")</f>
        <v>OK</v>
      </c>
      <c r="AB5" s="824" t="str">
        <f>IF(Edits1!U3&gt;0,"ERROR","OK")</f>
        <v>OK</v>
      </c>
      <c r="AC5" s="822" t="str">
        <f>IF(Edits1!V3&gt;0,"ERROR","OK")</f>
        <v>OK</v>
      </c>
      <c r="AD5" s="824" t="str">
        <f>IF(Edits1!W3&gt;0,"ERROR","OK")</f>
        <v>OK</v>
      </c>
      <c r="AE5" s="822" t="str">
        <f>IF(Edits1!X3&gt;0,"ERROR","OK")</f>
        <v>OK</v>
      </c>
      <c r="AF5" s="824" t="str">
        <f>IF(Edits1!Y3&gt;0,"ERROR","OK")</f>
        <v>OK</v>
      </c>
      <c r="AG5" s="822" t="str">
        <f>IF(Edits1!Z3&gt;0,"ERROR","OK")</f>
        <v>OK</v>
      </c>
      <c r="AH5" s="824" t="str">
        <f>IF(Edits1!AA3&gt;0,"ERROR","OK")</f>
        <v>OK</v>
      </c>
      <c r="AI5" s="822" t="str">
        <f>IF(Edits1!AB3&gt;0,"ERROR","OK")</f>
        <v>OK</v>
      </c>
      <c r="AJ5" s="824" t="str">
        <f>IF(Edits1!AC3&gt;0,"ERROR","OK")</f>
        <v>OK</v>
      </c>
      <c r="AK5" s="822" t="str">
        <f>IF(Edits1!AD3&gt;0,"ERROR","OK")</f>
        <v>OK</v>
      </c>
      <c r="AL5" s="824" t="str">
        <f>IF(Edits1!AF3&gt;0,"ERROR","OK")</f>
        <v>OK</v>
      </c>
      <c r="AM5" s="822" t="str">
        <f>IF(Edits1!AG3&gt;0,"ERROR","OK")</f>
        <v>OK</v>
      </c>
      <c r="AN5" s="824" t="str">
        <f>IF(Edits1!AH3&gt;0,"ERROR","OK")</f>
        <v>OK</v>
      </c>
      <c r="AO5" s="822" t="str">
        <f>IF(Edits1!AI3&gt;0,"ERROR","OK")</f>
        <v>OK</v>
      </c>
      <c r="AP5" s="824" t="str">
        <f>IF(Edits1!AJ3&gt;0,"ERROR","OK")</f>
        <v>OK</v>
      </c>
      <c r="AQ5" s="822" t="str">
        <f>IF(Edits1!AK3&gt;0,"ERROR","OK")</f>
        <v>OK</v>
      </c>
      <c r="AR5" s="824" t="str">
        <f>IF(Edits1!AL3&gt;0,"ERROR","OK")</f>
        <v>OK</v>
      </c>
      <c r="AS5" s="822" t="str">
        <f>IF(Edits1!AN3&gt;0,"ERROR","OK")</f>
        <v>OK</v>
      </c>
      <c r="AT5" s="824" t="str">
        <f>IF(Edits1!AO3&gt;0,"ERROR","OK")</f>
        <v>OK</v>
      </c>
      <c r="AU5" s="822" t="str">
        <f>IF(Edits1!AP3&gt;0,"ERROR","OK")</f>
        <v>OK</v>
      </c>
    </row>
    <row r="6" spans="1:52">
      <c r="A6" s="819"/>
      <c r="B6" s="825"/>
      <c r="C6" s="708"/>
      <c r="D6" s="708"/>
      <c r="E6" s="708"/>
      <c r="F6" s="708"/>
      <c r="G6" s="821"/>
      <c r="I6" s="816"/>
      <c r="J6" s="823"/>
      <c r="K6" s="822"/>
      <c r="L6" s="824"/>
      <c r="M6" s="822"/>
      <c r="N6" s="824"/>
      <c r="O6" s="822"/>
      <c r="P6" s="824"/>
      <c r="Q6" s="822"/>
      <c r="R6" s="824"/>
      <c r="S6" s="822"/>
      <c r="T6" s="824"/>
      <c r="U6" s="822"/>
      <c r="V6" s="824"/>
      <c r="W6" s="822"/>
      <c r="X6" s="824"/>
      <c r="Y6" s="822"/>
      <c r="Z6" s="824"/>
      <c r="AA6" s="822"/>
      <c r="AB6" s="824"/>
      <c r="AC6" s="822"/>
      <c r="AD6" s="824"/>
      <c r="AE6" s="822"/>
      <c r="AF6" s="824"/>
      <c r="AG6" s="822"/>
      <c r="AH6" s="824"/>
      <c r="AI6" s="822"/>
      <c r="AJ6" s="824"/>
      <c r="AK6" s="822"/>
      <c r="AL6" s="824"/>
      <c r="AM6" s="822"/>
      <c r="AN6" s="824"/>
      <c r="AO6" s="822"/>
      <c r="AP6" s="824"/>
      <c r="AQ6" s="822"/>
      <c r="AR6" s="824"/>
      <c r="AS6" s="822"/>
      <c r="AT6" s="824"/>
      <c r="AU6" s="822"/>
    </row>
    <row r="7" spans="1:52">
      <c r="A7" s="819"/>
      <c r="B7" s="820">
        <f>COUNTIF(I7:AU7,"=ERROR")</f>
        <v>0</v>
      </c>
      <c r="C7" s="709" t="s">
        <v>1262</v>
      </c>
      <c r="D7" s="708"/>
      <c r="E7" s="708"/>
      <c r="F7" s="708"/>
      <c r="G7" s="821"/>
      <c r="I7" s="822" t="str">
        <f>IF(SUM(Edits!B3:D3)&gt;0,"ERROR","OK")</f>
        <v>OK</v>
      </c>
      <c r="J7" s="823" t="str">
        <f>IF(SUM(Edits!E3:G3)&gt;0,"ERROR","OK")</f>
        <v>OK</v>
      </c>
      <c r="K7" s="822" t="str">
        <f>IF(SUM(Edits!H3:J3)&gt;0,"ERROR","OK")</f>
        <v>OK</v>
      </c>
      <c r="L7" s="824" t="str">
        <f>IF(SUM(Edits!K3:M3)&gt;0,"ERROR","OK")</f>
        <v>OK</v>
      </c>
      <c r="M7" s="822" t="str">
        <f>IF(SUM(Edits!N3:P3)&gt;0,"ERROR","OK")</f>
        <v>OK</v>
      </c>
      <c r="N7" s="824" t="str">
        <f>IF(SUM(Edits!Q3:S3)&gt;0,"ERROR","OK")</f>
        <v>OK</v>
      </c>
      <c r="O7" s="822" t="str">
        <f>IF(SUM(Edits!T3:V3)&gt;0,"ERROR","OK")</f>
        <v>OK</v>
      </c>
      <c r="P7" s="824" t="str">
        <f>IF(SUM(Edits!W3:Y3)&gt;0,"ERROR","OK")</f>
        <v>OK</v>
      </c>
      <c r="Q7" s="822" t="str">
        <f>IF(SUM(Edits!Z3:AB3)&gt;0,"ERROR","OK")</f>
        <v>OK</v>
      </c>
      <c r="R7" s="824" t="str">
        <f>IF(SUM(Edits!AC3:AE3)&gt;0,"ERROR","OK")</f>
        <v>OK</v>
      </c>
      <c r="S7" s="822" t="str">
        <f>IF(SUM(Edits!AF3:AH3)&gt;0,"ERROR","OK")</f>
        <v>OK</v>
      </c>
      <c r="T7" s="824" t="str">
        <f>IF(SUM(Edits!AI3)&gt;0,"ERROR","OK")</f>
        <v>OK</v>
      </c>
      <c r="U7" s="822" t="str">
        <f>IF(SUM(Edits!AJ3:AL3)&gt;0,"ERROR","OK")</f>
        <v>OK</v>
      </c>
      <c r="V7" s="824" t="str">
        <f>IF(SUM(Edits!AM3)&gt;0,"ERROR","OK")</f>
        <v>OK</v>
      </c>
      <c r="W7" s="822" t="str">
        <f>IF(SUM(Edits!AN3)&gt;0,"ERROR","OK")</f>
        <v>OK</v>
      </c>
      <c r="X7" s="824" t="str">
        <f>IF(SUM(Edits!AO3)&gt;0,"ERROR","OK")</f>
        <v>OK</v>
      </c>
      <c r="Y7" s="822" t="str">
        <f>IF(SUM(Edits!AP3:AR3)&gt;0,"ERROR","OK")</f>
        <v>OK</v>
      </c>
      <c r="Z7" s="824" t="str">
        <f>IF(SUM(Edits!AS3:AU3)&gt;0,"ERROR","OK")</f>
        <v>OK</v>
      </c>
      <c r="AA7" s="822" t="str">
        <f>IF(SUM(Edits!AV3)&gt;0,"ERROR","OK")</f>
        <v>OK</v>
      </c>
      <c r="AB7" s="824" t="str">
        <f>IF(SUM(Edits!AW3:AY3)&gt;0,"ERROR","OK")</f>
        <v>OK</v>
      </c>
      <c r="AC7" s="822" t="str">
        <f>IF(SUM(Edits!AZ3:BB3)&gt;0,"ERROR","OK")</f>
        <v>OK</v>
      </c>
      <c r="AD7" s="824" t="str">
        <f>IF(SUM(Edits!BC3)&gt;0,"ERROR","OK")</f>
        <v>OK</v>
      </c>
      <c r="AE7" s="822" t="str">
        <f>IF(SUM(Edits!BD3)&gt;0,"ERROR","OK")</f>
        <v>OK</v>
      </c>
      <c r="AF7" s="824" t="str">
        <f>IF(SUM(Edits!BE3)&gt;0,"ERROR","OK")</f>
        <v>OK</v>
      </c>
      <c r="AG7" s="822" t="str">
        <f>IF(SUM(Edits!BF3)&gt;0,"ERROR","OK")</f>
        <v>OK</v>
      </c>
      <c r="AH7" s="824" t="str">
        <f>IF(SUM(Edits!BG3)&gt;0,"ERROR","OK")</f>
        <v>OK</v>
      </c>
      <c r="AI7" s="822" t="str">
        <f>IF(SUM(Edits!BH3:BI3)&gt;0,"ERROR","OK")</f>
        <v>OK</v>
      </c>
      <c r="AJ7" s="824" t="str">
        <f>IF(SUM(Edits!BJ3)&gt;0,"ERROR","OK")</f>
        <v>OK</v>
      </c>
      <c r="AK7" s="822" t="str">
        <f>IF(SUM(Edits!BK3)&gt;0,"ERROR","OK")</f>
        <v>OK</v>
      </c>
      <c r="AL7" s="824" t="str">
        <f>IF(SUM(Edits!BL3)&gt;0,"ERROR","OK")</f>
        <v>OK</v>
      </c>
      <c r="AM7" s="822" t="str">
        <f>IF(SUM(Edits!BM3)&gt;0,"ERROR","OK")</f>
        <v>OK</v>
      </c>
      <c r="AN7" s="824" t="str">
        <f>IF(SUM(Edits!BN3)&gt;0,"ERROR","OK")</f>
        <v>OK</v>
      </c>
      <c r="AO7" s="822" t="str">
        <f>IF(SUM(Edits!BO3)&gt;0,"ERROR","OK")</f>
        <v>OK</v>
      </c>
      <c r="AP7" s="824" t="str">
        <f>IF(SUM(Edits!BP3)&gt;0,"ERROR","OK")</f>
        <v>OK</v>
      </c>
      <c r="AQ7" s="822" t="str">
        <f>IF(SUM(Edits!BQ3:BS3)&gt;0,"ERROR","OK")</f>
        <v>OK</v>
      </c>
      <c r="AR7" s="824" t="str">
        <f>IF(SUM(Edits!BT3)&gt;0,"ERROR","OK")</f>
        <v>OK</v>
      </c>
      <c r="AS7" s="822" t="str">
        <f>IF(SUM(Edits!BV3)&gt;0,"ERROR","OK")</f>
        <v>OK</v>
      </c>
      <c r="AT7" s="824" t="str">
        <f>IF(SUM(Edits!BW3)&gt;0,"ERROR","OK")</f>
        <v>OK</v>
      </c>
      <c r="AU7" s="822" t="str">
        <f>IF(SUM(Edits!BX3)&gt;0,"ERROR","OK")</f>
        <v>OK</v>
      </c>
    </row>
    <row r="8" spans="1:52">
      <c r="A8" s="819"/>
      <c r="B8" s="825"/>
      <c r="C8" s="708"/>
      <c r="D8" s="708"/>
      <c r="E8" s="708"/>
      <c r="F8" s="708"/>
      <c r="G8" s="821"/>
      <c r="I8" s="822"/>
      <c r="J8" s="823"/>
      <c r="K8" s="822"/>
      <c r="L8" s="824"/>
      <c r="M8" s="822"/>
      <c r="N8" s="824"/>
      <c r="O8" s="822"/>
      <c r="P8" s="824"/>
      <c r="Q8" s="822"/>
      <c r="R8" s="824"/>
      <c r="S8" s="822"/>
      <c r="T8" s="824"/>
      <c r="U8" s="822"/>
      <c r="V8" s="824"/>
      <c r="W8" s="822"/>
      <c r="X8" s="824"/>
      <c r="Y8" s="822"/>
      <c r="Z8" s="824"/>
      <c r="AA8" s="822"/>
      <c r="AB8" s="824"/>
      <c r="AC8" s="822"/>
      <c r="AD8" s="824"/>
      <c r="AE8" s="822"/>
      <c r="AF8" s="824"/>
      <c r="AG8" s="822"/>
      <c r="AH8" s="824"/>
      <c r="AI8" s="822"/>
      <c r="AJ8" s="824"/>
      <c r="AK8" s="822"/>
      <c r="AL8" s="824"/>
      <c r="AM8" s="822"/>
      <c r="AN8" s="824"/>
      <c r="AO8" s="822"/>
      <c r="AP8" s="824"/>
      <c r="AQ8" s="822"/>
      <c r="AR8" s="824"/>
      <c r="AS8" s="822"/>
      <c r="AT8" s="824"/>
      <c r="AU8" s="822"/>
    </row>
    <row r="9" spans="1:52">
      <c r="A9" s="819"/>
      <c r="B9" s="820">
        <f>COUNTIF(I9:AU9,"=ERROR")</f>
        <v>0</v>
      </c>
      <c r="C9" s="709" t="s">
        <v>1260</v>
      </c>
      <c r="D9" s="708"/>
      <c r="E9" s="708"/>
      <c r="F9" s="708"/>
      <c r="G9" s="821"/>
      <c r="I9" s="822" t="str">
        <f>IF(ISERROR('C06'!E31),"NO DATA",IF('C06'!E31="Check Expend.","ERROR","OK"))</f>
        <v>OK</v>
      </c>
      <c r="J9" s="823" t="str">
        <f>IF('C07'!E24="ERROR","ERROR","OK")</f>
        <v>OK</v>
      </c>
      <c r="K9" s="822" t="str">
        <f>IF(ISERROR('C08'!E32),"NO DATA",IF('C08'!E32="Expend. &lt;&gt; LOB","ERROR","OK"))</f>
        <v>OK</v>
      </c>
      <c r="L9" s="824" t="str">
        <f>IF('C010'!F52&lt;0,"ERROR","OK")</f>
        <v>OK</v>
      </c>
      <c r="M9" s="822" t="str">
        <f>IF('C011'!E29="ERROR","ERROR","OK")</f>
        <v>OK</v>
      </c>
      <c r="N9" s="824" t="str">
        <f>IF('C012'!E25="ERROR","ERROR","OK")</f>
        <v>OK</v>
      </c>
      <c r="O9" s="822" t="str">
        <f>IF('C013'!E29="ERROR","ERROR","OK")</f>
        <v>OK</v>
      </c>
      <c r="P9" s="824" t="str">
        <f>IF('C014'!E24="ERROR","ERROR","OK")</f>
        <v>OK</v>
      </c>
      <c r="Q9" s="822" t="str">
        <f>IF('C015'!E25="ERROR","ERROR","OK")</f>
        <v>OK</v>
      </c>
      <c r="R9" s="824" t="str">
        <f>IF('C016'!F45&lt;0,"ERROR","OK")</f>
        <v>OK</v>
      </c>
      <c r="S9" s="822" t="str">
        <f>IF('C018'!E25="ERROR","ERROR","OK")</f>
        <v>OK</v>
      </c>
      <c r="T9" s="824" t="str">
        <f>IF('C019'!E35&lt;0,"ERROR","OK")</f>
        <v>OK</v>
      </c>
      <c r="U9" s="822" t="str">
        <f>IF('C022'!E24="ERROR","ERROR","OK")</f>
        <v>OK</v>
      </c>
      <c r="V9" s="824" t="str">
        <f>IF('C024'!E32="ERROR","ERROR","OK")</f>
        <v>OK</v>
      </c>
      <c r="W9" s="822" t="str">
        <f>IF('C026'!E82="ERROR","ERROR","OK")</f>
        <v>OK</v>
      </c>
      <c r="X9" s="824" t="str">
        <f>IF('C028'!E26="ERROR","ERROR","OK")</f>
        <v>OK</v>
      </c>
      <c r="Y9" s="822" t="str">
        <f>IF('C029'!E28="ERROR","ERROR","OK")</f>
        <v>OK</v>
      </c>
      <c r="Z9" s="824" t="str">
        <f>IF('C030'!E31="ERROR","ERROR","OK")</f>
        <v>OK</v>
      </c>
      <c r="AA9" s="822" t="str">
        <f>IF('C033'!E33&lt;0,"ERROR","OK")</f>
        <v>OK</v>
      </c>
      <c r="AB9" s="824" t="str">
        <f>IF('C034'!E36="ERROR","ERROR","OK")</f>
        <v>OK</v>
      </c>
      <c r="AC9" s="822" t="str">
        <f>IF('C035'!E30="ERROR","ERROR","OK")</f>
        <v>OK</v>
      </c>
      <c r="AD9" s="824" t="str">
        <f>IF('C042'!F52&lt;0,"ERROR","OK")</f>
        <v>OK</v>
      </c>
      <c r="AE9" s="822" t="str">
        <f>IF('C044'!F40&lt;0,"ERROR","OK")</f>
        <v>OK</v>
      </c>
      <c r="AF9" s="824" t="str">
        <f>IF('C045'!E33&lt;0,"ERROR","OK")</f>
        <v>OK</v>
      </c>
      <c r="AG9" s="822" t="str">
        <f>IF('C047'!D47&lt;0,"ERROR","OK")</f>
        <v>OK</v>
      </c>
      <c r="AH9" s="824" t="str">
        <f>IF('C051'!E38="Exp. &lt;&gt; Resources","ERROR","OK")</f>
        <v>OK</v>
      </c>
      <c r="AI9" s="822" t="str">
        <f>IF('C053'!D17&lt;0,"ERROR","OK")</f>
        <v>OK</v>
      </c>
      <c r="AJ9" s="824" t="str">
        <f>IF('C055'!D42&lt;0,"ERROR","OK")</f>
        <v>OK</v>
      </c>
      <c r="AK9" s="822" t="str">
        <f>IF(OR('C056'!D21&lt;0, AK10="Missing Expend."),"ERROR","OK")</f>
        <v>OK</v>
      </c>
      <c r="AL9" s="824" t="str">
        <f>IF(ISERROR('C062'!F56),"NO DATA",IF('C062'!F56&lt;0,"ERROR","OK"))</f>
        <v>OK</v>
      </c>
      <c r="AM9" s="822" t="str">
        <f>IF(ISERROR('C063'!F56),"NO DATA",IF('C063'!F56&lt;0,"ERROR","OK"))</f>
        <v>OK</v>
      </c>
      <c r="AN9" s="824" t="str">
        <f>IF('C066'!F41&lt;0,"ERROR","OK")</f>
        <v>OK</v>
      </c>
      <c r="AO9" s="822" t="str">
        <f>IF('C067'!F39&lt;0,"ERROR","OK")</f>
        <v>OK</v>
      </c>
      <c r="AP9" s="824" t="str">
        <f>IF('C068'!F42&lt;0,"ERROR","OK")</f>
        <v>OK</v>
      </c>
      <c r="AQ9" s="822" t="str">
        <f>IF('C078'!E24="ERROR","ERROR","OK")</f>
        <v>OK</v>
      </c>
      <c r="AR9" s="824" t="str">
        <f>IF('C080'!F39&lt;0,"ERROR","OK")</f>
        <v>OK</v>
      </c>
      <c r="AS9" s="822" t="str">
        <f>IF('C083'!F39&lt;0,"ERROR","OK")</f>
        <v>OK</v>
      </c>
      <c r="AT9" s="824" t="str">
        <f>IF('C084'!F39&lt;0,"ERROR","OK")</f>
        <v>OK</v>
      </c>
      <c r="AU9" s="822" t="str">
        <f>IF('C086'!F39&lt;0,"ERROR","OK")</f>
        <v>OK</v>
      </c>
    </row>
    <row r="10" spans="1:52">
      <c r="A10" s="819"/>
      <c r="B10" s="708"/>
      <c r="C10" s="708"/>
      <c r="D10" s="708"/>
      <c r="E10" s="708"/>
      <c r="F10" s="708"/>
      <c r="G10" s="821"/>
      <c r="I10" s="826"/>
      <c r="AK10" s="827" t="str">
        <f>IF(AND('C056'!C20=0,'C056'!D20=0),"Missing Expend.","")</f>
        <v/>
      </c>
    </row>
    <row r="11" spans="1:52">
      <c r="A11" s="819"/>
      <c r="B11" s="825"/>
      <c r="C11" s="709"/>
      <c r="D11" s="708"/>
      <c r="E11" s="708"/>
      <c r="F11" s="708"/>
      <c r="G11" s="821"/>
      <c r="I11" s="828"/>
    </row>
    <row r="12" spans="1:52">
      <c r="A12" s="819"/>
      <c r="B12" s="708"/>
      <c r="C12" s="708"/>
      <c r="D12" s="708"/>
      <c r="E12" s="708"/>
      <c r="F12" s="708"/>
      <c r="G12" s="821"/>
    </row>
    <row r="13" spans="1:52">
      <c r="A13" s="819"/>
      <c r="B13" s="829" t="str">
        <f>IF(AND(SUM(B5+B7+B9)=0,I9&lt;&gt;"NO DATA",K9&lt;&gt;"NO DATA"),"All funds in balance","")</f>
        <v>All funds in balance</v>
      </c>
      <c r="C13" s="708"/>
      <c r="D13" s="708"/>
      <c r="E13" s="708"/>
      <c r="F13" s="708"/>
      <c r="G13" s="821"/>
      <c r="I13" s="830" t="str">
        <f>IF(OPEN!B4&lt;&gt;0,IF(OR('C06'!C284=0,'C06'!D284=0,'C06'!E284=0),"Expenditures missing for year(s) on C06 - General Fund",""),"")</f>
        <v/>
      </c>
    </row>
    <row r="14" spans="1:52" s="448" customFormat="1">
      <c r="A14" s="819"/>
      <c r="B14" s="831" t="str">
        <f>IF(AND(SUM(B5+B7+B9)=0,I9&lt;&gt;"NO DATA",K9&lt;&gt;"NO DATA"),"","Correct funds before submitting to KSDE")</f>
        <v/>
      </c>
      <c r="C14" s="708"/>
      <c r="D14" s="708"/>
      <c r="E14" s="708"/>
      <c r="F14" s="708"/>
      <c r="G14" s="821"/>
      <c r="H14" s="282"/>
      <c r="I14" s="830" t="str">
        <f>IF(I9="NO DATA","C06 is not filled out or in balance","")</f>
        <v/>
      </c>
      <c r="J14" s="666"/>
      <c r="K14" s="666"/>
      <c r="L14" s="666"/>
      <c r="M14" s="666"/>
      <c r="N14" s="666"/>
      <c r="O14" s="666"/>
      <c r="P14" s="666"/>
      <c r="Q14" s="666"/>
      <c r="R14" s="666"/>
      <c r="S14" s="666"/>
      <c r="T14" s="666"/>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c r="AT14" s="666"/>
      <c r="AU14" s="666"/>
      <c r="AV14" s="282"/>
      <c r="AW14" s="282"/>
      <c r="AX14" s="282"/>
      <c r="AY14" s="282"/>
      <c r="AZ14" s="282"/>
    </row>
    <row r="15" spans="1:52">
      <c r="A15" s="819"/>
      <c r="B15" s="708"/>
      <c r="C15" s="708"/>
      <c r="D15" s="708"/>
      <c r="E15" s="708"/>
      <c r="F15" s="708"/>
      <c r="G15" s="821"/>
      <c r="I15" s="830" t="str">
        <f>IF(K9="NO DATA","C08 is not filled out or in balance","")</f>
        <v/>
      </c>
    </row>
    <row r="16" spans="1:52">
      <c r="A16" s="819"/>
      <c r="B16" s="709" t="s">
        <v>1264</v>
      </c>
      <c r="C16" s="708"/>
      <c r="D16" s="708"/>
      <c r="E16" s="708"/>
      <c r="F16" s="708"/>
      <c r="G16" s="821"/>
    </row>
    <row r="17" spans="1:52">
      <c r="A17" s="819"/>
      <c r="B17" s="709" t="s">
        <v>1268</v>
      </c>
      <c r="C17" s="708"/>
      <c r="D17" s="708"/>
      <c r="E17" s="708"/>
      <c r="F17" s="708"/>
      <c r="G17" s="821"/>
    </row>
    <row r="18" spans="1:52">
      <c r="A18" s="819"/>
      <c r="B18" s="708" t="s">
        <v>1269</v>
      </c>
      <c r="C18" s="708"/>
      <c r="D18" s="708"/>
      <c r="E18" s="708"/>
      <c r="F18" s="708"/>
      <c r="G18" s="821"/>
    </row>
    <row r="19" spans="1:52" s="448" customFormat="1">
      <c r="A19" s="819"/>
      <c r="B19" s="708"/>
      <c r="C19" s="708"/>
      <c r="D19" s="708"/>
      <c r="E19" s="708"/>
      <c r="F19" s="708"/>
      <c r="G19" s="821"/>
      <c r="H19" s="282"/>
      <c r="I19" s="666"/>
      <c r="J19" s="666"/>
      <c r="K19" s="666"/>
      <c r="L19" s="666"/>
      <c r="M19" s="666"/>
      <c r="N19" s="666"/>
      <c r="O19" s="666"/>
      <c r="P19" s="666"/>
      <c r="Q19" s="666"/>
      <c r="R19" s="666"/>
      <c r="S19" s="666"/>
      <c r="T19" s="666"/>
      <c r="U19" s="666"/>
      <c r="V19" s="666"/>
      <c r="W19" s="666"/>
      <c r="X19" s="666"/>
      <c r="Y19" s="666"/>
      <c r="Z19" s="666"/>
      <c r="AA19" s="666"/>
      <c r="AB19" s="666"/>
      <c r="AC19" s="666"/>
      <c r="AD19" s="666"/>
      <c r="AE19" s="666"/>
      <c r="AF19" s="666"/>
      <c r="AG19" s="666"/>
      <c r="AH19" s="666"/>
      <c r="AI19" s="666"/>
      <c r="AJ19" s="666"/>
      <c r="AK19" s="666"/>
      <c r="AL19" s="666"/>
      <c r="AM19" s="666"/>
      <c r="AN19" s="666"/>
      <c r="AO19" s="666"/>
      <c r="AP19" s="666"/>
      <c r="AQ19" s="666"/>
      <c r="AR19" s="666"/>
      <c r="AS19" s="666"/>
      <c r="AT19" s="666"/>
      <c r="AU19" s="666"/>
      <c r="AV19" s="282"/>
      <c r="AW19" s="282"/>
      <c r="AX19" s="282"/>
      <c r="AY19" s="282"/>
      <c r="AZ19" s="282"/>
    </row>
    <row r="20" spans="1:52">
      <c r="A20" s="819"/>
      <c r="B20" s="709" t="s">
        <v>1263</v>
      </c>
      <c r="C20" s="708"/>
      <c r="D20" s="708"/>
      <c r="E20" s="708"/>
      <c r="F20" s="708"/>
      <c r="G20" s="821"/>
    </row>
    <row r="21" spans="1:52">
      <c r="A21" s="832"/>
      <c r="B21" s="714"/>
      <c r="C21" s="714"/>
      <c r="D21" s="714"/>
      <c r="E21" s="714"/>
      <c r="F21" s="714"/>
      <c r="G21" s="833"/>
    </row>
    <row r="22" spans="1:52">
      <c r="A22" s="834" t="s">
        <v>1265</v>
      </c>
      <c r="B22" s="835"/>
      <c r="C22" s="835"/>
      <c r="D22" s="835"/>
      <c r="E22" s="835"/>
      <c r="F22" s="835"/>
      <c r="G22" s="836"/>
    </row>
    <row r="23" spans="1:52">
      <c r="A23" s="6359"/>
      <c r="B23" s="6360"/>
      <c r="C23" s="6360"/>
      <c r="D23" s="6360"/>
      <c r="E23" s="6360"/>
      <c r="F23" s="6360"/>
      <c r="G23" s="6361"/>
    </row>
    <row r="24" spans="1:52">
      <c r="A24" s="6362"/>
      <c r="B24" s="6360"/>
      <c r="C24" s="6360"/>
      <c r="D24" s="6360"/>
      <c r="E24" s="6360"/>
      <c r="F24" s="6360"/>
      <c r="G24" s="6361"/>
    </row>
    <row r="25" spans="1:52">
      <c r="A25" s="6362"/>
      <c r="B25" s="6360"/>
      <c r="C25" s="6360"/>
      <c r="D25" s="6360"/>
      <c r="E25" s="6360"/>
      <c r="F25" s="6360"/>
      <c r="G25" s="6361"/>
    </row>
    <row r="26" spans="1:52">
      <c r="A26" s="6362"/>
      <c r="B26" s="6360"/>
      <c r="C26" s="6360"/>
      <c r="D26" s="6360"/>
      <c r="E26" s="6360"/>
      <c r="F26" s="6360"/>
      <c r="G26" s="6361"/>
    </row>
    <row r="27" spans="1:52">
      <c r="A27" s="6362"/>
      <c r="B27" s="6360"/>
      <c r="C27" s="6360"/>
      <c r="D27" s="6360"/>
      <c r="E27" s="6360"/>
      <c r="F27" s="6360"/>
      <c r="G27" s="6361"/>
    </row>
    <row r="28" spans="1:52">
      <c r="A28" s="6362"/>
      <c r="B28" s="6360"/>
      <c r="C28" s="6360"/>
      <c r="D28" s="6360"/>
      <c r="E28" s="6360"/>
      <c r="F28" s="6360"/>
      <c r="G28" s="6361"/>
    </row>
    <row r="29" spans="1:52">
      <c r="A29" s="6362"/>
      <c r="B29" s="6360"/>
      <c r="C29" s="6360"/>
      <c r="D29" s="6360"/>
      <c r="E29" s="6360"/>
      <c r="F29" s="6360"/>
      <c r="G29" s="6361"/>
    </row>
    <row r="30" spans="1:52">
      <c r="A30" s="6363"/>
      <c r="B30" s="6364"/>
      <c r="C30" s="6364"/>
      <c r="D30" s="6364"/>
      <c r="E30" s="6364"/>
      <c r="F30" s="6364"/>
      <c r="G30" s="6365"/>
    </row>
    <row r="32" spans="1:52">
      <c r="A32" s="659"/>
      <c r="B32" s="659"/>
      <c r="C32" s="659"/>
    </row>
    <row r="37" spans="1:2">
      <c r="B37" s="459"/>
    </row>
    <row r="39" spans="1:2">
      <c r="A39" s="459"/>
    </row>
  </sheetData>
  <sheetProtection algorithmName="SHA-512" hashValue="I+uZJYxxFY1BmfG/cdgNa92Tw1R07TzGDUSA9QyuXa2ZrIcD25tELrbW8/xRfctDX+4CkQiyy8LJ/h5PkDvrEQ==" saltValue="vtFIiSMDc92aD0GBdz6BtQ==" spinCount="100000" sheet="1" objects="1" scenarios="1"/>
  <mergeCells count="2">
    <mergeCell ref="A1:G3"/>
    <mergeCell ref="A23:G30"/>
  </mergeCells>
  <conditionalFormatting sqref="I9:AU9">
    <cfRule type="containsText" dxfId="2" priority="3" operator="containsText" text="ERROR">
      <formula>NOT(ISERROR(SEARCH("ERROR",I9)))</formula>
    </cfRule>
  </conditionalFormatting>
  <conditionalFormatting sqref="I7:AU7">
    <cfRule type="containsText" dxfId="1" priority="2" operator="containsText" text="ERROR">
      <formula>NOT(ISERROR(SEARCH("ERROR",I7)))</formula>
    </cfRule>
  </conditionalFormatting>
  <conditionalFormatting sqref="I5:AU5">
    <cfRule type="containsText" dxfId="0" priority="1" operator="containsText" text="ERROR">
      <formula>NOT(ISERROR(SEARCH("ERROR",I5)))</formula>
    </cfRule>
  </conditionalFormatting>
  <hyperlinks>
    <hyperlink ref="I1" location="Contents!A1" display="Return to Contents Page"/>
  </hyperlinks>
  <printOptions horizontalCentered="1"/>
  <pageMargins left="0.75" right="0.75" top="0.5" bottom="0.5" header="0.3" footer="0.3"/>
  <pageSetup orientation="portrait" r:id="rId1"/>
  <headerFooter alignWithMargins="0">
    <oddHeader>&amp;CBUDGET CONTENTS - FUNDS</oddHeader>
    <oddFooter>&amp;L&amp;F(&amp;A)</oddFooter>
  </headerFooter>
  <colBreaks count="1" manualBreakCount="1">
    <brk id="24"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5">
    <tabColor theme="9" tint="0.39997558519241921"/>
    <pageSetUpPr fitToPage="1"/>
  </sheetPr>
  <dimension ref="A1:Z1348"/>
  <sheetViews>
    <sheetView showGridLines="0" topLeftCell="A26" zoomScaleNormal="100" workbookViewId="0">
      <pane ySplit="1968" topLeftCell="A16" activePane="bottomLeft"/>
      <selection activeCell="A26" sqref="A1:XFD1048576"/>
      <selection pane="bottomLeft" activeCell="D32" sqref="D32"/>
    </sheetView>
  </sheetViews>
  <sheetFormatPr defaultColWidth="9.109375" defaultRowHeight="14.85" customHeight="1"/>
  <cols>
    <col min="1" max="1" width="6.44140625" style="5223" customWidth="1"/>
    <col min="2" max="2" width="13.44140625" style="5223" bestFit="1" customWidth="1"/>
    <col min="3" max="3" width="42.88671875" style="5220" bestFit="1" customWidth="1"/>
    <col min="4" max="5" width="11.44140625" style="5220" bestFit="1" customWidth="1"/>
    <col min="6" max="6" width="16.44140625" style="5220" bestFit="1" customWidth="1"/>
    <col min="7" max="8" width="11.44140625" style="5220" customWidth="1"/>
    <col min="9" max="9" width="16.44140625" style="5220" bestFit="1" customWidth="1"/>
    <col min="10" max="10" width="14.109375" style="5221" customWidth="1"/>
    <col min="11" max="11" width="14.109375" style="5221" bestFit="1" customWidth="1"/>
    <col min="12" max="13" width="14.109375" style="5221" customWidth="1"/>
    <col min="14" max="26" width="9.109375" style="5220"/>
    <col min="27" max="16384" width="9.109375" style="5222"/>
  </cols>
  <sheetData>
    <row r="1" spans="1:13" ht="14.85" customHeight="1">
      <c r="A1" s="5005" t="s">
        <v>1727</v>
      </c>
      <c r="B1" s="5219"/>
      <c r="C1" s="5219"/>
      <c r="M1" s="5221" t="str">
        <f>"USD #"&amp;OPEN!B4</f>
        <v>USD #237</v>
      </c>
    </row>
    <row r="2" spans="1:13" ht="14.85" customHeight="1">
      <c r="M2" s="5221" t="str">
        <f>OpenData!$N$2</f>
        <v>2021-2022</v>
      </c>
    </row>
    <row r="22" spans="1:14" ht="14.85" hidden="1" customHeight="1"/>
    <row r="23" spans="1:14" ht="14.85" hidden="1" customHeight="1"/>
    <row r="24" spans="1:14" ht="14.85" hidden="1" customHeight="1"/>
    <row r="25" spans="1:14" ht="14.85" hidden="1" customHeight="1"/>
    <row r="26" spans="1:14" ht="14.85" customHeight="1">
      <c r="A26" s="5224" t="str">
        <f>A1</f>
        <v>Kansas State Department of Education</v>
      </c>
      <c r="M26" s="5221" t="str">
        <f>M1</f>
        <v>USD #237</v>
      </c>
      <c r="N26" s="4891" t="s">
        <v>754</v>
      </c>
    </row>
    <row r="27" spans="1:14" ht="14.85" customHeight="1">
      <c r="M27" s="5221" t="str">
        <f>M2</f>
        <v>2021-2022</v>
      </c>
    </row>
    <row r="28" spans="1:14" ht="14.85" customHeight="1">
      <c r="A28" s="5225"/>
    </row>
    <row r="29" spans="1:14" ht="14.85" customHeight="1">
      <c r="B29" s="5226"/>
      <c r="J29" s="5227" t="str">
        <f>OpenData!N2</f>
        <v>2021-2022</v>
      </c>
      <c r="K29" s="5227" t="s">
        <v>1852</v>
      </c>
      <c r="L29" s="5227" t="s">
        <v>1853</v>
      </c>
      <c r="M29" s="5228" t="str">
        <f>OpenData!N2</f>
        <v>2021-2022</v>
      </c>
    </row>
    <row r="30" spans="1:14" ht="14.85" customHeight="1">
      <c r="B30" s="5229"/>
      <c r="D30" s="5230" t="str">
        <f>"9/20/"&amp;MID(OpenData!N2,1,4)</f>
        <v>9/20/2021</v>
      </c>
      <c r="E30" s="5230" t="str">
        <f>"2/20/"&amp;MID(OpenData!N2,6,4)</f>
        <v>2/20/2022</v>
      </c>
      <c r="F30" s="5227" t="str">
        <f>OpenData!N2</f>
        <v>2021-2022</v>
      </c>
      <c r="G30" s="5230" t="str">
        <f>"9/20/"&amp;MID(OpenData!N2,1,4)</f>
        <v>9/20/2021</v>
      </c>
      <c r="H30" s="5230" t="str">
        <f>"2/20/"&amp;MID(OpenData!N2,6,4)</f>
        <v>2/20/2022</v>
      </c>
      <c r="I30" s="5227" t="str">
        <f>OpenData!N2</f>
        <v>2021-2022</v>
      </c>
      <c r="J30" s="5231" t="s">
        <v>1854</v>
      </c>
      <c r="K30" s="5231" t="s">
        <v>1855</v>
      </c>
      <c r="L30" s="5231" t="s">
        <v>1855</v>
      </c>
      <c r="M30" s="5232" t="s">
        <v>1855</v>
      </c>
    </row>
    <row r="31" spans="1:14" s="5237" customFormat="1" ht="14.85" customHeight="1">
      <c r="A31" s="5233" t="s">
        <v>1856</v>
      </c>
      <c r="B31" s="5234" t="s">
        <v>1857</v>
      </c>
      <c r="C31" s="5234" t="s">
        <v>1858</v>
      </c>
      <c r="D31" s="5235" t="s">
        <v>1776</v>
      </c>
      <c r="E31" s="5236" t="s">
        <v>1776</v>
      </c>
      <c r="F31" s="5232" t="s">
        <v>1859</v>
      </c>
      <c r="G31" s="5236" t="s">
        <v>626</v>
      </c>
      <c r="H31" s="5236" t="s">
        <v>626</v>
      </c>
      <c r="I31" s="5232" t="s">
        <v>1860</v>
      </c>
      <c r="J31" s="5232" t="s">
        <v>626</v>
      </c>
      <c r="K31" s="5232" t="s">
        <v>1861</v>
      </c>
      <c r="L31" s="5232" t="s">
        <v>1861</v>
      </c>
      <c r="M31" s="5232" t="s">
        <v>1862</v>
      </c>
    </row>
    <row r="32" spans="1:14" s="5237" customFormat="1" ht="14.85" customHeight="1">
      <c r="A32" s="5238">
        <v>101</v>
      </c>
      <c r="B32" s="5238" t="s">
        <v>3095</v>
      </c>
      <c r="C32" s="5239" t="s">
        <v>1863</v>
      </c>
      <c r="D32" s="5240"/>
      <c r="E32" s="5241"/>
      <c r="F32" s="5242">
        <f>SUM(D32:E32)</f>
        <v>0</v>
      </c>
      <c r="G32" s="5241"/>
      <c r="H32" s="5241"/>
      <c r="I32" s="5243">
        <f>SUM(G32:H32)</f>
        <v>0</v>
      </c>
      <c r="J32" s="5244">
        <f>IF(ISERROR(I32/F32),0,I32/F32)</f>
        <v>0</v>
      </c>
      <c r="K32" s="5245">
        <f>IF(AND((J32-35%)&gt;0,J32&lt;50%),I32*(J32-35%)*0.7,0)</f>
        <v>0</v>
      </c>
      <c r="L32" s="5245">
        <f>IF(J32&gt;=50%,I32*10.5%,0)</f>
        <v>0</v>
      </c>
      <c r="M32" s="5245">
        <f>MAX(K32,L32)</f>
        <v>0</v>
      </c>
    </row>
    <row r="33" spans="1:13" ht="14.85" customHeight="1">
      <c r="A33" s="5238">
        <v>101</v>
      </c>
      <c r="B33" s="5238" t="s">
        <v>3096</v>
      </c>
      <c r="C33" s="5239" t="s">
        <v>1864</v>
      </c>
      <c r="D33" s="5240"/>
      <c r="E33" s="5241"/>
      <c r="F33" s="5243">
        <f t="shared" ref="F33:F96" si="0">SUM(D33:E33)</f>
        <v>0</v>
      </c>
      <c r="G33" s="5241"/>
      <c r="H33" s="5241"/>
      <c r="I33" s="5243">
        <f t="shared" ref="I33:I96" si="1">SUM(G33:H33)</f>
        <v>0</v>
      </c>
      <c r="J33" s="5244">
        <f>IF(ISERROR(I33/F33),0,I33/F33)</f>
        <v>0</v>
      </c>
      <c r="K33" s="5245">
        <f t="shared" ref="K33:K96" si="2">IF(AND((J33-35%)&gt;0,J33&lt;50%),I33*(J33-35%)*0.7,0)</f>
        <v>0</v>
      </c>
      <c r="L33" s="5245">
        <f t="shared" ref="L33:L96" si="3">IF(J33&gt;=50%,I33*10.5%,0)</f>
        <v>0</v>
      </c>
      <c r="M33" s="5245">
        <f t="shared" ref="M33:M96" si="4">MAX(K33,L33)</f>
        <v>0</v>
      </c>
    </row>
    <row r="34" spans="1:13" ht="14.85" customHeight="1">
      <c r="A34" s="5238">
        <v>101</v>
      </c>
      <c r="B34" s="5238" t="s">
        <v>3097</v>
      </c>
      <c r="C34" s="5239" t="s">
        <v>1865</v>
      </c>
      <c r="D34" s="5240"/>
      <c r="E34" s="5241"/>
      <c r="F34" s="5243">
        <f t="shared" si="0"/>
        <v>0</v>
      </c>
      <c r="G34" s="5241"/>
      <c r="H34" s="5241"/>
      <c r="I34" s="5243">
        <f t="shared" si="1"/>
        <v>0</v>
      </c>
      <c r="J34" s="5244">
        <f>IF(ISERROR(I34/F34),0,I34/F34)</f>
        <v>0</v>
      </c>
      <c r="K34" s="5245">
        <f t="shared" si="2"/>
        <v>0</v>
      </c>
      <c r="L34" s="5245">
        <f t="shared" si="3"/>
        <v>0</v>
      </c>
      <c r="M34" s="5245">
        <f t="shared" si="4"/>
        <v>0</v>
      </c>
    </row>
    <row r="35" spans="1:13" ht="14.85" customHeight="1">
      <c r="A35" s="5238">
        <v>102</v>
      </c>
      <c r="B35" s="5238" t="s">
        <v>3098</v>
      </c>
      <c r="C35" s="5239" t="s">
        <v>1866</v>
      </c>
      <c r="D35" s="5240"/>
      <c r="E35" s="5241"/>
      <c r="F35" s="5243">
        <f t="shared" si="0"/>
        <v>0</v>
      </c>
      <c r="G35" s="5241"/>
      <c r="H35" s="5241"/>
      <c r="I35" s="5243">
        <f t="shared" si="1"/>
        <v>0</v>
      </c>
      <c r="J35" s="5244">
        <f>IF(ISERROR(I35/F35),0,I35/F35)</f>
        <v>0</v>
      </c>
      <c r="K35" s="5245">
        <f t="shared" si="2"/>
        <v>0</v>
      </c>
      <c r="L35" s="5245">
        <f t="shared" si="3"/>
        <v>0</v>
      </c>
      <c r="M35" s="5245">
        <f t="shared" si="4"/>
        <v>0</v>
      </c>
    </row>
    <row r="36" spans="1:13" ht="14.85" customHeight="1">
      <c r="A36" s="5238">
        <v>102</v>
      </c>
      <c r="B36" s="5238" t="s">
        <v>3099</v>
      </c>
      <c r="C36" s="5239" t="s">
        <v>1867</v>
      </c>
      <c r="D36" s="5240"/>
      <c r="E36" s="5241"/>
      <c r="F36" s="5243">
        <f t="shared" si="0"/>
        <v>0</v>
      </c>
      <c r="G36" s="5241"/>
      <c r="H36" s="5241"/>
      <c r="I36" s="5243">
        <f t="shared" si="1"/>
        <v>0</v>
      </c>
      <c r="J36" s="5244">
        <f t="shared" ref="J36:J99" si="5">IF(ISERROR(I36/F36),0,I36/F36)</f>
        <v>0</v>
      </c>
      <c r="K36" s="5245">
        <f t="shared" si="2"/>
        <v>0</v>
      </c>
      <c r="L36" s="5245">
        <f t="shared" si="3"/>
        <v>0</v>
      </c>
      <c r="M36" s="5245">
        <f t="shared" si="4"/>
        <v>0</v>
      </c>
    </row>
    <row r="37" spans="1:13" ht="14.85" customHeight="1">
      <c r="A37" s="5238">
        <v>103</v>
      </c>
      <c r="B37" s="5238" t="s">
        <v>3100</v>
      </c>
      <c r="C37" s="5239" t="s">
        <v>1868</v>
      </c>
      <c r="D37" s="5240"/>
      <c r="E37" s="5241"/>
      <c r="F37" s="5243">
        <f t="shared" si="0"/>
        <v>0</v>
      </c>
      <c r="G37" s="5241"/>
      <c r="H37" s="5241"/>
      <c r="I37" s="5243">
        <f t="shared" si="1"/>
        <v>0</v>
      </c>
      <c r="J37" s="5244">
        <f t="shared" si="5"/>
        <v>0</v>
      </c>
      <c r="K37" s="5245">
        <f t="shared" si="2"/>
        <v>0</v>
      </c>
      <c r="L37" s="5245">
        <f t="shared" si="3"/>
        <v>0</v>
      </c>
      <c r="M37" s="5245">
        <f t="shared" si="4"/>
        <v>0</v>
      </c>
    </row>
    <row r="38" spans="1:13" ht="14.85" customHeight="1">
      <c r="A38" s="5238">
        <v>103</v>
      </c>
      <c r="B38" s="5238" t="s">
        <v>3101</v>
      </c>
      <c r="C38" s="5239" t="s">
        <v>1869</v>
      </c>
      <c r="D38" s="5240"/>
      <c r="E38" s="5241"/>
      <c r="F38" s="5243">
        <f t="shared" si="0"/>
        <v>0</v>
      </c>
      <c r="G38" s="5241"/>
      <c r="H38" s="5241"/>
      <c r="I38" s="5243">
        <f t="shared" si="1"/>
        <v>0</v>
      </c>
      <c r="J38" s="5244">
        <f t="shared" si="5"/>
        <v>0</v>
      </c>
      <c r="K38" s="5245">
        <f t="shared" si="2"/>
        <v>0</v>
      </c>
      <c r="L38" s="5245">
        <f t="shared" si="3"/>
        <v>0</v>
      </c>
      <c r="M38" s="5245">
        <f t="shared" si="4"/>
        <v>0</v>
      </c>
    </row>
    <row r="39" spans="1:13" ht="14.85" customHeight="1">
      <c r="A39" s="5238">
        <v>105</v>
      </c>
      <c r="B39" s="5238" t="s">
        <v>3102</v>
      </c>
      <c r="C39" s="5239" t="s">
        <v>1870</v>
      </c>
      <c r="D39" s="5240"/>
      <c r="E39" s="5241"/>
      <c r="F39" s="5243">
        <f t="shared" si="0"/>
        <v>0</v>
      </c>
      <c r="G39" s="5241"/>
      <c r="H39" s="5241"/>
      <c r="I39" s="5243">
        <f t="shared" si="1"/>
        <v>0</v>
      </c>
      <c r="J39" s="5244">
        <f t="shared" si="5"/>
        <v>0</v>
      </c>
      <c r="K39" s="5245">
        <f t="shared" si="2"/>
        <v>0</v>
      </c>
      <c r="L39" s="5245">
        <f t="shared" si="3"/>
        <v>0</v>
      </c>
      <c r="M39" s="5245">
        <f t="shared" si="4"/>
        <v>0</v>
      </c>
    </row>
    <row r="40" spans="1:13" ht="14.85" customHeight="1">
      <c r="A40" s="5238">
        <v>105</v>
      </c>
      <c r="B40" s="5238" t="s">
        <v>3103</v>
      </c>
      <c r="C40" s="5239" t="s">
        <v>1871</v>
      </c>
      <c r="D40" s="5240"/>
      <c r="E40" s="5241"/>
      <c r="F40" s="5243">
        <f t="shared" si="0"/>
        <v>0</v>
      </c>
      <c r="G40" s="5241"/>
      <c r="H40" s="5241"/>
      <c r="I40" s="5243">
        <f t="shared" si="1"/>
        <v>0</v>
      </c>
      <c r="J40" s="5244">
        <f t="shared" si="5"/>
        <v>0</v>
      </c>
      <c r="K40" s="5245">
        <f t="shared" si="2"/>
        <v>0</v>
      </c>
      <c r="L40" s="5245">
        <f t="shared" si="3"/>
        <v>0</v>
      </c>
      <c r="M40" s="5245">
        <f t="shared" si="4"/>
        <v>0</v>
      </c>
    </row>
    <row r="41" spans="1:13" ht="14.85" customHeight="1">
      <c r="A41" s="5238">
        <v>106</v>
      </c>
      <c r="B41" s="5238" t="s">
        <v>3104</v>
      </c>
      <c r="C41" s="5239" t="s">
        <v>1872</v>
      </c>
      <c r="D41" s="5240"/>
      <c r="E41" s="5241"/>
      <c r="F41" s="5243">
        <f t="shared" si="0"/>
        <v>0</v>
      </c>
      <c r="G41" s="5241"/>
      <c r="H41" s="5241"/>
      <c r="I41" s="5243">
        <f t="shared" si="1"/>
        <v>0</v>
      </c>
      <c r="J41" s="5244">
        <f t="shared" si="5"/>
        <v>0</v>
      </c>
      <c r="K41" s="5245">
        <f t="shared" si="2"/>
        <v>0</v>
      </c>
      <c r="L41" s="5245">
        <f t="shared" si="3"/>
        <v>0</v>
      </c>
      <c r="M41" s="5245">
        <f t="shared" si="4"/>
        <v>0</v>
      </c>
    </row>
    <row r="42" spans="1:13" ht="14.85" customHeight="1">
      <c r="A42" s="5238">
        <v>106</v>
      </c>
      <c r="B42" s="5238" t="s">
        <v>3105</v>
      </c>
      <c r="C42" s="5239" t="s">
        <v>1873</v>
      </c>
      <c r="D42" s="5240"/>
      <c r="E42" s="5241"/>
      <c r="F42" s="5243">
        <f t="shared" si="0"/>
        <v>0</v>
      </c>
      <c r="G42" s="5241"/>
      <c r="H42" s="5241"/>
      <c r="I42" s="5243">
        <f t="shared" si="1"/>
        <v>0</v>
      </c>
      <c r="J42" s="5244">
        <f t="shared" si="5"/>
        <v>0</v>
      </c>
      <c r="K42" s="5245">
        <f t="shared" si="2"/>
        <v>0</v>
      </c>
      <c r="L42" s="5245">
        <f t="shared" si="3"/>
        <v>0</v>
      </c>
      <c r="M42" s="5245">
        <f t="shared" si="4"/>
        <v>0</v>
      </c>
    </row>
    <row r="43" spans="1:13" ht="14.85" customHeight="1">
      <c r="A43" s="5238">
        <v>106</v>
      </c>
      <c r="B43" s="5238" t="s">
        <v>3106</v>
      </c>
      <c r="C43" s="5239" t="s">
        <v>1874</v>
      </c>
      <c r="D43" s="5240"/>
      <c r="E43" s="5241"/>
      <c r="F43" s="5243">
        <f t="shared" si="0"/>
        <v>0</v>
      </c>
      <c r="G43" s="5241"/>
      <c r="H43" s="5241"/>
      <c r="I43" s="5243">
        <f t="shared" si="1"/>
        <v>0</v>
      </c>
      <c r="J43" s="5244">
        <f t="shared" si="5"/>
        <v>0</v>
      </c>
      <c r="K43" s="5245">
        <f t="shared" si="2"/>
        <v>0</v>
      </c>
      <c r="L43" s="5245">
        <f t="shared" si="3"/>
        <v>0</v>
      </c>
      <c r="M43" s="5245">
        <f t="shared" si="4"/>
        <v>0</v>
      </c>
    </row>
    <row r="44" spans="1:13" ht="14.85" customHeight="1">
      <c r="A44" s="5238">
        <v>107</v>
      </c>
      <c r="B44" s="5238" t="s">
        <v>3107</v>
      </c>
      <c r="C44" s="5239" t="s">
        <v>1875</v>
      </c>
      <c r="D44" s="5240"/>
      <c r="E44" s="5241"/>
      <c r="F44" s="5243">
        <f t="shared" si="0"/>
        <v>0</v>
      </c>
      <c r="G44" s="5241"/>
      <c r="H44" s="5241"/>
      <c r="I44" s="5243">
        <f t="shared" si="1"/>
        <v>0</v>
      </c>
      <c r="J44" s="5244">
        <f t="shared" si="5"/>
        <v>0</v>
      </c>
      <c r="K44" s="5245">
        <f t="shared" si="2"/>
        <v>0</v>
      </c>
      <c r="L44" s="5245">
        <f t="shared" si="3"/>
        <v>0</v>
      </c>
      <c r="M44" s="5245">
        <f t="shared" si="4"/>
        <v>0</v>
      </c>
    </row>
    <row r="45" spans="1:13" ht="14.85" customHeight="1">
      <c r="A45" s="5238">
        <v>107</v>
      </c>
      <c r="B45" s="5238" t="s">
        <v>3108</v>
      </c>
      <c r="C45" s="5239" t="s">
        <v>1876</v>
      </c>
      <c r="D45" s="5240"/>
      <c r="E45" s="5241"/>
      <c r="F45" s="5243">
        <f t="shared" si="0"/>
        <v>0</v>
      </c>
      <c r="G45" s="5241"/>
      <c r="H45" s="5241"/>
      <c r="I45" s="5243">
        <f t="shared" si="1"/>
        <v>0</v>
      </c>
      <c r="J45" s="5244">
        <f t="shared" si="5"/>
        <v>0</v>
      </c>
      <c r="K45" s="5245">
        <f t="shared" si="2"/>
        <v>0</v>
      </c>
      <c r="L45" s="5245">
        <f t="shared" si="3"/>
        <v>0</v>
      </c>
      <c r="M45" s="5245">
        <f t="shared" si="4"/>
        <v>0</v>
      </c>
    </row>
    <row r="46" spans="1:13" ht="14.85" customHeight="1">
      <c r="A46" s="5238">
        <v>108</v>
      </c>
      <c r="B46" s="5238" t="s">
        <v>3109</v>
      </c>
      <c r="C46" s="5239" t="s">
        <v>1877</v>
      </c>
      <c r="D46" s="5240"/>
      <c r="E46" s="5241"/>
      <c r="F46" s="5243">
        <f t="shared" si="0"/>
        <v>0</v>
      </c>
      <c r="G46" s="5241"/>
      <c r="H46" s="5241"/>
      <c r="I46" s="5243">
        <f t="shared" si="1"/>
        <v>0</v>
      </c>
      <c r="J46" s="5244">
        <f t="shared" si="5"/>
        <v>0</v>
      </c>
      <c r="K46" s="5245">
        <f t="shared" si="2"/>
        <v>0</v>
      </c>
      <c r="L46" s="5245">
        <f t="shared" si="3"/>
        <v>0</v>
      </c>
      <c r="M46" s="5245">
        <f t="shared" si="4"/>
        <v>0</v>
      </c>
    </row>
    <row r="47" spans="1:13" ht="14.85" customHeight="1">
      <c r="A47" s="5238">
        <v>108</v>
      </c>
      <c r="B47" s="5238" t="s">
        <v>3110</v>
      </c>
      <c r="C47" s="5239" t="s">
        <v>1878</v>
      </c>
      <c r="D47" s="5240"/>
      <c r="E47" s="5241"/>
      <c r="F47" s="5243">
        <f t="shared" si="0"/>
        <v>0</v>
      </c>
      <c r="G47" s="5241"/>
      <c r="H47" s="5241"/>
      <c r="I47" s="5243">
        <f t="shared" si="1"/>
        <v>0</v>
      </c>
      <c r="J47" s="5244">
        <f t="shared" si="5"/>
        <v>0</v>
      </c>
      <c r="K47" s="5245">
        <f t="shared" si="2"/>
        <v>0</v>
      </c>
      <c r="L47" s="5245">
        <f t="shared" si="3"/>
        <v>0</v>
      </c>
      <c r="M47" s="5245">
        <f t="shared" si="4"/>
        <v>0</v>
      </c>
    </row>
    <row r="48" spans="1:13" ht="14.85" customHeight="1">
      <c r="A48" s="5238">
        <v>109</v>
      </c>
      <c r="B48" s="5238" t="s">
        <v>3111</v>
      </c>
      <c r="C48" s="5239" t="s">
        <v>1879</v>
      </c>
      <c r="D48" s="5240"/>
      <c r="E48" s="5241"/>
      <c r="F48" s="5243">
        <f t="shared" si="0"/>
        <v>0</v>
      </c>
      <c r="G48" s="5241"/>
      <c r="H48" s="5241"/>
      <c r="I48" s="5243">
        <f t="shared" si="1"/>
        <v>0</v>
      </c>
      <c r="J48" s="5244">
        <f t="shared" si="5"/>
        <v>0</v>
      </c>
      <c r="K48" s="5245">
        <f t="shared" si="2"/>
        <v>0</v>
      </c>
      <c r="L48" s="5245">
        <f t="shared" si="3"/>
        <v>0</v>
      </c>
      <c r="M48" s="5245">
        <f t="shared" si="4"/>
        <v>0</v>
      </c>
    </row>
    <row r="49" spans="1:13" ht="14.85" customHeight="1">
      <c r="A49" s="5238">
        <v>109</v>
      </c>
      <c r="B49" s="5238" t="s">
        <v>3112</v>
      </c>
      <c r="C49" s="5239" t="s">
        <v>1880</v>
      </c>
      <c r="D49" s="5240"/>
      <c r="E49" s="5241"/>
      <c r="F49" s="5243">
        <f t="shared" si="0"/>
        <v>0</v>
      </c>
      <c r="G49" s="5241"/>
      <c r="H49" s="5241"/>
      <c r="I49" s="5243">
        <f t="shared" si="1"/>
        <v>0</v>
      </c>
      <c r="J49" s="5244">
        <f t="shared" si="5"/>
        <v>0</v>
      </c>
      <c r="K49" s="5245">
        <f t="shared" si="2"/>
        <v>0</v>
      </c>
      <c r="L49" s="5245">
        <f t="shared" si="3"/>
        <v>0</v>
      </c>
      <c r="M49" s="5245">
        <f t="shared" si="4"/>
        <v>0</v>
      </c>
    </row>
    <row r="50" spans="1:13" ht="14.85" customHeight="1">
      <c r="A50" s="5238">
        <v>110</v>
      </c>
      <c r="B50" s="5238" t="s">
        <v>3113</v>
      </c>
      <c r="C50" s="5239" t="s">
        <v>4951</v>
      </c>
      <c r="D50" s="5240"/>
      <c r="E50" s="5241"/>
      <c r="F50" s="5243">
        <f t="shared" si="0"/>
        <v>0</v>
      </c>
      <c r="G50" s="5241"/>
      <c r="H50" s="5241"/>
      <c r="I50" s="5243">
        <f t="shared" si="1"/>
        <v>0</v>
      </c>
      <c r="J50" s="5244">
        <f t="shared" si="5"/>
        <v>0</v>
      </c>
      <c r="K50" s="5245">
        <f t="shared" si="2"/>
        <v>0</v>
      </c>
      <c r="L50" s="5245">
        <f t="shared" si="3"/>
        <v>0</v>
      </c>
      <c r="M50" s="5245">
        <f t="shared" si="4"/>
        <v>0</v>
      </c>
    </row>
    <row r="51" spans="1:13" ht="14.85" customHeight="1">
      <c r="A51" s="5238">
        <v>110</v>
      </c>
      <c r="B51" s="5238" t="s">
        <v>3114</v>
      </c>
      <c r="C51" s="5239" t="s">
        <v>4952</v>
      </c>
      <c r="D51" s="5240"/>
      <c r="E51" s="5241"/>
      <c r="F51" s="5243">
        <f t="shared" si="0"/>
        <v>0</v>
      </c>
      <c r="G51" s="5241"/>
      <c r="H51" s="5241"/>
      <c r="I51" s="5243">
        <f t="shared" si="1"/>
        <v>0</v>
      </c>
      <c r="J51" s="5244">
        <f t="shared" si="5"/>
        <v>0</v>
      </c>
      <c r="K51" s="5245">
        <f t="shared" si="2"/>
        <v>0</v>
      </c>
      <c r="L51" s="5245">
        <f t="shared" si="3"/>
        <v>0</v>
      </c>
      <c r="M51" s="5245">
        <f t="shared" si="4"/>
        <v>0</v>
      </c>
    </row>
    <row r="52" spans="1:13" ht="14.85" customHeight="1">
      <c r="A52" s="5238">
        <v>110</v>
      </c>
      <c r="B52" s="5238" t="s">
        <v>3115</v>
      </c>
      <c r="C52" s="5239" t="s">
        <v>4953</v>
      </c>
      <c r="D52" s="5240"/>
      <c r="E52" s="5241"/>
      <c r="F52" s="5243">
        <f t="shared" si="0"/>
        <v>0</v>
      </c>
      <c r="G52" s="5241"/>
      <c r="H52" s="5241"/>
      <c r="I52" s="5243">
        <f t="shared" si="1"/>
        <v>0</v>
      </c>
      <c r="J52" s="5244">
        <f t="shared" si="5"/>
        <v>0</v>
      </c>
      <c r="K52" s="5245">
        <f t="shared" si="2"/>
        <v>0</v>
      </c>
      <c r="L52" s="5245">
        <f t="shared" si="3"/>
        <v>0</v>
      </c>
      <c r="M52" s="5245">
        <f t="shared" si="4"/>
        <v>0</v>
      </c>
    </row>
    <row r="53" spans="1:13" ht="14.85" customHeight="1">
      <c r="A53" s="5238">
        <v>111</v>
      </c>
      <c r="B53" s="5238" t="s">
        <v>3116</v>
      </c>
      <c r="C53" s="5239" t="s">
        <v>1881</v>
      </c>
      <c r="D53" s="5240"/>
      <c r="E53" s="5241"/>
      <c r="F53" s="5243">
        <f t="shared" si="0"/>
        <v>0</v>
      </c>
      <c r="G53" s="5241"/>
      <c r="H53" s="5241"/>
      <c r="I53" s="5243">
        <f t="shared" si="1"/>
        <v>0</v>
      </c>
      <c r="J53" s="5244">
        <f t="shared" si="5"/>
        <v>0</v>
      </c>
      <c r="K53" s="5245">
        <f t="shared" si="2"/>
        <v>0</v>
      </c>
      <c r="L53" s="5245">
        <f t="shared" si="3"/>
        <v>0</v>
      </c>
      <c r="M53" s="5245">
        <f t="shared" si="4"/>
        <v>0</v>
      </c>
    </row>
    <row r="54" spans="1:13" ht="14.85" customHeight="1">
      <c r="A54" s="5238">
        <v>111</v>
      </c>
      <c r="B54" s="5238" t="s">
        <v>3117</v>
      </c>
      <c r="C54" s="5239" t="s">
        <v>4492</v>
      </c>
      <c r="D54" s="5240"/>
      <c r="E54" s="5241"/>
      <c r="F54" s="5243">
        <f t="shared" si="0"/>
        <v>0</v>
      </c>
      <c r="G54" s="5241"/>
      <c r="H54" s="5241"/>
      <c r="I54" s="5243">
        <f t="shared" si="1"/>
        <v>0</v>
      </c>
      <c r="J54" s="5244">
        <f t="shared" si="5"/>
        <v>0</v>
      </c>
      <c r="K54" s="5245">
        <f t="shared" si="2"/>
        <v>0</v>
      </c>
      <c r="L54" s="5245">
        <f t="shared" si="3"/>
        <v>0</v>
      </c>
      <c r="M54" s="5245">
        <f t="shared" si="4"/>
        <v>0</v>
      </c>
    </row>
    <row r="55" spans="1:13" ht="14.85" customHeight="1">
      <c r="A55" s="5238">
        <v>112</v>
      </c>
      <c r="B55" s="5238" t="s">
        <v>3118</v>
      </c>
      <c r="C55" s="5239" t="s">
        <v>1882</v>
      </c>
      <c r="D55" s="5240"/>
      <c r="E55" s="5241"/>
      <c r="F55" s="5243">
        <f t="shared" si="0"/>
        <v>0</v>
      </c>
      <c r="G55" s="5241"/>
      <c r="H55" s="5241"/>
      <c r="I55" s="5243">
        <f t="shared" si="1"/>
        <v>0</v>
      </c>
      <c r="J55" s="5244">
        <f t="shared" si="5"/>
        <v>0</v>
      </c>
      <c r="K55" s="5245">
        <f t="shared" si="2"/>
        <v>0</v>
      </c>
      <c r="L55" s="5245">
        <f t="shared" si="3"/>
        <v>0</v>
      </c>
      <c r="M55" s="5245">
        <f t="shared" si="4"/>
        <v>0</v>
      </c>
    </row>
    <row r="56" spans="1:13" ht="14.85" customHeight="1">
      <c r="A56" s="5238">
        <v>112</v>
      </c>
      <c r="B56" s="5238" t="s">
        <v>3119</v>
      </c>
      <c r="C56" s="5239" t="s">
        <v>1883</v>
      </c>
      <c r="D56" s="5240"/>
      <c r="E56" s="5241"/>
      <c r="F56" s="5243">
        <f t="shared" si="0"/>
        <v>0</v>
      </c>
      <c r="G56" s="5241"/>
      <c r="H56" s="5241"/>
      <c r="I56" s="5243">
        <f t="shared" si="1"/>
        <v>0</v>
      </c>
      <c r="J56" s="5244">
        <f t="shared" si="5"/>
        <v>0</v>
      </c>
      <c r="K56" s="5245">
        <f t="shared" si="2"/>
        <v>0</v>
      </c>
      <c r="L56" s="5245">
        <f t="shared" si="3"/>
        <v>0</v>
      </c>
      <c r="M56" s="5245">
        <f t="shared" si="4"/>
        <v>0</v>
      </c>
    </row>
    <row r="57" spans="1:13" ht="14.85" customHeight="1">
      <c r="A57" s="5238">
        <v>112</v>
      </c>
      <c r="B57" s="5238" t="s">
        <v>3120</v>
      </c>
      <c r="C57" s="5239" t="s">
        <v>4493</v>
      </c>
      <c r="D57" s="5240"/>
      <c r="E57" s="5241"/>
      <c r="F57" s="5243">
        <f t="shared" si="0"/>
        <v>0</v>
      </c>
      <c r="G57" s="5241"/>
      <c r="H57" s="5241"/>
      <c r="I57" s="5243">
        <f t="shared" si="1"/>
        <v>0</v>
      </c>
      <c r="J57" s="5244">
        <f t="shared" si="5"/>
        <v>0</v>
      </c>
      <c r="K57" s="5245">
        <f t="shared" si="2"/>
        <v>0</v>
      </c>
      <c r="L57" s="5245">
        <f t="shared" si="3"/>
        <v>0</v>
      </c>
      <c r="M57" s="5245">
        <f t="shared" si="4"/>
        <v>0</v>
      </c>
    </row>
    <row r="58" spans="1:13" ht="14.85" customHeight="1">
      <c r="A58" s="5238">
        <v>112</v>
      </c>
      <c r="B58" s="5238" t="s">
        <v>3121</v>
      </c>
      <c r="C58" s="5239" t="s">
        <v>4577</v>
      </c>
      <c r="D58" s="5240"/>
      <c r="E58" s="5241"/>
      <c r="F58" s="5243">
        <f t="shared" si="0"/>
        <v>0</v>
      </c>
      <c r="G58" s="5241"/>
      <c r="H58" s="5241"/>
      <c r="I58" s="5243">
        <f t="shared" si="1"/>
        <v>0</v>
      </c>
      <c r="J58" s="5244">
        <f t="shared" si="5"/>
        <v>0</v>
      </c>
      <c r="K58" s="5245">
        <f t="shared" si="2"/>
        <v>0</v>
      </c>
      <c r="L58" s="5245">
        <f t="shared" si="3"/>
        <v>0</v>
      </c>
      <c r="M58" s="5245">
        <f t="shared" si="4"/>
        <v>0</v>
      </c>
    </row>
    <row r="59" spans="1:13" ht="14.85" customHeight="1">
      <c r="A59" s="5238">
        <v>113</v>
      </c>
      <c r="B59" s="5238" t="s">
        <v>3122</v>
      </c>
      <c r="C59" s="5239" t="s">
        <v>1884</v>
      </c>
      <c r="D59" s="5240"/>
      <c r="E59" s="5241"/>
      <c r="F59" s="5243">
        <f t="shared" si="0"/>
        <v>0</v>
      </c>
      <c r="G59" s="5241"/>
      <c r="H59" s="5241"/>
      <c r="I59" s="5243">
        <f t="shared" si="1"/>
        <v>0</v>
      </c>
      <c r="J59" s="5244">
        <f t="shared" si="5"/>
        <v>0</v>
      </c>
      <c r="K59" s="5245">
        <f t="shared" si="2"/>
        <v>0</v>
      </c>
      <c r="L59" s="5245">
        <f t="shared" si="3"/>
        <v>0</v>
      </c>
      <c r="M59" s="5245">
        <f t="shared" si="4"/>
        <v>0</v>
      </c>
    </row>
    <row r="60" spans="1:13" ht="14.85" customHeight="1">
      <c r="A60" s="5238">
        <v>113</v>
      </c>
      <c r="B60" s="5238" t="s">
        <v>3123</v>
      </c>
      <c r="C60" s="5239" t="s">
        <v>1885</v>
      </c>
      <c r="D60" s="5240"/>
      <c r="E60" s="5241"/>
      <c r="F60" s="5243">
        <f t="shared" si="0"/>
        <v>0</v>
      </c>
      <c r="G60" s="5241"/>
      <c r="H60" s="5241"/>
      <c r="I60" s="5243">
        <f t="shared" si="1"/>
        <v>0</v>
      </c>
      <c r="J60" s="5244">
        <f t="shared" si="5"/>
        <v>0</v>
      </c>
      <c r="K60" s="5245">
        <f t="shared" si="2"/>
        <v>0</v>
      </c>
      <c r="L60" s="5245">
        <f t="shared" si="3"/>
        <v>0</v>
      </c>
      <c r="M60" s="5245">
        <f t="shared" si="4"/>
        <v>0</v>
      </c>
    </row>
    <row r="61" spans="1:13" ht="14.85" customHeight="1">
      <c r="A61" s="5238">
        <v>113</v>
      </c>
      <c r="B61" s="5238" t="s">
        <v>3124</v>
      </c>
      <c r="C61" s="5239" t="s">
        <v>1886</v>
      </c>
      <c r="D61" s="5240"/>
      <c r="E61" s="5241"/>
      <c r="F61" s="5243">
        <f t="shared" si="0"/>
        <v>0</v>
      </c>
      <c r="G61" s="5241"/>
      <c r="H61" s="5241"/>
      <c r="I61" s="5243">
        <f t="shared" si="1"/>
        <v>0</v>
      </c>
      <c r="J61" s="5244">
        <f t="shared" si="5"/>
        <v>0</v>
      </c>
      <c r="K61" s="5245">
        <f t="shared" si="2"/>
        <v>0</v>
      </c>
      <c r="L61" s="5245">
        <f t="shared" si="3"/>
        <v>0</v>
      </c>
      <c r="M61" s="5245">
        <f t="shared" si="4"/>
        <v>0</v>
      </c>
    </row>
    <row r="62" spans="1:13" ht="14.85" customHeight="1">
      <c r="A62" s="5238">
        <v>113</v>
      </c>
      <c r="B62" s="5238" t="s">
        <v>3125</v>
      </c>
      <c r="C62" s="5239" t="s">
        <v>1887</v>
      </c>
      <c r="D62" s="5240"/>
      <c r="E62" s="5241"/>
      <c r="F62" s="5243">
        <f t="shared" si="0"/>
        <v>0</v>
      </c>
      <c r="G62" s="5241"/>
      <c r="H62" s="5241"/>
      <c r="I62" s="5243">
        <f t="shared" si="1"/>
        <v>0</v>
      </c>
      <c r="J62" s="5244">
        <f t="shared" si="5"/>
        <v>0</v>
      </c>
      <c r="K62" s="5245">
        <f t="shared" si="2"/>
        <v>0</v>
      </c>
      <c r="L62" s="5245">
        <f t="shared" si="3"/>
        <v>0</v>
      </c>
      <c r="M62" s="5245">
        <f t="shared" si="4"/>
        <v>0</v>
      </c>
    </row>
    <row r="63" spans="1:13" ht="14.85" customHeight="1">
      <c r="A63" s="5238">
        <v>113</v>
      </c>
      <c r="B63" s="5238" t="s">
        <v>3126</v>
      </c>
      <c r="C63" s="5239" t="s">
        <v>1888</v>
      </c>
      <c r="D63" s="5240"/>
      <c r="E63" s="5241"/>
      <c r="F63" s="5243">
        <f t="shared" si="0"/>
        <v>0</v>
      </c>
      <c r="G63" s="5241"/>
      <c r="H63" s="5241"/>
      <c r="I63" s="5243">
        <f t="shared" si="1"/>
        <v>0</v>
      </c>
      <c r="J63" s="5244">
        <f t="shared" si="5"/>
        <v>0</v>
      </c>
      <c r="K63" s="5245">
        <f t="shared" si="2"/>
        <v>0</v>
      </c>
      <c r="L63" s="5245">
        <f t="shared" si="3"/>
        <v>0</v>
      </c>
      <c r="M63" s="5245">
        <f t="shared" si="4"/>
        <v>0</v>
      </c>
    </row>
    <row r="64" spans="1:13" ht="14.85" customHeight="1">
      <c r="A64" s="5238">
        <v>113</v>
      </c>
      <c r="B64" s="5238" t="s">
        <v>3127</v>
      </c>
      <c r="C64" s="5239" t="s">
        <v>1889</v>
      </c>
      <c r="D64" s="5240"/>
      <c r="E64" s="5241"/>
      <c r="F64" s="5243">
        <f t="shared" si="0"/>
        <v>0</v>
      </c>
      <c r="G64" s="5241"/>
      <c r="H64" s="5241"/>
      <c r="I64" s="5243">
        <f t="shared" si="1"/>
        <v>0</v>
      </c>
      <c r="J64" s="5244">
        <f t="shared" si="5"/>
        <v>0</v>
      </c>
      <c r="K64" s="5245">
        <f t="shared" si="2"/>
        <v>0</v>
      </c>
      <c r="L64" s="5245">
        <f t="shared" si="3"/>
        <v>0</v>
      </c>
      <c r="M64" s="5245">
        <f t="shared" si="4"/>
        <v>0</v>
      </c>
    </row>
    <row r="65" spans="1:13" ht="14.85" customHeight="1">
      <c r="A65" s="5238">
        <v>113</v>
      </c>
      <c r="B65" s="5238" t="s">
        <v>3128</v>
      </c>
      <c r="C65" s="5239" t="s">
        <v>1890</v>
      </c>
      <c r="D65" s="5240"/>
      <c r="E65" s="5241"/>
      <c r="F65" s="5243">
        <f t="shared" si="0"/>
        <v>0</v>
      </c>
      <c r="G65" s="5241"/>
      <c r="H65" s="5241"/>
      <c r="I65" s="5243">
        <f t="shared" si="1"/>
        <v>0</v>
      </c>
      <c r="J65" s="5244">
        <f t="shared" si="5"/>
        <v>0</v>
      </c>
      <c r="K65" s="5245">
        <f t="shared" si="2"/>
        <v>0</v>
      </c>
      <c r="L65" s="5245">
        <f t="shared" si="3"/>
        <v>0</v>
      </c>
      <c r="M65" s="5245">
        <f t="shared" si="4"/>
        <v>0</v>
      </c>
    </row>
    <row r="66" spans="1:13" ht="14.85" customHeight="1">
      <c r="A66" s="5238">
        <v>114</v>
      </c>
      <c r="B66" s="5238" t="s">
        <v>3129</v>
      </c>
      <c r="C66" s="5239" t="s">
        <v>1891</v>
      </c>
      <c r="D66" s="5240"/>
      <c r="E66" s="5241"/>
      <c r="F66" s="5243">
        <f t="shared" si="0"/>
        <v>0</v>
      </c>
      <c r="G66" s="5241"/>
      <c r="H66" s="5241"/>
      <c r="I66" s="5243">
        <f t="shared" si="1"/>
        <v>0</v>
      </c>
      <c r="J66" s="5244">
        <f t="shared" si="5"/>
        <v>0</v>
      </c>
      <c r="K66" s="5245">
        <f t="shared" si="2"/>
        <v>0</v>
      </c>
      <c r="L66" s="5245">
        <f t="shared" si="3"/>
        <v>0</v>
      </c>
      <c r="M66" s="5245">
        <f t="shared" si="4"/>
        <v>0</v>
      </c>
    </row>
    <row r="67" spans="1:13" ht="14.85" customHeight="1">
      <c r="A67" s="5238">
        <v>114</v>
      </c>
      <c r="B67" s="5238" t="s">
        <v>3130</v>
      </c>
      <c r="C67" s="5239" t="s">
        <v>1892</v>
      </c>
      <c r="D67" s="5240"/>
      <c r="E67" s="5241"/>
      <c r="F67" s="5243">
        <f t="shared" si="0"/>
        <v>0</v>
      </c>
      <c r="G67" s="5241"/>
      <c r="H67" s="5241"/>
      <c r="I67" s="5243">
        <f t="shared" si="1"/>
        <v>0</v>
      </c>
      <c r="J67" s="5244">
        <f t="shared" si="5"/>
        <v>0</v>
      </c>
      <c r="K67" s="5245">
        <f t="shared" si="2"/>
        <v>0</v>
      </c>
      <c r="L67" s="5245">
        <f t="shared" si="3"/>
        <v>0</v>
      </c>
      <c r="M67" s="5245">
        <f t="shared" si="4"/>
        <v>0</v>
      </c>
    </row>
    <row r="68" spans="1:13" ht="14.85" customHeight="1">
      <c r="A68" s="5238">
        <v>114</v>
      </c>
      <c r="B68" s="5238" t="s">
        <v>3131</v>
      </c>
      <c r="C68" s="5239" t="s">
        <v>1893</v>
      </c>
      <c r="D68" s="5240"/>
      <c r="E68" s="5241"/>
      <c r="F68" s="5243">
        <f t="shared" si="0"/>
        <v>0</v>
      </c>
      <c r="G68" s="5241"/>
      <c r="H68" s="5241"/>
      <c r="I68" s="5243">
        <f t="shared" si="1"/>
        <v>0</v>
      </c>
      <c r="J68" s="5244">
        <f t="shared" si="5"/>
        <v>0</v>
      </c>
      <c r="K68" s="5245">
        <f t="shared" si="2"/>
        <v>0</v>
      </c>
      <c r="L68" s="5245">
        <f t="shared" si="3"/>
        <v>0</v>
      </c>
      <c r="M68" s="5245">
        <f t="shared" si="4"/>
        <v>0</v>
      </c>
    </row>
    <row r="69" spans="1:13" ht="14.85" customHeight="1">
      <c r="A69" s="5238">
        <v>114</v>
      </c>
      <c r="B69" s="5238" t="s">
        <v>3132</v>
      </c>
      <c r="C69" s="5239" t="s">
        <v>1894</v>
      </c>
      <c r="D69" s="5240"/>
      <c r="E69" s="5241"/>
      <c r="F69" s="5243">
        <f t="shared" si="0"/>
        <v>0</v>
      </c>
      <c r="G69" s="5241"/>
      <c r="H69" s="5241"/>
      <c r="I69" s="5243">
        <f t="shared" si="1"/>
        <v>0</v>
      </c>
      <c r="J69" s="5244">
        <f t="shared" si="5"/>
        <v>0</v>
      </c>
      <c r="K69" s="5245">
        <f t="shared" si="2"/>
        <v>0</v>
      </c>
      <c r="L69" s="5245">
        <f t="shared" si="3"/>
        <v>0</v>
      </c>
      <c r="M69" s="5245">
        <f t="shared" si="4"/>
        <v>0</v>
      </c>
    </row>
    <row r="70" spans="1:13" ht="14.85" customHeight="1">
      <c r="A70" s="5238">
        <v>114</v>
      </c>
      <c r="B70" s="5238" t="s">
        <v>3133</v>
      </c>
      <c r="C70" s="5239" t="s">
        <v>1895</v>
      </c>
      <c r="D70" s="5240"/>
      <c r="E70" s="5241"/>
      <c r="F70" s="5243">
        <f t="shared" si="0"/>
        <v>0</v>
      </c>
      <c r="G70" s="5241"/>
      <c r="H70" s="5241"/>
      <c r="I70" s="5243">
        <f t="shared" si="1"/>
        <v>0</v>
      </c>
      <c r="J70" s="5244">
        <f t="shared" si="5"/>
        <v>0</v>
      </c>
      <c r="K70" s="5245">
        <f t="shared" si="2"/>
        <v>0</v>
      </c>
      <c r="L70" s="5245">
        <f t="shared" si="3"/>
        <v>0</v>
      </c>
      <c r="M70" s="5245">
        <f t="shared" si="4"/>
        <v>0</v>
      </c>
    </row>
    <row r="71" spans="1:13" ht="14.85" customHeight="1">
      <c r="A71" s="5238">
        <v>115</v>
      </c>
      <c r="B71" s="5238" t="s">
        <v>3134</v>
      </c>
      <c r="C71" s="5239" t="s">
        <v>4494</v>
      </c>
      <c r="D71" s="5240"/>
      <c r="E71" s="5241"/>
      <c r="F71" s="5243">
        <f t="shared" si="0"/>
        <v>0</v>
      </c>
      <c r="G71" s="5241"/>
      <c r="H71" s="5241"/>
      <c r="I71" s="5243">
        <f t="shared" si="1"/>
        <v>0</v>
      </c>
      <c r="J71" s="5244">
        <f t="shared" si="5"/>
        <v>0</v>
      </c>
      <c r="K71" s="5245">
        <f t="shared" si="2"/>
        <v>0</v>
      </c>
      <c r="L71" s="5245">
        <f t="shared" si="3"/>
        <v>0</v>
      </c>
      <c r="M71" s="5245">
        <f t="shared" si="4"/>
        <v>0</v>
      </c>
    </row>
    <row r="72" spans="1:13" ht="14.85" customHeight="1">
      <c r="A72" s="5238">
        <v>115</v>
      </c>
      <c r="B72" s="5238" t="s">
        <v>3135</v>
      </c>
      <c r="C72" s="5239" t="s">
        <v>1896</v>
      </c>
      <c r="D72" s="5240"/>
      <c r="E72" s="5241"/>
      <c r="F72" s="5243">
        <f t="shared" si="0"/>
        <v>0</v>
      </c>
      <c r="G72" s="5241"/>
      <c r="H72" s="5241"/>
      <c r="I72" s="5243">
        <f t="shared" si="1"/>
        <v>0</v>
      </c>
      <c r="J72" s="5244">
        <f t="shared" si="5"/>
        <v>0</v>
      </c>
      <c r="K72" s="5245">
        <f t="shared" si="2"/>
        <v>0</v>
      </c>
      <c r="L72" s="5245">
        <f t="shared" si="3"/>
        <v>0</v>
      </c>
      <c r="M72" s="5245">
        <f t="shared" si="4"/>
        <v>0</v>
      </c>
    </row>
    <row r="73" spans="1:13" ht="14.85" customHeight="1">
      <c r="A73" s="5238">
        <v>200</v>
      </c>
      <c r="B73" s="5238" t="s">
        <v>3136</v>
      </c>
      <c r="C73" s="5239" t="s">
        <v>1897</v>
      </c>
      <c r="D73" s="5240"/>
      <c r="E73" s="5241"/>
      <c r="F73" s="5243">
        <f t="shared" si="0"/>
        <v>0</v>
      </c>
      <c r="G73" s="5241"/>
      <c r="H73" s="5241"/>
      <c r="I73" s="5243">
        <f t="shared" si="1"/>
        <v>0</v>
      </c>
      <c r="J73" s="5244">
        <f t="shared" si="5"/>
        <v>0</v>
      </c>
      <c r="K73" s="5245">
        <f t="shared" si="2"/>
        <v>0</v>
      </c>
      <c r="L73" s="5245">
        <f t="shared" si="3"/>
        <v>0</v>
      </c>
      <c r="M73" s="5245">
        <f t="shared" si="4"/>
        <v>0</v>
      </c>
    </row>
    <row r="74" spans="1:13" ht="14.85" customHeight="1">
      <c r="A74" s="5238">
        <v>200</v>
      </c>
      <c r="B74" s="5238" t="s">
        <v>3137</v>
      </c>
      <c r="C74" s="5239" t="s">
        <v>1898</v>
      </c>
      <c r="D74" s="5240"/>
      <c r="E74" s="5241"/>
      <c r="F74" s="5243">
        <f t="shared" si="0"/>
        <v>0</v>
      </c>
      <c r="G74" s="5241"/>
      <c r="H74" s="5241"/>
      <c r="I74" s="5243">
        <f t="shared" si="1"/>
        <v>0</v>
      </c>
      <c r="J74" s="5244">
        <f t="shared" si="5"/>
        <v>0</v>
      </c>
      <c r="K74" s="5245">
        <f t="shared" si="2"/>
        <v>0</v>
      </c>
      <c r="L74" s="5245">
        <f t="shared" si="3"/>
        <v>0</v>
      </c>
      <c r="M74" s="5245">
        <f t="shared" si="4"/>
        <v>0</v>
      </c>
    </row>
    <row r="75" spans="1:13" ht="14.85" customHeight="1">
      <c r="A75" s="5238">
        <v>202</v>
      </c>
      <c r="B75" s="5238" t="s">
        <v>3138</v>
      </c>
      <c r="C75" s="5239" t="s">
        <v>1899</v>
      </c>
      <c r="D75" s="5240"/>
      <c r="E75" s="5241"/>
      <c r="F75" s="5243">
        <f t="shared" si="0"/>
        <v>0</v>
      </c>
      <c r="G75" s="5241"/>
      <c r="H75" s="5241"/>
      <c r="I75" s="5243">
        <f t="shared" si="1"/>
        <v>0</v>
      </c>
      <c r="J75" s="5244">
        <f t="shared" si="5"/>
        <v>0</v>
      </c>
      <c r="K75" s="5245">
        <f t="shared" si="2"/>
        <v>0</v>
      </c>
      <c r="L75" s="5245">
        <f t="shared" si="3"/>
        <v>0</v>
      </c>
      <c r="M75" s="5245">
        <f t="shared" si="4"/>
        <v>0</v>
      </c>
    </row>
    <row r="76" spans="1:13" ht="14.85" customHeight="1">
      <c r="A76" s="5238">
        <v>202</v>
      </c>
      <c r="B76" s="5238" t="s">
        <v>3139</v>
      </c>
      <c r="C76" s="5239" t="s">
        <v>1900</v>
      </c>
      <c r="D76" s="5240"/>
      <c r="E76" s="5241"/>
      <c r="F76" s="5243">
        <f t="shared" si="0"/>
        <v>0</v>
      </c>
      <c r="G76" s="5241"/>
      <c r="H76" s="5241"/>
      <c r="I76" s="5243">
        <f t="shared" si="1"/>
        <v>0</v>
      </c>
      <c r="J76" s="5244">
        <f t="shared" si="5"/>
        <v>0</v>
      </c>
      <c r="K76" s="5245">
        <f t="shared" si="2"/>
        <v>0</v>
      </c>
      <c r="L76" s="5245">
        <f t="shared" si="3"/>
        <v>0</v>
      </c>
      <c r="M76" s="5245">
        <f t="shared" si="4"/>
        <v>0</v>
      </c>
    </row>
    <row r="77" spans="1:13" ht="14.85" customHeight="1">
      <c r="A77" s="5238">
        <v>202</v>
      </c>
      <c r="B77" s="5238" t="s">
        <v>3140</v>
      </c>
      <c r="C77" s="5239" t="s">
        <v>1901</v>
      </c>
      <c r="D77" s="5240"/>
      <c r="E77" s="5241"/>
      <c r="F77" s="5243">
        <f t="shared" si="0"/>
        <v>0</v>
      </c>
      <c r="G77" s="5241"/>
      <c r="H77" s="5241"/>
      <c r="I77" s="5243">
        <f t="shared" si="1"/>
        <v>0</v>
      </c>
      <c r="J77" s="5244">
        <f t="shared" si="5"/>
        <v>0</v>
      </c>
      <c r="K77" s="5245">
        <f t="shared" si="2"/>
        <v>0</v>
      </c>
      <c r="L77" s="5245">
        <f t="shared" si="3"/>
        <v>0</v>
      </c>
      <c r="M77" s="5245">
        <f t="shared" si="4"/>
        <v>0</v>
      </c>
    </row>
    <row r="78" spans="1:13" ht="14.85" customHeight="1">
      <c r="A78" s="5238">
        <v>202</v>
      </c>
      <c r="B78" s="5238" t="s">
        <v>3141</v>
      </c>
      <c r="C78" s="5239" t="s">
        <v>1902</v>
      </c>
      <c r="D78" s="5240"/>
      <c r="E78" s="5241"/>
      <c r="F78" s="5243">
        <f t="shared" si="0"/>
        <v>0</v>
      </c>
      <c r="G78" s="5241"/>
      <c r="H78" s="5241"/>
      <c r="I78" s="5243">
        <f t="shared" si="1"/>
        <v>0</v>
      </c>
      <c r="J78" s="5244">
        <f t="shared" si="5"/>
        <v>0</v>
      </c>
      <c r="K78" s="5245">
        <f t="shared" si="2"/>
        <v>0</v>
      </c>
      <c r="L78" s="5245">
        <f t="shared" si="3"/>
        <v>0</v>
      </c>
      <c r="M78" s="5245">
        <f t="shared" si="4"/>
        <v>0</v>
      </c>
    </row>
    <row r="79" spans="1:13" ht="14.85" customHeight="1">
      <c r="A79" s="5238">
        <v>202</v>
      </c>
      <c r="B79" s="5238" t="s">
        <v>3142</v>
      </c>
      <c r="C79" s="5239" t="s">
        <v>1903</v>
      </c>
      <c r="D79" s="5240"/>
      <c r="E79" s="5241"/>
      <c r="F79" s="5243">
        <f t="shared" si="0"/>
        <v>0</v>
      </c>
      <c r="G79" s="5241"/>
      <c r="H79" s="5241"/>
      <c r="I79" s="5243">
        <f t="shared" si="1"/>
        <v>0</v>
      </c>
      <c r="J79" s="5244">
        <f t="shared" si="5"/>
        <v>0</v>
      </c>
      <c r="K79" s="5245">
        <f t="shared" si="2"/>
        <v>0</v>
      </c>
      <c r="L79" s="5245">
        <f t="shared" si="3"/>
        <v>0</v>
      </c>
      <c r="M79" s="5245">
        <f t="shared" si="4"/>
        <v>0</v>
      </c>
    </row>
    <row r="80" spans="1:13" ht="14.85" customHeight="1">
      <c r="A80" s="5238">
        <v>202</v>
      </c>
      <c r="B80" s="5238" t="s">
        <v>3143</v>
      </c>
      <c r="C80" s="5239" t="s">
        <v>1904</v>
      </c>
      <c r="D80" s="5240"/>
      <c r="E80" s="5241"/>
      <c r="F80" s="5243">
        <f t="shared" si="0"/>
        <v>0</v>
      </c>
      <c r="G80" s="5241"/>
      <c r="H80" s="5241"/>
      <c r="I80" s="5243">
        <f t="shared" si="1"/>
        <v>0</v>
      </c>
      <c r="J80" s="5244">
        <f t="shared" si="5"/>
        <v>0</v>
      </c>
      <c r="K80" s="5245">
        <f t="shared" si="2"/>
        <v>0</v>
      </c>
      <c r="L80" s="5245">
        <f t="shared" si="3"/>
        <v>0</v>
      </c>
      <c r="M80" s="5245">
        <f t="shared" si="4"/>
        <v>0</v>
      </c>
    </row>
    <row r="81" spans="1:13" ht="14.85" customHeight="1">
      <c r="A81" s="5238">
        <v>202</v>
      </c>
      <c r="B81" s="5238" t="s">
        <v>3144</v>
      </c>
      <c r="C81" s="5239" t="s">
        <v>1905</v>
      </c>
      <c r="D81" s="5240"/>
      <c r="E81" s="5241"/>
      <c r="F81" s="5243">
        <f t="shared" si="0"/>
        <v>0</v>
      </c>
      <c r="G81" s="5241"/>
      <c r="H81" s="5241"/>
      <c r="I81" s="5243">
        <f t="shared" si="1"/>
        <v>0</v>
      </c>
      <c r="J81" s="5244">
        <f t="shared" si="5"/>
        <v>0</v>
      </c>
      <c r="K81" s="5245">
        <f t="shared" si="2"/>
        <v>0</v>
      </c>
      <c r="L81" s="5245">
        <f t="shared" si="3"/>
        <v>0</v>
      </c>
      <c r="M81" s="5245">
        <f t="shared" si="4"/>
        <v>0</v>
      </c>
    </row>
    <row r="82" spans="1:13" ht="14.85" customHeight="1">
      <c r="A82" s="5238">
        <v>203</v>
      </c>
      <c r="B82" s="5238" t="s">
        <v>3145</v>
      </c>
      <c r="C82" s="5239" t="s">
        <v>4954</v>
      </c>
      <c r="D82" s="5240"/>
      <c r="E82" s="5241"/>
      <c r="F82" s="5243">
        <f t="shared" si="0"/>
        <v>0</v>
      </c>
      <c r="G82" s="5241"/>
      <c r="H82" s="5241"/>
      <c r="I82" s="5243">
        <f t="shared" si="1"/>
        <v>0</v>
      </c>
      <c r="J82" s="5244">
        <f t="shared" si="5"/>
        <v>0</v>
      </c>
      <c r="K82" s="5245">
        <f t="shared" si="2"/>
        <v>0</v>
      </c>
      <c r="L82" s="5245">
        <f t="shared" si="3"/>
        <v>0</v>
      </c>
      <c r="M82" s="5245">
        <f t="shared" si="4"/>
        <v>0</v>
      </c>
    </row>
    <row r="83" spans="1:13" ht="14.85" customHeight="1">
      <c r="A83" s="5238">
        <v>203</v>
      </c>
      <c r="B83" s="5238" t="s">
        <v>3146</v>
      </c>
      <c r="C83" s="5239" t="s">
        <v>4955</v>
      </c>
      <c r="D83" s="5240"/>
      <c r="E83" s="5241"/>
      <c r="F83" s="5243">
        <f t="shared" si="0"/>
        <v>0</v>
      </c>
      <c r="G83" s="5241"/>
      <c r="H83" s="5241"/>
      <c r="I83" s="5243">
        <f t="shared" si="1"/>
        <v>0</v>
      </c>
      <c r="J83" s="5244">
        <f t="shared" si="5"/>
        <v>0</v>
      </c>
      <c r="K83" s="5245">
        <f t="shared" si="2"/>
        <v>0</v>
      </c>
      <c r="L83" s="5245">
        <f t="shared" si="3"/>
        <v>0</v>
      </c>
      <c r="M83" s="5245">
        <f t="shared" si="4"/>
        <v>0</v>
      </c>
    </row>
    <row r="84" spans="1:13" ht="14.85" customHeight="1">
      <c r="A84" s="5238">
        <v>203</v>
      </c>
      <c r="B84" s="5238" t="s">
        <v>3147</v>
      </c>
      <c r="C84" s="5239" t="s">
        <v>1906</v>
      </c>
      <c r="D84" s="5240"/>
      <c r="E84" s="5241"/>
      <c r="F84" s="5243">
        <f t="shared" si="0"/>
        <v>0</v>
      </c>
      <c r="G84" s="5241"/>
      <c r="H84" s="5241"/>
      <c r="I84" s="5243">
        <f t="shared" si="1"/>
        <v>0</v>
      </c>
      <c r="J84" s="5244">
        <f t="shared" si="5"/>
        <v>0</v>
      </c>
      <c r="K84" s="5245">
        <f t="shared" si="2"/>
        <v>0</v>
      </c>
      <c r="L84" s="5245">
        <f t="shared" si="3"/>
        <v>0</v>
      </c>
      <c r="M84" s="5245">
        <f t="shared" si="4"/>
        <v>0</v>
      </c>
    </row>
    <row r="85" spans="1:13" ht="14.85" customHeight="1">
      <c r="A85" s="5238">
        <v>203</v>
      </c>
      <c r="B85" s="5238" t="s">
        <v>3148</v>
      </c>
      <c r="C85" s="5239" t="s">
        <v>1907</v>
      </c>
      <c r="D85" s="5240"/>
      <c r="E85" s="5241"/>
      <c r="F85" s="5243">
        <f t="shared" si="0"/>
        <v>0</v>
      </c>
      <c r="G85" s="5241"/>
      <c r="H85" s="5241"/>
      <c r="I85" s="5243">
        <f t="shared" si="1"/>
        <v>0</v>
      </c>
      <c r="J85" s="5244">
        <f t="shared" si="5"/>
        <v>0</v>
      </c>
      <c r="K85" s="5245">
        <f t="shared" si="2"/>
        <v>0</v>
      </c>
      <c r="L85" s="5245">
        <f t="shared" si="3"/>
        <v>0</v>
      </c>
      <c r="M85" s="5245">
        <f t="shared" si="4"/>
        <v>0</v>
      </c>
    </row>
    <row r="86" spans="1:13" ht="14.85" customHeight="1">
      <c r="A86" s="5238">
        <v>204</v>
      </c>
      <c r="B86" s="5238" t="s">
        <v>3149</v>
      </c>
      <c r="C86" s="5239" t="s">
        <v>1908</v>
      </c>
      <c r="D86" s="5240"/>
      <c r="E86" s="5241"/>
      <c r="F86" s="5243">
        <f t="shared" si="0"/>
        <v>0</v>
      </c>
      <c r="G86" s="5241"/>
      <c r="H86" s="5241"/>
      <c r="I86" s="5243">
        <f t="shared" si="1"/>
        <v>0</v>
      </c>
      <c r="J86" s="5244">
        <f t="shared" si="5"/>
        <v>0</v>
      </c>
      <c r="K86" s="5245">
        <f t="shared" si="2"/>
        <v>0</v>
      </c>
      <c r="L86" s="5245">
        <f t="shared" si="3"/>
        <v>0</v>
      </c>
      <c r="M86" s="5245">
        <f t="shared" si="4"/>
        <v>0</v>
      </c>
    </row>
    <row r="87" spans="1:13" ht="14.85" customHeight="1">
      <c r="A87" s="5238">
        <v>204</v>
      </c>
      <c r="B87" s="5238" t="s">
        <v>3150</v>
      </c>
      <c r="C87" s="5239" t="s">
        <v>1909</v>
      </c>
      <c r="D87" s="5240"/>
      <c r="E87" s="5241"/>
      <c r="F87" s="5243">
        <f t="shared" si="0"/>
        <v>0</v>
      </c>
      <c r="G87" s="5241"/>
      <c r="H87" s="5241"/>
      <c r="I87" s="5243">
        <f t="shared" si="1"/>
        <v>0</v>
      </c>
      <c r="J87" s="5244">
        <f t="shared" si="5"/>
        <v>0</v>
      </c>
      <c r="K87" s="5245">
        <f t="shared" si="2"/>
        <v>0</v>
      </c>
      <c r="L87" s="5245">
        <f t="shared" si="3"/>
        <v>0</v>
      </c>
      <c r="M87" s="5245">
        <f t="shared" si="4"/>
        <v>0</v>
      </c>
    </row>
    <row r="88" spans="1:13" ht="14.85" customHeight="1">
      <c r="A88" s="5238">
        <v>204</v>
      </c>
      <c r="B88" s="5238" t="s">
        <v>3151</v>
      </c>
      <c r="C88" s="5239" t="s">
        <v>1910</v>
      </c>
      <c r="D88" s="5240"/>
      <c r="E88" s="5241"/>
      <c r="F88" s="5243">
        <f t="shared" si="0"/>
        <v>0</v>
      </c>
      <c r="G88" s="5241"/>
      <c r="H88" s="5241"/>
      <c r="I88" s="5243">
        <f t="shared" si="1"/>
        <v>0</v>
      </c>
      <c r="J88" s="5244">
        <f t="shared" si="5"/>
        <v>0</v>
      </c>
      <c r="K88" s="5245">
        <f t="shared" si="2"/>
        <v>0</v>
      </c>
      <c r="L88" s="5245">
        <f t="shared" si="3"/>
        <v>0</v>
      </c>
      <c r="M88" s="5245">
        <f t="shared" si="4"/>
        <v>0</v>
      </c>
    </row>
    <row r="89" spans="1:13" ht="14.85" customHeight="1">
      <c r="A89" s="5238">
        <v>204</v>
      </c>
      <c r="B89" s="5238" t="s">
        <v>3152</v>
      </c>
      <c r="C89" s="5239" t="s">
        <v>1911</v>
      </c>
      <c r="D89" s="5240"/>
      <c r="E89" s="5241"/>
      <c r="F89" s="5243">
        <f t="shared" si="0"/>
        <v>0</v>
      </c>
      <c r="G89" s="5241"/>
      <c r="H89" s="5241"/>
      <c r="I89" s="5243">
        <f t="shared" si="1"/>
        <v>0</v>
      </c>
      <c r="J89" s="5244">
        <f t="shared" si="5"/>
        <v>0</v>
      </c>
      <c r="K89" s="5245">
        <f t="shared" si="2"/>
        <v>0</v>
      </c>
      <c r="L89" s="5245">
        <f t="shared" si="3"/>
        <v>0</v>
      </c>
      <c r="M89" s="5245">
        <f t="shared" si="4"/>
        <v>0</v>
      </c>
    </row>
    <row r="90" spans="1:13" ht="14.85" customHeight="1">
      <c r="A90" s="5238">
        <v>204</v>
      </c>
      <c r="B90" s="5238" t="s">
        <v>3153</v>
      </c>
      <c r="C90" s="5239" t="s">
        <v>1912</v>
      </c>
      <c r="D90" s="5240"/>
      <c r="E90" s="5241"/>
      <c r="F90" s="5243">
        <f t="shared" si="0"/>
        <v>0</v>
      </c>
      <c r="G90" s="5241"/>
      <c r="H90" s="5241"/>
      <c r="I90" s="5243">
        <f t="shared" si="1"/>
        <v>0</v>
      </c>
      <c r="J90" s="5244">
        <f t="shared" si="5"/>
        <v>0</v>
      </c>
      <c r="K90" s="5245">
        <f t="shared" si="2"/>
        <v>0</v>
      </c>
      <c r="L90" s="5245">
        <f t="shared" si="3"/>
        <v>0</v>
      </c>
      <c r="M90" s="5245">
        <f t="shared" si="4"/>
        <v>0</v>
      </c>
    </row>
    <row r="91" spans="1:13" ht="14.85" customHeight="1">
      <c r="A91" s="5238">
        <v>205</v>
      </c>
      <c r="B91" s="5238" t="s">
        <v>3154</v>
      </c>
      <c r="C91" s="5239" t="s">
        <v>1913</v>
      </c>
      <c r="D91" s="5240"/>
      <c r="E91" s="5241"/>
      <c r="F91" s="5243">
        <f t="shared" si="0"/>
        <v>0</v>
      </c>
      <c r="G91" s="5241"/>
      <c r="H91" s="5241"/>
      <c r="I91" s="5243">
        <f t="shared" si="1"/>
        <v>0</v>
      </c>
      <c r="J91" s="5244">
        <f t="shared" si="5"/>
        <v>0</v>
      </c>
      <c r="K91" s="5245">
        <f t="shared" si="2"/>
        <v>0</v>
      </c>
      <c r="L91" s="5245">
        <f t="shared" si="3"/>
        <v>0</v>
      </c>
      <c r="M91" s="5245">
        <f t="shared" si="4"/>
        <v>0</v>
      </c>
    </row>
    <row r="92" spans="1:13" ht="14.85" customHeight="1">
      <c r="A92" s="5238">
        <v>205</v>
      </c>
      <c r="B92" s="5238" t="s">
        <v>3155</v>
      </c>
      <c r="C92" s="5239" t="s">
        <v>1914</v>
      </c>
      <c r="D92" s="5240"/>
      <c r="E92" s="5241"/>
      <c r="F92" s="5243">
        <f t="shared" si="0"/>
        <v>0</v>
      </c>
      <c r="G92" s="5241"/>
      <c r="H92" s="5241"/>
      <c r="I92" s="5243">
        <f t="shared" si="1"/>
        <v>0</v>
      </c>
      <c r="J92" s="5244">
        <f t="shared" si="5"/>
        <v>0</v>
      </c>
      <c r="K92" s="5245">
        <f t="shared" si="2"/>
        <v>0</v>
      </c>
      <c r="L92" s="5245">
        <f t="shared" si="3"/>
        <v>0</v>
      </c>
      <c r="M92" s="5245">
        <f t="shared" si="4"/>
        <v>0</v>
      </c>
    </row>
    <row r="93" spans="1:13" ht="14.85" customHeight="1">
      <c r="A93" s="5238">
        <v>206</v>
      </c>
      <c r="B93" s="5238" t="s">
        <v>3156</v>
      </c>
      <c r="C93" s="5239" t="s">
        <v>1915</v>
      </c>
      <c r="D93" s="5240"/>
      <c r="E93" s="5241"/>
      <c r="F93" s="5243">
        <f t="shared" si="0"/>
        <v>0</v>
      </c>
      <c r="G93" s="5241"/>
      <c r="H93" s="5241"/>
      <c r="I93" s="5243">
        <f t="shared" si="1"/>
        <v>0</v>
      </c>
      <c r="J93" s="5244">
        <f t="shared" si="5"/>
        <v>0</v>
      </c>
      <c r="K93" s="5245">
        <f t="shared" si="2"/>
        <v>0</v>
      </c>
      <c r="L93" s="5245">
        <f t="shared" si="3"/>
        <v>0</v>
      </c>
      <c r="M93" s="5245">
        <f t="shared" si="4"/>
        <v>0</v>
      </c>
    </row>
    <row r="94" spans="1:13" ht="14.85" customHeight="1">
      <c r="A94" s="5238">
        <v>206</v>
      </c>
      <c r="B94" s="5238" t="s">
        <v>3157</v>
      </c>
      <c r="C94" s="5239" t="s">
        <v>1916</v>
      </c>
      <c r="D94" s="5240"/>
      <c r="E94" s="5241"/>
      <c r="F94" s="5243">
        <f t="shared" si="0"/>
        <v>0</v>
      </c>
      <c r="G94" s="5241"/>
      <c r="H94" s="5241"/>
      <c r="I94" s="5243">
        <f t="shared" si="1"/>
        <v>0</v>
      </c>
      <c r="J94" s="5244">
        <f t="shared" si="5"/>
        <v>0</v>
      </c>
      <c r="K94" s="5245">
        <f t="shared" si="2"/>
        <v>0</v>
      </c>
      <c r="L94" s="5245">
        <f t="shared" si="3"/>
        <v>0</v>
      </c>
      <c r="M94" s="5245">
        <f t="shared" si="4"/>
        <v>0</v>
      </c>
    </row>
    <row r="95" spans="1:13" ht="14.85" customHeight="1">
      <c r="A95" s="5238">
        <v>206</v>
      </c>
      <c r="B95" s="5238" t="s">
        <v>3158</v>
      </c>
      <c r="C95" s="5239" t="s">
        <v>1917</v>
      </c>
      <c r="D95" s="5240"/>
      <c r="E95" s="5241"/>
      <c r="F95" s="5243">
        <f t="shared" si="0"/>
        <v>0</v>
      </c>
      <c r="G95" s="5241"/>
      <c r="H95" s="5241"/>
      <c r="I95" s="5243">
        <f t="shared" si="1"/>
        <v>0</v>
      </c>
      <c r="J95" s="5244">
        <f t="shared" si="5"/>
        <v>0</v>
      </c>
      <c r="K95" s="5245">
        <f t="shared" si="2"/>
        <v>0</v>
      </c>
      <c r="L95" s="5245">
        <f t="shared" si="3"/>
        <v>0</v>
      </c>
      <c r="M95" s="5245">
        <f t="shared" si="4"/>
        <v>0</v>
      </c>
    </row>
    <row r="96" spans="1:13" ht="14.85" customHeight="1">
      <c r="A96" s="5238">
        <v>207</v>
      </c>
      <c r="B96" s="5238" t="s">
        <v>3159</v>
      </c>
      <c r="C96" s="5239" t="s">
        <v>1918</v>
      </c>
      <c r="D96" s="5240"/>
      <c r="E96" s="5241"/>
      <c r="F96" s="5243">
        <f t="shared" si="0"/>
        <v>0</v>
      </c>
      <c r="G96" s="5241"/>
      <c r="H96" s="5241"/>
      <c r="I96" s="5243">
        <f t="shared" si="1"/>
        <v>0</v>
      </c>
      <c r="J96" s="5244">
        <f t="shared" si="5"/>
        <v>0</v>
      </c>
      <c r="K96" s="5245">
        <f t="shared" si="2"/>
        <v>0</v>
      </c>
      <c r="L96" s="5245">
        <f t="shared" si="3"/>
        <v>0</v>
      </c>
      <c r="M96" s="5245">
        <f t="shared" si="4"/>
        <v>0</v>
      </c>
    </row>
    <row r="97" spans="1:13" ht="14.85" customHeight="1">
      <c r="A97" s="5238">
        <v>207</v>
      </c>
      <c r="B97" s="5238" t="s">
        <v>3160</v>
      </c>
      <c r="C97" s="5239" t="s">
        <v>1919</v>
      </c>
      <c r="D97" s="5240"/>
      <c r="E97" s="5241"/>
      <c r="F97" s="5243">
        <f t="shared" ref="F97:F160" si="6">SUM(D97:E97)</f>
        <v>0</v>
      </c>
      <c r="G97" s="5241"/>
      <c r="H97" s="5241"/>
      <c r="I97" s="5243">
        <f t="shared" ref="I97:I160" si="7">SUM(G97:H97)</f>
        <v>0</v>
      </c>
      <c r="J97" s="5244">
        <f t="shared" si="5"/>
        <v>0</v>
      </c>
      <c r="K97" s="5245">
        <f t="shared" ref="K97:K160" si="8">IF(AND((J97-35%)&gt;0,J97&lt;50%),I97*(J97-35%)*0.7,0)</f>
        <v>0</v>
      </c>
      <c r="L97" s="5245">
        <f t="shared" ref="L97:L160" si="9">IF(J97&gt;=50%,I97*10.5%,0)</f>
        <v>0</v>
      </c>
      <c r="M97" s="5245">
        <f t="shared" ref="M97:M160" si="10">MAX(K97,L97)</f>
        <v>0</v>
      </c>
    </row>
    <row r="98" spans="1:13" ht="14.85" customHeight="1">
      <c r="A98" s="5238">
        <v>207</v>
      </c>
      <c r="B98" s="5238" t="s">
        <v>3161</v>
      </c>
      <c r="C98" s="5239" t="s">
        <v>1920</v>
      </c>
      <c r="D98" s="5240"/>
      <c r="E98" s="5241"/>
      <c r="F98" s="5243">
        <f t="shared" si="6"/>
        <v>0</v>
      </c>
      <c r="G98" s="5241"/>
      <c r="H98" s="5241"/>
      <c r="I98" s="5243">
        <f t="shared" si="7"/>
        <v>0</v>
      </c>
      <c r="J98" s="5244">
        <f t="shared" si="5"/>
        <v>0</v>
      </c>
      <c r="K98" s="5245">
        <f t="shared" si="8"/>
        <v>0</v>
      </c>
      <c r="L98" s="5245">
        <f t="shared" si="9"/>
        <v>0</v>
      </c>
      <c r="M98" s="5245">
        <f t="shared" si="10"/>
        <v>0</v>
      </c>
    </row>
    <row r="99" spans="1:13" ht="14.85" customHeight="1">
      <c r="A99" s="5238">
        <v>207</v>
      </c>
      <c r="B99" s="5238" t="s">
        <v>3162</v>
      </c>
      <c r="C99" s="5239" t="s">
        <v>1921</v>
      </c>
      <c r="D99" s="5240"/>
      <c r="E99" s="5241"/>
      <c r="F99" s="5243">
        <f t="shared" si="6"/>
        <v>0</v>
      </c>
      <c r="G99" s="5241"/>
      <c r="H99" s="5241"/>
      <c r="I99" s="5243">
        <f t="shared" si="7"/>
        <v>0</v>
      </c>
      <c r="J99" s="5244">
        <f t="shared" si="5"/>
        <v>0</v>
      </c>
      <c r="K99" s="5245">
        <f t="shared" si="8"/>
        <v>0</v>
      </c>
      <c r="L99" s="5245">
        <f t="shared" si="9"/>
        <v>0</v>
      </c>
      <c r="M99" s="5245">
        <f t="shared" si="10"/>
        <v>0</v>
      </c>
    </row>
    <row r="100" spans="1:13" ht="14.85" customHeight="1">
      <c r="A100" s="5238">
        <v>208</v>
      </c>
      <c r="B100" s="5238" t="s">
        <v>3163</v>
      </c>
      <c r="C100" s="5239" t="s">
        <v>1922</v>
      </c>
      <c r="D100" s="5240"/>
      <c r="E100" s="5241"/>
      <c r="F100" s="5243">
        <f t="shared" si="6"/>
        <v>0</v>
      </c>
      <c r="G100" s="5241"/>
      <c r="H100" s="5241"/>
      <c r="I100" s="5243">
        <f t="shared" si="7"/>
        <v>0</v>
      </c>
      <c r="J100" s="5244">
        <f t="shared" ref="J100:J163" si="11">IF(ISERROR(I100/F100),0,I100/F100)</f>
        <v>0</v>
      </c>
      <c r="K100" s="5245">
        <f t="shared" si="8"/>
        <v>0</v>
      </c>
      <c r="L100" s="5245">
        <f t="shared" si="9"/>
        <v>0</v>
      </c>
      <c r="M100" s="5245">
        <f t="shared" si="10"/>
        <v>0</v>
      </c>
    </row>
    <row r="101" spans="1:13" ht="14.85" customHeight="1">
      <c r="A101" s="5238">
        <v>208</v>
      </c>
      <c r="B101" s="5238" t="s">
        <v>3164</v>
      </c>
      <c r="C101" s="5239" t="s">
        <v>1923</v>
      </c>
      <c r="D101" s="5240"/>
      <c r="E101" s="5241"/>
      <c r="F101" s="5243">
        <f t="shared" si="6"/>
        <v>0</v>
      </c>
      <c r="G101" s="5241"/>
      <c r="H101" s="5241"/>
      <c r="I101" s="5243">
        <f t="shared" si="7"/>
        <v>0</v>
      </c>
      <c r="J101" s="5244">
        <f t="shared" si="11"/>
        <v>0</v>
      </c>
      <c r="K101" s="5245">
        <f t="shared" si="8"/>
        <v>0</v>
      </c>
      <c r="L101" s="5245">
        <f t="shared" si="9"/>
        <v>0</v>
      </c>
      <c r="M101" s="5245">
        <f t="shared" si="10"/>
        <v>0</v>
      </c>
    </row>
    <row r="102" spans="1:13" ht="14.85" customHeight="1">
      <c r="A102" s="5238">
        <v>209</v>
      </c>
      <c r="B102" s="5238" t="s">
        <v>3165</v>
      </c>
      <c r="C102" s="5239" t="s">
        <v>1924</v>
      </c>
      <c r="D102" s="5240"/>
      <c r="E102" s="5241"/>
      <c r="F102" s="5243">
        <f t="shared" si="6"/>
        <v>0</v>
      </c>
      <c r="G102" s="5241"/>
      <c r="H102" s="5241"/>
      <c r="I102" s="5243">
        <f t="shared" si="7"/>
        <v>0</v>
      </c>
      <c r="J102" s="5244">
        <f t="shared" si="11"/>
        <v>0</v>
      </c>
      <c r="K102" s="5245">
        <f t="shared" si="8"/>
        <v>0</v>
      </c>
      <c r="L102" s="5245">
        <f t="shared" si="9"/>
        <v>0</v>
      </c>
      <c r="M102" s="5245">
        <f t="shared" si="10"/>
        <v>0</v>
      </c>
    </row>
    <row r="103" spans="1:13" ht="14.85" customHeight="1">
      <c r="A103" s="5238">
        <v>209</v>
      </c>
      <c r="B103" s="5238" t="s">
        <v>3166</v>
      </c>
      <c r="C103" s="5239" t="s">
        <v>1925</v>
      </c>
      <c r="D103" s="5240"/>
      <c r="E103" s="5241"/>
      <c r="F103" s="5243">
        <f t="shared" si="6"/>
        <v>0</v>
      </c>
      <c r="G103" s="5241"/>
      <c r="H103" s="5241"/>
      <c r="I103" s="5243">
        <f t="shared" si="7"/>
        <v>0</v>
      </c>
      <c r="J103" s="5244">
        <f t="shared" si="11"/>
        <v>0</v>
      </c>
      <c r="K103" s="5245">
        <f t="shared" si="8"/>
        <v>0</v>
      </c>
      <c r="L103" s="5245">
        <f t="shared" si="9"/>
        <v>0</v>
      </c>
      <c r="M103" s="5245">
        <f t="shared" si="10"/>
        <v>0</v>
      </c>
    </row>
    <row r="104" spans="1:13" ht="14.85" customHeight="1">
      <c r="A104" s="5238">
        <v>210</v>
      </c>
      <c r="B104" s="5238" t="s">
        <v>3167</v>
      </c>
      <c r="C104" s="5239" t="s">
        <v>1926</v>
      </c>
      <c r="D104" s="5240"/>
      <c r="E104" s="5241"/>
      <c r="F104" s="5243">
        <f t="shared" si="6"/>
        <v>0</v>
      </c>
      <c r="G104" s="5241"/>
      <c r="H104" s="5241"/>
      <c r="I104" s="5243">
        <f t="shared" si="7"/>
        <v>0</v>
      </c>
      <c r="J104" s="5244">
        <f t="shared" si="11"/>
        <v>0</v>
      </c>
      <c r="K104" s="5245">
        <f t="shared" si="8"/>
        <v>0</v>
      </c>
      <c r="L104" s="5245">
        <f t="shared" si="9"/>
        <v>0</v>
      </c>
      <c r="M104" s="5245">
        <f t="shared" si="10"/>
        <v>0</v>
      </c>
    </row>
    <row r="105" spans="1:13" ht="14.85" customHeight="1">
      <c r="A105" s="5238">
        <v>210</v>
      </c>
      <c r="B105" s="5238" t="s">
        <v>3168</v>
      </c>
      <c r="C105" s="5239" t="s">
        <v>1927</v>
      </c>
      <c r="D105" s="5240"/>
      <c r="E105" s="5241"/>
      <c r="F105" s="5243">
        <f t="shared" si="6"/>
        <v>0</v>
      </c>
      <c r="G105" s="5241"/>
      <c r="H105" s="5241"/>
      <c r="I105" s="5243">
        <f t="shared" si="7"/>
        <v>0</v>
      </c>
      <c r="J105" s="5244">
        <f t="shared" si="11"/>
        <v>0</v>
      </c>
      <c r="K105" s="5245">
        <f t="shared" si="8"/>
        <v>0</v>
      </c>
      <c r="L105" s="5245">
        <f t="shared" si="9"/>
        <v>0</v>
      </c>
      <c r="M105" s="5245">
        <f t="shared" si="10"/>
        <v>0</v>
      </c>
    </row>
    <row r="106" spans="1:13" ht="14.85" customHeight="1">
      <c r="A106" s="5238">
        <v>210</v>
      </c>
      <c r="B106" s="5238" t="s">
        <v>3169</v>
      </c>
      <c r="C106" s="5239" t="s">
        <v>1928</v>
      </c>
      <c r="D106" s="5240"/>
      <c r="E106" s="5241"/>
      <c r="F106" s="5243">
        <f t="shared" si="6"/>
        <v>0</v>
      </c>
      <c r="G106" s="5241"/>
      <c r="H106" s="5241"/>
      <c r="I106" s="5243">
        <f t="shared" si="7"/>
        <v>0</v>
      </c>
      <c r="J106" s="5244">
        <f t="shared" si="11"/>
        <v>0</v>
      </c>
      <c r="K106" s="5245">
        <f t="shared" si="8"/>
        <v>0</v>
      </c>
      <c r="L106" s="5245">
        <f t="shared" si="9"/>
        <v>0</v>
      </c>
      <c r="M106" s="5245">
        <f t="shared" si="10"/>
        <v>0</v>
      </c>
    </row>
    <row r="107" spans="1:13" ht="14.85" customHeight="1">
      <c r="A107" s="5238">
        <v>210</v>
      </c>
      <c r="B107" s="5238" t="s">
        <v>3170</v>
      </c>
      <c r="C107" s="5239" t="s">
        <v>1929</v>
      </c>
      <c r="D107" s="5240"/>
      <c r="E107" s="5241"/>
      <c r="F107" s="5243">
        <f t="shared" si="6"/>
        <v>0</v>
      </c>
      <c r="G107" s="5241"/>
      <c r="H107" s="5241"/>
      <c r="I107" s="5243">
        <f t="shared" si="7"/>
        <v>0</v>
      </c>
      <c r="J107" s="5244">
        <f t="shared" si="11"/>
        <v>0</v>
      </c>
      <c r="K107" s="5245">
        <f t="shared" si="8"/>
        <v>0</v>
      </c>
      <c r="L107" s="5245">
        <f t="shared" si="9"/>
        <v>0</v>
      </c>
      <c r="M107" s="5245">
        <f t="shared" si="10"/>
        <v>0</v>
      </c>
    </row>
    <row r="108" spans="1:13" ht="14.85" customHeight="1">
      <c r="A108" s="5238">
        <v>211</v>
      </c>
      <c r="B108" s="5238" t="s">
        <v>3171</v>
      </c>
      <c r="C108" s="5239" t="s">
        <v>1919</v>
      </c>
      <c r="D108" s="5240"/>
      <c r="E108" s="5241"/>
      <c r="F108" s="5243">
        <f t="shared" si="6"/>
        <v>0</v>
      </c>
      <c r="G108" s="5241"/>
      <c r="H108" s="5241"/>
      <c r="I108" s="5243">
        <f t="shared" si="7"/>
        <v>0</v>
      </c>
      <c r="J108" s="5244">
        <f t="shared" si="11"/>
        <v>0</v>
      </c>
      <c r="K108" s="5245">
        <f t="shared" si="8"/>
        <v>0</v>
      </c>
      <c r="L108" s="5245">
        <f t="shared" si="9"/>
        <v>0</v>
      </c>
      <c r="M108" s="5245">
        <f t="shared" si="10"/>
        <v>0</v>
      </c>
    </row>
    <row r="109" spans="1:13" ht="14.85" customHeight="1">
      <c r="A109" s="5238">
        <v>211</v>
      </c>
      <c r="B109" s="5238" t="s">
        <v>3172</v>
      </c>
      <c r="C109" s="5239" t="s">
        <v>1930</v>
      </c>
      <c r="D109" s="5240"/>
      <c r="E109" s="5241"/>
      <c r="F109" s="5243">
        <f t="shared" si="6"/>
        <v>0</v>
      </c>
      <c r="G109" s="5241"/>
      <c r="H109" s="5241"/>
      <c r="I109" s="5243">
        <f t="shared" si="7"/>
        <v>0</v>
      </c>
      <c r="J109" s="5244">
        <f t="shared" si="11"/>
        <v>0</v>
      </c>
      <c r="K109" s="5245">
        <f t="shared" si="8"/>
        <v>0</v>
      </c>
      <c r="L109" s="5245">
        <f t="shared" si="9"/>
        <v>0</v>
      </c>
      <c r="M109" s="5245">
        <f t="shared" si="10"/>
        <v>0</v>
      </c>
    </row>
    <row r="110" spans="1:13" ht="14.85" customHeight="1">
      <c r="A110" s="5238">
        <v>211</v>
      </c>
      <c r="B110" s="5238" t="s">
        <v>3173</v>
      </c>
      <c r="C110" s="5239" t="s">
        <v>1931</v>
      </c>
      <c r="D110" s="5240"/>
      <c r="E110" s="5241"/>
      <c r="F110" s="5243">
        <f t="shared" si="6"/>
        <v>0</v>
      </c>
      <c r="G110" s="5241"/>
      <c r="H110" s="5241"/>
      <c r="I110" s="5243">
        <f t="shared" si="7"/>
        <v>0</v>
      </c>
      <c r="J110" s="5244">
        <f t="shared" si="11"/>
        <v>0</v>
      </c>
      <c r="K110" s="5245">
        <f t="shared" si="8"/>
        <v>0</v>
      </c>
      <c r="L110" s="5245">
        <f t="shared" si="9"/>
        <v>0</v>
      </c>
      <c r="M110" s="5245">
        <f t="shared" si="10"/>
        <v>0</v>
      </c>
    </row>
    <row r="111" spans="1:13" ht="14.85" customHeight="1">
      <c r="A111" s="5238">
        <v>212</v>
      </c>
      <c r="B111" s="5238" t="s">
        <v>3174</v>
      </c>
      <c r="C111" s="5239" t="s">
        <v>1932</v>
      </c>
      <c r="D111" s="5240"/>
      <c r="E111" s="5241"/>
      <c r="F111" s="5243">
        <f t="shared" si="6"/>
        <v>0</v>
      </c>
      <c r="G111" s="5241"/>
      <c r="H111" s="5241"/>
      <c r="I111" s="5243">
        <f t="shared" si="7"/>
        <v>0</v>
      </c>
      <c r="J111" s="5244">
        <f t="shared" si="11"/>
        <v>0</v>
      </c>
      <c r="K111" s="5245">
        <f t="shared" si="8"/>
        <v>0</v>
      </c>
      <c r="L111" s="5245">
        <f t="shared" si="9"/>
        <v>0</v>
      </c>
      <c r="M111" s="5245">
        <f t="shared" si="10"/>
        <v>0</v>
      </c>
    </row>
    <row r="112" spans="1:13" ht="14.85" customHeight="1">
      <c r="A112" s="5238">
        <v>212</v>
      </c>
      <c r="B112" s="5238" t="s">
        <v>3175</v>
      </c>
      <c r="C112" s="5239" t="s">
        <v>1933</v>
      </c>
      <c r="D112" s="5240"/>
      <c r="E112" s="5241"/>
      <c r="F112" s="5243">
        <f t="shared" si="6"/>
        <v>0</v>
      </c>
      <c r="G112" s="5241"/>
      <c r="H112" s="5241"/>
      <c r="I112" s="5243">
        <f t="shared" si="7"/>
        <v>0</v>
      </c>
      <c r="J112" s="5244">
        <f t="shared" si="11"/>
        <v>0</v>
      </c>
      <c r="K112" s="5245">
        <f t="shared" si="8"/>
        <v>0</v>
      </c>
      <c r="L112" s="5245">
        <f t="shared" si="9"/>
        <v>0</v>
      </c>
      <c r="M112" s="5245">
        <f t="shared" si="10"/>
        <v>0</v>
      </c>
    </row>
    <row r="113" spans="1:13" ht="14.85" customHeight="1">
      <c r="A113" s="5238">
        <v>212</v>
      </c>
      <c r="B113" s="5238" t="s">
        <v>3176</v>
      </c>
      <c r="C113" s="5239" t="s">
        <v>4578</v>
      </c>
      <c r="D113" s="5240"/>
      <c r="E113" s="5241"/>
      <c r="F113" s="5243">
        <f t="shared" si="6"/>
        <v>0</v>
      </c>
      <c r="G113" s="5241"/>
      <c r="H113" s="5241"/>
      <c r="I113" s="5243">
        <f t="shared" si="7"/>
        <v>0</v>
      </c>
      <c r="J113" s="5244">
        <f t="shared" si="11"/>
        <v>0</v>
      </c>
      <c r="K113" s="5245">
        <f t="shared" si="8"/>
        <v>0</v>
      </c>
      <c r="L113" s="5245">
        <f t="shared" si="9"/>
        <v>0</v>
      </c>
      <c r="M113" s="5245">
        <f t="shared" si="10"/>
        <v>0</v>
      </c>
    </row>
    <row r="114" spans="1:13" ht="14.85" customHeight="1">
      <c r="A114" s="5238">
        <v>214</v>
      </c>
      <c r="B114" s="5238" t="s">
        <v>3177</v>
      </c>
      <c r="C114" s="5239" t="s">
        <v>1934</v>
      </c>
      <c r="D114" s="5240"/>
      <c r="E114" s="5241"/>
      <c r="F114" s="5243">
        <f t="shared" si="6"/>
        <v>0</v>
      </c>
      <c r="G114" s="5241"/>
      <c r="H114" s="5241"/>
      <c r="I114" s="5243">
        <f t="shared" si="7"/>
        <v>0</v>
      </c>
      <c r="J114" s="5244">
        <f t="shared" si="11"/>
        <v>0</v>
      </c>
      <c r="K114" s="5245">
        <f t="shared" si="8"/>
        <v>0</v>
      </c>
      <c r="L114" s="5245">
        <f t="shared" si="9"/>
        <v>0</v>
      </c>
      <c r="M114" s="5245">
        <f t="shared" si="10"/>
        <v>0</v>
      </c>
    </row>
    <row r="115" spans="1:13" ht="14.85" customHeight="1">
      <c r="A115" s="5238">
        <v>214</v>
      </c>
      <c r="B115" s="5238" t="s">
        <v>3178</v>
      </c>
      <c r="C115" s="5239" t="s">
        <v>1935</v>
      </c>
      <c r="D115" s="5240"/>
      <c r="E115" s="5241"/>
      <c r="F115" s="5243">
        <f t="shared" si="6"/>
        <v>0</v>
      </c>
      <c r="G115" s="5241"/>
      <c r="H115" s="5241"/>
      <c r="I115" s="5243">
        <f t="shared" si="7"/>
        <v>0</v>
      </c>
      <c r="J115" s="5244">
        <f t="shared" si="11"/>
        <v>0</v>
      </c>
      <c r="K115" s="5245">
        <f t="shared" si="8"/>
        <v>0</v>
      </c>
      <c r="L115" s="5245">
        <f t="shared" si="9"/>
        <v>0</v>
      </c>
      <c r="M115" s="5245">
        <f t="shared" si="10"/>
        <v>0</v>
      </c>
    </row>
    <row r="116" spans="1:13" ht="14.85" customHeight="1">
      <c r="A116" s="5238">
        <v>214</v>
      </c>
      <c r="B116" s="5238" t="s">
        <v>3179</v>
      </c>
      <c r="C116" s="5239" t="s">
        <v>1936</v>
      </c>
      <c r="D116" s="5240"/>
      <c r="E116" s="5241"/>
      <c r="F116" s="5243">
        <f t="shared" si="6"/>
        <v>0</v>
      </c>
      <c r="G116" s="5241"/>
      <c r="H116" s="5241"/>
      <c r="I116" s="5243">
        <f t="shared" si="7"/>
        <v>0</v>
      </c>
      <c r="J116" s="5244">
        <f t="shared" si="11"/>
        <v>0</v>
      </c>
      <c r="K116" s="5245">
        <f t="shared" si="8"/>
        <v>0</v>
      </c>
      <c r="L116" s="5245">
        <f t="shared" si="9"/>
        <v>0</v>
      </c>
      <c r="M116" s="5245">
        <f t="shared" si="10"/>
        <v>0</v>
      </c>
    </row>
    <row r="117" spans="1:13" ht="14.85" customHeight="1">
      <c r="A117" s="5238">
        <v>214</v>
      </c>
      <c r="B117" s="5238" t="s">
        <v>3180</v>
      </c>
      <c r="C117" s="5239" t="s">
        <v>1937</v>
      </c>
      <c r="D117" s="5240"/>
      <c r="E117" s="5241"/>
      <c r="F117" s="5243">
        <f t="shared" si="6"/>
        <v>0</v>
      </c>
      <c r="G117" s="5241"/>
      <c r="H117" s="5241"/>
      <c r="I117" s="5243">
        <f t="shared" si="7"/>
        <v>0</v>
      </c>
      <c r="J117" s="5244">
        <f t="shared" si="11"/>
        <v>0</v>
      </c>
      <c r="K117" s="5245">
        <f t="shared" si="8"/>
        <v>0</v>
      </c>
      <c r="L117" s="5245">
        <f t="shared" si="9"/>
        <v>0</v>
      </c>
      <c r="M117" s="5245">
        <f t="shared" si="10"/>
        <v>0</v>
      </c>
    </row>
    <row r="118" spans="1:13" ht="14.85" customHeight="1">
      <c r="A118" s="5238">
        <v>215</v>
      </c>
      <c r="B118" s="5238" t="s">
        <v>3181</v>
      </c>
      <c r="C118" s="5239" t="s">
        <v>1938</v>
      </c>
      <c r="D118" s="5240"/>
      <c r="E118" s="5241"/>
      <c r="F118" s="5243">
        <f t="shared" si="6"/>
        <v>0</v>
      </c>
      <c r="G118" s="5241"/>
      <c r="H118" s="5241"/>
      <c r="I118" s="5243">
        <f t="shared" si="7"/>
        <v>0</v>
      </c>
      <c r="J118" s="5244">
        <f t="shared" si="11"/>
        <v>0</v>
      </c>
      <c r="K118" s="5245">
        <f t="shared" si="8"/>
        <v>0</v>
      </c>
      <c r="L118" s="5245">
        <f t="shared" si="9"/>
        <v>0</v>
      </c>
      <c r="M118" s="5245">
        <f t="shared" si="10"/>
        <v>0</v>
      </c>
    </row>
    <row r="119" spans="1:13" ht="14.85" customHeight="1">
      <c r="A119" s="5238">
        <v>215</v>
      </c>
      <c r="B119" s="5238" t="s">
        <v>3182</v>
      </c>
      <c r="C119" s="5239" t="s">
        <v>1939</v>
      </c>
      <c r="D119" s="5240"/>
      <c r="E119" s="5241"/>
      <c r="F119" s="5243">
        <f t="shared" si="6"/>
        <v>0</v>
      </c>
      <c r="G119" s="5241"/>
      <c r="H119" s="5241"/>
      <c r="I119" s="5243">
        <f t="shared" si="7"/>
        <v>0</v>
      </c>
      <c r="J119" s="5244">
        <f t="shared" si="11"/>
        <v>0</v>
      </c>
      <c r="K119" s="5245">
        <f t="shared" si="8"/>
        <v>0</v>
      </c>
      <c r="L119" s="5245">
        <f t="shared" si="9"/>
        <v>0</v>
      </c>
      <c r="M119" s="5245">
        <f t="shared" si="10"/>
        <v>0</v>
      </c>
    </row>
    <row r="120" spans="1:13" ht="14.85" customHeight="1">
      <c r="A120" s="5238">
        <v>215</v>
      </c>
      <c r="B120" s="5238" t="s">
        <v>3183</v>
      </c>
      <c r="C120" s="5239" t="s">
        <v>1940</v>
      </c>
      <c r="D120" s="5240"/>
      <c r="E120" s="5241"/>
      <c r="F120" s="5243">
        <f t="shared" si="6"/>
        <v>0</v>
      </c>
      <c r="G120" s="5241"/>
      <c r="H120" s="5241"/>
      <c r="I120" s="5243">
        <f t="shared" si="7"/>
        <v>0</v>
      </c>
      <c r="J120" s="5244">
        <f t="shared" si="11"/>
        <v>0</v>
      </c>
      <c r="K120" s="5245">
        <f t="shared" si="8"/>
        <v>0</v>
      </c>
      <c r="L120" s="5245">
        <f t="shared" si="9"/>
        <v>0</v>
      </c>
      <c r="M120" s="5245">
        <f t="shared" si="10"/>
        <v>0</v>
      </c>
    </row>
    <row r="121" spans="1:13" ht="14.85" customHeight="1">
      <c r="A121" s="5238">
        <v>216</v>
      </c>
      <c r="B121" s="5238" t="s">
        <v>3184</v>
      </c>
      <c r="C121" s="5239" t="s">
        <v>1941</v>
      </c>
      <c r="D121" s="5240"/>
      <c r="E121" s="5241"/>
      <c r="F121" s="5243">
        <f t="shared" si="6"/>
        <v>0</v>
      </c>
      <c r="G121" s="5241"/>
      <c r="H121" s="5241"/>
      <c r="I121" s="5243">
        <f t="shared" si="7"/>
        <v>0</v>
      </c>
      <c r="J121" s="5244">
        <f t="shared" si="11"/>
        <v>0</v>
      </c>
      <c r="K121" s="5245">
        <f t="shared" si="8"/>
        <v>0</v>
      </c>
      <c r="L121" s="5245">
        <f t="shared" si="9"/>
        <v>0</v>
      </c>
      <c r="M121" s="5245">
        <f t="shared" si="10"/>
        <v>0</v>
      </c>
    </row>
    <row r="122" spans="1:13" ht="14.85" customHeight="1">
      <c r="A122" s="5238">
        <v>216</v>
      </c>
      <c r="B122" s="5238" t="s">
        <v>3185</v>
      </c>
      <c r="C122" s="5239" t="s">
        <v>1942</v>
      </c>
      <c r="D122" s="5240"/>
      <c r="E122" s="5241"/>
      <c r="F122" s="5243">
        <f t="shared" si="6"/>
        <v>0</v>
      </c>
      <c r="G122" s="5241"/>
      <c r="H122" s="5241"/>
      <c r="I122" s="5243">
        <f t="shared" si="7"/>
        <v>0</v>
      </c>
      <c r="J122" s="5244">
        <f t="shared" si="11"/>
        <v>0</v>
      </c>
      <c r="K122" s="5245">
        <f t="shared" si="8"/>
        <v>0</v>
      </c>
      <c r="L122" s="5245">
        <f t="shared" si="9"/>
        <v>0</v>
      </c>
      <c r="M122" s="5245">
        <f t="shared" si="10"/>
        <v>0</v>
      </c>
    </row>
    <row r="123" spans="1:13" ht="14.85" customHeight="1">
      <c r="A123" s="5238">
        <v>216</v>
      </c>
      <c r="B123" s="5238" t="s">
        <v>3186</v>
      </c>
      <c r="C123" s="5239" t="s">
        <v>1943</v>
      </c>
      <c r="D123" s="5240"/>
      <c r="E123" s="5241"/>
      <c r="F123" s="5243">
        <f t="shared" si="6"/>
        <v>0</v>
      </c>
      <c r="G123" s="5241"/>
      <c r="H123" s="5241"/>
      <c r="I123" s="5243">
        <f t="shared" si="7"/>
        <v>0</v>
      </c>
      <c r="J123" s="5244">
        <f t="shared" si="11"/>
        <v>0</v>
      </c>
      <c r="K123" s="5245">
        <f t="shared" si="8"/>
        <v>0</v>
      </c>
      <c r="L123" s="5245">
        <f t="shared" si="9"/>
        <v>0</v>
      </c>
      <c r="M123" s="5245">
        <f t="shared" si="10"/>
        <v>0</v>
      </c>
    </row>
    <row r="124" spans="1:13" ht="14.85" customHeight="1">
      <c r="A124" s="5238">
        <v>217</v>
      </c>
      <c r="B124" s="5238" t="s">
        <v>3187</v>
      </c>
      <c r="C124" s="5239" t="s">
        <v>1944</v>
      </c>
      <c r="D124" s="5240"/>
      <c r="E124" s="5241"/>
      <c r="F124" s="5243">
        <f t="shared" si="6"/>
        <v>0</v>
      </c>
      <c r="G124" s="5241"/>
      <c r="H124" s="5241"/>
      <c r="I124" s="5243">
        <f t="shared" si="7"/>
        <v>0</v>
      </c>
      <c r="J124" s="5244">
        <f t="shared" si="11"/>
        <v>0</v>
      </c>
      <c r="K124" s="5245">
        <f t="shared" si="8"/>
        <v>0</v>
      </c>
      <c r="L124" s="5245">
        <f t="shared" si="9"/>
        <v>0</v>
      </c>
      <c r="M124" s="5245">
        <f t="shared" si="10"/>
        <v>0</v>
      </c>
    </row>
    <row r="125" spans="1:13" ht="14.85" customHeight="1">
      <c r="A125" s="5238">
        <v>217</v>
      </c>
      <c r="B125" s="5238" t="s">
        <v>3188</v>
      </c>
      <c r="C125" s="5239" t="s">
        <v>1945</v>
      </c>
      <c r="D125" s="5240"/>
      <c r="E125" s="5241"/>
      <c r="F125" s="5243">
        <f t="shared" si="6"/>
        <v>0</v>
      </c>
      <c r="G125" s="5241"/>
      <c r="H125" s="5241"/>
      <c r="I125" s="5243">
        <f t="shared" si="7"/>
        <v>0</v>
      </c>
      <c r="J125" s="5244">
        <f t="shared" si="11"/>
        <v>0</v>
      </c>
      <c r="K125" s="5245">
        <f t="shared" si="8"/>
        <v>0</v>
      </c>
      <c r="L125" s="5245">
        <f t="shared" si="9"/>
        <v>0</v>
      </c>
      <c r="M125" s="5245">
        <f t="shared" si="10"/>
        <v>0</v>
      </c>
    </row>
    <row r="126" spans="1:13" ht="14.85" customHeight="1">
      <c r="A126" s="5238">
        <v>218</v>
      </c>
      <c r="B126" s="5238" t="s">
        <v>3189</v>
      </c>
      <c r="C126" s="5239" t="s">
        <v>1946</v>
      </c>
      <c r="D126" s="5240"/>
      <c r="E126" s="5241"/>
      <c r="F126" s="5243">
        <f t="shared" si="6"/>
        <v>0</v>
      </c>
      <c r="G126" s="5241"/>
      <c r="H126" s="5241"/>
      <c r="I126" s="5243">
        <f t="shared" si="7"/>
        <v>0</v>
      </c>
      <c r="J126" s="5244">
        <f t="shared" si="11"/>
        <v>0</v>
      </c>
      <c r="K126" s="5245">
        <f t="shared" si="8"/>
        <v>0</v>
      </c>
      <c r="L126" s="5245">
        <f t="shared" si="9"/>
        <v>0</v>
      </c>
      <c r="M126" s="5245">
        <f t="shared" si="10"/>
        <v>0</v>
      </c>
    </row>
    <row r="127" spans="1:13" ht="14.85" customHeight="1">
      <c r="A127" s="5238">
        <v>218</v>
      </c>
      <c r="B127" s="5238" t="s">
        <v>3190</v>
      </c>
      <c r="C127" s="5239" t="s">
        <v>1947</v>
      </c>
      <c r="D127" s="5240"/>
      <c r="E127" s="5241"/>
      <c r="F127" s="5243">
        <f t="shared" si="6"/>
        <v>0</v>
      </c>
      <c r="G127" s="5241"/>
      <c r="H127" s="5241"/>
      <c r="I127" s="5243">
        <f t="shared" si="7"/>
        <v>0</v>
      </c>
      <c r="J127" s="5244">
        <f t="shared" si="11"/>
        <v>0</v>
      </c>
      <c r="K127" s="5245">
        <f t="shared" si="8"/>
        <v>0</v>
      </c>
      <c r="L127" s="5245">
        <f t="shared" si="9"/>
        <v>0</v>
      </c>
      <c r="M127" s="5245">
        <f t="shared" si="10"/>
        <v>0</v>
      </c>
    </row>
    <row r="128" spans="1:13" ht="14.85" customHeight="1">
      <c r="A128" s="5238">
        <v>218</v>
      </c>
      <c r="B128" s="5238" t="s">
        <v>3191</v>
      </c>
      <c r="C128" s="5239" t="s">
        <v>1948</v>
      </c>
      <c r="D128" s="5240"/>
      <c r="E128" s="5241"/>
      <c r="F128" s="5243">
        <f t="shared" si="6"/>
        <v>0</v>
      </c>
      <c r="G128" s="5241"/>
      <c r="H128" s="5241"/>
      <c r="I128" s="5243">
        <f t="shared" si="7"/>
        <v>0</v>
      </c>
      <c r="J128" s="5244">
        <f t="shared" si="11"/>
        <v>0</v>
      </c>
      <c r="K128" s="5245">
        <f t="shared" si="8"/>
        <v>0</v>
      </c>
      <c r="L128" s="5245">
        <f t="shared" si="9"/>
        <v>0</v>
      </c>
      <c r="M128" s="5245">
        <f t="shared" si="10"/>
        <v>0</v>
      </c>
    </row>
    <row r="129" spans="1:13" ht="14.85" customHeight="1">
      <c r="A129" s="5238">
        <v>218</v>
      </c>
      <c r="B129" s="5238" t="s">
        <v>3192</v>
      </c>
      <c r="C129" s="5239" t="s">
        <v>1949</v>
      </c>
      <c r="D129" s="5240"/>
      <c r="E129" s="5241"/>
      <c r="F129" s="5243">
        <f t="shared" si="6"/>
        <v>0</v>
      </c>
      <c r="G129" s="5241"/>
      <c r="H129" s="5241"/>
      <c r="I129" s="5243">
        <f t="shared" si="7"/>
        <v>0</v>
      </c>
      <c r="J129" s="5244">
        <f t="shared" si="11"/>
        <v>0</v>
      </c>
      <c r="K129" s="5245">
        <f t="shared" si="8"/>
        <v>0</v>
      </c>
      <c r="L129" s="5245">
        <f t="shared" si="9"/>
        <v>0</v>
      </c>
      <c r="M129" s="5245">
        <f t="shared" si="10"/>
        <v>0</v>
      </c>
    </row>
    <row r="130" spans="1:13" ht="14.85" customHeight="1">
      <c r="A130" s="5238">
        <v>218</v>
      </c>
      <c r="B130" s="5238" t="s">
        <v>3193</v>
      </c>
      <c r="C130" s="5239" t="s">
        <v>1950</v>
      </c>
      <c r="D130" s="5240"/>
      <c r="E130" s="5241"/>
      <c r="F130" s="5243">
        <f t="shared" si="6"/>
        <v>0</v>
      </c>
      <c r="G130" s="5241"/>
      <c r="H130" s="5241"/>
      <c r="I130" s="5243">
        <f t="shared" si="7"/>
        <v>0</v>
      </c>
      <c r="J130" s="5244">
        <f t="shared" si="11"/>
        <v>0</v>
      </c>
      <c r="K130" s="5245">
        <f t="shared" si="8"/>
        <v>0</v>
      </c>
      <c r="L130" s="5245">
        <f t="shared" si="9"/>
        <v>0</v>
      </c>
      <c r="M130" s="5245">
        <f t="shared" si="10"/>
        <v>0</v>
      </c>
    </row>
    <row r="131" spans="1:13" ht="14.85" customHeight="1">
      <c r="A131" s="5238">
        <v>219</v>
      </c>
      <c r="B131" s="5238" t="s">
        <v>3194</v>
      </c>
      <c r="C131" s="5239" t="s">
        <v>1951</v>
      </c>
      <c r="D131" s="5240"/>
      <c r="E131" s="5241"/>
      <c r="F131" s="5243">
        <f t="shared" si="6"/>
        <v>0</v>
      </c>
      <c r="G131" s="5241"/>
      <c r="H131" s="5241"/>
      <c r="I131" s="5243">
        <f t="shared" si="7"/>
        <v>0</v>
      </c>
      <c r="J131" s="5244">
        <f t="shared" si="11"/>
        <v>0</v>
      </c>
      <c r="K131" s="5245">
        <f t="shared" si="8"/>
        <v>0</v>
      </c>
      <c r="L131" s="5245">
        <f t="shared" si="9"/>
        <v>0</v>
      </c>
      <c r="M131" s="5245">
        <f t="shared" si="10"/>
        <v>0</v>
      </c>
    </row>
    <row r="132" spans="1:13" ht="14.85" customHeight="1">
      <c r="A132" s="5238">
        <v>219</v>
      </c>
      <c r="B132" s="5238" t="s">
        <v>3195</v>
      </c>
      <c r="C132" s="5239" t="s">
        <v>1952</v>
      </c>
      <c r="D132" s="5240"/>
      <c r="E132" s="5241"/>
      <c r="F132" s="5243">
        <f t="shared" si="6"/>
        <v>0</v>
      </c>
      <c r="G132" s="5241"/>
      <c r="H132" s="5241"/>
      <c r="I132" s="5243">
        <f t="shared" si="7"/>
        <v>0</v>
      </c>
      <c r="J132" s="5244">
        <f t="shared" si="11"/>
        <v>0</v>
      </c>
      <c r="K132" s="5245">
        <f t="shared" si="8"/>
        <v>0</v>
      </c>
      <c r="L132" s="5245">
        <f t="shared" si="9"/>
        <v>0</v>
      </c>
      <c r="M132" s="5245">
        <f t="shared" si="10"/>
        <v>0</v>
      </c>
    </row>
    <row r="133" spans="1:13" ht="14.85" customHeight="1">
      <c r="A133" s="5238">
        <v>220</v>
      </c>
      <c r="B133" s="5238" t="s">
        <v>3196</v>
      </c>
      <c r="C133" s="5239" t="s">
        <v>1953</v>
      </c>
      <c r="D133" s="5240"/>
      <c r="E133" s="5241"/>
      <c r="F133" s="5243">
        <f t="shared" si="6"/>
        <v>0</v>
      </c>
      <c r="G133" s="5241"/>
      <c r="H133" s="5241"/>
      <c r="I133" s="5243">
        <f t="shared" si="7"/>
        <v>0</v>
      </c>
      <c r="J133" s="5244">
        <f t="shared" si="11"/>
        <v>0</v>
      </c>
      <c r="K133" s="5245">
        <f t="shared" si="8"/>
        <v>0</v>
      </c>
      <c r="L133" s="5245">
        <f t="shared" si="9"/>
        <v>0</v>
      </c>
      <c r="M133" s="5245">
        <f t="shared" si="10"/>
        <v>0</v>
      </c>
    </row>
    <row r="134" spans="1:13" ht="14.85" customHeight="1">
      <c r="A134" s="5238">
        <v>220</v>
      </c>
      <c r="B134" s="5238" t="s">
        <v>3197</v>
      </c>
      <c r="C134" s="5239" t="s">
        <v>1954</v>
      </c>
      <c r="D134" s="5240"/>
      <c r="E134" s="5241"/>
      <c r="F134" s="5243">
        <f t="shared" si="6"/>
        <v>0</v>
      </c>
      <c r="G134" s="5241"/>
      <c r="H134" s="5241"/>
      <c r="I134" s="5243">
        <f t="shared" si="7"/>
        <v>0</v>
      </c>
      <c r="J134" s="5244">
        <f t="shared" si="11"/>
        <v>0</v>
      </c>
      <c r="K134" s="5245">
        <f t="shared" si="8"/>
        <v>0</v>
      </c>
      <c r="L134" s="5245">
        <f t="shared" si="9"/>
        <v>0</v>
      </c>
      <c r="M134" s="5245">
        <f t="shared" si="10"/>
        <v>0</v>
      </c>
    </row>
    <row r="135" spans="1:13" ht="14.85" customHeight="1">
      <c r="A135" s="5238">
        <v>220</v>
      </c>
      <c r="B135" s="5238" t="s">
        <v>3198</v>
      </c>
      <c r="C135" s="5239" t="s">
        <v>1955</v>
      </c>
      <c r="D135" s="5240"/>
      <c r="E135" s="5241"/>
      <c r="F135" s="5243">
        <f t="shared" si="6"/>
        <v>0</v>
      </c>
      <c r="G135" s="5241"/>
      <c r="H135" s="5241"/>
      <c r="I135" s="5243">
        <f t="shared" si="7"/>
        <v>0</v>
      </c>
      <c r="J135" s="5244">
        <f t="shared" si="11"/>
        <v>0</v>
      </c>
      <c r="K135" s="5245">
        <f t="shared" si="8"/>
        <v>0</v>
      </c>
      <c r="L135" s="5245">
        <f t="shared" si="9"/>
        <v>0</v>
      </c>
      <c r="M135" s="5245">
        <f t="shared" si="10"/>
        <v>0</v>
      </c>
    </row>
    <row r="136" spans="1:13" ht="14.85" customHeight="1">
      <c r="A136" s="5238">
        <v>223</v>
      </c>
      <c r="B136" s="5238" t="s">
        <v>3199</v>
      </c>
      <c r="C136" s="5239" t="s">
        <v>1956</v>
      </c>
      <c r="D136" s="5240"/>
      <c r="E136" s="5241"/>
      <c r="F136" s="5243">
        <f t="shared" si="6"/>
        <v>0</v>
      </c>
      <c r="G136" s="5241"/>
      <c r="H136" s="5241"/>
      <c r="I136" s="5243">
        <f t="shared" si="7"/>
        <v>0</v>
      </c>
      <c r="J136" s="5244">
        <f t="shared" si="11"/>
        <v>0</v>
      </c>
      <c r="K136" s="5245">
        <f t="shared" si="8"/>
        <v>0</v>
      </c>
      <c r="L136" s="5245">
        <f t="shared" si="9"/>
        <v>0</v>
      </c>
      <c r="M136" s="5245">
        <f t="shared" si="10"/>
        <v>0</v>
      </c>
    </row>
    <row r="137" spans="1:13" ht="14.85" customHeight="1">
      <c r="A137" s="5238">
        <v>223</v>
      </c>
      <c r="B137" s="5238" t="s">
        <v>3200</v>
      </c>
      <c r="C137" s="5239" t="s">
        <v>1957</v>
      </c>
      <c r="D137" s="5240"/>
      <c r="E137" s="5241"/>
      <c r="F137" s="5243">
        <f t="shared" si="6"/>
        <v>0</v>
      </c>
      <c r="G137" s="5241"/>
      <c r="H137" s="5241"/>
      <c r="I137" s="5243">
        <f t="shared" si="7"/>
        <v>0</v>
      </c>
      <c r="J137" s="5244">
        <f t="shared" si="11"/>
        <v>0</v>
      </c>
      <c r="K137" s="5245">
        <f t="shared" si="8"/>
        <v>0</v>
      </c>
      <c r="L137" s="5245">
        <f t="shared" si="9"/>
        <v>0</v>
      </c>
      <c r="M137" s="5245">
        <f t="shared" si="10"/>
        <v>0</v>
      </c>
    </row>
    <row r="138" spans="1:13" ht="14.85" customHeight="1">
      <c r="A138" s="5238">
        <v>223</v>
      </c>
      <c r="B138" s="5238" t="s">
        <v>3201</v>
      </c>
      <c r="C138" s="5239" t="s">
        <v>1958</v>
      </c>
      <c r="D138" s="5240"/>
      <c r="E138" s="5241"/>
      <c r="F138" s="5243">
        <f t="shared" si="6"/>
        <v>0</v>
      </c>
      <c r="G138" s="5241"/>
      <c r="H138" s="5241"/>
      <c r="I138" s="5243">
        <f t="shared" si="7"/>
        <v>0</v>
      </c>
      <c r="J138" s="5244">
        <f t="shared" si="11"/>
        <v>0</v>
      </c>
      <c r="K138" s="5245">
        <f t="shared" si="8"/>
        <v>0</v>
      </c>
      <c r="L138" s="5245">
        <f t="shared" si="9"/>
        <v>0</v>
      </c>
      <c r="M138" s="5245">
        <f t="shared" si="10"/>
        <v>0</v>
      </c>
    </row>
    <row r="139" spans="1:13" ht="14.85" customHeight="1">
      <c r="A139" s="5238">
        <v>223</v>
      </c>
      <c r="B139" s="5238" t="s">
        <v>3202</v>
      </c>
      <c r="C139" s="5239" t="s">
        <v>1959</v>
      </c>
      <c r="D139" s="5240"/>
      <c r="E139" s="5241"/>
      <c r="F139" s="5243">
        <f t="shared" si="6"/>
        <v>0</v>
      </c>
      <c r="G139" s="5241"/>
      <c r="H139" s="5241"/>
      <c r="I139" s="5243">
        <f t="shared" si="7"/>
        <v>0</v>
      </c>
      <c r="J139" s="5244">
        <f t="shared" si="11"/>
        <v>0</v>
      </c>
      <c r="K139" s="5245">
        <f t="shared" si="8"/>
        <v>0</v>
      </c>
      <c r="L139" s="5245">
        <f t="shared" si="9"/>
        <v>0</v>
      </c>
      <c r="M139" s="5245">
        <f t="shared" si="10"/>
        <v>0</v>
      </c>
    </row>
    <row r="140" spans="1:13" ht="14.85" customHeight="1">
      <c r="A140" s="5238">
        <v>224</v>
      </c>
      <c r="B140" s="5238" t="s">
        <v>3203</v>
      </c>
      <c r="C140" s="5239" t="s">
        <v>1960</v>
      </c>
      <c r="D140" s="5240"/>
      <c r="E140" s="5241"/>
      <c r="F140" s="5243">
        <f t="shared" si="6"/>
        <v>0</v>
      </c>
      <c r="G140" s="5241"/>
      <c r="H140" s="5241"/>
      <c r="I140" s="5243">
        <f t="shared" si="7"/>
        <v>0</v>
      </c>
      <c r="J140" s="5244">
        <f t="shared" si="11"/>
        <v>0</v>
      </c>
      <c r="K140" s="5245">
        <f t="shared" si="8"/>
        <v>0</v>
      </c>
      <c r="L140" s="5245">
        <f t="shared" si="9"/>
        <v>0</v>
      </c>
      <c r="M140" s="5245">
        <f t="shared" si="10"/>
        <v>0</v>
      </c>
    </row>
    <row r="141" spans="1:13" ht="14.85" customHeight="1">
      <c r="A141" s="5238">
        <v>224</v>
      </c>
      <c r="B141" s="5238" t="s">
        <v>3204</v>
      </c>
      <c r="C141" s="5239" t="s">
        <v>1961</v>
      </c>
      <c r="D141" s="5240"/>
      <c r="E141" s="5241"/>
      <c r="F141" s="5243">
        <f t="shared" si="6"/>
        <v>0</v>
      </c>
      <c r="G141" s="5241"/>
      <c r="H141" s="5241"/>
      <c r="I141" s="5243">
        <f t="shared" si="7"/>
        <v>0</v>
      </c>
      <c r="J141" s="5244">
        <f t="shared" si="11"/>
        <v>0</v>
      </c>
      <c r="K141" s="5245">
        <f t="shared" si="8"/>
        <v>0</v>
      </c>
      <c r="L141" s="5245">
        <f t="shared" si="9"/>
        <v>0</v>
      </c>
      <c r="M141" s="5245">
        <f t="shared" si="10"/>
        <v>0</v>
      </c>
    </row>
    <row r="142" spans="1:13" ht="14.85" customHeight="1">
      <c r="A142" s="5238">
        <v>224</v>
      </c>
      <c r="B142" s="5238" t="s">
        <v>3205</v>
      </c>
      <c r="C142" s="5239" t="s">
        <v>1962</v>
      </c>
      <c r="D142" s="5240"/>
      <c r="E142" s="5241"/>
      <c r="F142" s="5243">
        <f t="shared" si="6"/>
        <v>0</v>
      </c>
      <c r="G142" s="5241"/>
      <c r="H142" s="5241"/>
      <c r="I142" s="5243">
        <f t="shared" si="7"/>
        <v>0</v>
      </c>
      <c r="J142" s="5244">
        <f t="shared" si="11"/>
        <v>0</v>
      </c>
      <c r="K142" s="5245">
        <f t="shared" si="8"/>
        <v>0</v>
      </c>
      <c r="L142" s="5245">
        <f t="shared" si="9"/>
        <v>0</v>
      </c>
      <c r="M142" s="5245">
        <f t="shared" si="10"/>
        <v>0</v>
      </c>
    </row>
    <row r="143" spans="1:13" ht="14.85" customHeight="1">
      <c r="A143" s="5238">
        <v>225</v>
      </c>
      <c r="B143" s="5238" t="s">
        <v>3206</v>
      </c>
      <c r="C143" s="5239" t="s">
        <v>1963</v>
      </c>
      <c r="D143" s="5240"/>
      <c r="E143" s="5241"/>
      <c r="F143" s="5243">
        <f t="shared" si="6"/>
        <v>0</v>
      </c>
      <c r="G143" s="5241"/>
      <c r="H143" s="5241"/>
      <c r="I143" s="5243">
        <f t="shared" si="7"/>
        <v>0</v>
      </c>
      <c r="J143" s="5244">
        <f t="shared" si="11"/>
        <v>0</v>
      </c>
      <c r="K143" s="5245">
        <f t="shared" si="8"/>
        <v>0</v>
      </c>
      <c r="L143" s="5245">
        <f t="shared" si="9"/>
        <v>0</v>
      </c>
      <c r="M143" s="5245">
        <f t="shared" si="10"/>
        <v>0</v>
      </c>
    </row>
    <row r="144" spans="1:13" ht="14.85" customHeight="1">
      <c r="A144" s="5238">
        <v>225</v>
      </c>
      <c r="B144" s="5238" t="s">
        <v>3207</v>
      </c>
      <c r="C144" s="5239" t="s">
        <v>1964</v>
      </c>
      <c r="D144" s="5240"/>
      <c r="E144" s="5241"/>
      <c r="F144" s="5243">
        <f t="shared" si="6"/>
        <v>0</v>
      </c>
      <c r="G144" s="5241"/>
      <c r="H144" s="5241"/>
      <c r="I144" s="5243">
        <f t="shared" si="7"/>
        <v>0</v>
      </c>
      <c r="J144" s="5244">
        <f t="shared" si="11"/>
        <v>0</v>
      </c>
      <c r="K144" s="5245">
        <f t="shared" si="8"/>
        <v>0</v>
      </c>
      <c r="L144" s="5245">
        <f t="shared" si="9"/>
        <v>0</v>
      </c>
      <c r="M144" s="5245">
        <f t="shared" si="10"/>
        <v>0</v>
      </c>
    </row>
    <row r="145" spans="1:13" ht="14.85" customHeight="1">
      <c r="A145" s="5238">
        <v>226</v>
      </c>
      <c r="B145" s="5238" t="s">
        <v>3208</v>
      </c>
      <c r="C145" s="5239" t="s">
        <v>1965</v>
      </c>
      <c r="D145" s="5240"/>
      <c r="E145" s="5241"/>
      <c r="F145" s="5243">
        <f t="shared" si="6"/>
        <v>0</v>
      </c>
      <c r="G145" s="5241"/>
      <c r="H145" s="5241"/>
      <c r="I145" s="5243">
        <f t="shared" si="7"/>
        <v>0</v>
      </c>
      <c r="J145" s="5244">
        <f t="shared" si="11"/>
        <v>0</v>
      </c>
      <c r="K145" s="5245">
        <f t="shared" si="8"/>
        <v>0</v>
      </c>
      <c r="L145" s="5245">
        <f t="shared" si="9"/>
        <v>0</v>
      </c>
      <c r="M145" s="5245">
        <f t="shared" si="10"/>
        <v>0</v>
      </c>
    </row>
    <row r="146" spans="1:13" ht="14.85" customHeight="1">
      <c r="A146" s="5238">
        <v>226</v>
      </c>
      <c r="B146" s="5238" t="s">
        <v>3209</v>
      </c>
      <c r="C146" s="5239" t="s">
        <v>1966</v>
      </c>
      <c r="D146" s="5240"/>
      <c r="E146" s="5241"/>
      <c r="F146" s="5243">
        <f t="shared" si="6"/>
        <v>0</v>
      </c>
      <c r="G146" s="5241"/>
      <c r="H146" s="5241"/>
      <c r="I146" s="5243">
        <f t="shared" si="7"/>
        <v>0</v>
      </c>
      <c r="J146" s="5244">
        <f t="shared" si="11"/>
        <v>0</v>
      </c>
      <c r="K146" s="5245">
        <f t="shared" si="8"/>
        <v>0</v>
      </c>
      <c r="L146" s="5245">
        <f t="shared" si="9"/>
        <v>0</v>
      </c>
      <c r="M146" s="5245">
        <f t="shared" si="10"/>
        <v>0</v>
      </c>
    </row>
    <row r="147" spans="1:13" ht="14.85" customHeight="1">
      <c r="A147" s="5238">
        <v>227</v>
      </c>
      <c r="B147" s="5238" t="s">
        <v>3210</v>
      </c>
      <c r="C147" s="5239" t="s">
        <v>1967</v>
      </c>
      <c r="D147" s="5240"/>
      <c r="E147" s="5241"/>
      <c r="F147" s="5243">
        <f t="shared" si="6"/>
        <v>0</v>
      </c>
      <c r="G147" s="5241"/>
      <c r="H147" s="5241"/>
      <c r="I147" s="5243">
        <f t="shared" si="7"/>
        <v>0</v>
      </c>
      <c r="J147" s="5244">
        <f t="shared" si="11"/>
        <v>0</v>
      </c>
      <c r="K147" s="5245">
        <f t="shared" si="8"/>
        <v>0</v>
      </c>
      <c r="L147" s="5245">
        <f t="shared" si="9"/>
        <v>0</v>
      </c>
      <c r="M147" s="5245">
        <f t="shared" si="10"/>
        <v>0</v>
      </c>
    </row>
    <row r="148" spans="1:13" ht="14.85" customHeight="1">
      <c r="A148" s="5238">
        <v>227</v>
      </c>
      <c r="B148" s="5238" t="s">
        <v>3211</v>
      </c>
      <c r="C148" s="5239" t="s">
        <v>1968</v>
      </c>
      <c r="D148" s="5240"/>
      <c r="E148" s="5241"/>
      <c r="F148" s="5243">
        <f t="shared" si="6"/>
        <v>0</v>
      </c>
      <c r="G148" s="5241"/>
      <c r="H148" s="5241"/>
      <c r="I148" s="5243">
        <f t="shared" si="7"/>
        <v>0</v>
      </c>
      <c r="J148" s="5244">
        <f t="shared" si="11"/>
        <v>0</v>
      </c>
      <c r="K148" s="5245">
        <f t="shared" si="8"/>
        <v>0</v>
      </c>
      <c r="L148" s="5245">
        <f t="shared" si="9"/>
        <v>0</v>
      </c>
      <c r="M148" s="5245">
        <f t="shared" si="10"/>
        <v>0</v>
      </c>
    </row>
    <row r="149" spans="1:13" ht="14.85" customHeight="1">
      <c r="A149" s="5238">
        <v>229</v>
      </c>
      <c r="B149" s="5238" t="s">
        <v>3212</v>
      </c>
      <c r="C149" s="5239" t="s">
        <v>1969</v>
      </c>
      <c r="D149" s="5240"/>
      <c r="E149" s="5241"/>
      <c r="F149" s="5243">
        <f t="shared" si="6"/>
        <v>0</v>
      </c>
      <c r="G149" s="5241"/>
      <c r="H149" s="5241"/>
      <c r="I149" s="5243">
        <f t="shared" si="7"/>
        <v>0</v>
      </c>
      <c r="J149" s="5244">
        <f t="shared" si="11"/>
        <v>0</v>
      </c>
      <c r="K149" s="5245">
        <f t="shared" si="8"/>
        <v>0</v>
      </c>
      <c r="L149" s="5245">
        <f t="shared" si="9"/>
        <v>0</v>
      </c>
      <c r="M149" s="5245">
        <f t="shared" si="10"/>
        <v>0</v>
      </c>
    </row>
    <row r="150" spans="1:13" ht="14.85" customHeight="1">
      <c r="A150" s="5238">
        <v>229</v>
      </c>
      <c r="B150" s="5238" t="s">
        <v>3213</v>
      </c>
      <c r="C150" s="5239" t="s">
        <v>1970</v>
      </c>
      <c r="D150" s="5240"/>
      <c r="E150" s="5241"/>
      <c r="F150" s="5243">
        <f t="shared" si="6"/>
        <v>0</v>
      </c>
      <c r="G150" s="5241"/>
      <c r="H150" s="5241"/>
      <c r="I150" s="5243">
        <f t="shared" si="7"/>
        <v>0</v>
      </c>
      <c r="J150" s="5244">
        <f t="shared" si="11"/>
        <v>0</v>
      </c>
      <c r="K150" s="5245">
        <f t="shared" si="8"/>
        <v>0</v>
      </c>
      <c r="L150" s="5245">
        <f t="shared" si="9"/>
        <v>0</v>
      </c>
      <c r="M150" s="5245">
        <f t="shared" si="10"/>
        <v>0</v>
      </c>
    </row>
    <row r="151" spans="1:13" ht="14.85" customHeight="1">
      <c r="A151" s="5238">
        <v>229</v>
      </c>
      <c r="B151" s="5238" t="s">
        <v>3214</v>
      </c>
      <c r="C151" s="5239" t="s">
        <v>1971</v>
      </c>
      <c r="D151" s="5240"/>
      <c r="E151" s="5241"/>
      <c r="F151" s="5243">
        <f t="shared" si="6"/>
        <v>0</v>
      </c>
      <c r="G151" s="5241"/>
      <c r="H151" s="5241"/>
      <c r="I151" s="5243">
        <f t="shared" si="7"/>
        <v>0</v>
      </c>
      <c r="J151" s="5244">
        <f t="shared" si="11"/>
        <v>0</v>
      </c>
      <c r="K151" s="5245">
        <f t="shared" si="8"/>
        <v>0</v>
      </c>
      <c r="L151" s="5245">
        <f t="shared" si="9"/>
        <v>0</v>
      </c>
      <c r="M151" s="5245">
        <f t="shared" si="10"/>
        <v>0</v>
      </c>
    </row>
    <row r="152" spans="1:13" ht="14.85" customHeight="1">
      <c r="A152" s="5238">
        <v>229</v>
      </c>
      <c r="B152" s="5238" t="s">
        <v>3215</v>
      </c>
      <c r="C152" s="5239" t="s">
        <v>1972</v>
      </c>
      <c r="D152" s="5240"/>
      <c r="E152" s="5241"/>
      <c r="F152" s="5243">
        <f t="shared" si="6"/>
        <v>0</v>
      </c>
      <c r="G152" s="5241"/>
      <c r="H152" s="5241"/>
      <c r="I152" s="5243">
        <f t="shared" si="7"/>
        <v>0</v>
      </c>
      <c r="J152" s="5244">
        <f t="shared" si="11"/>
        <v>0</v>
      </c>
      <c r="K152" s="5245">
        <f t="shared" si="8"/>
        <v>0</v>
      </c>
      <c r="L152" s="5245">
        <f t="shared" si="9"/>
        <v>0</v>
      </c>
      <c r="M152" s="5245">
        <f t="shared" si="10"/>
        <v>0</v>
      </c>
    </row>
    <row r="153" spans="1:13" ht="14.85" customHeight="1">
      <c r="A153" s="5238">
        <v>229</v>
      </c>
      <c r="B153" s="5238" t="s">
        <v>3216</v>
      </c>
      <c r="C153" s="5239" t="s">
        <v>1973</v>
      </c>
      <c r="D153" s="5240"/>
      <c r="E153" s="5241"/>
      <c r="F153" s="5243">
        <f t="shared" si="6"/>
        <v>0</v>
      </c>
      <c r="G153" s="5241"/>
      <c r="H153" s="5241"/>
      <c r="I153" s="5243">
        <f t="shared" si="7"/>
        <v>0</v>
      </c>
      <c r="J153" s="5244">
        <f t="shared" si="11"/>
        <v>0</v>
      </c>
      <c r="K153" s="5245">
        <f t="shared" si="8"/>
        <v>0</v>
      </c>
      <c r="L153" s="5245">
        <f t="shared" si="9"/>
        <v>0</v>
      </c>
      <c r="M153" s="5245">
        <f t="shared" si="10"/>
        <v>0</v>
      </c>
    </row>
    <row r="154" spans="1:13" ht="14.85" customHeight="1">
      <c r="A154" s="5238">
        <v>229</v>
      </c>
      <c r="B154" s="5238" t="s">
        <v>3217</v>
      </c>
      <c r="C154" s="5239" t="s">
        <v>1974</v>
      </c>
      <c r="D154" s="5240"/>
      <c r="E154" s="5241"/>
      <c r="F154" s="5243">
        <f t="shared" si="6"/>
        <v>0</v>
      </c>
      <c r="G154" s="5241"/>
      <c r="H154" s="5241"/>
      <c r="I154" s="5243">
        <f t="shared" si="7"/>
        <v>0</v>
      </c>
      <c r="J154" s="5244">
        <f t="shared" si="11"/>
        <v>0</v>
      </c>
      <c r="K154" s="5245">
        <f t="shared" si="8"/>
        <v>0</v>
      </c>
      <c r="L154" s="5245">
        <f t="shared" si="9"/>
        <v>0</v>
      </c>
      <c r="M154" s="5245">
        <f t="shared" si="10"/>
        <v>0</v>
      </c>
    </row>
    <row r="155" spans="1:13" ht="14.85" customHeight="1">
      <c r="A155" s="5238">
        <v>229</v>
      </c>
      <c r="B155" s="5238" t="s">
        <v>3218</v>
      </c>
      <c r="C155" s="5239" t="s">
        <v>1975</v>
      </c>
      <c r="D155" s="5240"/>
      <c r="E155" s="5241"/>
      <c r="F155" s="5243">
        <f t="shared" si="6"/>
        <v>0</v>
      </c>
      <c r="G155" s="5241"/>
      <c r="H155" s="5241"/>
      <c r="I155" s="5243">
        <f t="shared" si="7"/>
        <v>0</v>
      </c>
      <c r="J155" s="5244">
        <f t="shared" si="11"/>
        <v>0</v>
      </c>
      <c r="K155" s="5245">
        <f t="shared" si="8"/>
        <v>0</v>
      </c>
      <c r="L155" s="5245">
        <f t="shared" si="9"/>
        <v>0</v>
      </c>
      <c r="M155" s="5245">
        <f t="shared" si="10"/>
        <v>0</v>
      </c>
    </row>
    <row r="156" spans="1:13" ht="14.85" customHeight="1">
      <c r="A156" s="5238">
        <v>229</v>
      </c>
      <c r="B156" s="5238" t="s">
        <v>3219</v>
      </c>
      <c r="C156" s="5239" t="s">
        <v>1976</v>
      </c>
      <c r="D156" s="5240"/>
      <c r="E156" s="5241"/>
      <c r="F156" s="5243">
        <f t="shared" si="6"/>
        <v>0</v>
      </c>
      <c r="G156" s="5241"/>
      <c r="H156" s="5241"/>
      <c r="I156" s="5243">
        <f t="shared" si="7"/>
        <v>0</v>
      </c>
      <c r="J156" s="5244">
        <f t="shared" si="11"/>
        <v>0</v>
      </c>
      <c r="K156" s="5245">
        <f t="shared" si="8"/>
        <v>0</v>
      </c>
      <c r="L156" s="5245">
        <f t="shared" si="9"/>
        <v>0</v>
      </c>
      <c r="M156" s="5245">
        <f t="shared" si="10"/>
        <v>0</v>
      </c>
    </row>
    <row r="157" spans="1:13" ht="14.85" customHeight="1">
      <c r="A157" s="5238">
        <v>229</v>
      </c>
      <c r="B157" s="5238" t="s">
        <v>3220</v>
      </c>
      <c r="C157" s="5239" t="s">
        <v>1977</v>
      </c>
      <c r="D157" s="5240"/>
      <c r="E157" s="5241"/>
      <c r="F157" s="5243">
        <f t="shared" si="6"/>
        <v>0</v>
      </c>
      <c r="G157" s="5241"/>
      <c r="H157" s="5241"/>
      <c r="I157" s="5243">
        <f t="shared" si="7"/>
        <v>0</v>
      </c>
      <c r="J157" s="5244">
        <f t="shared" si="11"/>
        <v>0</v>
      </c>
      <c r="K157" s="5245">
        <f t="shared" si="8"/>
        <v>0</v>
      </c>
      <c r="L157" s="5245">
        <f t="shared" si="9"/>
        <v>0</v>
      </c>
      <c r="M157" s="5245">
        <f t="shared" si="10"/>
        <v>0</v>
      </c>
    </row>
    <row r="158" spans="1:13" ht="14.85" customHeight="1">
      <c r="A158" s="5238">
        <v>229</v>
      </c>
      <c r="B158" s="5238" t="s">
        <v>3221</v>
      </c>
      <c r="C158" s="5239" t="s">
        <v>1978</v>
      </c>
      <c r="D158" s="5240"/>
      <c r="E158" s="5241"/>
      <c r="F158" s="5243">
        <f t="shared" si="6"/>
        <v>0</v>
      </c>
      <c r="G158" s="5241"/>
      <c r="H158" s="5241"/>
      <c r="I158" s="5243">
        <f t="shared" si="7"/>
        <v>0</v>
      </c>
      <c r="J158" s="5244">
        <f t="shared" si="11"/>
        <v>0</v>
      </c>
      <c r="K158" s="5245">
        <f t="shared" si="8"/>
        <v>0</v>
      </c>
      <c r="L158" s="5245">
        <f t="shared" si="9"/>
        <v>0</v>
      </c>
      <c r="M158" s="5245">
        <f t="shared" si="10"/>
        <v>0</v>
      </c>
    </row>
    <row r="159" spans="1:13" ht="14.85" customHeight="1">
      <c r="A159" s="5238">
        <v>229</v>
      </c>
      <c r="B159" s="5238" t="s">
        <v>3222</v>
      </c>
      <c r="C159" s="5239" t="s">
        <v>1979</v>
      </c>
      <c r="D159" s="5240"/>
      <c r="E159" s="5241"/>
      <c r="F159" s="5243">
        <f t="shared" si="6"/>
        <v>0</v>
      </c>
      <c r="G159" s="5241"/>
      <c r="H159" s="5241"/>
      <c r="I159" s="5243">
        <f t="shared" si="7"/>
        <v>0</v>
      </c>
      <c r="J159" s="5244">
        <f t="shared" si="11"/>
        <v>0</v>
      </c>
      <c r="K159" s="5245">
        <f t="shared" si="8"/>
        <v>0</v>
      </c>
      <c r="L159" s="5245">
        <f t="shared" si="9"/>
        <v>0</v>
      </c>
      <c r="M159" s="5245">
        <f t="shared" si="10"/>
        <v>0</v>
      </c>
    </row>
    <row r="160" spans="1:13" ht="14.85" customHeight="1">
      <c r="A160" s="5238">
        <v>229</v>
      </c>
      <c r="B160" s="5238" t="s">
        <v>3223</v>
      </c>
      <c r="C160" s="5239" t="s">
        <v>1980</v>
      </c>
      <c r="D160" s="5240"/>
      <c r="E160" s="5241"/>
      <c r="F160" s="5243">
        <f t="shared" si="6"/>
        <v>0</v>
      </c>
      <c r="G160" s="5241"/>
      <c r="H160" s="5241"/>
      <c r="I160" s="5243">
        <f t="shared" si="7"/>
        <v>0</v>
      </c>
      <c r="J160" s="5244">
        <f t="shared" si="11"/>
        <v>0</v>
      </c>
      <c r="K160" s="5245">
        <f t="shared" si="8"/>
        <v>0</v>
      </c>
      <c r="L160" s="5245">
        <f t="shared" si="9"/>
        <v>0</v>
      </c>
      <c r="M160" s="5245">
        <f t="shared" si="10"/>
        <v>0</v>
      </c>
    </row>
    <row r="161" spans="1:13" ht="14.85" customHeight="1">
      <c r="A161" s="5238">
        <v>229</v>
      </c>
      <c r="B161" s="5238" t="s">
        <v>3224</v>
      </c>
      <c r="C161" s="5239" t="s">
        <v>1981</v>
      </c>
      <c r="D161" s="5240"/>
      <c r="E161" s="5241"/>
      <c r="F161" s="5243">
        <f t="shared" ref="F161:F224" si="12">SUM(D161:E161)</f>
        <v>0</v>
      </c>
      <c r="G161" s="5241"/>
      <c r="H161" s="5241"/>
      <c r="I161" s="5243">
        <f t="shared" ref="I161:I224" si="13">SUM(G161:H161)</f>
        <v>0</v>
      </c>
      <c r="J161" s="5244">
        <f t="shared" si="11"/>
        <v>0</v>
      </c>
      <c r="K161" s="5245">
        <f t="shared" ref="K161:K224" si="14">IF(AND((J161-35%)&gt;0,J161&lt;50%),I161*(J161-35%)*0.7,0)</f>
        <v>0</v>
      </c>
      <c r="L161" s="5245">
        <f t="shared" ref="L161:L224" si="15">IF(J161&gt;=50%,I161*10.5%,0)</f>
        <v>0</v>
      </c>
      <c r="M161" s="5245">
        <f t="shared" ref="M161:M224" si="16">MAX(K161,L161)</f>
        <v>0</v>
      </c>
    </row>
    <row r="162" spans="1:13" ht="14.85" customHeight="1">
      <c r="A162" s="5238">
        <v>229</v>
      </c>
      <c r="B162" s="5238" t="s">
        <v>3225</v>
      </c>
      <c r="C162" s="5239" t="s">
        <v>1982</v>
      </c>
      <c r="D162" s="5240"/>
      <c r="E162" s="5241"/>
      <c r="F162" s="5243">
        <f t="shared" si="12"/>
        <v>0</v>
      </c>
      <c r="G162" s="5241"/>
      <c r="H162" s="5241"/>
      <c r="I162" s="5243">
        <f t="shared" si="13"/>
        <v>0</v>
      </c>
      <c r="J162" s="5244">
        <f t="shared" si="11"/>
        <v>0</v>
      </c>
      <c r="K162" s="5245">
        <f t="shared" si="14"/>
        <v>0</v>
      </c>
      <c r="L162" s="5245">
        <f t="shared" si="15"/>
        <v>0</v>
      </c>
      <c r="M162" s="5245">
        <f t="shared" si="16"/>
        <v>0</v>
      </c>
    </row>
    <row r="163" spans="1:13" ht="14.85" customHeight="1">
      <c r="A163" s="5238">
        <v>229</v>
      </c>
      <c r="B163" s="5238" t="s">
        <v>3226</v>
      </c>
      <c r="C163" s="5239" t="s">
        <v>1983</v>
      </c>
      <c r="D163" s="5240"/>
      <c r="E163" s="5241"/>
      <c r="F163" s="5243">
        <f t="shared" si="12"/>
        <v>0</v>
      </c>
      <c r="G163" s="5241"/>
      <c r="H163" s="5241"/>
      <c r="I163" s="5243">
        <f t="shared" si="13"/>
        <v>0</v>
      </c>
      <c r="J163" s="5244">
        <f t="shared" si="11"/>
        <v>0</v>
      </c>
      <c r="K163" s="5245">
        <f t="shared" si="14"/>
        <v>0</v>
      </c>
      <c r="L163" s="5245">
        <f t="shared" si="15"/>
        <v>0</v>
      </c>
      <c r="M163" s="5245">
        <f t="shared" si="16"/>
        <v>0</v>
      </c>
    </row>
    <row r="164" spans="1:13" ht="14.85" customHeight="1">
      <c r="A164" s="5238">
        <v>229</v>
      </c>
      <c r="B164" s="5238" t="s">
        <v>3227</v>
      </c>
      <c r="C164" s="5239" t="s">
        <v>1984</v>
      </c>
      <c r="D164" s="5240"/>
      <c r="E164" s="5241"/>
      <c r="F164" s="5243">
        <f t="shared" si="12"/>
        <v>0</v>
      </c>
      <c r="G164" s="5241"/>
      <c r="H164" s="5241"/>
      <c r="I164" s="5243">
        <f t="shared" si="13"/>
        <v>0</v>
      </c>
      <c r="J164" s="5244">
        <f t="shared" ref="J164:J227" si="17">IF(ISERROR(I164/F164),0,I164/F164)</f>
        <v>0</v>
      </c>
      <c r="K164" s="5245">
        <f t="shared" si="14"/>
        <v>0</v>
      </c>
      <c r="L164" s="5245">
        <f t="shared" si="15"/>
        <v>0</v>
      </c>
      <c r="M164" s="5245">
        <f t="shared" si="16"/>
        <v>0</v>
      </c>
    </row>
    <row r="165" spans="1:13" ht="14.85" customHeight="1">
      <c r="A165" s="5238">
        <v>229</v>
      </c>
      <c r="B165" s="5238" t="s">
        <v>3228</v>
      </c>
      <c r="C165" s="5239" t="s">
        <v>1985</v>
      </c>
      <c r="D165" s="5240"/>
      <c r="E165" s="5241"/>
      <c r="F165" s="5243">
        <f t="shared" si="12"/>
        <v>0</v>
      </c>
      <c r="G165" s="5241"/>
      <c r="H165" s="5241"/>
      <c r="I165" s="5243">
        <f t="shared" si="13"/>
        <v>0</v>
      </c>
      <c r="J165" s="5244">
        <f t="shared" si="17"/>
        <v>0</v>
      </c>
      <c r="K165" s="5245">
        <f t="shared" si="14"/>
        <v>0</v>
      </c>
      <c r="L165" s="5245">
        <f t="shared" si="15"/>
        <v>0</v>
      </c>
      <c r="M165" s="5245">
        <f t="shared" si="16"/>
        <v>0</v>
      </c>
    </row>
    <row r="166" spans="1:13" ht="14.85" customHeight="1">
      <c r="A166" s="5238">
        <v>229</v>
      </c>
      <c r="B166" s="5238" t="s">
        <v>3229</v>
      </c>
      <c r="C166" s="5239" t="s">
        <v>1986</v>
      </c>
      <c r="D166" s="5240"/>
      <c r="E166" s="5241"/>
      <c r="F166" s="5243">
        <f t="shared" si="12"/>
        <v>0</v>
      </c>
      <c r="G166" s="5241"/>
      <c r="H166" s="5241"/>
      <c r="I166" s="5243">
        <f t="shared" si="13"/>
        <v>0</v>
      </c>
      <c r="J166" s="5244">
        <f t="shared" si="17"/>
        <v>0</v>
      </c>
      <c r="K166" s="5245">
        <f t="shared" si="14"/>
        <v>0</v>
      </c>
      <c r="L166" s="5245">
        <f t="shared" si="15"/>
        <v>0</v>
      </c>
      <c r="M166" s="5245">
        <f t="shared" si="16"/>
        <v>0</v>
      </c>
    </row>
    <row r="167" spans="1:13" ht="14.85" customHeight="1">
      <c r="A167" s="5238">
        <v>229</v>
      </c>
      <c r="B167" s="5238" t="s">
        <v>3230</v>
      </c>
      <c r="C167" s="5239" t="s">
        <v>1987</v>
      </c>
      <c r="D167" s="5240"/>
      <c r="E167" s="5241"/>
      <c r="F167" s="5243">
        <f t="shared" si="12"/>
        <v>0</v>
      </c>
      <c r="G167" s="5241"/>
      <c r="H167" s="5241"/>
      <c r="I167" s="5243">
        <f t="shared" si="13"/>
        <v>0</v>
      </c>
      <c r="J167" s="5244">
        <f t="shared" si="17"/>
        <v>0</v>
      </c>
      <c r="K167" s="5245">
        <f t="shared" si="14"/>
        <v>0</v>
      </c>
      <c r="L167" s="5245">
        <f t="shared" si="15"/>
        <v>0</v>
      </c>
      <c r="M167" s="5245">
        <f t="shared" si="16"/>
        <v>0</v>
      </c>
    </row>
    <row r="168" spans="1:13" ht="14.85" customHeight="1">
      <c r="A168" s="5238">
        <v>229</v>
      </c>
      <c r="B168" s="5238" t="s">
        <v>3231</v>
      </c>
      <c r="C168" s="5239" t="s">
        <v>1988</v>
      </c>
      <c r="D168" s="5240"/>
      <c r="E168" s="5241"/>
      <c r="F168" s="5243">
        <f t="shared" si="12"/>
        <v>0</v>
      </c>
      <c r="G168" s="5241"/>
      <c r="H168" s="5241"/>
      <c r="I168" s="5243">
        <f t="shared" si="13"/>
        <v>0</v>
      </c>
      <c r="J168" s="5244">
        <f t="shared" si="17"/>
        <v>0</v>
      </c>
      <c r="K168" s="5245">
        <f t="shared" si="14"/>
        <v>0</v>
      </c>
      <c r="L168" s="5245">
        <f t="shared" si="15"/>
        <v>0</v>
      </c>
      <c r="M168" s="5245">
        <f t="shared" si="16"/>
        <v>0</v>
      </c>
    </row>
    <row r="169" spans="1:13" ht="14.85" customHeight="1">
      <c r="A169" s="5238">
        <v>229</v>
      </c>
      <c r="B169" s="5238" t="s">
        <v>3232</v>
      </c>
      <c r="C169" s="5239" t="s">
        <v>1989</v>
      </c>
      <c r="D169" s="5240"/>
      <c r="E169" s="5241"/>
      <c r="F169" s="5243">
        <f t="shared" si="12"/>
        <v>0</v>
      </c>
      <c r="G169" s="5241"/>
      <c r="H169" s="5241"/>
      <c r="I169" s="5243">
        <f t="shared" si="13"/>
        <v>0</v>
      </c>
      <c r="J169" s="5244">
        <f t="shared" si="17"/>
        <v>0</v>
      </c>
      <c r="K169" s="5245">
        <f t="shared" si="14"/>
        <v>0</v>
      </c>
      <c r="L169" s="5245">
        <f t="shared" si="15"/>
        <v>0</v>
      </c>
      <c r="M169" s="5245">
        <f t="shared" si="16"/>
        <v>0</v>
      </c>
    </row>
    <row r="170" spans="1:13" ht="14.85" customHeight="1">
      <c r="A170" s="5238">
        <v>229</v>
      </c>
      <c r="B170" s="5238" t="s">
        <v>3233</v>
      </c>
      <c r="C170" s="5239" t="s">
        <v>1990</v>
      </c>
      <c r="D170" s="5240"/>
      <c r="E170" s="5241"/>
      <c r="F170" s="5243">
        <f t="shared" si="12"/>
        <v>0</v>
      </c>
      <c r="G170" s="5241"/>
      <c r="H170" s="5241"/>
      <c r="I170" s="5243">
        <f t="shared" si="13"/>
        <v>0</v>
      </c>
      <c r="J170" s="5244">
        <f t="shared" si="17"/>
        <v>0</v>
      </c>
      <c r="K170" s="5245">
        <f t="shared" si="14"/>
        <v>0</v>
      </c>
      <c r="L170" s="5245">
        <f t="shared" si="15"/>
        <v>0</v>
      </c>
      <c r="M170" s="5245">
        <f t="shared" si="16"/>
        <v>0</v>
      </c>
    </row>
    <row r="171" spans="1:13" ht="14.85" customHeight="1">
      <c r="A171" s="5238">
        <v>229</v>
      </c>
      <c r="B171" s="5238" t="s">
        <v>3234</v>
      </c>
      <c r="C171" s="5239" t="s">
        <v>1991</v>
      </c>
      <c r="D171" s="5240"/>
      <c r="E171" s="5241"/>
      <c r="F171" s="5243">
        <f t="shared" si="12"/>
        <v>0</v>
      </c>
      <c r="G171" s="5241"/>
      <c r="H171" s="5241"/>
      <c r="I171" s="5243">
        <f t="shared" si="13"/>
        <v>0</v>
      </c>
      <c r="J171" s="5244">
        <f t="shared" si="17"/>
        <v>0</v>
      </c>
      <c r="K171" s="5245">
        <f t="shared" si="14"/>
        <v>0</v>
      </c>
      <c r="L171" s="5245">
        <f t="shared" si="15"/>
        <v>0</v>
      </c>
      <c r="M171" s="5245">
        <f t="shared" si="16"/>
        <v>0</v>
      </c>
    </row>
    <row r="172" spans="1:13" ht="14.85" customHeight="1">
      <c r="A172" s="5238">
        <v>229</v>
      </c>
      <c r="B172" s="5238" t="s">
        <v>3235</v>
      </c>
      <c r="C172" s="5239" t="s">
        <v>1992</v>
      </c>
      <c r="D172" s="5240"/>
      <c r="E172" s="5241"/>
      <c r="F172" s="5243">
        <f t="shared" si="12"/>
        <v>0</v>
      </c>
      <c r="G172" s="5241"/>
      <c r="H172" s="5241"/>
      <c r="I172" s="5243">
        <f t="shared" si="13"/>
        <v>0</v>
      </c>
      <c r="J172" s="5244">
        <f t="shared" si="17"/>
        <v>0</v>
      </c>
      <c r="K172" s="5245">
        <f t="shared" si="14"/>
        <v>0</v>
      </c>
      <c r="L172" s="5245">
        <f t="shared" si="15"/>
        <v>0</v>
      </c>
      <c r="M172" s="5245">
        <f t="shared" si="16"/>
        <v>0</v>
      </c>
    </row>
    <row r="173" spans="1:13" ht="14.85" customHeight="1">
      <c r="A173" s="5238">
        <v>229</v>
      </c>
      <c r="B173" s="5238" t="s">
        <v>3236</v>
      </c>
      <c r="C173" s="5239" t="s">
        <v>1993</v>
      </c>
      <c r="D173" s="5240"/>
      <c r="E173" s="5241"/>
      <c r="F173" s="5243">
        <f t="shared" si="12"/>
        <v>0</v>
      </c>
      <c r="G173" s="5241"/>
      <c r="H173" s="5241"/>
      <c r="I173" s="5243">
        <f t="shared" si="13"/>
        <v>0</v>
      </c>
      <c r="J173" s="5244">
        <f t="shared" si="17"/>
        <v>0</v>
      </c>
      <c r="K173" s="5245">
        <f t="shared" si="14"/>
        <v>0</v>
      </c>
      <c r="L173" s="5245">
        <f t="shared" si="15"/>
        <v>0</v>
      </c>
      <c r="M173" s="5245">
        <f t="shared" si="16"/>
        <v>0</v>
      </c>
    </row>
    <row r="174" spans="1:13" ht="14.85" customHeight="1">
      <c r="A174" s="5238">
        <v>229</v>
      </c>
      <c r="B174" s="5238" t="s">
        <v>3237</v>
      </c>
      <c r="C174" s="5239" t="s">
        <v>3238</v>
      </c>
      <c r="D174" s="5240"/>
      <c r="E174" s="5241"/>
      <c r="F174" s="5243">
        <f t="shared" si="12"/>
        <v>0</v>
      </c>
      <c r="G174" s="5241"/>
      <c r="H174" s="5241"/>
      <c r="I174" s="5243">
        <f t="shared" si="13"/>
        <v>0</v>
      </c>
      <c r="J174" s="5244">
        <f t="shared" si="17"/>
        <v>0</v>
      </c>
      <c r="K174" s="5245">
        <f t="shared" si="14"/>
        <v>0</v>
      </c>
      <c r="L174" s="5245">
        <f t="shared" si="15"/>
        <v>0</v>
      </c>
      <c r="M174" s="5245">
        <f t="shared" si="16"/>
        <v>0</v>
      </c>
    </row>
    <row r="175" spans="1:13" ht="14.85" customHeight="1">
      <c r="A175" s="5238">
        <v>229</v>
      </c>
      <c r="B175" s="5238" t="s">
        <v>3239</v>
      </c>
      <c r="C175" s="5239" t="s">
        <v>1994</v>
      </c>
      <c r="D175" s="5240"/>
      <c r="E175" s="5241"/>
      <c r="F175" s="5243">
        <f t="shared" si="12"/>
        <v>0</v>
      </c>
      <c r="G175" s="5241"/>
      <c r="H175" s="5241"/>
      <c r="I175" s="5243">
        <f t="shared" si="13"/>
        <v>0</v>
      </c>
      <c r="J175" s="5244">
        <f t="shared" si="17"/>
        <v>0</v>
      </c>
      <c r="K175" s="5245">
        <f t="shared" si="14"/>
        <v>0</v>
      </c>
      <c r="L175" s="5245">
        <f t="shared" si="15"/>
        <v>0</v>
      </c>
      <c r="M175" s="5245">
        <f t="shared" si="16"/>
        <v>0</v>
      </c>
    </row>
    <row r="176" spans="1:13" ht="14.85" customHeight="1">
      <c r="A176" s="5238">
        <v>229</v>
      </c>
      <c r="B176" s="5238" t="s">
        <v>3240</v>
      </c>
      <c r="C176" s="5239" t="s">
        <v>1995</v>
      </c>
      <c r="D176" s="5240"/>
      <c r="E176" s="5241"/>
      <c r="F176" s="5243">
        <f t="shared" si="12"/>
        <v>0</v>
      </c>
      <c r="G176" s="5241"/>
      <c r="H176" s="5241"/>
      <c r="I176" s="5243">
        <f t="shared" si="13"/>
        <v>0</v>
      </c>
      <c r="J176" s="5244">
        <f t="shared" si="17"/>
        <v>0</v>
      </c>
      <c r="K176" s="5245">
        <f t="shared" si="14"/>
        <v>0</v>
      </c>
      <c r="L176" s="5245">
        <f t="shared" si="15"/>
        <v>0</v>
      </c>
      <c r="M176" s="5245">
        <f t="shared" si="16"/>
        <v>0</v>
      </c>
    </row>
    <row r="177" spans="1:13" ht="14.85" customHeight="1">
      <c r="A177" s="5238">
        <v>229</v>
      </c>
      <c r="B177" s="5238" t="s">
        <v>3241</v>
      </c>
      <c r="C177" s="5239" t="s">
        <v>1996</v>
      </c>
      <c r="D177" s="5240"/>
      <c r="E177" s="5241"/>
      <c r="F177" s="5243">
        <f t="shared" si="12"/>
        <v>0</v>
      </c>
      <c r="G177" s="5241"/>
      <c r="H177" s="5241"/>
      <c r="I177" s="5243">
        <f t="shared" si="13"/>
        <v>0</v>
      </c>
      <c r="J177" s="5244">
        <f t="shared" si="17"/>
        <v>0</v>
      </c>
      <c r="K177" s="5245">
        <f t="shared" si="14"/>
        <v>0</v>
      </c>
      <c r="L177" s="5245">
        <f t="shared" si="15"/>
        <v>0</v>
      </c>
      <c r="M177" s="5245">
        <f t="shared" si="16"/>
        <v>0</v>
      </c>
    </row>
    <row r="178" spans="1:13" ht="14.85" customHeight="1">
      <c r="A178" s="5238">
        <v>229</v>
      </c>
      <c r="B178" s="5238" t="s">
        <v>3242</v>
      </c>
      <c r="C178" s="5239" t="s">
        <v>1997</v>
      </c>
      <c r="D178" s="5240"/>
      <c r="E178" s="5241"/>
      <c r="F178" s="5243">
        <f t="shared" si="12"/>
        <v>0</v>
      </c>
      <c r="G178" s="5241"/>
      <c r="H178" s="5241"/>
      <c r="I178" s="5243">
        <f t="shared" si="13"/>
        <v>0</v>
      </c>
      <c r="J178" s="5244">
        <f t="shared" si="17"/>
        <v>0</v>
      </c>
      <c r="K178" s="5245">
        <f t="shared" si="14"/>
        <v>0</v>
      </c>
      <c r="L178" s="5245">
        <f t="shared" si="15"/>
        <v>0</v>
      </c>
      <c r="M178" s="5245">
        <f t="shared" si="16"/>
        <v>0</v>
      </c>
    </row>
    <row r="179" spans="1:13" ht="14.85" customHeight="1">
      <c r="A179" s="5238">
        <v>229</v>
      </c>
      <c r="B179" s="5238" t="s">
        <v>3243</v>
      </c>
      <c r="C179" s="5239" t="s">
        <v>1998</v>
      </c>
      <c r="D179" s="5240"/>
      <c r="E179" s="5241"/>
      <c r="F179" s="5243">
        <f t="shared" si="12"/>
        <v>0</v>
      </c>
      <c r="G179" s="5241"/>
      <c r="H179" s="5241"/>
      <c r="I179" s="5243">
        <f t="shared" si="13"/>
        <v>0</v>
      </c>
      <c r="J179" s="5244">
        <f t="shared" si="17"/>
        <v>0</v>
      </c>
      <c r="K179" s="5245">
        <f t="shared" si="14"/>
        <v>0</v>
      </c>
      <c r="L179" s="5245">
        <f t="shared" si="15"/>
        <v>0</v>
      </c>
      <c r="M179" s="5245">
        <f t="shared" si="16"/>
        <v>0</v>
      </c>
    </row>
    <row r="180" spans="1:13" ht="14.85" customHeight="1">
      <c r="A180" s="5238">
        <v>229</v>
      </c>
      <c r="B180" s="5238" t="s">
        <v>3244</v>
      </c>
      <c r="C180" s="5239" t="s">
        <v>1999</v>
      </c>
      <c r="D180" s="5240"/>
      <c r="E180" s="5241"/>
      <c r="F180" s="5243">
        <f t="shared" si="12"/>
        <v>0</v>
      </c>
      <c r="G180" s="5241"/>
      <c r="H180" s="5241"/>
      <c r="I180" s="5243">
        <f t="shared" si="13"/>
        <v>0</v>
      </c>
      <c r="J180" s="5244">
        <f t="shared" si="17"/>
        <v>0</v>
      </c>
      <c r="K180" s="5245">
        <f t="shared" si="14"/>
        <v>0</v>
      </c>
      <c r="L180" s="5245">
        <f t="shared" si="15"/>
        <v>0</v>
      </c>
      <c r="M180" s="5245">
        <f t="shared" si="16"/>
        <v>0</v>
      </c>
    </row>
    <row r="181" spans="1:13" ht="14.85" customHeight="1">
      <c r="A181" s="5238">
        <v>229</v>
      </c>
      <c r="B181" s="5238" t="s">
        <v>3245</v>
      </c>
      <c r="C181" s="5239" t="s">
        <v>2000</v>
      </c>
      <c r="D181" s="5240"/>
      <c r="E181" s="5241"/>
      <c r="F181" s="5243">
        <f t="shared" si="12"/>
        <v>0</v>
      </c>
      <c r="G181" s="5241"/>
      <c r="H181" s="5241"/>
      <c r="I181" s="5243">
        <f t="shared" si="13"/>
        <v>0</v>
      </c>
      <c r="J181" s="5244">
        <f t="shared" si="17"/>
        <v>0</v>
      </c>
      <c r="K181" s="5245">
        <f t="shared" si="14"/>
        <v>0</v>
      </c>
      <c r="L181" s="5245">
        <f t="shared" si="15"/>
        <v>0</v>
      </c>
      <c r="M181" s="5245">
        <f t="shared" si="16"/>
        <v>0</v>
      </c>
    </row>
    <row r="182" spans="1:13" ht="14.85" customHeight="1">
      <c r="A182" s="5238">
        <v>229</v>
      </c>
      <c r="B182" s="5238" t="s">
        <v>3246</v>
      </c>
      <c r="C182" s="5239" t="s">
        <v>2001</v>
      </c>
      <c r="D182" s="5240"/>
      <c r="E182" s="5241"/>
      <c r="F182" s="5243">
        <f t="shared" si="12"/>
        <v>0</v>
      </c>
      <c r="G182" s="5241"/>
      <c r="H182" s="5241"/>
      <c r="I182" s="5243">
        <f t="shared" si="13"/>
        <v>0</v>
      </c>
      <c r="J182" s="5244">
        <f t="shared" si="17"/>
        <v>0</v>
      </c>
      <c r="K182" s="5245">
        <f t="shared" si="14"/>
        <v>0</v>
      </c>
      <c r="L182" s="5245">
        <f t="shared" si="15"/>
        <v>0</v>
      </c>
      <c r="M182" s="5245">
        <f t="shared" si="16"/>
        <v>0</v>
      </c>
    </row>
    <row r="183" spans="1:13" ht="14.85" customHeight="1">
      <c r="A183" s="5238">
        <v>229</v>
      </c>
      <c r="B183" s="5238" t="s">
        <v>3247</v>
      </c>
      <c r="C183" s="5239" t="s">
        <v>2002</v>
      </c>
      <c r="D183" s="5240"/>
      <c r="E183" s="5241"/>
      <c r="F183" s="5243">
        <f t="shared" si="12"/>
        <v>0</v>
      </c>
      <c r="G183" s="5241"/>
      <c r="H183" s="5241"/>
      <c r="I183" s="5243">
        <f t="shared" si="13"/>
        <v>0</v>
      </c>
      <c r="J183" s="5244">
        <f t="shared" si="17"/>
        <v>0</v>
      </c>
      <c r="K183" s="5245">
        <f t="shared" si="14"/>
        <v>0</v>
      </c>
      <c r="L183" s="5245">
        <f t="shared" si="15"/>
        <v>0</v>
      </c>
      <c r="M183" s="5245">
        <f t="shared" si="16"/>
        <v>0</v>
      </c>
    </row>
    <row r="184" spans="1:13" ht="14.85" customHeight="1">
      <c r="A184" s="5238">
        <v>230</v>
      </c>
      <c r="B184" s="5238" t="s">
        <v>3248</v>
      </c>
      <c r="C184" s="5239" t="s">
        <v>2003</v>
      </c>
      <c r="D184" s="5240"/>
      <c r="E184" s="5241"/>
      <c r="F184" s="5243">
        <f t="shared" si="12"/>
        <v>0</v>
      </c>
      <c r="G184" s="5241"/>
      <c r="H184" s="5241"/>
      <c r="I184" s="5243">
        <f t="shared" si="13"/>
        <v>0</v>
      </c>
      <c r="J184" s="5244">
        <f t="shared" si="17"/>
        <v>0</v>
      </c>
      <c r="K184" s="5245">
        <f t="shared" si="14"/>
        <v>0</v>
      </c>
      <c r="L184" s="5245">
        <f t="shared" si="15"/>
        <v>0</v>
      </c>
      <c r="M184" s="5245">
        <f t="shared" si="16"/>
        <v>0</v>
      </c>
    </row>
    <row r="185" spans="1:13" ht="14.85" customHeight="1">
      <c r="A185" s="5238">
        <v>230</v>
      </c>
      <c r="B185" s="5238" t="s">
        <v>3249</v>
      </c>
      <c r="C185" s="5239" t="s">
        <v>2004</v>
      </c>
      <c r="D185" s="5240"/>
      <c r="E185" s="5241"/>
      <c r="F185" s="5243">
        <f t="shared" si="12"/>
        <v>0</v>
      </c>
      <c r="G185" s="5241"/>
      <c r="H185" s="5241"/>
      <c r="I185" s="5243">
        <f t="shared" si="13"/>
        <v>0</v>
      </c>
      <c r="J185" s="5244">
        <f t="shared" si="17"/>
        <v>0</v>
      </c>
      <c r="K185" s="5245">
        <f t="shared" si="14"/>
        <v>0</v>
      </c>
      <c r="L185" s="5245">
        <f t="shared" si="15"/>
        <v>0</v>
      </c>
      <c r="M185" s="5245">
        <f t="shared" si="16"/>
        <v>0</v>
      </c>
    </row>
    <row r="186" spans="1:13" ht="14.85" customHeight="1">
      <c r="A186" s="5238">
        <v>230</v>
      </c>
      <c r="B186" s="5238" t="s">
        <v>3250</v>
      </c>
      <c r="C186" s="5239" t="s">
        <v>2005</v>
      </c>
      <c r="D186" s="5240"/>
      <c r="E186" s="5241"/>
      <c r="F186" s="5243">
        <f t="shared" si="12"/>
        <v>0</v>
      </c>
      <c r="G186" s="5241"/>
      <c r="H186" s="5241"/>
      <c r="I186" s="5243">
        <f t="shared" si="13"/>
        <v>0</v>
      </c>
      <c r="J186" s="5244">
        <f t="shared" si="17"/>
        <v>0</v>
      </c>
      <c r="K186" s="5245">
        <f t="shared" si="14"/>
        <v>0</v>
      </c>
      <c r="L186" s="5245">
        <f t="shared" si="15"/>
        <v>0</v>
      </c>
      <c r="M186" s="5245">
        <f t="shared" si="16"/>
        <v>0</v>
      </c>
    </row>
    <row r="187" spans="1:13" ht="14.85" customHeight="1">
      <c r="A187" s="5238">
        <v>230</v>
      </c>
      <c r="B187" s="5238" t="s">
        <v>3251</v>
      </c>
      <c r="C187" s="5239" t="s">
        <v>2006</v>
      </c>
      <c r="D187" s="5240"/>
      <c r="E187" s="5241"/>
      <c r="F187" s="5243">
        <f t="shared" si="12"/>
        <v>0</v>
      </c>
      <c r="G187" s="5241"/>
      <c r="H187" s="5241"/>
      <c r="I187" s="5243">
        <f t="shared" si="13"/>
        <v>0</v>
      </c>
      <c r="J187" s="5244">
        <f t="shared" si="17"/>
        <v>0</v>
      </c>
      <c r="K187" s="5245">
        <f t="shared" si="14"/>
        <v>0</v>
      </c>
      <c r="L187" s="5245">
        <f t="shared" si="15"/>
        <v>0</v>
      </c>
      <c r="M187" s="5245">
        <f t="shared" si="16"/>
        <v>0</v>
      </c>
    </row>
    <row r="188" spans="1:13" ht="14.85" customHeight="1">
      <c r="A188" s="5238">
        <v>230</v>
      </c>
      <c r="B188" s="5238" t="s">
        <v>3252</v>
      </c>
      <c r="C188" s="5239" t="s">
        <v>2007</v>
      </c>
      <c r="D188" s="5240"/>
      <c r="E188" s="5241"/>
      <c r="F188" s="5243">
        <f t="shared" si="12"/>
        <v>0</v>
      </c>
      <c r="G188" s="5241"/>
      <c r="H188" s="5241"/>
      <c r="I188" s="5243">
        <f t="shared" si="13"/>
        <v>0</v>
      </c>
      <c r="J188" s="5244">
        <f t="shared" si="17"/>
        <v>0</v>
      </c>
      <c r="K188" s="5245">
        <f t="shared" si="14"/>
        <v>0</v>
      </c>
      <c r="L188" s="5245">
        <f t="shared" si="15"/>
        <v>0</v>
      </c>
      <c r="M188" s="5245">
        <f t="shared" si="16"/>
        <v>0</v>
      </c>
    </row>
    <row r="189" spans="1:13" ht="14.85" customHeight="1">
      <c r="A189" s="5238">
        <v>230</v>
      </c>
      <c r="B189" s="5238" t="s">
        <v>3253</v>
      </c>
      <c r="C189" s="5239" t="s">
        <v>2008</v>
      </c>
      <c r="D189" s="5240"/>
      <c r="E189" s="5241"/>
      <c r="F189" s="5243">
        <f t="shared" si="12"/>
        <v>0</v>
      </c>
      <c r="G189" s="5241"/>
      <c r="H189" s="5241"/>
      <c r="I189" s="5243">
        <f t="shared" si="13"/>
        <v>0</v>
      </c>
      <c r="J189" s="5244">
        <f t="shared" si="17"/>
        <v>0</v>
      </c>
      <c r="K189" s="5245">
        <f t="shared" si="14"/>
        <v>0</v>
      </c>
      <c r="L189" s="5245">
        <f t="shared" si="15"/>
        <v>0</v>
      </c>
      <c r="M189" s="5245">
        <f t="shared" si="16"/>
        <v>0</v>
      </c>
    </row>
    <row r="190" spans="1:13" ht="14.85" customHeight="1">
      <c r="A190" s="5238">
        <v>230</v>
      </c>
      <c r="B190" s="5238" t="s">
        <v>3254</v>
      </c>
      <c r="C190" s="5239" t="s">
        <v>2009</v>
      </c>
      <c r="D190" s="5240"/>
      <c r="E190" s="5241"/>
      <c r="F190" s="5243">
        <f t="shared" si="12"/>
        <v>0</v>
      </c>
      <c r="G190" s="5241"/>
      <c r="H190" s="5241"/>
      <c r="I190" s="5243">
        <f t="shared" si="13"/>
        <v>0</v>
      </c>
      <c r="J190" s="5244">
        <f t="shared" si="17"/>
        <v>0</v>
      </c>
      <c r="K190" s="5245">
        <f t="shared" si="14"/>
        <v>0</v>
      </c>
      <c r="L190" s="5245">
        <f t="shared" si="15"/>
        <v>0</v>
      </c>
      <c r="M190" s="5245">
        <f t="shared" si="16"/>
        <v>0</v>
      </c>
    </row>
    <row r="191" spans="1:13" ht="14.85" customHeight="1">
      <c r="A191" s="5238">
        <v>230</v>
      </c>
      <c r="B191" s="5238" t="s">
        <v>4495</v>
      </c>
      <c r="C191" s="5239" t="s">
        <v>4496</v>
      </c>
      <c r="D191" s="5240"/>
      <c r="E191" s="5241"/>
      <c r="F191" s="5243">
        <f t="shared" si="12"/>
        <v>0</v>
      </c>
      <c r="G191" s="5241"/>
      <c r="H191" s="5241"/>
      <c r="I191" s="5243">
        <f t="shared" si="13"/>
        <v>0</v>
      </c>
      <c r="J191" s="5244">
        <f t="shared" si="17"/>
        <v>0</v>
      </c>
      <c r="K191" s="5245">
        <f t="shared" si="14"/>
        <v>0</v>
      </c>
      <c r="L191" s="5245">
        <f t="shared" si="15"/>
        <v>0</v>
      </c>
      <c r="M191" s="5245">
        <f t="shared" si="16"/>
        <v>0</v>
      </c>
    </row>
    <row r="192" spans="1:13" ht="14.85" customHeight="1">
      <c r="A192" s="5238">
        <v>230</v>
      </c>
      <c r="B192" s="5238" t="s">
        <v>4579</v>
      </c>
      <c r="C192" s="5239" t="s">
        <v>4580</v>
      </c>
      <c r="D192" s="5240"/>
      <c r="E192" s="5241"/>
      <c r="F192" s="5243">
        <f t="shared" si="12"/>
        <v>0</v>
      </c>
      <c r="G192" s="5241"/>
      <c r="H192" s="5241"/>
      <c r="I192" s="5243">
        <f t="shared" si="13"/>
        <v>0</v>
      </c>
      <c r="J192" s="5244">
        <f t="shared" si="17"/>
        <v>0</v>
      </c>
      <c r="K192" s="5245">
        <f t="shared" si="14"/>
        <v>0</v>
      </c>
      <c r="L192" s="5245">
        <f t="shared" si="15"/>
        <v>0</v>
      </c>
      <c r="M192" s="5245">
        <f t="shared" si="16"/>
        <v>0</v>
      </c>
    </row>
    <row r="193" spans="1:13" ht="14.85" customHeight="1">
      <c r="A193" s="5238">
        <v>231</v>
      </c>
      <c r="B193" s="5238" t="s">
        <v>3255</v>
      </c>
      <c r="C193" s="5239" t="s">
        <v>2010</v>
      </c>
      <c r="D193" s="5240"/>
      <c r="E193" s="5241"/>
      <c r="F193" s="5243">
        <f t="shared" si="12"/>
        <v>0</v>
      </c>
      <c r="G193" s="5241"/>
      <c r="H193" s="5241"/>
      <c r="I193" s="5243">
        <f t="shared" si="13"/>
        <v>0</v>
      </c>
      <c r="J193" s="5244">
        <f t="shared" si="17"/>
        <v>0</v>
      </c>
      <c r="K193" s="5245">
        <f t="shared" si="14"/>
        <v>0</v>
      </c>
      <c r="L193" s="5245">
        <f t="shared" si="15"/>
        <v>0</v>
      </c>
      <c r="M193" s="5245">
        <f t="shared" si="16"/>
        <v>0</v>
      </c>
    </row>
    <row r="194" spans="1:13" ht="14.85" customHeight="1">
      <c r="A194" s="5238">
        <v>231</v>
      </c>
      <c r="B194" s="5238" t="s">
        <v>3256</v>
      </c>
      <c r="C194" s="5239" t="s">
        <v>2011</v>
      </c>
      <c r="D194" s="5240"/>
      <c r="E194" s="5241"/>
      <c r="F194" s="5243">
        <f t="shared" si="12"/>
        <v>0</v>
      </c>
      <c r="G194" s="5241"/>
      <c r="H194" s="5241"/>
      <c r="I194" s="5243">
        <f t="shared" si="13"/>
        <v>0</v>
      </c>
      <c r="J194" s="5244">
        <f t="shared" si="17"/>
        <v>0</v>
      </c>
      <c r="K194" s="5245">
        <f t="shared" si="14"/>
        <v>0</v>
      </c>
      <c r="L194" s="5245">
        <f t="shared" si="15"/>
        <v>0</v>
      </c>
      <c r="M194" s="5245">
        <f t="shared" si="16"/>
        <v>0</v>
      </c>
    </row>
    <row r="195" spans="1:13" ht="14.85" customHeight="1">
      <c r="A195" s="5238">
        <v>231</v>
      </c>
      <c r="B195" s="5238" t="s">
        <v>3257</v>
      </c>
      <c r="C195" s="5239" t="s">
        <v>2012</v>
      </c>
      <c r="D195" s="5240"/>
      <c r="E195" s="5241"/>
      <c r="F195" s="5243">
        <f t="shared" si="12"/>
        <v>0</v>
      </c>
      <c r="G195" s="5241"/>
      <c r="H195" s="5241"/>
      <c r="I195" s="5243">
        <f t="shared" si="13"/>
        <v>0</v>
      </c>
      <c r="J195" s="5244">
        <f t="shared" si="17"/>
        <v>0</v>
      </c>
      <c r="K195" s="5245">
        <f t="shared" si="14"/>
        <v>0</v>
      </c>
      <c r="L195" s="5245">
        <f t="shared" si="15"/>
        <v>0</v>
      </c>
      <c r="M195" s="5245">
        <f t="shared" si="16"/>
        <v>0</v>
      </c>
    </row>
    <row r="196" spans="1:13" ht="14.85" customHeight="1">
      <c r="A196" s="5238">
        <v>231</v>
      </c>
      <c r="B196" s="5238" t="s">
        <v>3258</v>
      </c>
      <c r="C196" s="5239" t="s">
        <v>2013</v>
      </c>
      <c r="D196" s="5240"/>
      <c r="E196" s="5241"/>
      <c r="F196" s="5243">
        <f t="shared" si="12"/>
        <v>0</v>
      </c>
      <c r="G196" s="5241"/>
      <c r="H196" s="5241"/>
      <c r="I196" s="5243">
        <f t="shared" si="13"/>
        <v>0</v>
      </c>
      <c r="J196" s="5244">
        <f t="shared" si="17"/>
        <v>0</v>
      </c>
      <c r="K196" s="5245">
        <f t="shared" si="14"/>
        <v>0</v>
      </c>
      <c r="L196" s="5245">
        <f t="shared" si="15"/>
        <v>0</v>
      </c>
      <c r="M196" s="5245">
        <f t="shared" si="16"/>
        <v>0</v>
      </c>
    </row>
    <row r="197" spans="1:13" ht="14.85" customHeight="1">
      <c r="A197" s="5238">
        <v>231</v>
      </c>
      <c r="B197" s="5238" t="s">
        <v>3259</v>
      </c>
      <c r="C197" s="5239" t="s">
        <v>2014</v>
      </c>
      <c r="D197" s="5240"/>
      <c r="E197" s="5241"/>
      <c r="F197" s="5243">
        <f t="shared" si="12"/>
        <v>0</v>
      </c>
      <c r="G197" s="5241"/>
      <c r="H197" s="5241"/>
      <c r="I197" s="5243">
        <f t="shared" si="13"/>
        <v>0</v>
      </c>
      <c r="J197" s="5244">
        <f t="shared" si="17"/>
        <v>0</v>
      </c>
      <c r="K197" s="5245">
        <f t="shared" si="14"/>
        <v>0</v>
      </c>
      <c r="L197" s="5245">
        <f t="shared" si="15"/>
        <v>0</v>
      </c>
      <c r="M197" s="5245">
        <f t="shared" si="16"/>
        <v>0</v>
      </c>
    </row>
    <row r="198" spans="1:13" ht="14.85" customHeight="1">
      <c r="A198" s="5238">
        <v>231</v>
      </c>
      <c r="B198" s="5238" t="s">
        <v>3260</v>
      </c>
      <c r="C198" s="5239" t="s">
        <v>2015</v>
      </c>
      <c r="D198" s="5240"/>
      <c r="E198" s="5241"/>
      <c r="F198" s="5243">
        <f t="shared" si="12"/>
        <v>0</v>
      </c>
      <c r="G198" s="5241"/>
      <c r="H198" s="5241"/>
      <c r="I198" s="5243">
        <f t="shared" si="13"/>
        <v>0</v>
      </c>
      <c r="J198" s="5244">
        <f t="shared" si="17"/>
        <v>0</v>
      </c>
      <c r="K198" s="5245">
        <f t="shared" si="14"/>
        <v>0</v>
      </c>
      <c r="L198" s="5245">
        <f t="shared" si="15"/>
        <v>0</v>
      </c>
      <c r="M198" s="5245">
        <f t="shared" si="16"/>
        <v>0</v>
      </c>
    </row>
    <row r="199" spans="1:13" ht="14.85" customHeight="1">
      <c r="A199" s="5238">
        <v>231</v>
      </c>
      <c r="B199" s="5238" t="s">
        <v>3261</v>
      </c>
      <c r="C199" s="5239" t="s">
        <v>2016</v>
      </c>
      <c r="D199" s="5240"/>
      <c r="E199" s="5241"/>
      <c r="F199" s="5243">
        <f t="shared" si="12"/>
        <v>0</v>
      </c>
      <c r="G199" s="5241"/>
      <c r="H199" s="5241"/>
      <c r="I199" s="5243">
        <f t="shared" si="13"/>
        <v>0</v>
      </c>
      <c r="J199" s="5244">
        <f t="shared" si="17"/>
        <v>0</v>
      </c>
      <c r="K199" s="5245">
        <f t="shared" si="14"/>
        <v>0</v>
      </c>
      <c r="L199" s="5245">
        <f t="shared" si="15"/>
        <v>0</v>
      </c>
      <c r="M199" s="5245">
        <f t="shared" si="16"/>
        <v>0</v>
      </c>
    </row>
    <row r="200" spans="1:13" ht="14.85" customHeight="1">
      <c r="A200" s="5238">
        <v>231</v>
      </c>
      <c r="B200" s="5238" t="s">
        <v>3262</v>
      </c>
      <c r="C200" s="5239" t="s">
        <v>2017</v>
      </c>
      <c r="D200" s="5240"/>
      <c r="E200" s="5241"/>
      <c r="F200" s="5243">
        <f t="shared" si="12"/>
        <v>0</v>
      </c>
      <c r="G200" s="5241"/>
      <c r="H200" s="5241"/>
      <c r="I200" s="5243">
        <f t="shared" si="13"/>
        <v>0</v>
      </c>
      <c r="J200" s="5244">
        <f t="shared" si="17"/>
        <v>0</v>
      </c>
      <c r="K200" s="5245">
        <f t="shared" si="14"/>
        <v>0</v>
      </c>
      <c r="L200" s="5245">
        <f t="shared" si="15"/>
        <v>0</v>
      </c>
      <c r="M200" s="5245">
        <f t="shared" si="16"/>
        <v>0</v>
      </c>
    </row>
    <row r="201" spans="1:13" ht="14.85" customHeight="1">
      <c r="A201" s="5238">
        <v>231</v>
      </c>
      <c r="B201" s="5238" t="s">
        <v>3263</v>
      </c>
      <c r="C201" s="5239" t="s">
        <v>2018</v>
      </c>
      <c r="D201" s="5240"/>
      <c r="E201" s="5241"/>
      <c r="F201" s="5243">
        <f t="shared" si="12"/>
        <v>0</v>
      </c>
      <c r="G201" s="5241"/>
      <c r="H201" s="5241"/>
      <c r="I201" s="5243">
        <f t="shared" si="13"/>
        <v>0</v>
      </c>
      <c r="J201" s="5244">
        <f t="shared" si="17"/>
        <v>0</v>
      </c>
      <c r="K201" s="5245">
        <f t="shared" si="14"/>
        <v>0</v>
      </c>
      <c r="L201" s="5245">
        <f t="shared" si="15"/>
        <v>0</v>
      </c>
      <c r="M201" s="5245">
        <f t="shared" si="16"/>
        <v>0</v>
      </c>
    </row>
    <row r="202" spans="1:13" ht="14.85" customHeight="1">
      <c r="A202" s="5238">
        <v>231</v>
      </c>
      <c r="B202" s="5238" t="s">
        <v>3264</v>
      </c>
      <c r="C202" s="5239" t="s">
        <v>2019</v>
      </c>
      <c r="D202" s="5240"/>
      <c r="E202" s="5241"/>
      <c r="F202" s="5243">
        <f t="shared" si="12"/>
        <v>0</v>
      </c>
      <c r="G202" s="5241"/>
      <c r="H202" s="5241"/>
      <c r="I202" s="5243">
        <f t="shared" si="13"/>
        <v>0</v>
      </c>
      <c r="J202" s="5244">
        <f t="shared" si="17"/>
        <v>0</v>
      </c>
      <c r="K202" s="5245">
        <f t="shared" si="14"/>
        <v>0</v>
      </c>
      <c r="L202" s="5245">
        <f t="shared" si="15"/>
        <v>0</v>
      </c>
      <c r="M202" s="5245">
        <f t="shared" si="16"/>
        <v>0</v>
      </c>
    </row>
    <row r="203" spans="1:13" ht="14.85" customHeight="1">
      <c r="A203" s="5238">
        <v>231</v>
      </c>
      <c r="B203" s="5238" t="s">
        <v>3265</v>
      </c>
      <c r="C203" s="5239" t="s">
        <v>2020</v>
      </c>
      <c r="D203" s="5240"/>
      <c r="E203" s="5241"/>
      <c r="F203" s="5243">
        <f t="shared" si="12"/>
        <v>0</v>
      </c>
      <c r="G203" s="5241"/>
      <c r="H203" s="5241"/>
      <c r="I203" s="5243">
        <f t="shared" si="13"/>
        <v>0</v>
      </c>
      <c r="J203" s="5244">
        <f t="shared" si="17"/>
        <v>0</v>
      </c>
      <c r="K203" s="5245">
        <f t="shared" si="14"/>
        <v>0</v>
      </c>
      <c r="L203" s="5245">
        <f t="shared" si="15"/>
        <v>0</v>
      </c>
      <c r="M203" s="5245">
        <f t="shared" si="16"/>
        <v>0</v>
      </c>
    </row>
    <row r="204" spans="1:13" ht="14.85" customHeight="1">
      <c r="A204" s="5238">
        <v>232</v>
      </c>
      <c r="B204" s="5238" t="s">
        <v>3266</v>
      </c>
      <c r="C204" s="5239" t="s">
        <v>2021</v>
      </c>
      <c r="D204" s="5240"/>
      <c r="E204" s="5241"/>
      <c r="F204" s="5243">
        <f t="shared" si="12"/>
        <v>0</v>
      </c>
      <c r="G204" s="5241"/>
      <c r="H204" s="5241"/>
      <c r="I204" s="5243">
        <f t="shared" si="13"/>
        <v>0</v>
      </c>
      <c r="J204" s="5244">
        <f t="shared" si="17"/>
        <v>0</v>
      </c>
      <c r="K204" s="5245">
        <f t="shared" si="14"/>
        <v>0</v>
      </c>
      <c r="L204" s="5245">
        <f t="shared" si="15"/>
        <v>0</v>
      </c>
      <c r="M204" s="5245">
        <f t="shared" si="16"/>
        <v>0</v>
      </c>
    </row>
    <row r="205" spans="1:13" ht="14.85" customHeight="1">
      <c r="A205" s="5238">
        <v>232</v>
      </c>
      <c r="B205" s="5238" t="s">
        <v>3267</v>
      </c>
      <c r="C205" s="5239" t="s">
        <v>2022</v>
      </c>
      <c r="D205" s="5240"/>
      <c r="E205" s="5241"/>
      <c r="F205" s="5243">
        <f t="shared" si="12"/>
        <v>0</v>
      </c>
      <c r="G205" s="5241"/>
      <c r="H205" s="5241"/>
      <c r="I205" s="5243">
        <f t="shared" si="13"/>
        <v>0</v>
      </c>
      <c r="J205" s="5244">
        <f t="shared" si="17"/>
        <v>0</v>
      </c>
      <c r="K205" s="5245">
        <f t="shared" si="14"/>
        <v>0</v>
      </c>
      <c r="L205" s="5245">
        <f t="shared" si="15"/>
        <v>0</v>
      </c>
      <c r="M205" s="5245">
        <f t="shared" si="16"/>
        <v>0</v>
      </c>
    </row>
    <row r="206" spans="1:13" ht="14.85" customHeight="1">
      <c r="A206" s="5238">
        <v>232</v>
      </c>
      <c r="B206" s="5238" t="s">
        <v>3268</v>
      </c>
      <c r="C206" s="5239" t="s">
        <v>2023</v>
      </c>
      <c r="D206" s="5240"/>
      <c r="E206" s="5241"/>
      <c r="F206" s="5243">
        <f t="shared" si="12"/>
        <v>0</v>
      </c>
      <c r="G206" s="5241"/>
      <c r="H206" s="5241"/>
      <c r="I206" s="5243">
        <f t="shared" si="13"/>
        <v>0</v>
      </c>
      <c r="J206" s="5244">
        <f t="shared" si="17"/>
        <v>0</v>
      </c>
      <c r="K206" s="5245">
        <f t="shared" si="14"/>
        <v>0</v>
      </c>
      <c r="L206" s="5245">
        <f t="shared" si="15"/>
        <v>0</v>
      </c>
      <c r="M206" s="5245">
        <f t="shared" si="16"/>
        <v>0</v>
      </c>
    </row>
    <row r="207" spans="1:13" ht="14.85" customHeight="1">
      <c r="A207" s="5238">
        <v>232</v>
      </c>
      <c r="B207" s="5238" t="s">
        <v>3269</v>
      </c>
      <c r="C207" s="5239" t="s">
        <v>2024</v>
      </c>
      <c r="D207" s="5240"/>
      <c r="E207" s="5241"/>
      <c r="F207" s="5243">
        <f t="shared" si="12"/>
        <v>0</v>
      </c>
      <c r="G207" s="5241"/>
      <c r="H207" s="5241"/>
      <c r="I207" s="5243">
        <f t="shared" si="13"/>
        <v>0</v>
      </c>
      <c r="J207" s="5244">
        <f t="shared" si="17"/>
        <v>0</v>
      </c>
      <c r="K207" s="5245">
        <f t="shared" si="14"/>
        <v>0</v>
      </c>
      <c r="L207" s="5245">
        <f t="shared" si="15"/>
        <v>0</v>
      </c>
      <c r="M207" s="5245">
        <f t="shared" si="16"/>
        <v>0</v>
      </c>
    </row>
    <row r="208" spans="1:13" ht="14.85" customHeight="1">
      <c r="A208" s="5238">
        <v>232</v>
      </c>
      <c r="B208" s="5238" t="s">
        <v>3270</v>
      </c>
      <c r="C208" s="5239" t="s">
        <v>2025</v>
      </c>
      <c r="D208" s="5240"/>
      <c r="E208" s="5241"/>
      <c r="F208" s="5243">
        <f t="shared" si="12"/>
        <v>0</v>
      </c>
      <c r="G208" s="5241"/>
      <c r="H208" s="5241"/>
      <c r="I208" s="5243">
        <f t="shared" si="13"/>
        <v>0</v>
      </c>
      <c r="J208" s="5244">
        <f t="shared" si="17"/>
        <v>0</v>
      </c>
      <c r="K208" s="5245">
        <f t="shared" si="14"/>
        <v>0</v>
      </c>
      <c r="L208" s="5245">
        <f t="shared" si="15"/>
        <v>0</v>
      </c>
      <c r="M208" s="5245">
        <f t="shared" si="16"/>
        <v>0</v>
      </c>
    </row>
    <row r="209" spans="1:13" ht="14.85" customHeight="1">
      <c r="A209" s="5238">
        <v>232</v>
      </c>
      <c r="B209" s="5238" t="s">
        <v>3271</v>
      </c>
      <c r="C209" s="5239" t="s">
        <v>2026</v>
      </c>
      <c r="D209" s="5240"/>
      <c r="E209" s="5241"/>
      <c r="F209" s="5243">
        <f t="shared" si="12"/>
        <v>0</v>
      </c>
      <c r="G209" s="5241"/>
      <c r="H209" s="5241"/>
      <c r="I209" s="5243">
        <f t="shared" si="13"/>
        <v>0</v>
      </c>
      <c r="J209" s="5244">
        <f t="shared" si="17"/>
        <v>0</v>
      </c>
      <c r="K209" s="5245">
        <f t="shared" si="14"/>
        <v>0</v>
      </c>
      <c r="L209" s="5245">
        <f t="shared" si="15"/>
        <v>0</v>
      </c>
      <c r="M209" s="5245">
        <f t="shared" si="16"/>
        <v>0</v>
      </c>
    </row>
    <row r="210" spans="1:13" ht="14.85" customHeight="1">
      <c r="A210" s="5238">
        <v>232</v>
      </c>
      <c r="B210" s="5238" t="s">
        <v>3272</v>
      </c>
      <c r="C210" s="5239" t="s">
        <v>2027</v>
      </c>
      <c r="D210" s="5240"/>
      <c r="E210" s="5241"/>
      <c r="F210" s="5243">
        <f t="shared" si="12"/>
        <v>0</v>
      </c>
      <c r="G210" s="5241"/>
      <c r="H210" s="5241"/>
      <c r="I210" s="5243">
        <f t="shared" si="13"/>
        <v>0</v>
      </c>
      <c r="J210" s="5244">
        <f t="shared" si="17"/>
        <v>0</v>
      </c>
      <c r="K210" s="5245">
        <f t="shared" si="14"/>
        <v>0</v>
      </c>
      <c r="L210" s="5245">
        <f t="shared" si="15"/>
        <v>0</v>
      </c>
      <c r="M210" s="5245">
        <f t="shared" si="16"/>
        <v>0</v>
      </c>
    </row>
    <row r="211" spans="1:13" ht="14.85" customHeight="1">
      <c r="A211" s="5238">
        <v>232</v>
      </c>
      <c r="B211" s="5238" t="s">
        <v>3273</v>
      </c>
      <c r="C211" s="5239" t="s">
        <v>2028</v>
      </c>
      <c r="D211" s="5240"/>
      <c r="E211" s="5241"/>
      <c r="F211" s="5243">
        <f t="shared" si="12"/>
        <v>0</v>
      </c>
      <c r="G211" s="5241"/>
      <c r="H211" s="5241"/>
      <c r="I211" s="5243">
        <f t="shared" si="13"/>
        <v>0</v>
      </c>
      <c r="J211" s="5244">
        <f t="shared" si="17"/>
        <v>0</v>
      </c>
      <c r="K211" s="5245">
        <f t="shared" si="14"/>
        <v>0</v>
      </c>
      <c r="L211" s="5245">
        <f t="shared" si="15"/>
        <v>0</v>
      </c>
      <c r="M211" s="5245">
        <f t="shared" si="16"/>
        <v>0</v>
      </c>
    </row>
    <row r="212" spans="1:13" ht="14.85" customHeight="1">
      <c r="A212" s="5238">
        <v>232</v>
      </c>
      <c r="B212" s="5238" t="s">
        <v>3274</v>
      </c>
      <c r="C212" s="5239" t="s">
        <v>2029</v>
      </c>
      <c r="D212" s="5240"/>
      <c r="E212" s="5241"/>
      <c r="F212" s="5243">
        <f t="shared" si="12"/>
        <v>0</v>
      </c>
      <c r="G212" s="5241"/>
      <c r="H212" s="5241"/>
      <c r="I212" s="5243">
        <f t="shared" si="13"/>
        <v>0</v>
      </c>
      <c r="J212" s="5244">
        <f t="shared" si="17"/>
        <v>0</v>
      </c>
      <c r="K212" s="5245">
        <f t="shared" si="14"/>
        <v>0</v>
      </c>
      <c r="L212" s="5245">
        <f t="shared" si="15"/>
        <v>0</v>
      </c>
      <c r="M212" s="5245">
        <f t="shared" si="16"/>
        <v>0</v>
      </c>
    </row>
    <row r="213" spans="1:13" ht="14.85" customHeight="1">
      <c r="A213" s="5238">
        <v>232</v>
      </c>
      <c r="B213" s="5238" t="s">
        <v>3275</v>
      </c>
      <c r="C213" s="5239" t="s">
        <v>2030</v>
      </c>
      <c r="D213" s="5240"/>
      <c r="E213" s="5241"/>
      <c r="F213" s="5243">
        <f t="shared" si="12"/>
        <v>0</v>
      </c>
      <c r="G213" s="5241"/>
      <c r="H213" s="5241"/>
      <c r="I213" s="5243">
        <f t="shared" si="13"/>
        <v>0</v>
      </c>
      <c r="J213" s="5244">
        <f t="shared" si="17"/>
        <v>0</v>
      </c>
      <c r="K213" s="5245">
        <f t="shared" si="14"/>
        <v>0</v>
      </c>
      <c r="L213" s="5245">
        <f t="shared" si="15"/>
        <v>0</v>
      </c>
      <c r="M213" s="5245">
        <f t="shared" si="16"/>
        <v>0</v>
      </c>
    </row>
    <row r="214" spans="1:13" ht="14.85" customHeight="1">
      <c r="A214" s="5238">
        <v>232</v>
      </c>
      <c r="B214" s="5238" t="s">
        <v>3276</v>
      </c>
      <c r="C214" s="5239" t="s">
        <v>2031</v>
      </c>
      <c r="D214" s="5240"/>
      <c r="E214" s="5241"/>
      <c r="F214" s="5243">
        <f t="shared" si="12"/>
        <v>0</v>
      </c>
      <c r="G214" s="5241"/>
      <c r="H214" s="5241"/>
      <c r="I214" s="5243">
        <f t="shared" si="13"/>
        <v>0</v>
      </c>
      <c r="J214" s="5244">
        <f t="shared" si="17"/>
        <v>0</v>
      </c>
      <c r="K214" s="5245">
        <f t="shared" si="14"/>
        <v>0</v>
      </c>
      <c r="L214" s="5245">
        <f t="shared" si="15"/>
        <v>0</v>
      </c>
      <c r="M214" s="5245">
        <f t="shared" si="16"/>
        <v>0</v>
      </c>
    </row>
    <row r="215" spans="1:13" ht="14.85" customHeight="1">
      <c r="A215" s="5238">
        <v>232</v>
      </c>
      <c r="B215" s="5238" t="s">
        <v>3277</v>
      </c>
      <c r="C215" s="5239" t="s">
        <v>2032</v>
      </c>
      <c r="D215" s="5240"/>
      <c r="E215" s="5241"/>
      <c r="F215" s="5243">
        <f t="shared" si="12"/>
        <v>0</v>
      </c>
      <c r="G215" s="5241"/>
      <c r="H215" s="5241"/>
      <c r="I215" s="5243">
        <f t="shared" si="13"/>
        <v>0</v>
      </c>
      <c r="J215" s="5244">
        <f t="shared" si="17"/>
        <v>0</v>
      </c>
      <c r="K215" s="5245">
        <f t="shared" si="14"/>
        <v>0</v>
      </c>
      <c r="L215" s="5245">
        <f t="shared" si="15"/>
        <v>0</v>
      </c>
      <c r="M215" s="5245">
        <f t="shared" si="16"/>
        <v>0</v>
      </c>
    </row>
    <row r="216" spans="1:13" ht="14.85" customHeight="1">
      <c r="A216" s="5238">
        <v>233</v>
      </c>
      <c r="B216" s="5238" t="s">
        <v>3278</v>
      </c>
      <c r="C216" s="5239" t="s">
        <v>2033</v>
      </c>
      <c r="D216" s="5240"/>
      <c r="E216" s="5241"/>
      <c r="F216" s="5243">
        <f t="shared" si="12"/>
        <v>0</v>
      </c>
      <c r="G216" s="5241"/>
      <c r="H216" s="5241"/>
      <c r="I216" s="5243">
        <f t="shared" si="13"/>
        <v>0</v>
      </c>
      <c r="J216" s="5244">
        <f t="shared" si="17"/>
        <v>0</v>
      </c>
      <c r="K216" s="5245">
        <f t="shared" si="14"/>
        <v>0</v>
      </c>
      <c r="L216" s="5245">
        <f t="shared" si="15"/>
        <v>0</v>
      </c>
      <c r="M216" s="5245">
        <f t="shared" si="16"/>
        <v>0</v>
      </c>
    </row>
    <row r="217" spans="1:13" ht="14.85" customHeight="1">
      <c r="A217" s="5238">
        <v>233</v>
      </c>
      <c r="B217" s="5238" t="s">
        <v>3279</v>
      </c>
      <c r="C217" s="5239" t="s">
        <v>2034</v>
      </c>
      <c r="D217" s="5240"/>
      <c r="E217" s="5241"/>
      <c r="F217" s="5243">
        <f t="shared" si="12"/>
        <v>0</v>
      </c>
      <c r="G217" s="5241"/>
      <c r="H217" s="5241"/>
      <c r="I217" s="5243">
        <f t="shared" si="13"/>
        <v>0</v>
      </c>
      <c r="J217" s="5244">
        <f t="shared" si="17"/>
        <v>0</v>
      </c>
      <c r="K217" s="5245">
        <f t="shared" si="14"/>
        <v>0</v>
      </c>
      <c r="L217" s="5245">
        <f t="shared" si="15"/>
        <v>0</v>
      </c>
      <c r="M217" s="5245">
        <f t="shared" si="16"/>
        <v>0</v>
      </c>
    </row>
    <row r="218" spans="1:13" ht="14.85" customHeight="1">
      <c r="A218" s="5238">
        <v>233</v>
      </c>
      <c r="B218" s="5238" t="s">
        <v>3280</v>
      </c>
      <c r="C218" s="5239" t="s">
        <v>2035</v>
      </c>
      <c r="D218" s="5240"/>
      <c r="E218" s="5241"/>
      <c r="F218" s="5243">
        <f t="shared" si="12"/>
        <v>0</v>
      </c>
      <c r="G218" s="5241"/>
      <c r="H218" s="5241"/>
      <c r="I218" s="5243">
        <f t="shared" si="13"/>
        <v>0</v>
      </c>
      <c r="J218" s="5244">
        <f t="shared" si="17"/>
        <v>0</v>
      </c>
      <c r="K218" s="5245">
        <f t="shared" si="14"/>
        <v>0</v>
      </c>
      <c r="L218" s="5245">
        <f t="shared" si="15"/>
        <v>0</v>
      </c>
      <c r="M218" s="5245">
        <f t="shared" si="16"/>
        <v>0</v>
      </c>
    </row>
    <row r="219" spans="1:13" ht="14.85" customHeight="1">
      <c r="A219" s="5238">
        <v>233</v>
      </c>
      <c r="B219" s="5238" t="s">
        <v>3281</v>
      </c>
      <c r="C219" s="5239" t="s">
        <v>2036</v>
      </c>
      <c r="D219" s="5240"/>
      <c r="E219" s="5241"/>
      <c r="F219" s="5243">
        <f t="shared" si="12"/>
        <v>0</v>
      </c>
      <c r="G219" s="5241"/>
      <c r="H219" s="5241"/>
      <c r="I219" s="5243">
        <f t="shared" si="13"/>
        <v>0</v>
      </c>
      <c r="J219" s="5244">
        <f t="shared" si="17"/>
        <v>0</v>
      </c>
      <c r="K219" s="5245">
        <f t="shared" si="14"/>
        <v>0</v>
      </c>
      <c r="L219" s="5245">
        <f t="shared" si="15"/>
        <v>0</v>
      </c>
      <c r="M219" s="5245">
        <f t="shared" si="16"/>
        <v>0</v>
      </c>
    </row>
    <row r="220" spans="1:13" ht="14.85" customHeight="1">
      <c r="A220" s="5238">
        <v>233</v>
      </c>
      <c r="B220" s="5238" t="s">
        <v>3282</v>
      </c>
      <c r="C220" s="5239" t="s">
        <v>2037</v>
      </c>
      <c r="D220" s="5240"/>
      <c r="E220" s="5241"/>
      <c r="F220" s="5243">
        <f t="shared" si="12"/>
        <v>0</v>
      </c>
      <c r="G220" s="5241"/>
      <c r="H220" s="5241"/>
      <c r="I220" s="5243">
        <f t="shared" si="13"/>
        <v>0</v>
      </c>
      <c r="J220" s="5244">
        <f t="shared" si="17"/>
        <v>0</v>
      </c>
      <c r="K220" s="5245">
        <f t="shared" si="14"/>
        <v>0</v>
      </c>
      <c r="L220" s="5245">
        <f t="shared" si="15"/>
        <v>0</v>
      </c>
      <c r="M220" s="5245">
        <f t="shared" si="16"/>
        <v>0</v>
      </c>
    </row>
    <row r="221" spans="1:13" ht="14.85" customHeight="1">
      <c r="A221" s="5238">
        <v>233</v>
      </c>
      <c r="B221" s="5238" t="s">
        <v>3283</v>
      </c>
      <c r="C221" s="5239" t="s">
        <v>2038</v>
      </c>
      <c r="D221" s="5240"/>
      <c r="E221" s="5241"/>
      <c r="F221" s="5243">
        <f t="shared" si="12"/>
        <v>0</v>
      </c>
      <c r="G221" s="5241"/>
      <c r="H221" s="5241"/>
      <c r="I221" s="5243">
        <f t="shared" si="13"/>
        <v>0</v>
      </c>
      <c r="J221" s="5244">
        <f t="shared" si="17"/>
        <v>0</v>
      </c>
      <c r="K221" s="5245">
        <f t="shared" si="14"/>
        <v>0</v>
      </c>
      <c r="L221" s="5245">
        <f t="shared" si="15"/>
        <v>0</v>
      </c>
      <c r="M221" s="5245">
        <f t="shared" si="16"/>
        <v>0</v>
      </c>
    </row>
    <row r="222" spans="1:13" ht="14.85" customHeight="1">
      <c r="A222" s="5238">
        <v>233</v>
      </c>
      <c r="B222" s="5238" t="s">
        <v>3284</v>
      </c>
      <c r="C222" s="5239" t="s">
        <v>2039</v>
      </c>
      <c r="D222" s="5240"/>
      <c r="E222" s="5241"/>
      <c r="F222" s="5243">
        <f t="shared" si="12"/>
        <v>0</v>
      </c>
      <c r="G222" s="5241"/>
      <c r="H222" s="5241"/>
      <c r="I222" s="5243">
        <f t="shared" si="13"/>
        <v>0</v>
      </c>
      <c r="J222" s="5244">
        <f t="shared" si="17"/>
        <v>0</v>
      </c>
      <c r="K222" s="5245">
        <f t="shared" si="14"/>
        <v>0</v>
      </c>
      <c r="L222" s="5245">
        <f t="shared" si="15"/>
        <v>0</v>
      </c>
      <c r="M222" s="5245">
        <f t="shared" si="16"/>
        <v>0</v>
      </c>
    </row>
    <row r="223" spans="1:13" ht="14.85" customHeight="1">
      <c r="A223" s="5238">
        <v>233</v>
      </c>
      <c r="B223" s="5238" t="s">
        <v>3285</v>
      </c>
      <c r="C223" s="5239" t="s">
        <v>2040</v>
      </c>
      <c r="D223" s="5240"/>
      <c r="E223" s="5241"/>
      <c r="F223" s="5243">
        <f t="shared" si="12"/>
        <v>0</v>
      </c>
      <c r="G223" s="5241"/>
      <c r="H223" s="5241"/>
      <c r="I223" s="5243">
        <f t="shared" si="13"/>
        <v>0</v>
      </c>
      <c r="J223" s="5244">
        <f t="shared" si="17"/>
        <v>0</v>
      </c>
      <c r="K223" s="5245">
        <f t="shared" si="14"/>
        <v>0</v>
      </c>
      <c r="L223" s="5245">
        <f t="shared" si="15"/>
        <v>0</v>
      </c>
      <c r="M223" s="5245">
        <f t="shared" si="16"/>
        <v>0</v>
      </c>
    </row>
    <row r="224" spans="1:13" ht="14.85" customHeight="1">
      <c r="A224" s="5238">
        <v>233</v>
      </c>
      <c r="B224" s="5238" t="s">
        <v>3286</v>
      </c>
      <c r="C224" s="5239" t="s">
        <v>2041</v>
      </c>
      <c r="D224" s="5240"/>
      <c r="E224" s="5241"/>
      <c r="F224" s="5243">
        <f t="shared" si="12"/>
        <v>0</v>
      </c>
      <c r="G224" s="5241"/>
      <c r="H224" s="5241"/>
      <c r="I224" s="5243">
        <f t="shared" si="13"/>
        <v>0</v>
      </c>
      <c r="J224" s="5244">
        <f t="shared" si="17"/>
        <v>0</v>
      </c>
      <c r="K224" s="5245">
        <f t="shared" si="14"/>
        <v>0</v>
      </c>
      <c r="L224" s="5245">
        <f t="shared" si="15"/>
        <v>0</v>
      </c>
      <c r="M224" s="5245">
        <f t="shared" si="16"/>
        <v>0</v>
      </c>
    </row>
    <row r="225" spans="1:13" ht="14.85" customHeight="1">
      <c r="A225" s="5238">
        <v>233</v>
      </c>
      <c r="B225" s="5238" t="s">
        <v>3287</v>
      </c>
      <c r="C225" s="5239" t="s">
        <v>2042</v>
      </c>
      <c r="D225" s="5240"/>
      <c r="E225" s="5241"/>
      <c r="F225" s="5243">
        <f t="shared" ref="F225:F288" si="18">SUM(D225:E225)</f>
        <v>0</v>
      </c>
      <c r="G225" s="5241"/>
      <c r="H225" s="5241"/>
      <c r="I225" s="5243">
        <f t="shared" ref="I225:I288" si="19">SUM(G225:H225)</f>
        <v>0</v>
      </c>
      <c r="J225" s="5244">
        <f t="shared" si="17"/>
        <v>0</v>
      </c>
      <c r="K225" s="5245">
        <f t="shared" ref="K225:K288" si="20">IF(AND((J225-35%)&gt;0,J225&lt;50%),I225*(J225-35%)*0.7,0)</f>
        <v>0</v>
      </c>
      <c r="L225" s="5245">
        <f t="shared" ref="L225:L288" si="21">IF(J225&gt;=50%,I225*10.5%,0)</f>
        <v>0</v>
      </c>
      <c r="M225" s="5245">
        <f t="shared" ref="M225:M288" si="22">MAX(K225,L225)</f>
        <v>0</v>
      </c>
    </row>
    <row r="226" spans="1:13" ht="14.85" customHeight="1">
      <c r="A226" s="5238">
        <v>233</v>
      </c>
      <c r="B226" s="5238" t="s">
        <v>3288</v>
      </c>
      <c r="C226" s="5239" t="s">
        <v>2043</v>
      </c>
      <c r="D226" s="5240"/>
      <c r="E226" s="5241"/>
      <c r="F226" s="5243">
        <f t="shared" si="18"/>
        <v>0</v>
      </c>
      <c r="G226" s="5241"/>
      <c r="H226" s="5241"/>
      <c r="I226" s="5243">
        <f t="shared" si="19"/>
        <v>0</v>
      </c>
      <c r="J226" s="5244">
        <f t="shared" si="17"/>
        <v>0</v>
      </c>
      <c r="K226" s="5245">
        <f t="shared" si="20"/>
        <v>0</v>
      </c>
      <c r="L226" s="5245">
        <f t="shared" si="21"/>
        <v>0</v>
      </c>
      <c r="M226" s="5245">
        <f t="shared" si="22"/>
        <v>0</v>
      </c>
    </row>
    <row r="227" spans="1:13" ht="14.85" customHeight="1">
      <c r="A227" s="5238">
        <v>233</v>
      </c>
      <c r="B227" s="5238" t="s">
        <v>3289</v>
      </c>
      <c r="C227" s="5239" t="s">
        <v>2044</v>
      </c>
      <c r="D227" s="5240"/>
      <c r="E227" s="5241"/>
      <c r="F227" s="5243">
        <f t="shared" si="18"/>
        <v>0</v>
      </c>
      <c r="G227" s="5241"/>
      <c r="H227" s="5241"/>
      <c r="I227" s="5243">
        <f t="shared" si="19"/>
        <v>0</v>
      </c>
      <c r="J227" s="5244">
        <f t="shared" si="17"/>
        <v>0</v>
      </c>
      <c r="K227" s="5245">
        <f t="shared" si="20"/>
        <v>0</v>
      </c>
      <c r="L227" s="5245">
        <f t="shared" si="21"/>
        <v>0</v>
      </c>
      <c r="M227" s="5245">
        <f t="shared" si="22"/>
        <v>0</v>
      </c>
    </row>
    <row r="228" spans="1:13" ht="14.85" customHeight="1">
      <c r="A228" s="5238">
        <v>233</v>
      </c>
      <c r="B228" s="5238" t="s">
        <v>3290</v>
      </c>
      <c r="C228" s="5239" t="s">
        <v>2045</v>
      </c>
      <c r="D228" s="5240"/>
      <c r="E228" s="5241"/>
      <c r="F228" s="5243">
        <f t="shared" si="18"/>
        <v>0</v>
      </c>
      <c r="G228" s="5241"/>
      <c r="H228" s="5241"/>
      <c r="I228" s="5243">
        <f t="shared" si="19"/>
        <v>0</v>
      </c>
      <c r="J228" s="5244">
        <f t="shared" ref="J228:J291" si="23">IF(ISERROR(I228/F228),0,I228/F228)</f>
        <v>0</v>
      </c>
      <c r="K228" s="5245">
        <f t="shared" si="20"/>
        <v>0</v>
      </c>
      <c r="L228" s="5245">
        <f t="shared" si="21"/>
        <v>0</v>
      </c>
      <c r="M228" s="5245">
        <f t="shared" si="22"/>
        <v>0</v>
      </c>
    </row>
    <row r="229" spans="1:13" ht="14.85" customHeight="1">
      <c r="A229" s="5238">
        <v>233</v>
      </c>
      <c r="B229" s="5238" t="s">
        <v>3291</v>
      </c>
      <c r="C229" s="5239" t="s">
        <v>2046</v>
      </c>
      <c r="D229" s="5240"/>
      <c r="E229" s="5241"/>
      <c r="F229" s="5243">
        <f t="shared" si="18"/>
        <v>0</v>
      </c>
      <c r="G229" s="5241"/>
      <c r="H229" s="5241"/>
      <c r="I229" s="5243">
        <f t="shared" si="19"/>
        <v>0</v>
      </c>
      <c r="J229" s="5244">
        <f t="shared" si="23"/>
        <v>0</v>
      </c>
      <c r="K229" s="5245">
        <f t="shared" si="20"/>
        <v>0</v>
      </c>
      <c r="L229" s="5245">
        <f t="shared" si="21"/>
        <v>0</v>
      </c>
      <c r="M229" s="5245">
        <f t="shared" si="22"/>
        <v>0</v>
      </c>
    </row>
    <row r="230" spans="1:13" ht="14.85" customHeight="1">
      <c r="A230" s="5238">
        <v>233</v>
      </c>
      <c r="B230" s="5238" t="s">
        <v>3292</v>
      </c>
      <c r="C230" s="5239" t="s">
        <v>2047</v>
      </c>
      <c r="D230" s="5240"/>
      <c r="E230" s="5241"/>
      <c r="F230" s="5243">
        <f t="shared" si="18"/>
        <v>0</v>
      </c>
      <c r="G230" s="5241"/>
      <c r="H230" s="5241"/>
      <c r="I230" s="5243">
        <f t="shared" si="19"/>
        <v>0</v>
      </c>
      <c r="J230" s="5244">
        <f t="shared" si="23"/>
        <v>0</v>
      </c>
      <c r="K230" s="5245">
        <f t="shared" si="20"/>
        <v>0</v>
      </c>
      <c r="L230" s="5245">
        <f t="shared" si="21"/>
        <v>0</v>
      </c>
      <c r="M230" s="5245">
        <f t="shared" si="22"/>
        <v>0</v>
      </c>
    </row>
    <row r="231" spans="1:13" ht="14.85" customHeight="1">
      <c r="A231" s="5238">
        <v>233</v>
      </c>
      <c r="B231" s="5238" t="s">
        <v>3293</v>
      </c>
      <c r="C231" s="5239" t="s">
        <v>2048</v>
      </c>
      <c r="D231" s="5240"/>
      <c r="E231" s="5241"/>
      <c r="F231" s="5243">
        <f t="shared" si="18"/>
        <v>0</v>
      </c>
      <c r="G231" s="5241"/>
      <c r="H231" s="5241"/>
      <c r="I231" s="5243">
        <f t="shared" si="19"/>
        <v>0</v>
      </c>
      <c r="J231" s="5244">
        <f t="shared" si="23"/>
        <v>0</v>
      </c>
      <c r="K231" s="5245">
        <f t="shared" si="20"/>
        <v>0</v>
      </c>
      <c r="L231" s="5245">
        <f t="shared" si="21"/>
        <v>0</v>
      </c>
      <c r="M231" s="5245">
        <f t="shared" si="22"/>
        <v>0</v>
      </c>
    </row>
    <row r="232" spans="1:13" ht="14.85" customHeight="1">
      <c r="A232" s="5238">
        <v>233</v>
      </c>
      <c r="B232" s="5238" t="s">
        <v>3294</v>
      </c>
      <c r="C232" s="5239" t="s">
        <v>2049</v>
      </c>
      <c r="D232" s="5240"/>
      <c r="E232" s="5241"/>
      <c r="F232" s="5243">
        <f t="shared" si="18"/>
        <v>0</v>
      </c>
      <c r="G232" s="5241"/>
      <c r="H232" s="5241"/>
      <c r="I232" s="5243">
        <f t="shared" si="19"/>
        <v>0</v>
      </c>
      <c r="J232" s="5244">
        <f t="shared" si="23"/>
        <v>0</v>
      </c>
      <c r="K232" s="5245">
        <f t="shared" si="20"/>
        <v>0</v>
      </c>
      <c r="L232" s="5245">
        <f t="shared" si="21"/>
        <v>0</v>
      </c>
      <c r="M232" s="5245">
        <f t="shared" si="22"/>
        <v>0</v>
      </c>
    </row>
    <row r="233" spans="1:13" ht="14.85" customHeight="1">
      <c r="A233" s="5238">
        <v>233</v>
      </c>
      <c r="B233" s="5238" t="s">
        <v>3295</v>
      </c>
      <c r="C233" s="5239" t="s">
        <v>2050</v>
      </c>
      <c r="D233" s="5240"/>
      <c r="E233" s="5241"/>
      <c r="F233" s="5243">
        <f t="shared" si="18"/>
        <v>0</v>
      </c>
      <c r="G233" s="5241"/>
      <c r="H233" s="5241"/>
      <c r="I233" s="5243">
        <f t="shared" si="19"/>
        <v>0</v>
      </c>
      <c r="J233" s="5244">
        <f t="shared" si="23"/>
        <v>0</v>
      </c>
      <c r="K233" s="5245">
        <f t="shared" si="20"/>
        <v>0</v>
      </c>
      <c r="L233" s="5245">
        <f t="shared" si="21"/>
        <v>0</v>
      </c>
      <c r="M233" s="5245">
        <f t="shared" si="22"/>
        <v>0</v>
      </c>
    </row>
    <row r="234" spans="1:13" ht="14.85" customHeight="1">
      <c r="A234" s="5238">
        <v>233</v>
      </c>
      <c r="B234" s="5238" t="s">
        <v>3296</v>
      </c>
      <c r="C234" s="5239" t="s">
        <v>2051</v>
      </c>
      <c r="D234" s="5240"/>
      <c r="E234" s="5241"/>
      <c r="F234" s="5243">
        <f t="shared" si="18"/>
        <v>0</v>
      </c>
      <c r="G234" s="5241"/>
      <c r="H234" s="5241"/>
      <c r="I234" s="5243">
        <f t="shared" si="19"/>
        <v>0</v>
      </c>
      <c r="J234" s="5244">
        <f t="shared" si="23"/>
        <v>0</v>
      </c>
      <c r="K234" s="5245">
        <f t="shared" si="20"/>
        <v>0</v>
      </c>
      <c r="L234" s="5245">
        <f t="shared" si="21"/>
        <v>0</v>
      </c>
      <c r="M234" s="5245">
        <f t="shared" si="22"/>
        <v>0</v>
      </c>
    </row>
    <row r="235" spans="1:13" ht="14.85" customHeight="1">
      <c r="A235" s="5238">
        <v>233</v>
      </c>
      <c r="B235" s="5238" t="s">
        <v>3297</v>
      </c>
      <c r="C235" s="5239" t="s">
        <v>2052</v>
      </c>
      <c r="D235" s="5240"/>
      <c r="E235" s="5241"/>
      <c r="F235" s="5243">
        <f t="shared" si="18"/>
        <v>0</v>
      </c>
      <c r="G235" s="5241"/>
      <c r="H235" s="5241"/>
      <c r="I235" s="5243">
        <f t="shared" si="19"/>
        <v>0</v>
      </c>
      <c r="J235" s="5244">
        <f t="shared" si="23"/>
        <v>0</v>
      </c>
      <c r="K235" s="5245">
        <f t="shared" si="20"/>
        <v>0</v>
      </c>
      <c r="L235" s="5245">
        <f t="shared" si="21"/>
        <v>0</v>
      </c>
      <c r="M235" s="5245">
        <f t="shared" si="22"/>
        <v>0</v>
      </c>
    </row>
    <row r="236" spans="1:13" ht="14.85" customHeight="1">
      <c r="A236" s="5238">
        <v>233</v>
      </c>
      <c r="B236" s="5238" t="s">
        <v>3298</v>
      </c>
      <c r="C236" s="5239" t="s">
        <v>2053</v>
      </c>
      <c r="D236" s="5240"/>
      <c r="E236" s="5241"/>
      <c r="F236" s="5243">
        <f t="shared" si="18"/>
        <v>0</v>
      </c>
      <c r="G236" s="5241"/>
      <c r="H236" s="5241"/>
      <c r="I236" s="5243">
        <f t="shared" si="19"/>
        <v>0</v>
      </c>
      <c r="J236" s="5244">
        <f t="shared" si="23"/>
        <v>0</v>
      </c>
      <c r="K236" s="5245">
        <f t="shared" si="20"/>
        <v>0</v>
      </c>
      <c r="L236" s="5245">
        <f t="shared" si="21"/>
        <v>0</v>
      </c>
      <c r="M236" s="5245">
        <f t="shared" si="22"/>
        <v>0</v>
      </c>
    </row>
    <row r="237" spans="1:13" ht="14.85" customHeight="1">
      <c r="A237" s="5238">
        <v>233</v>
      </c>
      <c r="B237" s="5238" t="s">
        <v>3299</v>
      </c>
      <c r="C237" s="5239" t="s">
        <v>2054</v>
      </c>
      <c r="D237" s="5240"/>
      <c r="E237" s="5241"/>
      <c r="F237" s="5243">
        <f t="shared" si="18"/>
        <v>0</v>
      </c>
      <c r="G237" s="5241"/>
      <c r="H237" s="5241"/>
      <c r="I237" s="5243">
        <f t="shared" si="19"/>
        <v>0</v>
      </c>
      <c r="J237" s="5244">
        <f t="shared" si="23"/>
        <v>0</v>
      </c>
      <c r="K237" s="5245">
        <f t="shared" si="20"/>
        <v>0</v>
      </c>
      <c r="L237" s="5245">
        <f t="shared" si="21"/>
        <v>0</v>
      </c>
      <c r="M237" s="5245">
        <f t="shared" si="22"/>
        <v>0</v>
      </c>
    </row>
    <row r="238" spans="1:13" ht="14.85" customHeight="1">
      <c r="A238" s="5238">
        <v>233</v>
      </c>
      <c r="B238" s="5238" t="s">
        <v>3300</v>
      </c>
      <c r="C238" s="5239" t="s">
        <v>2055</v>
      </c>
      <c r="D238" s="5240"/>
      <c r="E238" s="5241"/>
      <c r="F238" s="5243">
        <f t="shared" si="18"/>
        <v>0</v>
      </c>
      <c r="G238" s="5241"/>
      <c r="H238" s="5241"/>
      <c r="I238" s="5243">
        <f t="shared" si="19"/>
        <v>0</v>
      </c>
      <c r="J238" s="5244">
        <f t="shared" si="23"/>
        <v>0</v>
      </c>
      <c r="K238" s="5245">
        <f t="shared" si="20"/>
        <v>0</v>
      </c>
      <c r="L238" s="5245">
        <f t="shared" si="21"/>
        <v>0</v>
      </c>
      <c r="M238" s="5245">
        <f t="shared" si="22"/>
        <v>0</v>
      </c>
    </row>
    <row r="239" spans="1:13" ht="14.85" customHeight="1">
      <c r="A239" s="5238">
        <v>233</v>
      </c>
      <c r="B239" s="5238" t="s">
        <v>3301</v>
      </c>
      <c r="C239" s="5239" t="s">
        <v>2056</v>
      </c>
      <c r="D239" s="5240"/>
      <c r="E239" s="5241"/>
      <c r="F239" s="5243">
        <f t="shared" si="18"/>
        <v>0</v>
      </c>
      <c r="G239" s="5241"/>
      <c r="H239" s="5241"/>
      <c r="I239" s="5243">
        <f t="shared" si="19"/>
        <v>0</v>
      </c>
      <c r="J239" s="5244">
        <f t="shared" si="23"/>
        <v>0</v>
      </c>
      <c r="K239" s="5245">
        <f t="shared" si="20"/>
        <v>0</v>
      </c>
      <c r="L239" s="5245">
        <f t="shared" si="21"/>
        <v>0</v>
      </c>
      <c r="M239" s="5245">
        <f t="shared" si="22"/>
        <v>0</v>
      </c>
    </row>
    <row r="240" spans="1:13" ht="14.85" customHeight="1">
      <c r="A240" s="5238">
        <v>233</v>
      </c>
      <c r="B240" s="5238" t="s">
        <v>3302</v>
      </c>
      <c r="C240" s="5239" t="s">
        <v>2057</v>
      </c>
      <c r="D240" s="5240"/>
      <c r="E240" s="5241"/>
      <c r="F240" s="5243">
        <f t="shared" si="18"/>
        <v>0</v>
      </c>
      <c r="G240" s="5241"/>
      <c r="H240" s="5241"/>
      <c r="I240" s="5243">
        <f t="shared" si="19"/>
        <v>0</v>
      </c>
      <c r="J240" s="5244">
        <f t="shared" si="23"/>
        <v>0</v>
      </c>
      <c r="K240" s="5245">
        <f t="shared" si="20"/>
        <v>0</v>
      </c>
      <c r="L240" s="5245">
        <f t="shared" si="21"/>
        <v>0</v>
      </c>
      <c r="M240" s="5245">
        <f t="shared" si="22"/>
        <v>0</v>
      </c>
    </row>
    <row r="241" spans="1:13" ht="14.85" customHeight="1">
      <c r="A241" s="5238">
        <v>233</v>
      </c>
      <c r="B241" s="5238" t="s">
        <v>3303</v>
      </c>
      <c r="C241" s="5239" t="s">
        <v>2058</v>
      </c>
      <c r="D241" s="5240"/>
      <c r="E241" s="5241"/>
      <c r="F241" s="5243">
        <f t="shared" si="18"/>
        <v>0</v>
      </c>
      <c r="G241" s="5241"/>
      <c r="H241" s="5241"/>
      <c r="I241" s="5243">
        <f t="shared" si="19"/>
        <v>0</v>
      </c>
      <c r="J241" s="5244">
        <f t="shared" si="23"/>
        <v>0</v>
      </c>
      <c r="K241" s="5245">
        <f t="shared" si="20"/>
        <v>0</v>
      </c>
      <c r="L241" s="5245">
        <f t="shared" si="21"/>
        <v>0</v>
      </c>
      <c r="M241" s="5245">
        <f t="shared" si="22"/>
        <v>0</v>
      </c>
    </row>
    <row r="242" spans="1:13" ht="14.85" customHeight="1">
      <c r="A242" s="5238">
        <v>233</v>
      </c>
      <c r="B242" s="5238" t="s">
        <v>3304</v>
      </c>
      <c r="C242" s="5239" t="s">
        <v>2059</v>
      </c>
      <c r="D242" s="5240"/>
      <c r="E242" s="5241"/>
      <c r="F242" s="5243">
        <f t="shared" si="18"/>
        <v>0</v>
      </c>
      <c r="G242" s="5241"/>
      <c r="H242" s="5241"/>
      <c r="I242" s="5243">
        <f t="shared" si="19"/>
        <v>0</v>
      </c>
      <c r="J242" s="5244">
        <f t="shared" si="23"/>
        <v>0</v>
      </c>
      <c r="K242" s="5245">
        <f t="shared" si="20"/>
        <v>0</v>
      </c>
      <c r="L242" s="5245">
        <f t="shared" si="21"/>
        <v>0</v>
      </c>
      <c r="M242" s="5245">
        <f t="shared" si="22"/>
        <v>0</v>
      </c>
    </row>
    <row r="243" spans="1:13" ht="14.85" customHeight="1">
      <c r="A243" s="5238">
        <v>233</v>
      </c>
      <c r="B243" s="5238" t="s">
        <v>3305</v>
      </c>
      <c r="C243" s="5239" t="s">
        <v>2060</v>
      </c>
      <c r="D243" s="5240"/>
      <c r="E243" s="5241"/>
      <c r="F243" s="5243">
        <f t="shared" si="18"/>
        <v>0</v>
      </c>
      <c r="G243" s="5241"/>
      <c r="H243" s="5241"/>
      <c r="I243" s="5243">
        <f t="shared" si="19"/>
        <v>0</v>
      </c>
      <c r="J243" s="5244">
        <f t="shared" si="23"/>
        <v>0</v>
      </c>
      <c r="K243" s="5245">
        <f t="shared" si="20"/>
        <v>0</v>
      </c>
      <c r="L243" s="5245">
        <f t="shared" si="21"/>
        <v>0</v>
      </c>
      <c r="M243" s="5245">
        <f t="shared" si="22"/>
        <v>0</v>
      </c>
    </row>
    <row r="244" spans="1:13" ht="14.85" customHeight="1">
      <c r="A244" s="5238">
        <v>233</v>
      </c>
      <c r="B244" s="5238" t="s">
        <v>3306</v>
      </c>
      <c r="C244" s="5239" t="s">
        <v>2061</v>
      </c>
      <c r="D244" s="5240"/>
      <c r="E244" s="5241"/>
      <c r="F244" s="5243">
        <f t="shared" si="18"/>
        <v>0</v>
      </c>
      <c r="G244" s="5241"/>
      <c r="H244" s="5241"/>
      <c r="I244" s="5243">
        <f t="shared" si="19"/>
        <v>0</v>
      </c>
      <c r="J244" s="5244">
        <f t="shared" si="23"/>
        <v>0</v>
      </c>
      <c r="K244" s="5245">
        <f t="shared" si="20"/>
        <v>0</v>
      </c>
      <c r="L244" s="5245">
        <f t="shared" si="21"/>
        <v>0</v>
      </c>
      <c r="M244" s="5245">
        <f t="shared" si="22"/>
        <v>0</v>
      </c>
    </row>
    <row r="245" spans="1:13" ht="14.85" customHeight="1">
      <c r="A245" s="5238">
        <v>233</v>
      </c>
      <c r="B245" s="5238" t="s">
        <v>3307</v>
      </c>
      <c r="C245" s="5239" t="s">
        <v>2062</v>
      </c>
      <c r="D245" s="5240"/>
      <c r="E245" s="5241"/>
      <c r="F245" s="5243">
        <f t="shared" si="18"/>
        <v>0</v>
      </c>
      <c r="G245" s="5241"/>
      <c r="H245" s="5241"/>
      <c r="I245" s="5243">
        <f t="shared" si="19"/>
        <v>0</v>
      </c>
      <c r="J245" s="5244">
        <f t="shared" si="23"/>
        <v>0</v>
      </c>
      <c r="K245" s="5245">
        <f t="shared" si="20"/>
        <v>0</v>
      </c>
      <c r="L245" s="5245">
        <f t="shared" si="21"/>
        <v>0</v>
      </c>
      <c r="M245" s="5245">
        <f t="shared" si="22"/>
        <v>0</v>
      </c>
    </row>
    <row r="246" spans="1:13" ht="14.85" customHeight="1">
      <c r="A246" s="5238">
        <v>233</v>
      </c>
      <c r="B246" s="5238" t="s">
        <v>3308</v>
      </c>
      <c r="C246" s="5239" t="s">
        <v>2063</v>
      </c>
      <c r="D246" s="5240"/>
      <c r="E246" s="5241"/>
      <c r="F246" s="5243">
        <f t="shared" si="18"/>
        <v>0</v>
      </c>
      <c r="G246" s="5241"/>
      <c r="H246" s="5241"/>
      <c r="I246" s="5243">
        <f t="shared" si="19"/>
        <v>0</v>
      </c>
      <c r="J246" s="5244">
        <f t="shared" si="23"/>
        <v>0</v>
      </c>
      <c r="K246" s="5245">
        <f t="shared" si="20"/>
        <v>0</v>
      </c>
      <c r="L246" s="5245">
        <f t="shared" si="21"/>
        <v>0</v>
      </c>
      <c r="M246" s="5245">
        <f t="shared" si="22"/>
        <v>0</v>
      </c>
    </row>
    <row r="247" spans="1:13" ht="14.85" customHeight="1">
      <c r="A247" s="5238">
        <v>233</v>
      </c>
      <c r="B247" s="5238" t="s">
        <v>3309</v>
      </c>
      <c r="C247" s="5239" t="s">
        <v>3310</v>
      </c>
      <c r="D247" s="5240"/>
      <c r="E247" s="5241"/>
      <c r="F247" s="5243">
        <f t="shared" si="18"/>
        <v>0</v>
      </c>
      <c r="G247" s="5241"/>
      <c r="H247" s="5241"/>
      <c r="I247" s="5243">
        <f t="shared" si="19"/>
        <v>0</v>
      </c>
      <c r="J247" s="5244">
        <f t="shared" si="23"/>
        <v>0</v>
      </c>
      <c r="K247" s="5245">
        <f t="shared" si="20"/>
        <v>0</v>
      </c>
      <c r="L247" s="5245">
        <f t="shared" si="21"/>
        <v>0</v>
      </c>
      <c r="M247" s="5245">
        <f t="shared" si="22"/>
        <v>0</v>
      </c>
    </row>
    <row r="248" spans="1:13" ht="14.85" customHeight="1">
      <c r="A248" s="5238">
        <v>233</v>
      </c>
      <c r="B248" s="5238" t="s">
        <v>4497</v>
      </c>
      <c r="C248" s="5239" t="s">
        <v>4498</v>
      </c>
      <c r="D248" s="5240"/>
      <c r="E248" s="5241"/>
      <c r="F248" s="5243">
        <f t="shared" si="18"/>
        <v>0</v>
      </c>
      <c r="G248" s="5241"/>
      <c r="H248" s="5241"/>
      <c r="I248" s="5243">
        <f t="shared" si="19"/>
        <v>0</v>
      </c>
      <c r="J248" s="5244">
        <f t="shared" si="23"/>
        <v>0</v>
      </c>
      <c r="K248" s="5245">
        <f t="shared" si="20"/>
        <v>0</v>
      </c>
      <c r="L248" s="5245">
        <f t="shared" si="21"/>
        <v>0</v>
      </c>
      <c r="M248" s="5245">
        <f t="shared" si="22"/>
        <v>0</v>
      </c>
    </row>
    <row r="249" spans="1:13" ht="14.85" customHeight="1">
      <c r="A249" s="5238">
        <v>233</v>
      </c>
      <c r="B249" s="5238" t="s">
        <v>4581</v>
      </c>
      <c r="C249" s="5239" t="s">
        <v>4582</v>
      </c>
      <c r="D249" s="5240"/>
      <c r="E249" s="5241"/>
      <c r="F249" s="5243">
        <f t="shared" si="18"/>
        <v>0</v>
      </c>
      <c r="G249" s="5241"/>
      <c r="H249" s="5241"/>
      <c r="I249" s="5243">
        <f t="shared" si="19"/>
        <v>0</v>
      </c>
      <c r="J249" s="5244">
        <f t="shared" si="23"/>
        <v>0</v>
      </c>
      <c r="K249" s="5245">
        <f t="shared" si="20"/>
        <v>0</v>
      </c>
      <c r="L249" s="5245">
        <f t="shared" si="21"/>
        <v>0</v>
      </c>
      <c r="M249" s="5245">
        <f t="shared" si="22"/>
        <v>0</v>
      </c>
    </row>
    <row r="250" spans="1:13" ht="14.85" customHeight="1">
      <c r="A250" s="5238">
        <v>233</v>
      </c>
      <c r="B250" s="5238" t="s">
        <v>3311</v>
      </c>
      <c r="C250" s="5239" t="s">
        <v>2064</v>
      </c>
      <c r="D250" s="5240"/>
      <c r="E250" s="5241"/>
      <c r="F250" s="5243">
        <f t="shared" si="18"/>
        <v>0</v>
      </c>
      <c r="G250" s="5241"/>
      <c r="H250" s="5241"/>
      <c r="I250" s="5243">
        <f t="shared" si="19"/>
        <v>0</v>
      </c>
      <c r="J250" s="5244">
        <f t="shared" si="23"/>
        <v>0</v>
      </c>
      <c r="K250" s="5245">
        <f t="shared" si="20"/>
        <v>0</v>
      </c>
      <c r="L250" s="5245">
        <f t="shared" si="21"/>
        <v>0</v>
      </c>
      <c r="M250" s="5245">
        <f t="shared" si="22"/>
        <v>0</v>
      </c>
    </row>
    <row r="251" spans="1:13" ht="14.85" customHeight="1">
      <c r="A251" s="5238">
        <v>233</v>
      </c>
      <c r="B251" s="5238" t="s">
        <v>3312</v>
      </c>
      <c r="C251" s="5239" t="s">
        <v>2065</v>
      </c>
      <c r="D251" s="5240"/>
      <c r="E251" s="5241"/>
      <c r="F251" s="5243">
        <f t="shared" si="18"/>
        <v>0</v>
      </c>
      <c r="G251" s="5241"/>
      <c r="H251" s="5241"/>
      <c r="I251" s="5243">
        <f t="shared" si="19"/>
        <v>0</v>
      </c>
      <c r="J251" s="5244">
        <f t="shared" si="23"/>
        <v>0</v>
      </c>
      <c r="K251" s="5245">
        <f t="shared" si="20"/>
        <v>0</v>
      </c>
      <c r="L251" s="5245">
        <f t="shared" si="21"/>
        <v>0</v>
      </c>
      <c r="M251" s="5245">
        <f t="shared" si="22"/>
        <v>0</v>
      </c>
    </row>
    <row r="252" spans="1:13" ht="14.85" customHeight="1">
      <c r="A252" s="5238">
        <v>233</v>
      </c>
      <c r="B252" s="5238" t="s">
        <v>3313</v>
      </c>
      <c r="C252" s="5239" t="s">
        <v>2066</v>
      </c>
      <c r="D252" s="5240"/>
      <c r="E252" s="5241"/>
      <c r="F252" s="5243">
        <f t="shared" si="18"/>
        <v>0</v>
      </c>
      <c r="G252" s="5241"/>
      <c r="H252" s="5241"/>
      <c r="I252" s="5243">
        <f t="shared" si="19"/>
        <v>0</v>
      </c>
      <c r="J252" s="5244">
        <f t="shared" si="23"/>
        <v>0</v>
      </c>
      <c r="K252" s="5245">
        <f t="shared" si="20"/>
        <v>0</v>
      </c>
      <c r="L252" s="5245">
        <f t="shared" si="21"/>
        <v>0</v>
      </c>
      <c r="M252" s="5245">
        <f t="shared" si="22"/>
        <v>0</v>
      </c>
    </row>
    <row r="253" spans="1:13" ht="14.85" customHeight="1">
      <c r="A253" s="5238">
        <v>233</v>
      </c>
      <c r="B253" s="5238" t="s">
        <v>3314</v>
      </c>
      <c r="C253" s="5239" t="s">
        <v>2067</v>
      </c>
      <c r="D253" s="5240"/>
      <c r="E253" s="5241"/>
      <c r="F253" s="5243">
        <f t="shared" si="18"/>
        <v>0</v>
      </c>
      <c r="G253" s="5241"/>
      <c r="H253" s="5241"/>
      <c r="I253" s="5243">
        <f t="shared" si="19"/>
        <v>0</v>
      </c>
      <c r="J253" s="5244">
        <f t="shared" si="23"/>
        <v>0</v>
      </c>
      <c r="K253" s="5245">
        <f t="shared" si="20"/>
        <v>0</v>
      </c>
      <c r="L253" s="5245">
        <f t="shared" si="21"/>
        <v>0</v>
      </c>
      <c r="M253" s="5245">
        <f t="shared" si="22"/>
        <v>0</v>
      </c>
    </row>
    <row r="254" spans="1:13" ht="14.85" customHeight="1">
      <c r="A254" s="5238">
        <v>233</v>
      </c>
      <c r="B254" s="5238" t="s">
        <v>3315</v>
      </c>
      <c r="C254" s="5239" t="s">
        <v>2068</v>
      </c>
      <c r="D254" s="5240"/>
      <c r="E254" s="5241"/>
      <c r="F254" s="5243">
        <f t="shared" si="18"/>
        <v>0</v>
      </c>
      <c r="G254" s="5241"/>
      <c r="H254" s="5241"/>
      <c r="I254" s="5243">
        <f t="shared" si="19"/>
        <v>0</v>
      </c>
      <c r="J254" s="5244">
        <f t="shared" si="23"/>
        <v>0</v>
      </c>
      <c r="K254" s="5245">
        <f t="shared" si="20"/>
        <v>0</v>
      </c>
      <c r="L254" s="5245">
        <f t="shared" si="21"/>
        <v>0</v>
      </c>
      <c r="M254" s="5245">
        <f t="shared" si="22"/>
        <v>0</v>
      </c>
    </row>
    <row r="255" spans="1:13" ht="14.85" customHeight="1">
      <c r="A255" s="5238">
        <v>233</v>
      </c>
      <c r="B255" s="5238" t="s">
        <v>3316</v>
      </c>
      <c r="C255" s="5239" t="s">
        <v>2069</v>
      </c>
      <c r="D255" s="5240"/>
      <c r="E255" s="5241"/>
      <c r="F255" s="5243">
        <f t="shared" si="18"/>
        <v>0</v>
      </c>
      <c r="G255" s="5241"/>
      <c r="H255" s="5241"/>
      <c r="I255" s="5243">
        <f t="shared" si="19"/>
        <v>0</v>
      </c>
      <c r="J255" s="5244">
        <f t="shared" si="23"/>
        <v>0</v>
      </c>
      <c r="K255" s="5245">
        <f t="shared" si="20"/>
        <v>0</v>
      </c>
      <c r="L255" s="5245">
        <f t="shared" si="21"/>
        <v>0</v>
      </c>
      <c r="M255" s="5245">
        <f t="shared" si="22"/>
        <v>0</v>
      </c>
    </row>
    <row r="256" spans="1:13" ht="14.85" customHeight="1">
      <c r="A256" s="5238">
        <v>233</v>
      </c>
      <c r="B256" s="5238" t="s">
        <v>3317</v>
      </c>
      <c r="C256" s="5239" t="s">
        <v>2070</v>
      </c>
      <c r="D256" s="5240"/>
      <c r="E256" s="5241"/>
      <c r="F256" s="5243">
        <f t="shared" si="18"/>
        <v>0</v>
      </c>
      <c r="G256" s="5241"/>
      <c r="H256" s="5241"/>
      <c r="I256" s="5243">
        <f t="shared" si="19"/>
        <v>0</v>
      </c>
      <c r="J256" s="5244">
        <f t="shared" si="23"/>
        <v>0</v>
      </c>
      <c r="K256" s="5245">
        <f t="shared" si="20"/>
        <v>0</v>
      </c>
      <c r="L256" s="5245">
        <f t="shared" si="21"/>
        <v>0</v>
      </c>
      <c r="M256" s="5245">
        <f t="shared" si="22"/>
        <v>0</v>
      </c>
    </row>
    <row r="257" spans="1:13" ht="14.85" customHeight="1">
      <c r="A257" s="5238">
        <v>233</v>
      </c>
      <c r="B257" s="5238" t="s">
        <v>3318</v>
      </c>
      <c r="C257" s="5239" t="s">
        <v>2071</v>
      </c>
      <c r="D257" s="5240"/>
      <c r="E257" s="5241"/>
      <c r="F257" s="5243">
        <f t="shared" si="18"/>
        <v>0</v>
      </c>
      <c r="G257" s="5241"/>
      <c r="H257" s="5241"/>
      <c r="I257" s="5243">
        <f t="shared" si="19"/>
        <v>0</v>
      </c>
      <c r="J257" s="5244">
        <f t="shared" si="23"/>
        <v>0</v>
      </c>
      <c r="K257" s="5245">
        <f t="shared" si="20"/>
        <v>0</v>
      </c>
      <c r="L257" s="5245">
        <f t="shared" si="21"/>
        <v>0</v>
      </c>
      <c r="M257" s="5245">
        <f t="shared" si="22"/>
        <v>0</v>
      </c>
    </row>
    <row r="258" spans="1:13" ht="14.85" customHeight="1">
      <c r="A258" s="5238">
        <v>233</v>
      </c>
      <c r="B258" s="5238" t="s">
        <v>3319</v>
      </c>
      <c r="C258" s="5239" t="s">
        <v>2072</v>
      </c>
      <c r="D258" s="5240"/>
      <c r="E258" s="5241"/>
      <c r="F258" s="5243">
        <f t="shared" si="18"/>
        <v>0</v>
      </c>
      <c r="G258" s="5241"/>
      <c r="H258" s="5241"/>
      <c r="I258" s="5243">
        <f t="shared" si="19"/>
        <v>0</v>
      </c>
      <c r="J258" s="5244">
        <f t="shared" si="23"/>
        <v>0</v>
      </c>
      <c r="K258" s="5245">
        <f t="shared" si="20"/>
        <v>0</v>
      </c>
      <c r="L258" s="5245">
        <f t="shared" si="21"/>
        <v>0</v>
      </c>
      <c r="M258" s="5245">
        <f t="shared" si="22"/>
        <v>0</v>
      </c>
    </row>
    <row r="259" spans="1:13" ht="14.85" customHeight="1">
      <c r="A259" s="5238">
        <v>233</v>
      </c>
      <c r="B259" s="5238" t="s">
        <v>3320</v>
      </c>
      <c r="C259" s="5239" t="s">
        <v>2073</v>
      </c>
      <c r="D259" s="5240"/>
      <c r="E259" s="5241"/>
      <c r="F259" s="5243">
        <f t="shared" si="18"/>
        <v>0</v>
      </c>
      <c r="G259" s="5241"/>
      <c r="H259" s="5241"/>
      <c r="I259" s="5243">
        <f t="shared" si="19"/>
        <v>0</v>
      </c>
      <c r="J259" s="5244">
        <f t="shared" si="23"/>
        <v>0</v>
      </c>
      <c r="K259" s="5245">
        <f t="shared" si="20"/>
        <v>0</v>
      </c>
      <c r="L259" s="5245">
        <f t="shared" si="21"/>
        <v>0</v>
      </c>
      <c r="M259" s="5245">
        <f t="shared" si="22"/>
        <v>0</v>
      </c>
    </row>
    <row r="260" spans="1:13" ht="14.85" customHeight="1">
      <c r="A260" s="5238">
        <v>233</v>
      </c>
      <c r="B260" s="5238" t="s">
        <v>3321</v>
      </c>
      <c r="C260" s="5239" t="s">
        <v>2074</v>
      </c>
      <c r="D260" s="5240"/>
      <c r="E260" s="5241"/>
      <c r="F260" s="5243">
        <f t="shared" si="18"/>
        <v>0</v>
      </c>
      <c r="G260" s="5241"/>
      <c r="H260" s="5241"/>
      <c r="I260" s="5243">
        <f t="shared" si="19"/>
        <v>0</v>
      </c>
      <c r="J260" s="5244">
        <f t="shared" si="23"/>
        <v>0</v>
      </c>
      <c r="K260" s="5245">
        <f t="shared" si="20"/>
        <v>0</v>
      </c>
      <c r="L260" s="5245">
        <f t="shared" si="21"/>
        <v>0</v>
      </c>
      <c r="M260" s="5245">
        <f t="shared" si="22"/>
        <v>0</v>
      </c>
    </row>
    <row r="261" spans="1:13" ht="14.85" customHeight="1">
      <c r="A261" s="5238">
        <v>233</v>
      </c>
      <c r="B261" s="5238" t="s">
        <v>3322</v>
      </c>
      <c r="C261" s="5239" t="s">
        <v>2075</v>
      </c>
      <c r="D261" s="5240"/>
      <c r="E261" s="5241"/>
      <c r="F261" s="5243">
        <f t="shared" si="18"/>
        <v>0</v>
      </c>
      <c r="G261" s="5241"/>
      <c r="H261" s="5241"/>
      <c r="I261" s="5243">
        <f t="shared" si="19"/>
        <v>0</v>
      </c>
      <c r="J261" s="5244">
        <f t="shared" si="23"/>
        <v>0</v>
      </c>
      <c r="K261" s="5245">
        <f t="shared" si="20"/>
        <v>0</v>
      </c>
      <c r="L261" s="5245">
        <f t="shared" si="21"/>
        <v>0</v>
      </c>
      <c r="M261" s="5245">
        <f t="shared" si="22"/>
        <v>0</v>
      </c>
    </row>
    <row r="262" spans="1:13" ht="14.85" customHeight="1">
      <c r="A262" s="5238">
        <v>233</v>
      </c>
      <c r="B262" s="5238" t="s">
        <v>3323</v>
      </c>
      <c r="C262" s="5239" t="s">
        <v>2076</v>
      </c>
      <c r="D262" s="5240"/>
      <c r="E262" s="5241"/>
      <c r="F262" s="5243">
        <f t="shared" si="18"/>
        <v>0</v>
      </c>
      <c r="G262" s="5241"/>
      <c r="H262" s="5241"/>
      <c r="I262" s="5243">
        <f t="shared" si="19"/>
        <v>0</v>
      </c>
      <c r="J262" s="5244">
        <f t="shared" si="23"/>
        <v>0</v>
      </c>
      <c r="K262" s="5245">
        <f t="shared" si="20"/>
        <v>0</v>
      </c>
      <c r="L262" s="5245">
        <f t="shared" si="21"/>
        <v>0</v>
      </c>
      <c r="M262" s="5245">
        <f t="shared" si="22"/>
        <v>0</v>
      </c>
    </row>
    <row r="263" spans="1:13" ht="14.85" customHeight="1">
      <c r="A263" s="5238">
        <v>233</v>
      </c>
      <c r="B263" s="5238" t="s">
        <v>3324</v>
      </c>
      <c r="C263" s="5239" t="s">
        <v>2077</v>
      </c>
      <c r="D263" s="5240"/>
      <c r="E263" s="5241"/>
      <c r="F263" s="5243">
        <f t="shared" si="18"/>
        <v>0</v>
      </c>
      <c r="G263" s="5241"/>
      <c r="H263" s="5241"/>
      <c r="I263" s="5243">
        <f t="shared" si="19"/>
        <v>0</v>
      </c>
      <c r="J263" s="5244">
        <f t="shared" si="23"/>
        <v>0</v>
      </c>
      <c r="K263" s="5245">
        <f t="shared" si="20"/>
        <v>0</v>
      </c>
      <c r="L263" s="5245">
        <f t="shared" si="21"/>
        <v>0</v>
      </c>
      <c r="M263" s="5245">
        <f t="shared" si="22"/>
        <v>0</v>
      </c>
    </row>
    <row r="264" spans="1:13" ht="14.85" customHeight="1">
      <c r="A264" s="5238">
        <v>233</v>
      </c>
      <c r="B264" s="5238" t="s">
        <v>3325</v>
      </c>
      <c r="C264" s="5239" t="s">
        <v>2078</v>
      </c>
      <c r="D264" s="5240"/>
      <c r="E264" s="5241"/>
      <c r="F264" s="5243">
        <f t="shared" si="18"/>
        <v>0</v>
      </c>
      <c r="G264" s="5241"/>
      <c r="H264" s="5241"/>
      <c r="I264" s="5243">
        <f t="shared" si="19"/>
        <v>0</v>
      </c>
      <c r="J264" s="5244">
        <f t="shared" si="23"/>
        <v>0</v>
      </c>
      <c r="K264" s="5245">
        <f t="shared" si="20"/>
        <v>0</v>
      </c>
      <c r="L264" s="5245">
        <f t="shared" si="21"/>
        <v>0</v>
      </c>
      <c r="M264" s="5245">
        <f t="shared" si="22"/>
        <v>0</v>
      </c>
    </row>
    <row r="265" spans="1:13" ht="14.85" customHeight="1">
      <c r="A265" s="5238">
        <v>233</v>
      </c>
      <c r="B265" s="5238" t="s">
        <v>3326</v>
      </c>
      <c r="C265" s="5239" t="s">
        <v>2079</v>
      </c>
      <c r="D265" s="5240"/>
      <c r="E265" s="5241"/>
      <c r="F265" s="5243">
        <f t="shared" si="18"/>
        <v>0</v>
      </c>
      <c r="G265" s="5241"/>
      <c r="H265" s="5241"/>
      <c r="I265" s="5243">
        <f t="shared" si="19"/>
        <v>0</v>
      </c>
      <c r="J265" s="5244">
        <f t="shared" si="23"/>
        <v>0</v>
      </c>
      <c r="K265" s="5245">
        <f t="shared" si="20"/>
        <v>0</v>
      </c>
      <c r="L265" s="5245">
        <f t="shared" si="21"/>
        <v>0</v>
      </c>
      <c r="M265" s="5245">
        <f t="shared" si="22"/>
        <v>0</v>
      </c>
    </row>
    <row r="266" spans="1:13" ht="14.85" customHeight="1">
      <c r="A266" s="5238">
        <v>233</v>
      </c>
      <c r="B266" s="5238" t="s">
        <v>3327</v>
      </c>
      <c r="C266" s="5239" t="s">
        <v>2080</v>
      </c>
      <c r="D266" s="5240"/>
      <c r="E266" s="5241"/>
      <c r="F266" s="5243">
        <f t="shared" si="18"/>
        <v>0</v>
      </c>
      <c r="G266" s="5241"/>
      <c r="H266" s="5241"/>
      <c r="I266" s="5243">
        <f t="shared" si="19"/>
        <v>0</v>
      </c>
      <c r="J266" s="5244">
        <f t="shared" si="23"/>
        <v>0</v>
      </c>
      <c r="K266" s="5245">
        <f t="shared" si="20"/>
        <v>0</v>
      </c>
      <c r="L266" s="5245">
        <f t="shared" si="21"/>
        <v>0</v>
      </c>
      <c r="M266" s="5245">
        <f t="shared" si="22"/>
        <v>0</v>
      </c>
    </row>
    <row r="267" spans="1:13" ht="14.85" customHeight="1">
      <c r="A267" s="5238">
        <v>234</v>
      </c>
      <c r="B267" s="5238" t="s">
        <v>3328</v>
      </c>
      <c r="C267" s="5239" t="s">
        <v>2081</v>
      </c>
      <c r="D267" s="5240"/>
      <c r="E267" s="5241"/>
      <c r="F267" s="5243">
        <f t="shared" si="18"/>
        <v>0</v>
      </c>
      <c r="G267" s="5241"/>
      <c r="H267" s="5241"/>
      <c r="I267" s="5243">
        <f t="shared" si="19"/>
        <v>0</v>
      </c>
      <c r="J267" s="5244">
        <f t="shared" si="23"/>
        <v>0</v>
      </c>
      <c r="K267" s="5245">
        <f t="shared" si="20"/>
        <v>0</v>
      </c>
      <c r="L267" s="5245">
        <f t="shared" si="21"/>
        <v>0</v>
      </c>
      <c r="M267" s="5245">
        <f t="shared" si="22"/>
        <v>0</v>
      </c>
    </row>
    <row r="268" spans="1:13" ht="14.85" customHeight="1">
      <c r="A268" s="5238">
        <v>234</v>
      </c>
      <c r="B268" s="5238" t="s">
        <v>3329</v>
      </c>
      <c r="C268" s="5239" t="s">
        <v>2082</v>
      </c>
      <c r="D268" s="5240"/>
      <c r="E268" s="5241"/>
      <c r="F268" s="5243">
        <f t="shared" si="18"/>
        <v>0</v>
      </c>
      <c r="G268" s="5241"/>
      <c r="H268" s="5241"/>
      <c r="I268" s="5243">
        <f t="shared" si="19"/>
        <v>0</v>
      </c>
      <c r="J268" s="5244">
        <f t="shared" si="23"/>
        <v>0</v>
      </c>
      <c r="K268" s="5245">
        <f t="shared" si="20"/>
        <v>0</v>
      </c>
      <c r="L268" s="5245">
        <f t="shared" si="21"/>
        <v>0</v>
      </c>
      <c r="M268" s="5245">
        <f t="shared" si="22"/>
        <v>0</v>
      </c>
    </row>
    <row r="269" spans="1:13" ht="14.85" customHeight="1">
      <c r="A269" s="5238">
        <v>234</v>
      </c>
      <c r="B269" s="5238" t="s">
        <v>3330</v>
      </c>
      <c r="C269" s="5239" t="s">
        <v>2083</v>
      </c>
      <c r="D269" s="5240"/>
      <c r="E269" s="5241"/>
      <c r="F269" s="5243">
        <f t="shared" si="18"/>
        <v>0</v>
      </c>
      <c r="G269" s="5241"/>
      <c r="H269" s="5241"/>
      <c r="I269" s="5243">
        <f t="shared" si="19"/>
        <v>0</v>
      </c>
      <c r="J269" s="5244">
        <f t="shared" si="23"/>
        <v>0</v>
      </c>
      <c r="K269" s="5245">
        <f t="shared" si="20"/>
        <v>0</v>
      </c>
      <c r="L269" s="5245">
        <f t="shared" si="21"/>
        <v>0</v>
      </c>
      <c r="M269" s="5245">
        <f t="shared" si="22"/>
        <v>0</v>
      </c>
    </row>
    <row r="270" spans="1:13" ht="14.85" customHeight="1">
      <c r="A270" s="5238">
        <v>234</v>
      </c>
      <c r="B270" s="5238" t="s">
        <v>3331</v>
      </c>
      <c r="C270" s="5239" t="s">
        <v>2084</v>
      </c>
      <c r="D270" s="5240"/>
      <c r="E270" s="5241"/>
      <c r="F270" s="5243">
        <f t="shared" si="18"/>
        <v>0</v>
      </c>
      <c r="G270" s="5241"/>
      <c r="H270" s="5241"/>
      <c r="I270" s="5243">
        <f t="shared" si="19"/>
        <v>0</v>
      </c>
      <c r="J270" s="5244">
        <f t="shared" si="23"/>
        <v>0</v>
      </c>
      <c r="K270" s="5245">
        <f t="shared" si="20"/>
        <v>0</v>
      </c>
      <c r="L270" s="5245">
        <f t="shared" si="21"/>
        <v>0</v>
      </c>
      <c r="M270" s="5245">
        <f t="shared" si="22"/>
        <v>0</v>
      </c>
    </row>
    <row r="271" spans="1:13" ht="14.85" customHeight="1">
      <c r="A271" s="5238">
        <v>235</v>
      </c>
      <c r="B271" s="5238" t="s">
        <v>3332</v>
      </c>
      <c r="C271" s="5239" t="s">
        <v>2085</v>
      </c>
      <c r="D271" s="5240"/>
      <c r="E271" s="5241"/>
      <c r="F271" s="5243">
        <f t="shared" si="18"/>
        <v>0</v>
      </c>
      <c r="G271" s="5241"/>
      <c r="H271" s="5241"/>
      <c r="I271" s="5243">
        <f t="shared" si="19"/>
        <v>0</v>
      </c>
      <c r="J271" s="5244">
        <f t="shared" si="23"/>
        <v>0</v>
      </c>
      <c r="K271" s="5245">
        <f t="shared" si="20"/>
        <v>0</v>
      </c>
      <c r="L271" s="5245">
        <f t="shared" si="21"/>
        <v>0</v>
      </c>
      <c r="M271" s="5245">
        <f t="shared" si="22"/>
        <v>0</v>
      </c>
    </row>
    <row r="272" spans="1:13" ht="14.85" customHeight="1">
      <c r="A272" s="5238">
        <v>235</v>
      </c>
      <c r="B272" s="5238" t="s">
        <v>3333</v>
      </c>
      <c r="C272" s="5239" t="s">
        <v>2086</v>
      </c>
      <c r="D272" s="5240"/>
      <c r="E272" s="5241"/>
      <c r="F272" s="5243">
        <f t="shared" si="18"/>
        <v>0</v>
      </c>
      <c r="G272" s="5241"/>
      <c r="H272" s="5241"/>
      <c r="I272" s="5243">
        <f t="shared" si="19"/>
        <v>0</v>
      </c>
      <c r="J272" s="5244">
        <f t="shared" si="23"/>
        <v>0</v>
      </c>
      <c r="K272" s="5245">
        <f t="shared" si="20"/>
        <v>0</v>
      </c>
      <c r="L272" s="5245">
        <f t="shared" si="21"/>
        <v>0</v>
      </c>
      <c r="M272" s="5245">
        <f t="shared" si="22"/>
        <v>0</v>
      </c>
    </row>
    <row r="273" spans="1:13" ht="14.85" customHeight="1">
      <c r="A273" s="5238">
        <v>237</v>
      </c>
      <c r="B273" s="5238" t="s">
        <v>3334</v>
      </c>
      <c r="C273" s="5239" t="s">
        <v>2087</v>
      </c>
      <c r="D273" s="5240"/>
      <c r="E273" s="5241"/>
      <c r="F273" s="5243">
        <f t="shared" si="18"/>
        <v>0</v>
      </c>
      <c r="G273" s="5241"/>
      <c r="H273" s="5241"/>
      <c r="I273" s="5243">
        <f t="shared" si="19"/>
        <v>0</v>
      </c>
      <c r="J273" s="5244">
        <f t="shared" si="23"/>
        <v>0</v>
      </c>
      <c r="K273" s="5245">
        <f t="shared" si="20"/>
        <v>0</v>
      </c>
      <c r="L273" s="5245">
        <f t="shared" si="21"/>
        <v>0</v>
      </c>
      <c r="M273" s="5245">
        <f t="shared" si="22"/>
        <v>0</v>
      </c>
    </row>
    <row r="274" spans="1:13" ht="14.85" customHeight="1">
      <c r="A274" s="5238">
        <v>237</v>
      </c>
      <c r="B274" s="5238" t="s">
        <v>3335</v>
      </c>
      <c r="C274" s="5239" t="s">
        <v>2088</v>
      </c>
      <c r="D274" s="5240"/>
      <c r="E274" s="5241"/>
      <c r="F274" s="5243">
        <f t="shared" si="18"/>
        <v>0</v>
      </c>
      <c r="G274" s="5241"/>
      <c r="H274" s="5241"/>
      <c r="I274" s="5243">
        <f t="shared" si="19"/>
        <v>0</v>
      </c>
      <c r="J274" s="5244">
        <f t="shared" si="23"/>
        <v>0</v>
      </c>
      <c r="K274" s="5245">
        <f t="shared" si="20"/>
        <v>0</v>
      </c>
      <c r="L274" s="5245">
        <f t="shared" si="21"/>
        <v>0</v>
      </c>
      <c r="M274" s="5245">
        <f t="shared" si="22"/>
        <v>0</v>
      </c>
    </row>
    <row r="275" spans="1:13" ht="14.85" customHeight="1">
      <c r="A275" s="5238">
        <v>239</v>
      </c>
      <c r="B275" s="5238" t="s">
        <v>3336</v>
      </c>
      <c r="C275" s="5239" t="s">
        <v>2089</v>
      </c>
      <c r="D275" s="5240"/>
      <c r="E275" s="5241"/>
      <c r="F275" s="5243">
        <f t="shared" si="18"/>
        <v>0</v>
      </c>
      <c r="G275" s="5241"/>
      <c r="H275" s="5241"/>
      <c r="I275" s="5243">
        <f t="shared" si="19"/>
        <v>0</v>
      </c>
      <c r="J275" s="5244">
        <f t="shared" si="23"/>
        <v>0</v>
      </c>
      <c r="K275" s="5245">
        <f t="shared" si="20"/>
        <v>0</v>
      </c>
      <c r="L275" s="5245">
        <f t="shared" si="21"/>
        <v>0</v>
      </c>
      <c r="M275" s="5245">
        <f t="shared" si="22"/>
        <v>0</v>
      </c>
    </row>
    <row r="276" spans="1:13" ht="14.85" customHeight="1">
      <c r="A276" s="5238">
        <v>239</v>
      </c>
      <c r="B276" s="5238" t="s">
        <v>3337</v>
      </c>
      <c r="C276" s="5239" t="s">
        <v>4583</v>
      </c>
      <c r="D276" s="5240"/>
      <c r="E276" s="5241"/>
      <c r="F276" s="5243">
        <f t="shared" si="18"/>
        <v>0</v>
      </c>
      <c r="G276" s="5241"/>
      <c r="H276" s="5241"/>
      <c r="I276" s="5243">
        <f t="shared" si="19"/>
        <v>0</v>
      </c>
      <c r="J276" s="5244">
        <f t="shared" si="23"/>
        <v>0</v>
      </c>
      <c r="K276" s="5245">
        <f t="shared" si="20"/>
        <v>0</v>
      </c>
      <c r="L276" s="5245">
        <f t="shared" si="21"/>
        <v>0</v>
      </c>
      <c r="M276" s="5245">
        <f t="shared" si="22"/>
        <v>0</v>
      </c>
    </row>
    <row r="277" spans="1:13" ht="14.85" customHeight="1">
      <c r="A277" s="5238">
        <v>240</v>
      </c>
      <c r="B277" s="5238" t="s">
        <v>3338</v>
      </c>
      <c r="C277" s="5239" t="s">
        <v>2090</v>
      </c>
      <c r="D277" s="5240"/>
      <c r="E277" s="5241"/>
      <c r="F277" s="5243">
        <f t="shared" si="18"/>
        <v>0</v>
      </c>
      <c r="G277" s="5241"/>
      <c r="H277" s="5241"/>
      <c r="I277" s="5243">
        <f t="shared" si="19"/>
        <v>0</v>
      </c>
      <c r="J277" s="5244">
        <f t="shared" si="23"/>
        <v>0</v>
      </c>
      <c r="K277" s="5245">
        <f t="shared" si="20"/>
        <v>0</v>
      </c>
      <c r="L277" s="5245">
        <f t="shared" si="21"/>
        <v>0</v>
      </c>
      <c r="M277" s="5245">
        <f t="shared" si="22"/>
        <v>0</v>
      </c>
    </row>
    <row r="278" spans="1:13" ht="14.85" customHeight="1">
      <c r="A278" s="5238">
        <v>240</v>
      </c>
      <c r="B278" s="5238" t="s">
        <v>3339</v>
      </c>
      <c r="C278" s="5239" t="s">
        <v>4499</v>
      </c>
      <c r="D278" s="5240"/>
      <c r="E278" s="5241"/>
      <c r="F278" s="5243">
        <f t="shared" si="18"/>
        <v>0</v>
      </c>
      <c r="G278" s="5241"/>
      <c r="H278" s="5241"/>
      <c r="I278" s="5243">
        <f t="shared" si="19"/>
        <v>0</v>
      </c>
      <c r="J278" s="5244">
        <f t="shared" si="23"/>
        <v>0</v>
      </c>
      <c r="K278" s="5245">
        <f t="shared" si="20"/>
        <v>0</v>
      </c>
      <c r="L278" s="5245">
        <f t="shared" si="21"/>
        <v>0</v>
      </c>
      <c r="M278" s="5245">
        <f t="shared" si="22"/>
        <v>0</v>
      </c>
    </row>
    <row r="279" spans="1:13" ht="14.85" customHeight="1">
      <c r="A279" s="5238">
        <v>240</v>
      </c>
      <c r="B279" s="5238" t="s">
        <v>3340</v>
      </c>
      <c r="C279" s="5239" t="s">
        <v>2091</v>
      </c>
      <c r="D279" s="5240"/>
      <c r="E279" s="5241"/>
      <c r="F279" s="5243">
        <f t="shared" si="18"/>
        <v>0</v>
      </c>
      <c r="G279" s="5241"/>
      <c r="H279" s="5241"/>
      <c r="I279" s="5243">
        <f t="shared" si="19"/>
        <v>0</v>
      </c>
      <c r="J279" s="5244">
        <f t="shared" si="23"/>
        <v>0</v>
      </c>
      <c r="K279" s="5245">
        <f t="shared" si="20"/>
        <v>0</v>
      </c>
      <c r="L279" s="5245">
        <f t="shared" si="21"/>
        <v>0</v>
      </c>
      <c r="M279" s="5245">
        <f t="shared" si="22"/>
        <v>0</v>
      </c>
    </row>
    <row r="280" spans="1:13" ht="14.85" customHeight="1">
      <c r="A280" s="5238">
        <v>240</v>
      </c>
      <c r="B280" s="5238" t="s">
        <v>3341</v>
      </c>
      <c r="C280" s="5239" t="s">
        <v>2092</v>
      </c>
      <c r="D280" s="5240"/>
      <c r="E280" s="5241"/>
      <c r="F280" s="5243">
        <f t="shared" si="18"/>
        <v>0</v>
      </c>
      <c r="G280" s="5241"/>
      <c r="H280" s="5241"/>
      <c r="I280" s="5243">
        <f t="shared" si="19"/>
        <v>0</v>
      </c>
      <c r="J280" s="5244">
        <f t="shared" si="23"/>
        <v>0</v>
      </c>
      <c r="K280" s="5245">
        <f t="shared" si="20"/>
        <v>0</v>
      </c>
      <c r="L280" s="5245">
        <f t="shared" si="21"/>
        <v>0</v>
      </c>
      <c r="M280" s="5245">
        <f t="shared" si="22"/>
        <v>0</v>
      </c>
    </row>
    <row r="281" spans="1:13" ht="14.85" customHeight="1">
      <c r="A281" s="5238">
        <v>241</v>
      </c>
      <c r="B281" s="5238" t="s">
        <v>3342</v>
      </c>
      <c r="C281" s="5239" t="s">
        <v>2093</v>
      </c>
      <c r="D281" s="5240"/>
      <c r="E281" s="5241"/>
      <c r="F281" s="5243">
        <f t="shared" si="18"/>
        <v>0</v>
      </c>
      <c r="G281" s="5241"/>
      <c r="H281" s="5241"/>
      <c r="I281" s="5243">
        <f t="shared" si="19"/>
        <v>0</v>
      </c>
      <c r="J281" s="5244">
        <f t="shared" si="23"/>
        <v>0</v>
      </c>
      <c r="K281" s="5245">
        <f t="shared" si="20"/>
        <v>0</v>
      </c>
      <c r="L281" s="5245">
        <f t="shared" si="21"/>
        <v>0</v>
      </c>
      <c r="M281" s="5245">
        <f t="shared" si="22"/>
        <v>0</v>
      </c>
    </row>
    <row r="282" spans="1:13" ht="14.85" customHeight="1">
      <c r="A282" s="5238">
        <v>241</v>
      </c>
      <c r="B282" s="5238" t="s">
        <v>3343</v>
      </c>
      <c r="C282" s="5239" t="s">
        <v>2094</v>
      </c>
      <c r="D282" s="5240"/>
      <c r="E282" s="5241"/>
      <c r="F282" s="5243">
        <f t="shared" si="18"/>
        <v>0</v>
      </c>
      <c r="G282" s="5241"/>
      <c r="H282" s="5241"/>
      <c r="I282" s="5243">
        <f t="shared" si="19"/>
        <v>0</v>
      </c>
      <c r="J282" s="5244">
        <f t="shared" si="23"/>
        <v>0</v>
      </c>
      <c r="K282" s="5245">
        <f t="shared" si="20"/>
        <v>0</v>
      </c>
      <c r="L282" s="5245">
        <f t="shared" si="21"/>
        <v>0</v>
      </c>
      <c r="M282" s="5245">
        <f t="shared" si="22"/>
        <v>0</v>
      </c>
    </row>
    <row r="283" spans="1:13" ht="14.85" customHeight="1">
      <c r="A283" s="5238">
        <v>242</v>
      </c>
      <c r="B283" s="5238" t="s">
        <v>3344</v>
      </c>
      <c r="C283" s="5239" t="s">
        <v>2095</v>
      </c>
      <c r="D283" s="5240"/>
      <c r="E283" s="5241"/>
      <c r="F283" s="5243">
        <f t="shared" si="18"/>
        <v>0</v>
      </c>
      <c r="G283" s="5241"/>
      <c r="H283" s="5241"/>
      <c r="I283" s="5243">
        <f t="shared" si="19"/>
        <v>0</v>
      </c>
      <c r="J283" s="5244">
        <f t="shared" si="23"/>
        <v>0</v>
      </c>
      <c r="K283" s="5245">
        <f t="shared" si="20"/>
        <v>0</v>
      </c>
      <c r="L283" s="5245">
        <f t="shared" si="21"/>
        <v>0</v>
      </c>
      <c r="M283" s="5245">
        <f t="shared" si="22"/>
        <v>0</v>
      </c>
    </row>
    <row r="284" spans="1:13" ht="14.85" customHeight="1">
      <c r="A284" s="5238">
        <v>242</v>
      </c>
      <c r="B284" s="5238" t="s">
        <v>3345</v>
      </c>
      <c r="C284" s="5239" t="s">
        <v>2096</v>
      </c>
      <c r="D284" s="5240"/>
      <c r="E284" s="5241"/>
      <c r="F284" s="5243">
        <f t="shared" si="18"/>
        <v>0</v>
      </c>
      <c r="G284" s="5241"/>
      <c r="H284" s="5241"/>
      <c r="I284" s="5243">
        <f t="shared" si="19"/>
        <v>0</v>
      </c>
      <c r="J284" s="5244">
        <f t="shared" si="23"/>
        <v>0</v>
      </c>
      <c r="K284" s="5245">
        <f t="shared" si="20"/>
        <v>0</v>
      </c>
      <c r="L284" s="5245">
        <f t="shared" si="21"/>
        <v>0</v>
      </c>
      <c r="M284" s="5245">
        <f t="shared" si="22"/>
        <v>0</v>
      </c>
    </row>
    <row r="285" spans="1:13" ht="14.85" customHeight="1">
      <c r="A285" s="5238">
        <v>243</v>
      </c>
      <c r="B285" s="5238" t="s">
        <v>3346</v>
      </c>
      <c r="C285" s="5239" t="s">
        <v>2097</v>
      </c>
      <c r="D285" s="5240"/>
      <c r="E285" s="5241"/>
      <c r="F285" s="5243">
        <f t="shared" si="18"/>
        <v>0</v>
      </c>
      <c r="G285" s="5241"/>
      <c r="H285" s="5241"/>
      <c r="I285" s="5243">
        <f t="shared" si="19"/>
        <v>0</v>
      </c>
      <c r="J285" s="5244">
        <f t="shared" si="23"/>
        <v>0</v>
      </c>
      <c r="K285" s="5245">
        <f t="shared" si="20"/>
        <v>0</v>
      </c>
      <c r="L285" s="5245">
        <f t="shared" si="21"/>
        <v>0</v>
      </c>
      <c r="M285" s="5245">
        <f t="shared" si="22"/>
        <v>0</v>
      </c>
    </row>
    <row r="286" spans="1:13" ht="14.85" customHeight="1">
      <c r="A286" s="5238">
        <v>243</v>
      </c>
      <c r="B286" s="5238" t="s">
        <v>3347</v>
      </c>
      <c r="C286" s="5239" t="s">
        <v>2098</v>
      </c>
      <c r="D286" s="5240"/>
      <c r="E286" s="5241"/>
      <c r="F286" s="5243">
        <f t="shared" si="18"/>
        <v>0</v>
      </c>
      <c r="G286" s="5241"/>
      <c r="H286" s="5241"/>
      <c r="I286" s="5243">
        <f t="shared" si="19"/>
        <v>0</v>
      </c>
      <c r="J286" s="5244">
        <f t="shared" si="23"/>
        <v>0</v>
      </c>
      <c r="K286" s="5245">
        <f t="shared" si="20"/>
        <v>0</v>
      </c>
      <c r="L286" s="5245">
        <f t="shared" si="21"/>
        <v>0</v>
      </c>
      <c r="M286" s="5245">
        <f t="shared" si="22"/>
        <v>0</v>
      </c>
    </row>
    <row r="287" spans="1:13" ht="14.85" customHeight="1">
      <c r="A287" s="5238">
        <v>243</v>
      </c>
      <c r="B287" s="5238" t="s">
        <v>3348</v>
      </c>
      <c r="C287" s="5239" t="s">
        <v>2099</v>
      </c>
      <c r="D287" s="5240"/>
      <c r="E287" s="5241"/>
      <c r="F287" s="5243">
        <f t="shared" si="18"/>
        <v>0</v>
      </c>
      <c r="G287" s="5241"/>
      <c r="H287" s="5241"/>
      <c r="I287" s="5243">
        <f t="shared" si="19"/>
        <v>0</v>
      </c>
      <c r="J287" s="5244">
        <f t="shared" si="23"/>
        <v>0</v>
      </c>
      <c r="K287" s="5245">
        <f t="shared" si="20"/>
        <v>0</v>
      </c>
      <c r="L287" s="5245">
        <f t="shared" si="21"/>
        <v>0</v>
      </c>
      <c r="M287" s="5245">
        <f t="shared" si="22"/>
        <v>0</v>
      </c>
    </row>
    <row r="288" spans="1:13" ht="14.85" customHeight="1">
      <c r="A288" s="5238">
        <v>243</v>
      </c>
      <c r="B288" s="5238" t="s">
        <v>3349</v>
      </c>
      <c r="C288" s="5239" t="s">
        <v>2100</v>
      </c>
      <c r="D288" s="5240"/>
      <c r="E288" s="5241"/>
      <c r="F288" s="5243">
        <f t="shared" si="18"/>
        <v>0</v>
      </c>
      <c r="G288" s="5241"/>
      <c r="H288" s="5241"/>
      <c r="I288" s="5243">
        <f t="shared" si="19"/>
        <v>0</v>
      </c>
      <c r="J288" s="5244">
        <f t="shared" si="23"/>
        <v>0</v>
      </c>
      <c r="K288" s="5245">
        <f t="shared" si="20"/>
        <v>0</v>
      </c>
      <c r="L288" s="5245">
        <f t="shared" si="21"/>
        <v>0</v>
      </c>
      <c r="M288" s="5245">
        <f t="shared" si="22"/>
        <v>0</v>
      </c>
    </row>
    <row r="289" spans="1:13" ht="14.85" customHeight="1">
      <c r="A289" s="5238">
        <v>244</v>
      </c>
      <c r="B289" s="5238" t="s">
        <v>3350</v>
      </c>
      <c r="C289" s="5239" t="s">
        <v>2101</v>
      </c>
      <c r="D289" s="5240"/>
      <c r="E289" s="5241"/>
      <c r="F289" s="5243">
        <f t="shared" ref="F289:F352" si="24">SUM(D289:E289)</f>
        <v>0</v>
      </c>
      <c r="G289" s="5241"/>
      <c r="H289" s="5241"/>
      <c r="I289" s="5243">
        <f t="shared" ref="I289:I352" si="25">SUM(G289:H289)</f>
        <v>0</v>
      </c>
      <c r="J289" s="5244">
        <f t="shared" si="23"/>
        <v>0</v>
      </c>
      <c r="K289" s="5245">
        <f t="shared" ref="K289:K352" si="26">IF(AND((J289-35%)&gt;0,J289&lt;50%),I289*(J289-35%)*0.7,0)</f>
        <v>0</v>
      </c>
      <c r="L289" s="5245">
        <f t="shared" ref="L289:L352" si="27">IF(J289&gt;=50%,I289*10.5%,0)</f>
        <v>0</v>
      </c>
      <c r="M289" s="5245">
        <f t="shared" ref="M289:M352" si="28">MAX(K289,L289)</f>
        <v>0</v>
      </c>
    </row>
    <row r="290" spans="1:13" ht="14.85" customHeight="1">
      <c r="A290" s="5238">
        <v>244</v>
      </c>
      <c r="B290" s="5238" t="s">
        <v>3351</v>
      </c>
      <c r="C290" s="5239" t="s">
        <v>2102</v>
      </c>
      <c r="D290" s="5240"/>
      <c r="E290" s="5241"/>
      <c r="F290" s="5243">
        <f t="shared" si="24"/>
        <v>0</v>
      </c>
      <c r="G290" s="5241"/>
      <c r="H290" s="5241"/>
      <c r="I290" s="5243">
        <f t="shared" si="25"/>
        <v>0</v>
      </c>
      <c r="J290" s="5244">
        <f t="shared" si="23"/>
        <v>0</v>
      </c>
      <c r="K290" s="5245">
        <f t="shared" si="26"/>
        <v>0</v>
      </c>
      <c r="L290" s="5245">
        <f t="shared" si="27"/>
        <v>0</v>
      </c>
      <c r="M290" s="5245">
        <f t="shared" si="28"/>
        <v>0</v>
      </c>
    </row>
    <row r="291" spans="1:13" ht="14.85" customHeight="1">
      <c r="A291" s="5238">
        <v>244</v>
      </c>
      <c r="B291" s="5238" t="s">
        <v>3352</v>
      </c>
      <c r="C291" s="5239" t="s">
        <v>2103</v>
      </c>
      <c r="D291" s="5240"/>
      <c r="E291" s="5241"/>
      <c r="F291" s="5243">
        <f t="shared" si="24"/>
        <v>0</v>
      </c>
      <c r="G291" s="5241"/>
      <c r="H291" s="5241"/>
      <c r="I291" s="5243">
        <f t="shared" si="25"/>
        <v>0</v>
      </c>
      <c r="J291" s="5244">
        <f t="shared" si="23"/>
        <v>0</v>
      </c>
      <c r="K291" s="5245">
        <f t="shared" si="26"/>
        <v>0</v>
      </c>
      <c r="L291" s="5245">
        <f t="shared" si="27"/>
        <v>0</v>
      </c>
      <c r="M291" s="5245">
        <f t="shared" si="28"/>
        <v>0</v>
      </c>
    </row>
    <row r="292" spans="1:13" ht="14.85" customHeight="1">
      <c r="A292" s="5238">
        <v>245</v>
      </c>
      <c r="B292" s="5238" t="s">
        <v>3353</v>
      </c>
      <c r="C292" s="5239" t="s">
        <v>2104</v>
      </c>
      <c r="D292" s="5240"/>
      <c r="E292" s="5241"/>
      <c r="F292" s="5243">
        <f t="shared" si="24"/>
        <v>0</v>
      </c>
      <c r="G292" s="5241"/>
      <c r="H292" s="5241"/>
      <c r="I292" s="5243">
        <f t="shared" si="25"/>
        <v>0</v>
      </c>
      <c r="J292" s="5244">
        <f t="shared" ref="J292:J355" si="29">IF(ISERROR(I292/F292),0,I292/F292)</f>
        <v>0</v>
      </c>
      <c r="K292" s="5245">
        <f t="shared" si="26"/>
        <v>0</v>
      </c>
      <c r="L292" s="5245">
        <f t="shared" si="27"/>
        <v>0</v>
      </c>
      <c r="M292" s="5245">
        <f t="shared" si="28"/>
        <v>0</v>
      </c>
    </row>
    <row r="293" spans="1:13" ht="14.85" customHeight="1">
      <c r="A293" s="5238">
        <v>245</v>
      </c>
      <c r="B293" s="5238" t="s">
        <v>3354</v>
      </c>
      <c r="C293" s="5239" t="s">
        <v>4956</v>
      </c>
      <c r="D293" s="5240"/>
      <c r="E293" s="5241"/>
      <c r="F293" s="5243">
        <f t="shared" si="24"/>
        <v>0</v>
      </c>
      <c r="G293" s="5241"/>
      <c r="H293" s="5241"/>
      <c r="I293" s="5243">
        <f t="shared" si="25"/>
        <v>0</v>
      </c>
      <c r="J293" s="5244">
        <f t="shared" si="29"/>
        <v>0</v>
      </c>
      <c r="K293" s="5245">
        <f t="shared" si="26"/>
        <v>0</v>
      </c>
      <c r="L293" s="5245">
        <f t="shared" si="27"/>
        <v>0</v>
      </c>
      <c r="M293" s="5245">
        <f t="shared" si="28"/>
        <v>0</v>
      </c>
    </row>
    <row r="294" spans="1:13" ht="14.85" customHeight="1">
      <c r="A294" s="5238">
        <v>245</v>
      </c>
      <c r="B294" s="5238" t="s">
        <v>3355</v>
      </c>
      <c r="C294" s="5239" t="s">
        <v>4957</v>
      </c>
      <c r="D294" s="5240"/>
      <c r="E294" s="5241"/>
      <c r="F294" s="5243">
        <f t="shared" si="24"/>
        <v>0</v>
      </c>
      <c r="G294" s="5241"/>
      <c r="H294" s="5241"/>
      <c r="I294" s="5243">
        <f t="shared" si="25"/>
        <v>0</v>
      </c>
      <c r="J294" s="5244">
        <f t="shared" si="29"/>
        <v>0</v>
      </c>
      <c r="K294" s="5245">
        <f t="shared" si="26"/>
        <v>0</v>
      </c>
      <c r="L294" s="5245">
        <f t="shared" si="27"/>
        <v>0</v>
      </c>
      <c r="M294" s="5245">
        <f t="shared" si="28"/>
        <v>0</v>
      </c>
    </row>
    <row r="295" spans="1:13" ht="14.85" customHeight="1">
      <c r="A295" s="5238">
        <v>246</v>
      </c>
      <c r="B295" s="5238" t="s">
        <v>3356</v>
      </c>
      <c r="C295" s="5239" t="s">
        <v>2105</v>
      </c>
      <c r="D295" s="5240"/>
      <c r="E295" s="5241"/>
      <c r="F295" s="5243">
        <f t="shared" si="24"/>
        <v>0</v>
      </c>
      <c r="G295" s="5241"/>
      <c r="H295" s="5241"/>
      <c r="I295" s="5243">
        <f t="shared" si="25"/>
        <v>0</v>
      </c>
      <c r="J295" s="5244">
        <f t="shared" si="29"/>
        <v>0</v>
      </c>
      <c r="K295" s="5245">
        <f t="shared" si="26"/>
        <v>0</v>
      </c>
      <c r="L295" s="5245">
        <f t="shared" si="27"/>
        <v>0</v>
      </c>
      <c r="M295" s="5245">
        <f t="shared" si="28"/>
        <v>0</v>
      </c>
    </row>
    <row r="296" spans="1:13" ht="14.85" customHeight="1">
      <c r="A296" s="5238">
        <v>246</v>
      </c>
      <c r="B296" s="5238" t="s">
        <v>3357</v>
      </c>
      <c r="C296" s="5239" t="s">
        <v>2106</v>
      </c>
      <c r="D296" s="5240"/>
      <c r="E296" s="5241"/>
      <c r="F296" s="5243">
        <f t="shared" si="24"/>
        <v>0</v>
      </c>
      <c r="G296" s="5241"/>
      <c r="H296" s="5241"/>
      <c r="I296" s="5243">
        <f t="shared" si="25"/>
        <v>0</v>
      </c>
      <c r="J296" s="5244">
        <f t="shared" si="29"/>
        <v>0</v>
      </c>
      <c r="K296" s="5245">
        <f t="shared" si="26"/>
        <v>0</v>
      </c>
      <c r="L296" s="5245">
        <f t="shared" si="27"/>
        <v>0</v>
      </c>
      <c r="M296" s="5245">
        <f t="shared" si="28"/>
        <v>0</v>
      </c>
    </row>
    <row r="297" spans="1:13" ht="14.85" customHeight="1">
      <c r="A297" s="5238">
        <v>247</v>
      </c>
      <c r="B297" s="5238" t="s">
        <v>3358</v>
      </c>
      <c r="C297" s="5239" t="s">
        <v>4958</v>
      </c>
      <c r="D297" s="5240"/>
      <c r="E297" s="5241"/>
      <c r="F297" s="5243">
        <f t="shared" si="24"/>
        <v>0</v>
      </c>
      <c r="G297" s="5241"/>
      <c r="H297" s="5241"/>
      <c r="I297" s="5243">
        <f t="shared" si="25"/>
        <v>0</v>
      </c>
      <c r="J297" s="5244">
        <f t="shared" si="29"/>
        <v>0</v>
      </c>
      <c r="K297" s="5245">
        <f t="shared" si="26"/>
        <v>0</v>
      </c>
      <c r="L297" s="5245">
        <f t="shared" si="27"/>
        <v>0</v>
      </c>
      <c r="M297" s="5245">
        <f t="shared" si="28"/>
        <v>0</v>
      </c>
    </row>
    <row r="298" spans="1:13" ht="14.85" customHeight="1">
      <c r="A298" s="5238">
        <v>247</v>
      </c>
      <c r="B298" s="5238" t="s">
        <v>3359</v>
      </c>
      <c r="C298" s="5239" t="s">
        <v>2107</v>
      </c>
      <c r="D298" s="5240"/>
      <c r="E298" s="5241"/>
      <c r="F298" s="5243">
        <f t="shared" si="24"/>
        <v>0</v>
      </c>
      <c r="G298" s="5241"/>
      <c r="H298" s="5241"/>
      <c r="I298" s="5243">
        <f t="shared" si="25"/>
        <v>0</v>
      </c>
      <c r="J298" s="5244">
        <f t="shared" si="29"/>
        <v>0</v>
      </c>
      <c r="K298" s="5245">
        <f t="shared" si="26"/>
        <v>0</v>
      </c>
      <c r="L298" s="5245">
        <f t="shared" si="27"/>
        <v>0</v>
      </c>
      <c r="M298" s="5245">
        <f t="shared" si="28"/>
        <v>0</v>
      </c>
    </row>
    <row r="299" spans="1:13" ht="14.85" customHeight="1">
      <c r="A299" s="5238">
        <v>247</v>
      </c>
      <c r="B299" s="5238" t="s">
        <v>3360</v>
      </c>
      <c r="C299" s="5239" t="s">
        <v>2108</v>
      </c>
      <c r="D299" s="5240"/>
      <c r="E299" s="5241"/>
      <c r="F299" s="5243">
        <f t="shared" si="24"/>
        <v>0</v>
      </c>
      <c r="G299" s="5241"/>
      <c r="H299" s="5241"/>
      <c r="I299" s="5243">
        <f t="shared" si="25"/>
        <v>0</v>
      </c>
      <c r="J299" s="5244">
        <f t="shared" si="29"/>
        <v>0</v>
      </c>
      <c r="K299" s="5245">
        <f t="shared" si="26"/>
        <v>0</v>
      </c>
      <c r="L299" s="5245">
        <f t="shared" si="27"/>
        <v>0</v>
      </c>
      <c r="M299" s="5245">
        <f t="shared" si="28"/>
        <v>0</v>
      </c>
    </row>
    <row r="300" spans="1:13" ht="14.85" customHeight="1">
      <c r="A300" s="5238">
        <v>248</v>
      </c>
      <c r="B300" s="5238" t="s">
        <v>3361</v>
      </c>
      <c r="C300" s="5239" t="s">
        <v>2109</v>
      </c>
      <c r="D300" s="5240"/>
      <c r="E300" s="5241"/>
      <c r="F300" s="5243">
        <f t="shared" si="24"/>
        <v>0</v>
      </c>
      <c r="G300" s="5241"/>
      <c r="H300" s="5241"/>
      <c r="I300" s="5243">
        <f t="shared" si="25"/>
        <v>0</v>
      </c>
      <c r="J300" s="5244">
        <f t="shared" si="29"/>
        <v>0</v>
      </c>
      <c r="K300" s="5245">
        <f t="shared" si="26"/>
        <v>0</v>
      </c>
      <c r="L300" s="5245">
        <f t="shared" si="27"/>
        <v>0</v>
      </c>
      <c r="M300" s="5245">
        <f t="shared" si="28"/>
        <v>0</v>
      </c>
    </row>
    <row r="301" spans="1:13" ht="14.85" customHeight="1">
      <c r="A301" s="5238">
        <v>248</v>
      </c>
      <c r="B301" s="5238" t="s">
        <v>3362</v>
      </c>
      <c r="C301" s="5239" t="s">
        <v>2110</v>
      </c>
      <c r="D301" s="5240"/>
      <c r="E301" s="5241"/>
      <c r="F301" s="5243">
        <f t="shared" si="24"/>
        <v>0</v>
      </c>
      <c r="G301" s="5241"/>
      <c r="H301" s="5241"/>
      <c r="I301" s="5243">
        <f t="shared" si="25"/>
        <v>0</v>
      </c>
      <c r="J301" s="5244">
        <f t="shared" si="29"/>
        <v>0</v>
      </c>
      <c r="K301" s="5245">
        <f t="shared" si="26"/>
        <v>0</v>
      </c>
      <c r="L301" s="5245">
        <f t="shared" si="27"/>
        <v>0</v>
      </c>
      <c r="M301" s="5245">
        <f t="shared" si="28"/>
        <v>0</v>
      </c>
    </row>
    <row r="302" spans="1:13" ht="14.85" customHeight="1">
      <c r="A302" s="5238">
        <v>248</v>
      </c>
      <c r="B302" s="5238" t="s">
        <v>3363</v>
      </c>
      <c r="C302" s="5239" t="s">
        <v>2111</v>
      </c>
      <c r="D302" s="5240"/>
      <c r="E302" s="5241"/>
      <c r="F302" s="5243">
        <f t="shared" si="24"/>
        <v>0</v>
      </c>
      <c r="G302" s="5241"/>
      <c r="H302" s="5241"/>
      <c r="I302" s="5243">
        <f t="shared" si="25"/>
        <v>0</v>
      </c>
      <c r="J302" s="5244">
        <f t="shared" si="29"/>
        <v>0</v>
      </c>
      <c r="K302" s="5245">
        <f t="shared" si="26"/>
        <v>0</v>
      </c>
      <c r="L302" s="5245">
        <f t="shared" si="27"/>
        <v>0</v>
      </c>
      <c r="M302" s="5245">
        <f t="shared" si="28"/>
        <v>0</v>
      </c>
    </row>
    <row r="303" spans="1:13" ht="14.85" customHeight="1">
      <c r="A303" s="5238">
        <v>249</v>
      </c>
      <c r="B303" s="5238" t="s">
        <v>3364</v>
      </c>
      <c r="C303" s="5239" t="s">
        <v>2112</v>
      </c>
      <c r="D303" s="5240"/>
      <c r="E303" s="5241"/>
      <c r="F303" s="5243">
        <f t="shared" si="24"/>
        <v>0</v>
      </c>
      <c r="G303" s="5241"/>
      <c r="H303" s="5241"/>
      <c r="I303" s="5243">
        <f t="shared" si="25"/>
        <v>0</v>
      </c>
      <c r="J303" s="5244">
        <f t="shared" si="29"/>
        <v>0</v>
      </c>
      <c r="K303" s="5245">
        <f t="shared" si="26"/>
        <v>0</v>
      </c>
      <c r="L303" s="5245">
        <f t="shared" si="27"/>
        <v>0</v>
      </c>
      <c r="M303" s="5245">
        <f t="shared" si="28"/>
        <v>0</v>
      </c>
    </row>
    <row r="304" spans="1:13" ht="14.85" customHeight="1">
      <c r="A304" s="5238">
        <v>249</v>
      </c>
      <c r="B304" s="5238" t="s">
        <v>3365</v>
      </c>
      <c r="C304" s="5239" t="s">
        <v>2113</v>
      </c>
      <c r="D304" s="5240"/>
      <c r="E304" s="5241"/>
      <c r="F304" s="5243">
        <f t="shared" si="24"/>
        <v>0</v>
      </c>
      <c r="G304" s="5241"/>
      <c r="H304" s="5241"/>
      <c r="I304" s="5243">
        <f t="shared" si="25"/>
        <v>0</v>
      </c>
      <c r="J304" s="5244">
        <f t="shared" si="29"/>
        <v>0</v>
      </c>
      <c r="K304" s="5245">
        <f t="shared" si="26"/>
        <v>0</v>
      </c>
      <c r="L304" s="5245">
        <f t="shared" si="27"/>
        <v>0</v>
      </c>
      <c r="M304" s="5245">
        <f t="shared" si="28"/>
        <v>0</v>
      </c>
    </row>
    <row r="305" spans="1:13" ht="14.85" customHeight="1">
      <c r="A305" s="5238">
        <v>249</v>
      </c>
      <c r="B305" s="5238" t="s">
        <v>3366</v>
      </c>
      <c r="C305" s="5239" t="s">
        <v>2114</v>
      </c>
      <c r="D305" s="5240"/>
      <c r="E305" s="5241"/>
      <c r="F305" s="5243">
        <f t="shared" si="24"/>
        <v>0</v>
      </c>
      <c r="G305" s="5241"/>
      <c r="H305" s="5241"/>
      <c r="I305" s="5243">
        <f t="shared" si="25"/>
        <v>0</v>
      </c>
      <c r="J305" s="5244">
        <f t="shared" si="29"/>
        <v>0</v>
      </c>
      <c r="K305" s="5245">
        <f t="shared" si="26"/>
        <v>0</v>
      </c>
      <c r="L305" s="5245">
        <f t="shared" si="27"/>
        <v>0</v>
      </c>
      <c r="M305" s="5245">
        <f t="shared" si="28"/>
        <v>0</v>
      </c>
    </row>
    <row r="306" spans="1:13" ht="14.85" customHeight="1">
      <c r="A306" s="5238">
        <v>250</v>
      </c>
      <c r="B306" s="5238" t="s">
        <v>3367</v>
      </c>
      <c r="C306" s="5239" t="s">
        <v>2115</v>
      </c>
      <c r="D306" s="5240"/>
      <c r="E306" s="5241"/>
      <c r="F306" s="5243">
        <f t="shared" si="24"/>
        <v>0</v>
      </c>
      <c r="G306" s="5241"/>
      <c r="H306" s="5241"/>
      <c r="I306" s="5243">
        <f t="shared" si="25"/>
        <v>0</v>
      </c>
      <c r="J306" s="5244">
        <f t="shared" si="29"/>
        <v>0</v>
      </c>
      <c r="K306" s="5245">
        <f t="shared" si="26"/>
        <v>0</v>
      </c>
      <c r="L306" s="5245">
        <f t="shared" si="27"/>
        <v>0</v>
      </c>
      <c r="M306" s="5245">
        <f t="shared" si="28"/>
        <v>0</v>
      </c>
    </row>
    <row r="307" spans="1:13" ht="14.85" customHeight="1">
      <c r="A307" s="5238">
        <v>250</v>
      </c>
      <c r="B307" s="5238" t="s">
        <v>3368</v>
      </c>
      <c r="C307" s="5239" t="s">
        <v>2116</v>
      </c>
      <c r="D307" s="5240"/>
      <c r="E307" s="5241"/>
      <c r="F307" s="5243">
        <f t="shared" si="24"/>
        <v>0</v>
      </c>
      <c r="G307" s="5241"/>
      <c r="H307" s="5241"/>
      <c r="I307" s="5243">
        <f t="shared" si="25"/>
        <v>0</v>
      </c>
      <c r="J307" s="5244">
        <f t="shared" si="29"/>
        <v>0</v>
      </c>
      <c r="K307" s="5245">
        <f t="shared" si="26"/>
        <v>0</v>
      </c>
      <c r="L307" s="5245">
        <f t="shared" si="27"/>
        <v>0</v>
      </c>
      <c r="M307" s="5245">
        <f t="shared" si="28"/>
        <v>0</v>
      </c>
    </row>
    <row r="308" spans="1:13" ht="14.85" customHeight="1">
      <c r="A308" s="5238">
        <v>250</v>
      </c>
      <c r="B308" s="5238" t="s">
        <v>3369</v>
      </c>
      <c r="C308" s="5239" t="s">
        <v>2117</v>
      </c>
      <c r="D308" s="5240"/>
      <c r="E308" s="5241"/>
      <c r="F308" s="5243">
        <f t="shared" si="24"/>
        <v>0</v>
      </c>
      <c r="G308" s="5241"/>
      <c r="H308" s="5241"/>
      <c r="I308" s="5243">
        <f t="shared" si="25"/>
        <v>0</v>
      </c>
      <c r="J308" s="5244">
        <f t="shared" si="29"/>
        <v>0</v>
      </c>
      <c r="K308" s="5245">
        <f t="shared" si="26"/>
        <v>0</v>
      </c>
      <c r="L308" s="5245">
        <f t="shared" si="27"/>
        <v>0</v>
      </c>
      <c r="M308" s="5245">
        <f t="shared" si="28"/>
        <v>0</v>
      </c>
    </row>
    <row r="309" spans="1:13" ht="14.85" customHeight="1">
      <c r="A309" s="5238">
        <v>250</v>
      </c>
      <c r="B309" s="5238" t="s">
        <v>3370</v>
      </c>
      <c r="C309" s="5239" t="s">
        <v>2118</v>
      </c>
      <c r="D309" s="5240"/>
      <c r="E309" s="5241"/>
      <c r="F309" s="5243">
        <f t="shared" si="24"/>
        <v>0</v>
      </c>
      <c r="G309" s="5241"/>
      <c r="H309" s="5241"/>
      <c r="I309" s="5243">
        <f t="shared" si="25"/>
        <v>0</v>
      </c>
      <c r="J309" s="5244">
        <f t="shared" si="29"/>
        <v>0</v>
      </c>
      <c r="K309" s="5245">
        <f t="shared" si="26"/>
        <v>0</v>
      </c>
      <c r="L309" s="5245">
        <f t="shared" si="27"/>
        <v>0</v>
      </c>
      <c r="M309" s="5245">
        <f t="shared" si="28"/>
        <v>0</v>
      </c>
    </row>
    <row r="310" spans="1:13" ht="14.85" customHeight="1">
      <c r="A310" s="5238">
        <v>250</v>
      </c>
      <c r="B310" s="5238" t="s">
        <v>3371</v>
      </c>
      <c r="C310" s="5239" t="s">
        <v>2119</v>
      </c>
      <c r="D310" s="5240"/>
      <c r="E310" s="5241"/>
      <c r="F310" s="5243">
        <f t="shared" si="24"/>
        <v>0</v>
      </c>
      <c r="G310" s="5241"/>
      <c r="H310" s="5241"/>
      <c r="I310" s="5243">
        <f t="shared" si="25"/>
        <v>0</v>
      </c>
      <c r="J310" s="5244">
        <f t="shared" si="29"/>
        <v>0</v>
      </c>
      <c r="K310" s="5245">
        <f t="shared" si="26"/>
        <v>0</v>
      </c>
      <c r="L310" s="5245">
        <f t="shared" si="27"/>
        <v>0</v>
      </c>
      <c r="M310" s="5245">
        <f t="shared" si="28"/>
        <v>0</v>
      </c>
    </row>
    <row r="311" spans="1:13" ht="14.85" customHeight="1">
      <c r="A311" s="5238">
        <v>250</v>
      </c>
      <c r="B311" s="5238" t="s">
        <v>3372</v>
      </c>
      <c r="C311" s="5239" t="s">
        <v>2120</v>
      </c>
      <c r="D311" s="5240"/>
      <c r="E311" s="5241"/>
      <c r="F311" s="5243">
        <f t="shared" si="24"/>
        <v>0</v>
      </c>
      <c r="G311" s="5241"/>
      <c r="H311" s="5241"/>
      <c r="I311" s="5243">
        <f t="shared" si="25"/>
        <v>0</v>
      </c>
      <c r="J311" s="5244">
        <f t="shared" si="29"/>
        <v>0</v>
      </c>
      <c r="K311" s="5245">
        <f t="shared" si="26"/>
        <v>0</v>
      </c>
      <c r="L311" s="5245">
        <f t="shared" si="27"/>
        <v>0</v>
      </c>
      <c r="M311" s="5245">
        <f t="shared" si="28"/>
        <v>0</v>
      </c>
    </row>
    <row r="312" spans="1:13" ht="14.85" customHeight="1">
      <c r="A312" s="5238">
        <v>251</v>
      </c>
      <c r="B312" s="5238" t="s">
        <v>3373</v>
      </c>
      <c r="C312" s="5239" t="s">
        <v>4500</v>
      </c>
      <c r="D312" s="5240"/>
      <c r="E312" s="5241"/>
      <c r="F312" s="5243">
        <f t="shared" si="24"/>
        <v>0</v>
      </c>
      <c r="G312" s="5241"/>
      <c r="H312" s="5241"/>
      <c r="I312" s="5243">
        <f t="shared" si="25"/>
        <v>0</v>
      </c>
      <c r="J312" s="5244">
        <f t="shared" si="29"/>
        <v>0</v>
      </c>
      <c r="K312" s="5245">
        <f t="shared" si="26"/>
        <v>0</v>
      </c>
      <c r="L312" s="5245">
        <f t="shared" si="27"/>
        <v>0</v>
      </c>
      <c r="M312" s="5245">
        <f t="shared" si="28"/>
        <v>0</v>
      </c>
    </row>
    <row r="313" spans="1:13" ht="14.85" customHeight="1">
      <c r="A313" s="5238">
        <v>251</v>
      </c>
      <c r="B313" s="5238" t="s">
        <v>3374</v>
      </c>
      <c r="C313" s="5239" t="s">
        <v>2121</v>
      </c>
      <c r="D313" s="5240"/>
      <c r="E313" s="5241"/>
      <c r="F313" s="5243">
        <f t="shared" si="24"/>
        <v>0</v>
      </c>
      <c r="G313" s="5241"/>
      <c r="H313" s="5241"/>
      <c r="I313" s="5243">
        <f t="shared" si="25"/>
        <v>0</v>
      </c>
      <c r="J313" s="5244">
        <f t="shared" si="29"/>
        <v>0</v>
      </c>
      <c r="K313" s="5245">
        <f t="shared" si="26"/>
        <v>0</v>
      </c>
      <c r="L313" s="5245">
        <f t="shared" si="27"/>
        <v>0</v>
      </c>
      <c r="M313" s="5245">
        <f t="shared" si="28"/>
        <v>0</v>
      </c>
    </row>
    <row r="314" spans="1:13" ht="14.85" customHeight="1">
      <c r="A314" s="5238">
        <v>252</v>
      </c>
      <c r="B314" s="5238" t="s">
        <v>3375</v>
      </c>
      <c r="C314" s="5239" t="s">
        <v>2122</v>
      </c>
      <c r="D314" s="5240"/>
      <c r="E314" s="5241"/>
      <c r="F314" s="5243">
        <f t="shared" si="24"/>
        <v>0</v>
      </c>
      <c r="G314" s="5241"/>
      <c r="H314" s="5241"/>
      <c r="I314" s="5243">
        <f t="shared" si="25"/>
        <v>0</v>
      </c>
      <c r="J314" s="5244">
        <f t="shared" si="29"/>
        <v>0</v>
      </c>
      <c r="K314" s="5245">
        <f t="shared" si="26"/>
        <v>0</v>
      </c>
      <c r="L314" s="5245">
        <f t="shared" si="27"/>
        <v>0</v>
      </c>
      <c r="M314" s="5245">
        <f t="shared" si="28"/>
        <v>0</v>
      </c>
    </row>
    <row r="315" spans="1:13" ht="14.85" customHeight="1">
      <c r="A315" s="5238">
        <v>252</v>
      </c>
      <c r="B315" s="5238" t="s">
        <v>3376</v>
      </c>
      <c r="C315" s="5239" t="s">
        <v>2123</v>
      </c>
      <c r="D315" s="5240"/>
      <c r="E315" s="5241"/>
      <c r="F315" s="5243">
        <f t="shared" si="24"/>
        <v>0</v>
      </c>
      <c r="G315" s="5241"/>
      <c r="H315" s="5241"/>
      <c r="I315" s="5243">
        <f t="shared" si="25"/>
        <v>0</v>
      </c>
      <c r="J315" s="5244">
        <f t="shared" si="29"/>
        <v>0</v>
      </c>
      <c r="K315" s="5245">
        <f t="shared" si="26"/>
        <v>0</v>
      </c>
      <c r="L315" s="5245">
        <f t="shared" si="27"/>
        <v>0</v>
      </c>
      <c r="M315" s="5245">
        <f t="shared" si="28"/>
        <v>0</v>
      </c>
    </row>
    <row r="316" spans="1:13" ht="14.85" customHeight="1">
      <c r="A316" s="5238">
        <v>252</v>
      </c>
      <c r="B316" s="5238" t="s">
        <v>3377</v>
      </c>
      <c r="C316" s="5239" t="s">
        <v>2124</v>
      </c>
      <c r="D316" s="5240"/>
      <c r="E316" s="5241"/>
      <c r="F316" s="5243">
        <f t="shared" si="24"/>
        <v>0</v>
      </c>
      <c r="G316" s="5241"/>
      <c r="H316" s="5241"/>
      <c r="I316" s="5243">
        <f t="shared" si="25"/>
        <v>0</v>
      </c>
      <c r="J316" s="5244">
        <f t="shared" si="29"/>
        <v>0</v>
      </c>
      <c r="K316" s="5245">
        <f t="shared" si="26"/>
        <v>0</v>
      </c>
      <c r="L316" s="5245">
        <f t="shared" si="27"/>
        <v>0</v>
      </c>
      <c r="M316" s="5245">
        <f t="shared" si="28"/>
        <v>0</v>
      </c>
    </row>
    <row r="317" spans="1:13" ht="14.85" customHeight="1">
      <c r="A317" s="5238">
        <v>252</v>
      </c>
      <c r="B317" s="5238" t="s">
        <v>3378</v>
      </c>
      <c r="C317" s="5239" t="s">
        <v>2125</v>
      </c>
      <c r="D317" s="5240"/>
      <c r="E317" s="5241"/>
      <c r="F317" s="5243">
        <f t="shared" si="24"/>
        <v>0</v>
      </c>
      <c r="G317" s="5241"/>
      <c r="H317" s="5241"/>
      <c r="I317" s="5243">
        <f t="shared" si="25"/>
        <v>0</v>
      </c>
      <c r="J317" s="5244">
        <f t="shared" si="29"/>
        <v>0</v>
      </c>
      <c r="K317" s="5245">
        <f t="shared" si="26"/>
        <v>0</v>
      </c>
      <c r="L317" s="5245">
        <f t="shared" si="27"/>
        <v>0</v>
      </c>
      <c r="M317" s="5245">
        <f t="shared" si="28"/>
        <v>0</v>
      </c>
    </row>
    <row r="318" spans="1:13" ht="14.85" customHeight="1">
      <c r="A318" s="5238">
        <v>253</v>
      </c>
      <c r="B318" s="5238" t="s">
        <v>3379</v>
      </c>
      <c r="C318" s="5239" t="s">
        <v>2126</v>
      </c>
      <c r="D318" s="5240"/>
      <c r="E318" s="5241"/>
      <c r="F318" s="5243">
        <f t="shared" si="24"/>
        <v>0</v>
      </c>
      <c r="G318" s="5241"/>
      <c r="H318" s="5241"/>
      <c r="I318" s="5243">
        <f t="shared" si="25"/>
        <v>0</v>
      </c>
      <c r="J318" s="5244">
        <f t="shared" si="29"/>
        <v>0</v>
      </c>
      <c r="K318" s="5245">
        <f t="shared" si="26"/>
        <v>0</v>
      </c>
      <c r="L318" s="5245">
        <f t="shared" si="27"/>
        <v>0</v>
      </c>
      <c r="M318" s="5245">
        <f t="shared" si="28"/>
        <v>0</v>
      </c>
    </row>
    <row r="319" spans="1:13" ht="14.85" customHeight="1">
      <c r="A319" s="5238">
        <v>253</v>
      </c>
      <c r="B319" s="5238" t="s">
        <v>3380</v>
      </c>
      <c r="C319" s="5239" t="s">
        <v>2127</v>
      </c>
      <c r="D319" s="5240"/>
      <c r="E319" s="5241"/>
      <c r="F319" s="5243">
        <f t="shared" si="24"/>
        <v>0</v>
      </c>
      <c r="G319" s="5241"/>
      <c r="H319" s="5241"/>
      <c r="I319" s="5243">
        <f t="shared" si="25"/>
        <v>0</v>
      </c>
      <c r="J319" s="5244">
        <f t="shared" si="29"/>
        <v>0</v>
      </c>
      <c r="K319" s="5245">
        <f t="shared" si="26"/>
        <v>0</v>
      </c>
      <c r="L319" s="5245">
        <f t="shared" si="27"/>
        <v>0</v>
      </c>
      <c r="M319" s="5245">
        <f t="shared" si="28"/>
        <v>0</v>
      </c>
    </row>
    <row r="320" spans="1:13" ht="14.85" customHeight="1">
      <c r="A320" s="5238">
        <v>253</v>
      </c>
      <c r="B320" s="5238" t="s">
        <v>3381</v>
      </c>
      <c r="C320" s="5239" t="s">
        <v>2128</v>
      </c>
      <c r="D320" s="5240"/>
      <c r="E320" s="5241"/>
      <c r="F320" s="5243">
        <f t="shared" si="24"/>
        <v>0</v>
      </c>
      <c r="G320" s="5241"/>
      <c r="H320" s="5241"/>
      <c r="I320" s="5243">
        <f t="shared" si="25"/>
        <v>0</v>
      </c>
      <c r="J320" s="5244">
        <f t="shared" si="29"/>
        <v>0</v>
      </c>
      <c r="K320" s="5245">
        <f t="shared" si="26"/>
        <v>0</v>
      </c>
      <c r="L320" s="5245">
        <f t="shared" si="27"/>
        <v>0</v>
      </c>
      <c r="M320" s="5245">
        <f t="shared" si="28"/>
        <v>0</v>
      </c>
    </row>
    <row r="321" spans="1:13" ht="14.85" customHeight="1">
      <c r="A321" s="5238">
        <v>253</v>
      </c>
      <c r="B321" s="5238" t="s">
        <v>3382</v>
      </c>
      <c r="C321" s="5239" t="s">
        <v>2129</v>
      </c>
      <c r="D321" s="5240"/>
      <c r="E321" s="5241"/>
      <c r="F321" s="5243">
        <f t="shared" si="24"/>
        <v>0</v>
      </c>
      <c r="G321" s="5241"/>
      <c r="H321" s="5241"/>
      <c r="I321" s="5243">
        <f t="shared" si="25"/>
        <v>0</v>
      </c>
      <c r="J321" s="5244">
        <f t="shared" si="29"/>
        <v>0</v>
      </c>
      <c r="K321" s="5245">
        <f t="shared" si="26"/>
        <v>0</v>
      </c>
      <c r="L321" s="5245">
        <f t="shared" si="27"/>
        <v>0</v>
      </c>
      <c r="M321" s="5245">
        <f t="shared" si="28"/>
        <v>0</v>
      </c>
    </row>
    <row r="322" spans="1:13" ht="14.85" customHeight="1">
      <c r="A322" s="5238">
        <v>253</v>
      </c>
      <c r="B322" s="5238" t="s">
        <v>3383</v>
      </c>
      <c r="C322" s="5239" t="s">
        <v>2130</v>
      </c>
      <c r="D322" s="5240"/>
      <c r="E322" s="5241"/>
      <c r="F322" s="5243">
        <f t="shared" si="24"/>
        <v>0</v>
      </c>
      <c r="G322" s="5241"/>
      <c r="H322" s="5241"/>
      <c r="I322" s="5243">
        <f t="shared" si="25"/>
        <v>0</v>
      </c>
      <c r="J322" s="5244">
        <f t="shared" si="29"/>
        <v>0</v>
      </c>
      <c r="K322" s="5245">
        <f t="shared" si="26"/>
        <v>0</v>
      </c>
      <c r="L322" s="5245">
        <f t="shared" si="27"/>
        <v>0</v>
      </c>
      <c r="M322" s="5245">
        <f t="shared" si="28"/>
        <v>0</v>
      </c>
    </row>
    <row r="323" spans="1:13" ht="14.85" customHeight="1">
      <c r="A323" s="5238">
        <v>253</v>
      </c>
      <c r="B323" s="5238" t="s">
        <v>3384</v>
      </c>
      <c r="C323" s="5239" t="s">
        <v>2131</v>
      </c>
      <c r="D323" s="5240"/>
      <c r="E323" s="5241"/>
      <c r="F323" s="5243">
        <f t="shared" si="24"/>
        <v>0</v>
      </c>
      <c r="G323" s="5241"/>
      <c r="H323" s="5241"/>
      <c r="I323" s="5243">
        <f t="shared" si="25"/>
        <v>0</v>
      </c>
      <c r="J323" s="5244">
        <f t="shared" si="29"/>
        <v>0</v>
      </c>
      <c r="K323" s="5245">
        <f t="shared" si="26"/>
        <v>0</v>
      </c>
      <c r="L323" s="5245">
        <f t="shared" si="27"/>
        <v>0</v>
      </c>
      <c r="M323" s="5245">
        <f t="shared" si="28"/>
        <v>0</v>
      </c>
    </row>
    <row r="324" spans="1:13" ht="14.85" customHeight="1">
      <c r="A324" s="5238">
        <v>253</v>
      </c>
      <c r="B324" s="5238" t="s">
        <v>3385</v>
      </c>
      <c r="C324" s="5239" t="s">
        <v>2132</v>
      </c>
      <c r="D324" s="5240"/>
      <c r="E324" s="5241"/>
      <c r="F324" s="5243">
        <f t="shared" si="24"/>
        <v>0</v>
      </c>
      <c r="G324" s="5241"/>
      <c r="H324" s="5241"/>
      <c r="I324" s="5243">
        <f t="shared" si="25"/>
        <v>0</v>
      </c>
      <c r="J324" s="5244">
        <f t="shared" si="29"/>
        <v>0</v>
      </c>
      <c r="K324" s="5245">
        <f t="shared" si="26"/>
        <v>0</v>
      </c>
      <c r="L324" s="5245">
        <f t="shared" si="27"/>
        <v>0</v>
      </c>
      <c r="M324" s="5245">
        <f t="shared" si="28"/>
        <v>0</v>
      </c>
    </row>
    <row r="325" spans="1:13" ht="14.85" customHeight="1">
      <c r="A325" s="5238">
        <v>253</v>
      </c>
      <c r="B325" s="5238" t="s">
        <v>3386</v>
      </c>
      <c r="C325" s="5239" t="s">
        <v>2133</v>
      </c>
      <c r="D325" s="5240"/>
      <c r="E325" s="5241"/>
      <c r="F325" s="5243">
        <f t="shared" si="24"/>
        <v>0</v>
      </c>
      <c r="G325" s="5241"/>
      <c r="H325" s="5241"/>
      <c r="I325" s="5243">
        <f t="shared" si="25"/>
        <v>0</v>
      </c>
      <c r="J325" s="5244">
        <f t="shared" si="29"/>
        <v>0</v>
      </c>
      <c r="K325" s="5245">
        <f t="shared" si="26"/>
        <v>0</v>
      </c>
      <c r="L325" s="5245">
        <f t="shared" si="27"/>
        <v>0</v>
      </c>
      <c r="M325" s="5245">
        <f t="shared" si="28"/>
        <v>0</v>
      </c>
    </row>
    <row r="326" spans="1:13" ht="14.85" customHeight="1">
      <c r="A326" s="5238">
        <v>254</v>
      </c>
      <c r="B326" s="5238" t="s">
        <v>3387</v>
      </c>
      <c r="C326" s="5239" t="s">
        <v>2134</v>
      </c>
      <c r="D326" s="5240"/>
      <c r="E326" s="5241"/>
      <c r="F326" s="5243">
        <f t="shared" si="24"/>
        <v>0</v>
      </c>
      <c r="G326" s="5241"/>
      <c r="H326" s="5241"/>
      <c r="I326" s="5243">
        <f t="shared" si="25"/>
        <v>0</v>
      </c>
      <c r="J326" s="5244">
        <f t="shared" si="29"/>
        <v>0</v>
      </c>
      <c r="K326" s="5245">
        <f t="shared" si="26"/>
        <v>0</v>
      </c>
      <c r="L326" s="5245">
        <f t="shared" si="27"/>
        <v>0</v>
      </c>
      <c r="M326" s="5245">
        <f t="shared" si="28"/>
        <v>0</v>
      </c>
    </row>
    <row r="327" spans="1:13" ht="14.85" customHeight="1">
      <c r="A327" s="5238">
        <v>254</v>
      </c>
      <c r="B327" s="5238" t="s">
        <v>3388</v>
      </c>
      <c r="C327" s="5239" t="s">
        <v>2135</v>
      </c>
      <c r="D327" s="5240"/>
      <c r="E327" s="5241"/>
      <c r="F327" s="5243">
        <f t="shared" si="24"/>
        <v>0</v>
      </c>
      <c r="G327" s="5241"/>
      <c r="H327" s="5241"/>
      <c r="I327" s="5243">
        <f t="shared" si="25"/>
        <v>0</v>
      </c>
      <c r="J327" s="5244">
        <f t="shared" si="29"/>
        <v>0</v>
      </c>
      <c r="K327" s="5245">
        <f t="shared" si="26"/>
        <v>0</v>
      </c>
      <c r="L327" s="5245">
        <f t="shared" si="27"/>
        <v>0</v>
      </c>
      <c r="M327" s="5245">
        <f t="shared" si="28"/>
        <v>0</v>
      </c>
    </row>
    <row r="328" spans="1:13" ht="14.85" customHeight="1">
      <c r="A328" s="5238">
        <v>255</v>
      </c>
      <c r="B328" s="5238" t="s">
        <v>3389</v>
      </c>
      <c r="C328" s="5239" t="s">
        <v>2136</v>
      </c>
      <c r="D328" s="5240"/>
      <c r="E328" s="5241"/>
      <c r="F328" s="5243">
        <f t="shared" si="24"/>
        <v>0</v>
      </c>
      <c r="G328" s="5241"/>
      <c r="H328" s="5241"/>
      <c r="I328" s="5243">
        <f t="shared" si="25"/>
        <v>0</v>
      </c>
      <c r="J328" s="5244">
        <f t="shared" si="29"/>
        <v>0</v>
      </c>
      <c r="K328" s="5245">
        <f t="shared" si="26"/>
        <v>0</v>
      </c>
      <c r="L328" s="5245">
        <f t="shared" si="27"/>
        <v>0</v>
      </c>
      <c r="M328" s="5245">
        <f t="shared" si="28"/>
        <v>0</v>
      </c>
    </row>
    <row r="329" spans="1:13" ht="14.85" customHeight="1">
      <c r="A329" s="5238">
        <v>255</v>
      </c>
      <c r="B329" s="5238" t="s">
        <v>3390</v>
      </c>
      <c r="C329" s="5239" t="s">
        <v>2137</v>
      </c>
      <c r="D329" s="5240"/>
      <c r="E329" s="5241"/>
      <c r="F329" s="5243">
        <f t="shared" si="24"/>
        <v>0</v>
      </c>
      <c r="G329" s="5241"/>
      <c r="H329" s="5241"/>
      <c r="I329" s="5243">
        <f t="shared" si="25"/>
        <v>0</v>
      </c>
      <c r="J329" s="5244">
        <f t="shared" si="29"/>
        <v>0</v>
      </c>
      <c r="K329" s="5245">
        <f t="shared" si="26"/>
        <v>0</v>
      </c>
      <c r="L329" s="5245">
        <f t="shared" si="27"/>
        <v>0</v>
      </c>
      <c r="M329" s="5245">
        <f t="shared" si="28"/>
        <v>0</v>
      </c>
    </row>
    <row r="330" spans="1:13" ht="14.85" customHeight="1">
      <c r="A330" s="5238">
        <v>256</v>
      </c>
      <c r="B330" s="5238" t="s">
        <v>3391</v>
      </c>
      <c r="C330" s="5239" t="s">
        <v>2138</v>
      </c>
      <c r="D330" s="5240"/>
      <c r="E330" s="5241"/>
      <c r="F330" s="5243">
        <f t="shared" si="24"/>
        <v>0</v>
      </c>
      <c r="G330" s="5241"/>
      <c r="H330" s="5241"/>
      <c r="I330" s="5243">
        <f t="shared" si="25"/>
        <v>0</v>
      </c>
      <c r="J330" s="5244">
        <f t="shared" si="29"/>
        <v>0</v>
      </c>
      <c r="K330" s="5245">
        <f t="shared" si="26"/>
        <v>0</v>
      </c>
      <c r="L330" s="5245">
        <f t="shared" si="27"/>
        <v>0</v>
      </c>
      <c r="M330" s="5245">
        <f t="shared" si="28"/>
        <v>0</v>
      </c>
    </row>
    <row r="331" spans="1:13" ht="14.85" customHeight="1">
      <c r="A331" s="5238">
        <v>256</v>
      </c>
      <c r="B331" s="5238" t="s">
        <v>3392</v>
      </c>
      <c r="C331" s="5239" t="s">
        <v>2139</v>
      </c>
      <c r="D331" s="5240"/>
      <c r="E331" s="5241"/>
      <c r="F331" s="5243">
        <f t="shared" si="24"/>
        <v>0</v>
      </c>
      <c r="G331" s="5241"/>
      <c r="H331" s="5241"/>
      <c r="I331" s="5243">
        <f t="shared" si="25"/>
        <v>0</v>
      </c>
      <c r="J331" s="5244">
        <f t="shared" si="29"/>
        <v>0</v>
      </c>
      <c r="K331" s="5245">
        <f t="shared" si="26"/>
        <v>0</v>
      </c>
      <c r="L331" s="5245">
        <f t="shared" si="27"/>
        <v>0</v>
      </c>
      <c r="M331" s="5245">
        <f t="shared" si="28"/>
        <v>0</v>
      </c>
    </row>
    <row r="332" spans="1:13" ht="14.85" customHeight="1">
      <c r="A332" s="5238">
        <v>257</v>
      </c>
      <c r="B332" s="5238" t="s">
        <v>3393</v>
      </c>
      <c r="C332" s="5239" t="s">
        <v>2140</v>
      </c>
      <c r="D332" s="5240"/>
      <c r="E332" s="5241"/>
      <c r="F332" s="5243">
        <f t="shared" si="24"/>
        <v>0</v>
      </c>
      <c r="G332" s="5241"/>
      <c r="H332" s="5241"/>
      <c r="I332" s="5243">
        <f t="shared" si="25"/>
        <v>0</v>
      </c>
      <c r="J332" s="5244">
        <f t="shared" si="29"/>
        <v>0</v>
      </c>
      <c r="K332" s="5245">
        <f t="shared" si="26"/>
        <v>0</v>
      </c>
      <c r="L332" s="5245">
        <f t="shared" si="27"/>
        <v>0</v>
      </c>
      <c r="M332" s="5245">
        <f t="shared" si="28"/>
        <v>0</v>
      </c>
    </row>
    <row r="333" spans="1:13" ht="14.85" customHeight="1">
      <c r="A333" s="5238">
        <v>257</v>
      </c>
      <c r="B333" s="5238" t="s">
        <v>3394</v>
      </c>
      <c r="C333" s="5239" t="s">
        <v>2141</v>
      </c>
      <c r="D333" s="5240"/>
      <c r="E333" s="5241"/>
      <c r="F333" s="5243">
        <f t="shared" si="24"/>
        <v>0</v>
      </c>
      <c r="G333" s="5241"/>
      <c r="H333" s="5241"/>
      <c r="I333" s="5243">
        <f t="shared" si="25"/>
        <v>0</v>
      </c>
      <c r="J333" s="5244">
        <f t="shared" si="29"/>
        <v>0</v>
      </c>
      <c r="K333" s="5245">
        <f t="shared" si="26"/>
        <v>0</v>
      </c>
      <c r="L333" s="5245">
        <f t="shared" si="27"/>
        <v>0</v>
      </c>
      <c r="M333" s="5245">
        <f t="shared" si="28"/>
        <v>0</v>
      </c>
    </row>
    <row r="334" spans="1:13" ht="14.85" customHeight="1">
      <c r="A334" s="5238">
        <v>257</v>
      </c>
      <c r="B334" s="5238" t="s">
        <v>3395</v>
      </c>
      <c r="C334" s="5239" t="s">
        <v>2142</v>
      </c>
      <c r="D334" s="5240"/>
      <c r="E334" s="5241"/>
      <c r="F334" s="5243">
        <f t="shared" si="24"/>
        <v>0</v>
      </c>
      <c r="G334" s="5241"/>
      <c r="H334" s="5241"/>
      <c r="I334" s="5243">
        <f t="shared" si="25"/>
        <v>0</v>
      </c>
      <c r="J334" s="5244">
        <f t="shared" si="29"/>
        <v>0</v>
      </c>
      <c r="K334" s="5245">
        <f t="shared" si="26"/>
        <v>0</v>
      </c>
      <c r="L334" s="5245">
        <f t="shared" si="27"/>
        <v>0</v>
      </c>
      <c r="M334" s="5245">
        <f t="shared" si="28"/>
        <v>0</v>
      </c>
    </row>
    <row r="335" spans="1:13" ht="14.85" customHeight="1">
      <c r="A335" s="5238">
        <v>257</v>
      </c>
      <c r="B335" s="5238" t="s">
        <v>3396</v>
      </c>
      <c r="C335" s="5239" t="s">
        <v>2143</v>
      </c>
      <c r="D335" s="5240"/>
      <c r="E335" s="5241"/>
      <c r="F335" s="5243">
        <f t="shared" si="24"/>
        <v>0</v>
      </c>
      <c r="G335" s="5241"/>
      <c r="H335" s="5241"/>
      <c r="I335" s="5243">
        <f t="shared" si="25"/>
        <v>0</v>
      </c>
      <c r="J335" s="5244">
        <f t="shared" si="29"/>
        <v>0</v>
      </c>
      <c r="K335" s="5245">
        <f t="shared" si="26"/>
        <v>0</v>
      </c>
      <c r="L335" s="5245">
        <f t="shared" si="27"/>
        <v>0</v>
      </c>
      <c r="M335" s="5245">
        <f t="shared" si="28"/>
        <v>0</v>
      </c>
    </row>
    <row r="336" spans="1:13" ht="14.85" customHeight="1">
      <c r="A336" s="5238">
        <v>257</v>
      </c>
      <c r="B336" s="5238" t="s">
        <v>3397</v>
      </c>
      <c r="C336" s="5239" t="s">
        <v>2144</v>
      </c>
      <c r="D336" s="5240"/>
      <c r="E336" s="5241"/>
      <c r="F336" s="5243">
        <f t="shared" si="24"/>
        <v>0</v>
      </c>
      <c r="G336" s="5241"/>
      <c r="H336" s="5241"/>
      <c r="I336" s="5243">
        <f t="shared" si="25"/>
        <v>0</v>
      </c>
      <c r="J336" s="5244">
        <f t="shared" si="29"/>
        <v>0</v>
      </c>
      <c r="K336" s="5245">
        <f t="shared" si="26"/>
        <v>0</v>
      </c>
      <c r="L336" s="5245">
        <f t="shared" si="27"/>
        <v>0</v>
      </c>
      <c r="M336" s="5245">
        <f t="shared" si="28"/>
        <v>0</v>
      </c>
    </row>
    <row r="337" spans="1:13" ht="14.85" customHeight="1">
      <c r="A337" s="5238">
        <v>258</v>
      </c>
      <c r="B337" s="5238" t="s">
        <v>3398</v>
      </c>
      <c r="C337" s="5239" t="s">
        <v>2145</v>
      </c>
      <c r="D337" s="5240"/>
      <c r="E337" s="5241"/>
      <c r="F337" s="5243">
        <f t="shared" si="24"/>
        <v>0</v>
      </c>
      <c r="G337" s="5241"/>
      <c r="H337" s="5241"/>
      <c r="I337" s="5243">
        <f t="shared" si="25"/>
        <v>0</v>
      </c>
      <c r="J337" s="5244">
        <f t="shared" si="29"/>
        <v>0</v>
      </c>
      <c r="K337" s="5245">
        <f t="shared" si="26"/>
        <v>0</v>
      </c>
      <c r="L337" s="5245">
        <f t="shared" si="27"/>
        <v>0</v>
      </c>
      <c r="M337" s="5245">
        <f t="shared" si="28"/>
        <v>0</v>
      </c>
    </row>
    <row r="338" spans="1:13" ht="14.85" customHeight="1">
      <c r="A338" s="5238">
        <v>258</v>
      </c>
      <c r="B338" s="5238" t="s">
        <v>3399</v>
      </c>
      <c r="C338" s="5239" t="s">
        <v>2146</v>
      </c>
      <c r="D338" s="5240"/>
      <c r="E338" s="5241"/>
      <c r="F338" s="5243">
        <f t="shared" si="24"/>
        <v>0</v>
      </c>
      <c r="G338" s="5241"/>
      <c r="H338" s="5241"/>
      <c r="I338" s="5243">
        <f t="shared" si="25"/>
        <v>0</v>
      </c>
      <c r="J338" s="5244">
        <f t="shared" si="29"/>
        <v>0</v>
      </c>
      <c r="K338" s="5245">
        <f t="shared" si="26"/>
        <v>0</v>
      </c>
      <c r="L338" s="5245">
        <f t="shared" si="27"/>
        <v>0</v>
      </c>
      <c r="M338" s="5245">
        <f t="shared" si="28"/>
        <v>0</v>
      </c>
    </row>
    <row r="339" spans="1:13" ht="14.85" customHeight="1">
      <c r="A339" s="5238">
        <v>258</v>
      </c>
      <c r="B339" s="5238" t="s">
        <v>3400</v>
      </c>
      <c r="C339" s="5239" t="s">
        <v>2147</v>
      </c>
      <c r="D339" s="5240"/>
      <c r="E339" s="5241"/>
      <c r="F339" s="5243">
        <f t="shared" si="24"/>
        <v>0</v>
      </c>
      <c r="G339" s="5241"/>
      <c r="H339" s="5241"/>
      <c r="I339" s="5243">
        <f t="shared" si="25"/>
        <v>0</v>
      </c>
      <c r="J339" s="5244">
        <f t="shared" si="29"/>
        <v>0</v>
      </c>
      <c r="K339" s="5245">
        <f t="shared" si="26"/>
        <v>0</v>
      </c>
      <c r="L339" s="5245">
        <f t="shared" si="27"/>
        <v>0</v>
      </c>
      <c r="M339" s="5245">
        <f t="shared" si="28"/>
        <v>0</v>
      </c>
    </row>
    <row r="340" spans="1:13" ht="14.85" customHeight="1">
      <c r="A340" s="5238">
        <v>259</v>
      </c>
      <c r="B340" s="5238" t="s">
        <v>3401</v>
      </c>
      <c r="C340" s="5239" t="s">
        <v>4959</v>
      </c>
      <c r="D340" s="5240"/>
      <c r="E340" s="5241"/>
      <c r="F340" s="5243">
        <f t="shared" si="24"/>
        <v>0</v>
      </c>
      <c r="G340" s="5241"/>
      <c r="H340" s="5241"/>
      <c r="I340" s="5243">
        <f t="shared" si="25"/>
        <v>0</v>
      </c>
      <c r="J340" s="5244">
        <f t="shared" si="29"/>
        <v>0</v>
      </c>
      <c r="K340" s="5245">
        <f t="shared" si="26"/>
        <v>0</v>
      </c>
      <c r="L340" s="5245">
        <f t="shared" si="27"/>
        <v>0</v>
      </c>
      <c r="M340" s="5245">
        <f t="shared" si="28"/>
        <v>0</v>
      </c>
    </row>
    <row r="341" spans="1:13" ht="14.85" customHeight="1">
      <c r="A341" s="5238">
        <v>259</v>
      </c>
      <c r="B341" s="5238" t="s">
        <v>3402</v>
      </c>
      <c r="C341" s="5239" t="s">
        <v>2148</v>
      </c>
      <c r="D341" s="5240"/>
      <c r="E341" s="5241"/>
      <c r="F341" s="5243">
        <f t="shared" si="24"/>
        <v>0</v>
      </c>
      <c r="G341" s="5241"/>
      <c r="H341" s="5241"/>
      <c r="I341" s="5243">
        <f t="shared" si="25"/>
        <v>0</v>
      </c>
      <c r="J341" s="5244">
        <f t="shared" si="29"/>
        <v>0</v>
      </c>
      <c r="K341" s="5245">
        <f t="shared" si="26"/>
        <v>0</v>
      </c>
      <c r="L341" s="5245">
        <f t="shared" si="27"/>
        <v>0</v>
      </c>
      <c r="M341" s="5245">
        <f t="shared" si="28"/>
        <v>0</v>
      </c>
    </row>
    <row r="342" spans="1:13" ht="14.85" customHeight="1">
      <c r="A342" s="5238">
        <v>259</v>
      </c>
      <c r="B342" s="5238" t="s">
        <v>3403</v>
      </c>
      <c r="C342" s="5239" t="s">
        <v>2149</v>
      </c>
      <c r="D342" s="5240"/>
      <c r="E342" s="5241"/>
      <c r="F342" s="5243">
        <f t="shared" si="24"/>
        <v>0</v>
      </c>
      <c r="G342" s="5241"/>
      <c r="H342" s="5241"/>
      <c r="I342" s="5243">
        <f t="shared" si="25"/>
        <v>0</v>
      </c>
      <c r="J342" s="5244">
        <f t="shared" si="29"/>
        <v>0</v>
      </c>
      <c r="K342" s="5245">
        <f t="shared" si="26"/>
        <v>0</v>
      </c>
      <c r="L342" s="5245">
        <f t="shared" si="27"/>
        <v>0</v>
      </c>
      <c r="M342" s="5245">
        <f t="shared" si="28"/>
        <v>0</v>
      </c>
    </row>
    <row r="343" spans="1:13" ht="14.85" customHeight="1">
      <c r="A343" s="5238">
        <v>259</v>
      </c>
      <c r="B343" s="5238" t="s">
        <v>3404</v>
      </c>
      <c r="C343" s="5239" t="s">
        <v>2150</v>
      </c>
      <c r="D343" s="5240"/>
      <c r="E343" s="5241"/>
      <c r="F343" s="5243">
        <f t="shared" si="24"/>
        <v>0</v>
      </c>
      <c r="G343" s="5241"/>
      <c r="H343" s="5241"/>
      <c r="I343" s="5243">
        <f t="shared" si="25"/>
        <v>0</v>
      </c>
      <c r="J343" s="5244">
        <f t="shared" si="29"/>
        <v>0</v>
      </c>
      <c r="K343" s="5245">
        <f t="shared" si="26"/>
        <v>0</v>
      </c>
      <c r="L343" s="5245">
        <f t="shared" si="27"/>
        <v>0</v>
      </c>
      <c r="M343" s="5245">
        <f t="shared" si="28"/>
        <v>0</v>
      </c>
    </row>
    <row r="344" spans="1:13" ht="14.85" customHeight="1">
      <c r="A344" s="5238">
        <v>259</v>
      </c>
      <c r="B344" s="5238" t="s">
        <v>3405</v>
      </c>
      <c r="C344" s="5239" t="s">
        <v>2151</v>
      </c>
      <c r="D344" s="5240"/>
      <c r="E344" s="5241"/>
      <c r="F344" s="5243">
        <f t="shared" si="24"/>
        <v>0</v>
      </c>
      <c r="G344" s="5241"/>
      <c r="H344" s="5241"/>
      <c r="I344" s="5243">
        <f t="shared" si="25"/>
        <v>0</v>
      </c>
      <c r="J344" s="5244">
        <f t="shared" si="29"/>
        <v>0</v>
      </c>
      <c r="K344" s="5245">
        <f t="shared" si="26"/>
        <v>0</v>
      </c>
      <c r="L344" s="5245">
        <f t="shared" si="27"/>
        <v>0</v>
      </c>
      <c r="M344" s="5245">
        <f t="shared" si="28"/>
        <v>0</v>
      </c>
    </row>
    <row r="345" spans="1:13" ht="14.85" customHeight="1">
      <c r="A345" s="5238">
        <v>259</v>
      </c>
      <c r="B345" s="5238" t="s">
        <v>3406</v>
      </c>
      <c r="C345" s="5239" t="s">
        <v>2152</v>
      </c>
      <c r="D345" s="5240"/>
      <c r="E345" s="5241"/>
      <c r="F345" s="5243">
        <f t="shared" si="24"/>
        <v>0</v>
      </c>
      <c r="G345" s="5241"/>
      <c r="H345" s="5241"/>
      <c r="I345" s="5243">
        <f t="shared" si="25"/>
        <v>0</v>
      </c>
      <c r="J345" s="5244">
        <f t="shared" si="29"/>
        <v>0</v>
      </c>
      <c r="K345" s="5245">
        <f t="shared" si="26"/>
        <v>0</v>
      </c>
      <c r="L345" s="5245">
        <f t="shared" si="27"/>
        <v>0</v>
      </c>
      <c r="M345" s="5245">
        <f t="shared" si="28"/>
        <v>0</v>
      </c>
    </row>
    <row r="346" spans="1:13" ht="14.85" customHeight="1">
      <c r="A346" s="5238">
        <v>259</v>
      </c>
      <c r="B346" s="5238" t="s">
        <v>3407</v>
      </c>
      <c r="C346" s="5239" t="s">
        <v>2153</v>
      </c>
      <c r="D346" s="5240"/>
      <c r="E346" s="5241"/>
      <c r="F346" s="5243">
        <f t="shared" si="24"/>
        <v>0</v>
      </c>
      <c r="G346" s="5241"/>
      <c r="H346" s="5241"/>
      <c r="I346" s="5243">
        <f t="shared" si="25"/>
        <v>0</v>
      </c>
      <c r="J346" s="5244">
        <f t="shared" si="29"/>
        <v>0</v>
      </c>
      <c r="K346" s="5245">
        <f t="shared" si="26"/>
        <v>0</v>
      </c>
      <c r="L346" s="5245">
        <f t="shared" si="27"/>
        <v>0</v>
      </c>
      <c r="M346" s="5245">
        <f t="shared" si="28"/>
        <v>0</v>
      </c>
    </row>
    <row r="347" spans="1:13" ht="14.85" customHeight="1">
      <c r="A347" s="5238">
        <v>259</v>
      </c>
      <c r="B347" s="5238" t="s">
        <v>3408</v>
      </c>
      <c r="C347" s="5239" t="s">
        <v>2154</v>
      </c>
      <c r="D347" s="5240"/>
      <c r="E347" s="5241"/>
      <c r="F347" s="5243">
        <f t="shared" si="24"/>
        <v>0</v>
      </c>
      <c r="G347" s="5241"/>
      <c r="H347" s="5241"/>
      <c r="I347" s="5243">
        <f t="shared" si="25"/>
        <v>0</v>
      </c>
      <c r="J347" s="5244">
        <f t="shared" si="29"/>
        <v>0</v>
      </c>
      <c r="K347" s="5245">
        <f t="shared" si="26"/>
        <v>0</v>
      </c>
      <c r="L347" s="5245">
        <f t="shared" si="27"/>
        <v>0</v>
      </c>
      <c r="M347" s="5245">
        <f t="shared" si="28"/>
        <v>0</v>
      </c>
    </row>
    <row r="348" spans="1:13" ht="14.85" customHeight="1">
      <c r="A348" s="5238">
        <v>259</v>
      </c>
      <c r="B348" s="5238" t="s">
        <v>3409</v>
      </c>
      <c r="C348" s="5239" t="s">
        <v>2155</v>
      </c>
      <c r="D348" s="5240"/>
      <c r="E348" s="5241"/>
      <c r="F348" s="5243">
        <f t="shared" si="24"/>
        <v>0</v>
      </c>
      <c r="G348" s="5241"/>
      <c r="H348" s="5241"/>
      <c r="I348" s="5243">
        <f t="shared" si="25"/>
        <v>0</v>
      </c>
      <c r="J348" s="5244">
        <f t="shared" si="29"/>
        <v>0</v>
      </c>
      <c r="K348" s="5245">
        <f t="shared" si="26"/>
        <v>0</v>
      </c>
      <c r="L348" s="5245">
        <f t="shared" si="27"/>
        <v>0</v>
      </c>
      <c r="M348" s="5245">
        <f t="shared" si="28"/>
        <v>0</v>
      </c>
    </row>
    <row r="349" spans="1:13" ht="14.85" customHeight="1">
      <c r="A349" s="5238">
        <v>259</v>
      </c>
      <c r="B349" s="5238" t="s">
        <v>3410</v>
      </c>
      <c r="C349" s="5239" t="s">
        <v>2156</v>
      </c>
      <c r="D349" s="5240"/>
      <c r="E349" s="5241"/>
      <c r="F349" s="5243">
        <f t="shared" si="24"/>
        <v>0</v>
      </c>
      <c r="G349" s="5241"/>
      <c r="H349" s="5241"/>
      <c r="I349" s="5243">
        <f t="shared" si="25"/>
        <v>0</v>
      </c>
      <c r="J349" s="5244">
        <f t="shared" si="29"/>
        <v>0</v>
      </c>
      <c r="K349" s="5245">
        <f t="shared" si="26"/>
        <v>0</v>
      </c>
      <c r="L349" s="5245">
        <f t="shared" si="27"/>
        <v>0</v>
      </c>
      <c r="M349" s="5245">
        <f t="shared" si="28"/>
        <v>0</v>
      </c>
    </row>
    <row r="350" spans="1:13" ht="14.85" customHeight="1">
      <c r="A350" s="5238">
        <v>259</v>
      </c>
      <c r="B350" s="5238" t="s">
        <v>3411</v>
      </c>
      <c r="C350" s="5239" t="s">
        <v>4501</v>
      </c>
      <c r="D350" s="5240"/>
      <c r="E350" s="5241"/>
      <c r="F350" s="5243">
        <f t="shared" si="24"/>
        <v>0</v>
      </c>
      <c r="G350" s="5241"/>
      <c r="H350" s="5241"/>
      <c r="I350" s="5243">
        <f t="shared" si="25"/>
        <v>0</v>
      </c>
      <c r="J350" s="5244">
        <f t="shared" si="29"/>
        <v>0</v>
      </c>
      <c r="K350" s="5245">
        <f t="shared" si="26"/>
        <v>0</v>
      </c>
      <c r="L350" s="5245">
        <f t="shared" si="27"/>
        <v>0</v>
      </c>
      <c r="M350" s="5245">
        <f t="shared" si="28"/>
        <v>0</v>
      </c>
    </row>
    <row r="351" spans="1:13" ht="14.85" customHeight="1">
      <c r="A351" s="5238">
        <v>259</v>
      </c>
      <c r="B351" s="5238" t="s">
        <v>3412</v>
      </c>
      <c r="C351" s="5239" t="s">
        <v>2157</v>
      </c>
      <c r="D351" s="5240"/>
      <c r="E351" s="5241"/>
      <c r="F351" s="5243">
        <f t="shared" si="24"/>
        <v>0</v>
      </c>
      <c r="G351" s="5241"/>
      <c r="H351" s="5241"/>
      <c r="I351" s="5243">
        <f t="shared" si="25"/>
        <v>0</v>
      </c>
      <c r="J351" s="5244">
        <f t="shared" si="29"/>
        <v>0</v>
      </c>
      <c r="K351" s="5245">
        <f t="shared" si="26"/>
        <v>0</v>
      </c>
      <c r="L351" s="5245">
        <f t="shared" si="27"/>
        <v>0</v>
      </c>
      <c r="M351" s="5245">
        <f t="shared" si="28"/>
        <v>0</v>
      </c>
    </row>
    <row r="352" spans="1:13" ht="14.85" customHeight="1">
      <c r="A352" s="5238">
        <v>259</v>
      </c>
      <c r="B352" s="5238" t="s">
        <v>3413</v>
      </c>
      <c r="C352" s="5239" t="s">
        <v>2158</v>
      </c>
      <c r="D352" s="5240"/>
      <c r="E352" s="5241"/>
      <c r="F352" s="5243">
        <f t="shared" si="24"/>
        <v>0</v>
      </c>
      <c r="G352" s="5241"/>
      <c r="H352" s="5241"/>
      <c r="I352" s="5243">
        <f t="shared" si="25"/>
        <v>0</v>
      </c>
      <c r="J352" s="5244">
        <f t="shared" si="29"/>
        <v>0</v>
      </c>
      <c r="K352" s="5245">
        <f t="shared" si="26"/>
        <v>0</v>
      </c>
      <c r="L352" s="5245">
        <f t="shared" si="27"/>
        <v>0</v>
      </c>
      <c r="M352" s="5245">
        <f t="shared" si="28"/>
        <v>0</v>
      </c>
    </row>
    <row r="353" spans="1:13" ht="14.85" customHeight="1">
      <c r="A353" s="5238">
        <v>259</v>
      </c>
      <c r="B353" s="5238" t="s">
        <v>3414</v>
      </c>
      <c r="C353" s="5239" t="s">
        <v>2159</v>
      </c>
      <c r="D353" s="5240"/>
      <c r="E353" s="5241"/>
      <c r="F353" s="5243">
        <f t="shared" ref="F353:F416" si="30">SUM(D353:E353)</f>
        <v>0</v>
      </c>
      <c r="G353" s="5241"/>
      <c r="H353" s="5241"/>
      <c r="I353" s="5243">
        <f t="shared" ref="I353:I416" si="31">SUM(G353:H353)</f>
        <v>0</v>
      </c>
      <c r="J353" s="5244">
        <f t="shared" si="29"/>
        <v>0</v>
      </c>
      <c r="K353" s="5245">
        <f t="shared" ref="K353:K416" si="32">IF(AND((J353-35%)&gt;0,J353&lt;50%),I353*(J353-35%)*0.7,0)</f>
        <v>0</v>
      </c>
      <c r="L353" s="5245">
        <f t="shared" ref="L353:L416" si="33">IF(J353&gt;=50%,I353*10.5%,0)</f>
        <v>0</v>
      </c>
      <c r="M353" s="5245">
        <f t="shared" ref="M353:M416" si="34">MAX(K353,L353)</f>
        <v>0</v>
      </c>
    </row>
    <row r="354" spans="1:13" ht="14.85" customHeight="1">
      <c r="A354" s="5238">
        <v>259</v>
      </c>
      <c r="B354" s="5238" t="s">
        <v>3415</v>
      </c>
      <c r="C354" s="5239" t="s">
        <v>2160</v>
      </c>
      <c r="D354" s="5240"/>
      <c r="E354" s="5241"/>
      <c r="F354" s="5243">
        <f t="shared" si="30"/>
        <v>0</v>
      </c>
      <c r="G354" s="5241"/>
      <c r="H354" s="5241"/>
      <c r="I354" s="5243">
        <f t="shared" si="31"/>
        <v>0</v>
      </c>
      <c r="J354" s="5244">
        <f t="shared" si="29"/>
        <v>0</v>
      </c>
      <c r="K354" s="5245">
        <f t="shared" si="32"/>
        <v>0</v>
      </c>
      <c r="L354" s="5245">
        <f t="shared" si="33"/>
        <v>0</v>
      </c>
      <c r="M354" s="5245">
        <f t="shared" si="34"/>
        <v>0</v>
      </c>
    </row>
    <row r="355" spans="1:13" ht="14.85" customHeight="1">
      <c r="A355" s="5238">
        <v>259</v>
      </c>
      <c r="B355" s="5238" t="s">
        <v>3416</v>
      </c>
      <c r="C355" s="5239" t="s">
        <v>4502</v>
      </c>
      <c r="D355" s="5240"/>
      <c r="E355" s="5241"/>
      <c r="F355" s="5243">
        <f t="shared" si="30"/>
        <v>0</v>
      </c>
      <c r="G355" s="5241"/>
      <c r="H355" s="5241"/>
      <c r="I355" s="5243">
        <f t="shared" si="31"/>
        <v>0</v>
      </c>
      <c r="J355" s="5244">
        <f t="shared" si="29"/>
        <v>0</v>
      </c>
      <c r="K355" s="5245">
        <f t="shared" si="32"/>
        <v>0</v>
      </c>
      <c r="L355" s="5245">
        <f t="shared" si="33"/>
        <v>0</v>
      </c>
      <c r="M355" s="5245">
        <f t="shared" si="34"/>
        <v>0</v>
      </c>
    </row>
    <row r="356" spans="1:13" ht="14.85" customHeight="1">
      <c r="A356" s="5238">
        <v>259</v>
      </c>
      <c r="B356" s="5238" t="s">
        <v>3417</v>
      </c>
      <c r="C356" s="5239" t="s">
        <v>2161</v>
      </c>
      <c r="D356" s="5240"/>
      <c r="E356" s="5241"/>
      <c r="F356" s="5243">
        <f t="shared" si="30"/>
        <v>0</v>
      </c>
      <c r="G356" s="5241"/>
      <c r="H356" s="5241"/>
      <c r="I356" s="5243">
        <f t="shared" si="31"/>
        <v>0</v>
      </c>
      <c r="J356" s="5244">
        <f t="shared" ref="J356:J419" si="35">IF(ISERROR(I356/F356),0,I356/F356)</f>
        <v>0</v>
      </c>
      <c r="K356" s="5245">
        <f t="shared" si="32"/>
        <v>0</v>
      </c>
      <c r="L356" s="5245">
        <f t="shared" si="33"/>
        <v>0</v>
      </c>
      <c r="M356" s="5245">
        <f t="shared" si="34"/>
        <v>0</v>
      </c>
    </row>
    <row r="357" spans="1:13" ht="14.85" customHeight="1">
      <c r="A357" s="5238">
        <v>259</v>
      </c>
      <c r="B357" s="5238" t="s">
        <v>3418</v>
      </c>
      <c r="C357" s="5239" t="s">
        <v>2162</v>
      </c>
      <c r="D357" s="5240"/>
      <c r="E357" s="5241"/>
      <c r="F357" s="5243">
        <f t="shared" si="30"/>
        <v>0</v>
      </c>
      <c r="G357" s="5241"/>
      <c r="H357" s="5241"/>
      <c r="I357" s="5243">
        <f t="shared" si="31"/>
        <v>0</v>
      </c>
      <c r="J357" s="5244">
        <f t="shared" si="35"/>
        <v>0</v>
      </c>
      <c r="K357" s="5245">
        <f t="shared" si="32"/>
        <v>0</v>
      </c>
      <c r="L357" s="5245">
        <f t="shared" si="33"/>
        <v>0</v>
      </c>
      <c r="M357" s="5245">
        <f t="shared" si="34"/>
        <v>0</v>
      </c>
    </row>
    <row r="358" spans="1:13" ht="14.85" customHeight="1">
      <c r="A358" s="5238">
        <v>259</v>
      </c>
      <c r="B358" s="5238" t="s">
        <v>3419</v>
      </c>
      <c r="C358" s="5239" t="s">
        <v>2163</v>
      </c>
      <c r="D358" s="5240"/>
      <c r="E358" s="5241"/>
      <c r="F358" s="5243">
        <f t="shared" si="30"/>
        <v>0</v>
      </c>
      <c r="G358" s="5241"/>
      <c r="H358" s="5241"/>
      <c r="I358" s="5243">
        <f t="shared" si="31"/>
        <v>0</v>
      </c>
      <c r="J358" s="5244">
        <f t="shared" si="35"/>
        <v>0</v>
      </c>
      <c r="K358" s="5245">
        <f t="shared" si="32"/>
        <v>0</v>
      </c>
      <c r="L358" s="5245">
        <f t="shared" si="33"/>
        <v>0</v>
      </c>
      <c r="M358" s="5245">
        <f t="shared" si="34"/>
        <v>0</v>
      </c>
    </row>
    <row r="359" spans="1:13" ht="14.85" customHeight="1">
      <c r="A359" s="5238">
        <v>259</v>
      </c>
      <c r="B359" s="5238" t="s">
        <v>3420</v>
      </c>
      <c r="C359" s="5239" t="s">
        <v>2164</v>
      </c>
      <c r="D359" s="5240"/>
      <c r="E359" s="5241"/>
      <c r="F359" s="5243">
        <f t="shared" si="30"/>
        <v>0</v>
      </c>
      <c r="G359" s="5241"/>
      <c r="H359" s="5241"/>
      <c r="I359" s="5243">
        <f t="shared" si="31"/>
        <v>0</v>
      </c>
      <c r="J359" s="5244">
        <f t="shared" si="35"/>
        <v>0</v>
      </c>
      <c r="K359" s="5245">
        <f t="shared" si="32"/>
        <v>0</v>
      </c>
      <c r="L359" s="5245">
        <f t="shared" si="33"/>
        <v>0</v>
      </c>
      <c r="M359" s="5245">
        <f t="shared" si="34"/>
        <v>0</v>
      </c>
    </row>
    <row r="360" spans="1:13" ht="14.85" customHeight="1">
      <c r="A360" s="5238">
        <v>259</v>
      </c>
      <c r="B360" s="5238" t="s">
        <v>3421</v>
      </c>
      <c r="C360" s="5239" t="s">
        <v>2165</v>
      </c>
      <c r="D360" s="5240"/>
      <c r="E360" s="5241"/>
      <c r="F360" s="5243">
        <f t="shared" si="30"/>
        <v>0</v>
      </c>
      <c r="G360" s="5241"/>
      <c r="H360" s="5241"/>
      <c r="I360" s="5243">
        <f t="shared" si="31"/>
        <v>0</v>
      </c>
      <c r="J360" s="5244">
        <f t="shared" si="35"/>
        <v>0</v>
      </c>
      <c r="K360" s="5245">
        <f t="shared" si="32"/>
        <v>0</v>
      </c>
      <c r="L360" s="5245">
        <f t="shared" si="33"/>
        <v>0</v>
      </c>
      <c r="M360" s="5245">
        <f t="shared" si="34"/>
        <v>0</v>
      </c>
    </row>
    <row r="361" spans="1:13" ht="14.85" customHeight="1">
      <c r="A361" s="5238">
        <v>259</v>
      </c>
      <c r="B361" s="5238" t="s">
        <v>3422</v>
      </c>
      <c r="C361" s="5239" t="s">
        <v>2166</v>
      </c>
      <c r="D361" s="5240"/>
      <c r="E361" s="5241"/>
      <c r="F361" s="5243">
        <f t="shared" si="30"/>
        <v>0</v>
      </c>
      <c r="G361" s="5241"/>
      <c r="H361" s="5241"/>
      <c r="I361" s="5243">
        <f t="shared" si="31"/>
        <v>0</v>
      </c>
      <c r="J361" s="5244">
        <f t="shared" si="35"/>
        <v>0</v>
      </c>
      <c r="K361" s="5245">
        <f t="shared" si="32"/>
        <v>0</v>
      </c>
      <c r="L361" s="5245">
        <f t="shared" si="33"/>
        <v>0</v>
      </c>
      <c r="M361" s="5245">
        <f t="shared" si="34"/>
        <v>0</v>
      </c>
    </row>
    <row r="362" spans="1:13" ht="14.85" customHeight="1">
      <c r="A362" s="5238">
        <v>259</v>
      </c>
      <c r="B362" s="5238" t="s">
        <v>3423</v>
      </c>
      <c r="C362" s="5239" t="s">
        <v>2167</v>
      </c>
      <c r="D362" s="5240"/>
      <c r="E362" s="5241"/>
      <c r="F362" s="5243">
        <f t="shared" si="30"/>
        <v>0</v>
      </c>
      <c r="G362" s="5241"/>
      <c r="H362" s="5241"/>
      <c r="I362" s="5243">
        <f t="shared" si="31"/>
        <v>0</v>
      </c>
      <c r="J362" s="5244">
        <f t="shared" si="35"/>
        <v>0</v>
      </c>
      <c r="K362" s="5245">
        <f t="shared" si="32"/>
        <v>0</v>
      </c>
      <c r="L362" s="5245">
        <f t="shared" si="33"/>
        <v>0</v>
      </c>
      <c r="M362" s="5245">
        <f t="shared" si="34"/>
        <v>0</v>
      </c>
    </row>
    <row r="363" spans="1:13" ht="14.85" customHeight="1">
      <c r="A363" s="5238">
        <v>259</v>
      </c>
      <c r="B363" s="5238" t="s">
        <v>3424</v>
      </c>
      <c r="C363" s="5239" t="s">
        <v>2168</v>
      </c>
      <c r="D363" s="5240"/>
      <c r="E363" s="5241"/>
      <c r="F363" s="5243">
        <f t="shared" si="30"/>
        <v>0</v>
      </c>
      <c r="G363" s="5241"/>
      <c r="H363" s="5241"/>
      <c r="I363" s="5243">
        <f t="shared" si="31"/>
        <v>0</v>
      </c>
      <c r="J363" s="5244">
        <f t="shared" si="35"/>
        <v>0</v>
      </c>
      <c r="K363" s="5245">
        <f t="shared" si="32"/>
        <v>0</v>
      </c>
      <c r="L363" s="5245">
        <f t="shared" si="33"/>
        <v>0</v>
      </c>
      <c r="M363" s="5245">
        <f t="shared" si="34"/>
        <v>0</v>
      </c>
    </row>
    <row r="364" spans="1:13" ht="14.85" customHeight="1">
      <c r="A364" s="5238">
        <v>259</v>
      </c>
      <c r="B364" s="5238" t="s">
        <v>3425</v>
      </c>
      <c r="C364" s="5239" t="s">
        <v>2169</v>
      </c>
      <c r="D364" s="5240"/>
      <c r="E364" s="5241"/>
      <c r="F364" s="5243">
        <f t="shared" si="30"/>
        <v>0</v>
      </c>
      <c r="G364" s="5241"/>
      <c r="H364" s="5241"/>
      <c r="I364" s="5243">
        <f t="shared" si="31"/>
        <v>0</v>
      </c>
      <c r="J364" s="5244">
        <f t="shared" si="35"/>
        <v>0</v>
      </c>
      <c r="K364" s="5245">
        <f t="shared" si="32"/>
        <v>0</v>
      </c>
      <c r="L364" s="5245">
        <f t="shared" si="33"/>
        <v>0</v>
      </c>
      <c r="M364" s="5245">
        <f t="shared" si="34"/>
        <v>0</v>
      </c>
    </row>
    <row r="365" spans="1:13" ht="14.85" customHeight="1">
      <c r="A365" s="5238">
        <v>259</v>
      </c>
      <c r="B365" s="5238" t="s">
        <v>4503</v>
      </c>
      <c r="C365" s="5239" t="s">
        <v>4504</v>
      </c>
      <c r="D365" s="5240"/>
      <c r="E365" s="5241"/>
      <c r="F365" s="5243">
        <f t="shared" si="30"/>
        <v>0</v>
      </c>
      <c r="G365" s="5241"/>
      <c r="H365" s="5241"/>
      <c r="I365" s="5243">
        <f t="shared" si="31"/>
        <v>0</v>
      </c>
      <c r="J365" s="5244">
        <f t="shared" si="35"/>
        <v>0</v>
      </c>
      <c r="K365" s="5245">
        <f t="shared" si="32"/>
        <v>0</v>
      </c>
      <c r="L365" s="5245">
        <f t="shared" si="33"/>
        <v>0</v>
      </c>
      <c r="M365" s="5245">
        <f t="shared" si="34"/>
        <v>0</v>
      </c>
    </row>
    <row r="366" spans="1:13" ht="14.85" customHeight="1">
      <c r="A366" s="5238">
        <v>259</v>
      </c>
      <c r="B366" s="5238" t="s">
        <v>3426</v>
      </c>
      <c r="C366" s="5239" t="s">
        <v>2170</v>
      </c>
      <c r="D366" s="5240"/>
      <c r="E366" s="5241"/>
      <c r="F366" s="5243">
        <f t="shared" si="30"/>
        <v>0</v>
      </c>
      <c r="G366" s="5241"/>
      <c r="H366" s="5241"/>
      <c r="I366" s="5243">
        <f t="shared" si="31"/>
        <v>0</v>
      </c>
      <c r="J366" s="5244">
        <f t="shared" si="35"/>
        <v>0</v>
      </c>
      <c r="K366" s="5245">
        <f t="shared" si="32"/>
        <v>0</v>
      </c>
      <c r="L366" s="5245">
        <f t="shared" si="33"/>
        <v>0</v>
      </c>
      <c r="M366" s="5245">
        <f t="shared" si="34"/>
        <v>0</v>
      </c>
    </row>
    <row r="367" spans="1:13" ht="14.85" customHeight="1">
      <c r="A367" s="5238">
        <v>259</v>
      </c>
      <c r="B367" s="5238" t="s">
        <v>3427</v>
      </c>
      <c r="C367" s="5239" t="s">
        <v>2171</v>
      </c>
      <c r="D367" s="5240"/>
      <c r="E367" s="5241"/>
      <c r="F367" s="5243">
        <f t="shared" si="30"/>
        <v>0</v>
      </c>
      <c r="G367" s="5241"/>
      <c r="H367" s="5241"/>
      <c r="I367" s="5243">
        <f t="shared" si="31"/>
        <v>0</v>
      </c>
      <c r="J367" s="5244">
        <f t="shared" si="35"/>
        <v>0</v>
      </c>
      <c r="K367" s="5245">
        <f t="shared" si="32"/>
        <v>0</v>
      </c>
      <c r="L367" s="5245">
        <f t="shared" si="33"/>
        <v>0</v>
      </c>
      <c r="M367" s="5245">
        <f t="shared" si="34"/>
        <v>0</v>
      </c>
    </row>
    <row r="368" spans="1:13" ht="14.85" customHeight="1">
      <c r="A368" s="5238">
        <v>259</v>
      </c>
      <c r="B368" s="5238" t="s">
        <v>3428</v>
      </c>
      <c r="C368" s="5239" t="s">
        <v>2172</v>
      </c>
      <c r="D368" s="5240"/>
      <c r="E368" s="5241"/>
      <c r="F368" s="5243">
        <f t="shared" si="30"/>
        <v>0</v>
      </c>
      <c r="G368" s="5241"/>
      <c r="H368" s="5241"/>
      <c r="I368" s="5243">
        <f t="shared" si="31"/>
        <v>0</v>
      </c>
      <c r="J368" s="5244">
        <f t="shared" si="35"/>
        <v>0</v>
      </c>
      <c r="K368" s="5245">
        <f t="shared" si="32"/>
        <v>0</v>
      </c>
      <c r="L368" s="5245">
        <f t="shared" si="33"/>
        <v>0</v>
      </c>
      <c r="M368" s="5245">
        <f t="shared" si="34"/>
        <v>0</v>
      </c>
    </row>
    <row r="369" spans="1:13" ht="14.85" customHeight="1">
      <c r="A369" s="5238">
        <v>259</v>
      </c>
      <c r="B369" s="5238" t="s">
        <v>3429</v>
      </c>
      <c r="C369" s="5239" t="s">
        <v>2173</v>
      </c>
      <c r="D369" s="5240"/>
      <c r="E369" s="5241"/>
      <c r="F369" s="5243">
        <f t="shared" si="30"/>
        <v>0</v>
      </c>
      <c r="G369" s="5241"/>
      <c r="H369" s="5241"/>
      <c r="I369" s="5243">
        <f t="shared" si="31"/>
        <v>0</v>
      </c>
      <c r="J369" s="5244">
        <f t="shared" si="35"/>
        <v>0</v>
      </c>
      <c r="K369" s="5245">
        <f t="shared" si="32"/>
        <v>0</v>
      </c>
      <c r="L369" s="5245">
        <f t="shared" si="33"/>
        <v>0</v>
      </c>
      <c r="M369" s="5245">
        <f t="shared" si="34"/>
        <v>0</v>
      </c>
    </row>
    <row r="370" spans="1:13" ht="14.85" customHeight="1">
      <c r="A370" s="5238">
        <v>259</v>
      </c>
      <c r="B370" s="5238" t="s">
        <v>3430</v>
      </c>
      <c r="C370" s="5239" t="s">
        <v>2174</v>
      </c>
      <c r="D370" s="5240"/>
      <c r="E370" s="5241"/>
      <c r="F370" s="5243">
        <f t="shared" si="30"/>
        <v>0</v>
      </c>
      <c r="G370" s="5241"/>
      <c r="H370" s="5241"/>
      <c r="I370" s="5243">
        <f t="shared" si="31"/>
        <v>0</v>
      </c>
      <c r="J370" s="5244">
        <f t="shared" si="35"/>
        <v>0</v>
      </c>
      <c r="K370" s="5245">
        <f t="shared" si="32"/>
        <v>0</v>
      </c>
      <c r="L370" s="5245">
        <f t="shared" si="33"/>
        <v>0</v>
      </c>
      <c r="M370" s="5245">
        <f t="shared" si="34"/>
        <v>0</v>
      </c>
    </row>
    <row r="371" spans="1:13" ht="14.85" customHeight="1">
      <c r="A371" s="5238">
        <v>259</v>
      </c>
      <c r="B371" s="5238" t="s">
        <v>3431</v>
      </c>
      <c r="C371" s="5239" t="s">
        <v>4505</v>
      </c>
      <c r="D371" s="5240"/>
      <c r="E371" s="5241"/>
      <c r="F371" s="5243">
        <f t="shared" si="30"/>
        <v>0</v>
      </c>
      <c r="G371" s="5241"/>
      <c r="H371" s="5241"/>
      <c r="I371" s="5243">
        <f t="shared" si="31"/>
        <v>0</v>
      </c>
      <c r="J371" s="5244">
        <f t="shared" si="35"/>
        <v>0</v>
      </c>
      <c r="K371" s="5245">
        <f t="shared" si="32"/>
        <v>0</v>
      </c>
      <c r="L371" s="5245">
        <f t="shared" si="33"/>
        <v>0</v>
      </c>
      <c r="M371" s="5245">
        <f t="shared" si="34"/>
        <v>0</v>
      </c>
    </row>
    <row r="372" spans="1:13" ht="14.85" customHeight="1">
      <c r="A372" s="5238">
        <v>259</v>
      </c>
      <c r="B372" s="5238" t="s">
        <v>3432</v>
      </c>
      <c r="C372" s="5239" t="s">
        <v>2175</v>
      </c>
      <c r="D372" s="5240"/>
      <c r="E372" s="5241"/>
      <c r="F372" s="5243">
        <f t="shared" si="30"/>
        <v>0</v>
      </c>
      <c r="G372" s="5241"/>
      <c r="H372" s="5241"/>
      <c r="I372" s="5243">
        <f t="shared" si="31"/>
        <v>0</v>
      </c>
      <c r="J372" s="5244">
        <f t="shared" si="35"/>
        <v>0</v>
      </c>
      <c r="K372" s="5245">
        <f t="shared" si="32"/>
        <v>0</v>
      </c>
      <c r="L372" s="5245">
        <f t="shared" si="33"/>
        <v>0</v>
      </c>
      <c r="M372" s="5245">
        <f t="shared" si="34"/>
        <v>0</v>
      </c>
    </row>
    <row r="373" spans="1:13" ht="14.85" customHeight="1">
      <c r="A373" s="5238">
        <v>259</v>
      </c>
      <c r="B373" s="5238" t="s">
        <v>3433</v>
      </c>
      <c r="C373" s="5239" t="s">
        <v>4506</v>
      </c>
      <c r="D373" s="5240"/>
      <c r="E373" s="5241"/>
      <c r="F373" s="5243">
        <f t="shared" si="30"/>
        <v>0</v>
      </c>
      <c r="G373" s="5241"/>
      <c r="H373" s="5241"/>
      <c r="I373" s="5243">
        <f t="shared" si="31"/>
        <v>0</v>
      </c>
      <c r="J373" s="5244">
        <f t="shared" si="35"/>
        <v>0</v>
      </c>
      <c r="K373" s="5245">
        <f t="shared" si="32"/>
        <v>0</v>
      </c>
      <c r="L373" s="5245">
        <f t="shared" si="33"/>
        <v>0</v>
      </c>
      <c r="M373" s="5245">
        <f t="shared" si="34"/>
        <v>0</v>
      </c>
    </row>
    <row r="374" spans="1:13" ht="14.85" customHeight="1">
      <c r="A374" s="5238">
        <v>259</v>
      </c>
      <c r="B374" s="5238" t="s">
        <v>3434</v>
      </c>
      <c r="C374" s="5239" t="s">
        <v>2176</v>
      </c>
      <c r="D374" s="5240"/>
      <c r="E374" s="5241"/>
      <c r="F374" s="5243">
        <f t="shared" si="30"/>
        <v>0</v>
      </c>
      <c r="G374" s="5241"/>
      <c r="H374" s="5241"/>
      <c r="I374" s="5243">
        <f t="shared" si="31"/>
        <v>0</v>
      </c>
      <c r="J374" s="5244">
        <f t="shared" si="35"/>
        <v>0</v>
      </c>
      <c r="K374" s="5245">
        <f t="shared" si="32"/>
        <v>0</v>
      </c>
      <c r="L374" s="5245">
        <f t="shared" si="33"/>
        <v>0</v>
      </c>
      <c r="M374" s="5245">
        <f t="shared" si="34"/>
        <v>0</v>
      </c>
    </row>
    <row r="375" spans="1:13" ht="14.85" customHeight="1">
      <c r="A375" s="5238">
        <v>259</v>
      </c>
      <c r="B375" s="5238" t="s">
        <v>3435</v>
      </c>
      <c r="C375" s="5239" t="s">
        <v>2177</v>
      </c>
      <c r="D375" s="5240"/>
      <c r="E375" s="5241"/>
      <c r="F375" s="5243">
        <f t="shared" si="30"/>
        <v>0</v>
      </c>
      <c r="G375" s="5241"/>
      <c r="H375" s="5241"/>
      <c r="I375" s="5243">
        <f t="shared" si="31"/>
        <v>0</v>
      </c>
      <c r="J375" s="5244">
        <f t="shared" si="35"/>
        <v>0</v>
      </c>
      <c r="K375" s="5245">
        <f t="shared" si="32"/>
        <v>0</v>
      </c>
      <c r="L375" s="5245">
        <f t="shared" si="33"/>
        <v>0</v>
      </c>
      <c r="M375" s="5245">
        <f t="shared" si="34"/>
        <v>0</v>
      </c>
    </row>
    <row r="376" spans="1:13" ht="14.85" customHeight="1">
      <c r="A376" s="5238">
        <v>259</v>
      </c>
      <c r="B376" s="5238" t="s">
        <v>3436</v>
      </c>
      <c r="C376" s="5239" t="s">
        <v>2178</v>
      </c>
      <c r="D376" s="5240"/>
      <c r="E376" s="5241"/>
      <c r="F376" s="5243">
        <f t="shared" si="30"/>
        <v>0</v>
      </c>
      <c r="G376" s="5241"/>
      <c r="H376" s="5241"/>
      <c r="I376" s="5243">
        <f t="shared" si="31"/>
        <v>0</v>
      </c>
      <c r="J376" s="5244">
        <f t="shared" si="35"/>
        <v>0</v>
      </c>
      <c r="K376" s="5245">
        <f t="shared" si="32"/>
        <v>0</v>
      </c>
      <c r="L376" s="5245">
        <f t="shared" si="33"/>
        <v>0</v>
      </c>
      <c r="M376" s="5245">
        <f t="shared" si="34"/>
        <v>0</v>
      </c>
    </row>
    <row r="377" spans="1:13" ht="14.85" customHeight="1">
      <c r="A377" s="5238">
        <v>259</v>
      </c>
      <c r="B377" s="5238" t="s">
        <v>3437</v>
      </c>
      <c r="C377" s="5239" t="s">
        <v>2140</v>
      </c>
      <c r="D377" s="5240"/>
      <c r="E377" s="5241"/>
      <c r="F377" s="5243">
        <f t="shared" si="30"/>
        <v>0</v>
      </c>
      <c r="G377" s="5241"/>
      <c r="H377" s="5241"/>
      <c r="I377" s="5243">
        <f t="shared" si="31"/>
        <v>0</v>
      </c>
      <c r="J377" s="5244">
        <f t="shared" si="35"/>
        <v>0</v>
      </c>
      <c r="K377" s="5245">
        <f t="shared" si="32"/>
        <v>0</v>
      </c>
      <c r="L377" s="5245">
        <f t="shared" si="33"/>
        <v>0</v>
      </c>
      <c r="M377" s="5245">
        <f t="shared" si="34"/>
        <v>0</v>
      </c>
    </row>
    <row r="378" spans="1:13" ht="14.85" customHeight="1">
      <c r="A378" s="5238">
        <v>259</v>
      </c>
      <c r="B378" s="5238" t="s">
        <v>3438</v>
      </c>
      <c r="C378" s="5239" t="s">
        <v>2179</v>
      </c>
      <c r="D378" s="5240"/>
      <c r="E378" s="5241"/>
      <c r="F378" s="5243">
        <f t="shared" si="30"/>
        <v>0</v>
      </c>
      <c r="G378" s="5241"/>
      <c r="H378" s="5241"/>
      <c r="I378" s="5243">
        <f t="shared" si="31"/>
        <v>0</v>
      </c>
      <c r="J378" s="5244">
        <f t="shared" si="35"/>
        <v>0</v>
      </c>
      <c r="K378" s="5245">
        <f t="shared" si="32"/>
        <v>0</v>
      </c>
      <c r="L378" s="5245">
        <f t="shared" si="33"/>
        <v>0</v>
      </c>
      <c r="M378" s="5245">
        <f t="shared" si="34"/>
        <v>0</v>
      </c>
    </row>
    <row r="379" spans="1:13" ht="14.85" customHeight="1">
      <c r="A379" s="5238">
        <v>259</v>
      </c>
      <c r="B379" s="5238" t="s">
        <v>3439</v>
      </c>
      <c r="C379" s="5239" t="s">
        <v>2180</v>
      </c>
      <c r="D379" s="5240"/>
      <c r="E379" s="5241"/>
      <c r="F379" s="5243">
        <f t="shared" si="30"/>
        <v>0</v>
      </c>
      <c r="G379" s="5241"/>
      <c r="H379" s="5241"/>
      <c r="I379" s="5243">
        <f t="shared" si="31"/>
        <v>0</v>
      </c>
      <c r="J379" s="5244">
        <f t="shared" si="35"/>
        <v>0</v>
      </c>
      <c r="K379" s="5245">
        <f t="shared" si="32"/>
        <v>0</v>
      </c>
      <c r="L379" s="5245">
        <f t="shared" si="33"/>
        <v>0</v>
      </c>
      <c r="M379" s="5245">
        <f t="shared" si="34"/>
        <v>0</v>
      </c>
    </row>
    <row r="380" spans="1:13" ht="14.85" customHeight="1">
      <c r="A380" s="5238">
        <v>259</v>
      </c>
      <c r="B380" s="5238" t="s">
        <v>3440</v>
      </c>
      <c r="C380" s="5239" t="s">
        <v>2181</v>
      </c>
      <c r="D380" s="5240"/>
      <c r="E380" s="5241"/>
      <c r="F380" s="5243">
        <f t="shared" si="30"/>
        <v>0</v>
      </c>
      <c r="G380" s="5241"/>
      <c r="H380" s="5241"/>
      <c r="I380" s="5243">
        <f t="shared" si="31"/>
        <v>0</v>
      </c>
      <c r="J380" s="5244">
        <f t="shared" si="35"/>
        <v>0</v>
      </c>
      <c r="K380" s="5245">
        <f t="shared" si="32"/>
        <v>0</v>
      </c>
      <c r="L380" s="5245">
        <f t="shared" si="33"/>
        <v>0</v>
      </c>
      <c r="M380" s="5245">
        <f t="shared" si="34"/>
        <v>0</v>
      </c>
    </row>
    <row r="381" spans="1:13" ht="14.85" customHeight="1">
      <c r="A381" s="5238">
        <v>259</v>
      </c>
      <c r="B381" s="5238" t="s">
        <v>3441</v>
      </c>
      <c r="C381" s="5239" t="s">
        <v>4584</v>
      </c>
      <c r="D381" s="5240"/>
      <c r="E381" s="5241"/>
      <c r="F381" s="5243">
        <f t="shared" si="30"/>
        <v>0</v>
      </c>
      <c r="G381" s="5241"/>
      <c r="H381" s="5241"/>
      <c r="I381" s="5243">
        <f t="shared" si="31"/>
        <v>0</v>
      </c>
      <c r="J381" s="5244">
        <f t="shared" si="35"/>
        <v>0</v>
      </c>
      <c r="K381" s="5245">
        <f t="shared" si="32"/>
        <v>0</v>
      </c>
      <c r="L381" s="5245">
        <f t="shared" si="33"/>
        <v>0</v>
      </c>
      <c r="M381" s="5245">
        <f t="shared" si="34"/>
        <v>0</v>
      </c>
    </row>
    <row r="382" spans="1:13" ht="14.85" customHeight="1">
      <c r="A382" s="5238">
        <v>259</v>
      </c>
      <c r="B382" s="5238" t="s">
        <v>3442</v>
      </c>
      <c r="C382" s="5239" t="s">
        <v>2182</v>
      </c>
      <c r="D382" s="5240"/>
      <c r="E382" s="5241"/>
      <c r="F382" s="5243">
        <f t="shared" si="30"/>
        <v>0</v>
      </c>
      <c r="G382" s="5241"/>
      <c r="H382" s="5241"/>
      <c r="I382" s="5243">
        <f t="shared" si="31"/>
        <v>0</v>
      </c>
      <c r="J382" s="5244">
        <f t="shared" si="35"/>
        <v>0</v>
      </c>
      <c r="K382" s="5245">
        <f t="shared" si="32"/>
        <v>0</v>
      </c>
      <c r="L382" s="5245">
        <f t="shared" si="33"/>
        <v>0</v>
      </c>
      <c r="M382" s="5245">
        <f t="shared" si="34"/>
        <v>0</v>
      </c>
    </row>
    <row r="383" spans="1:13" ht="14.85" customHeight="1">
      <c r="A383" s="5238">
        <v>259</v>
      </c>
      <c r="B383" s="5238" t="s">
        <v>3443</v>
      </c>
      <c r="C383" s="5239" t="s">
        <v>2183</v>
      </c>
      <c r="D383" s="5240"/>
      <c r="E383" s="5241"/>
      <c r="F383" s="5243">
        <f t="shared" si="30"/>
        <v>0</v>
      </c>
      <c r="G383" s="5241"/>
      <c r="H383" s="5241"/>
      <c r="I383" s="5243">
        <f t="shared" si="31"/>
        <v>0</v>
      </c>
      <c r="J383" s="5244">
        <f t="shared" si="35"/>
        <v>0</v>
      </c>
      <c r="K383" s="5245">
        <f t="shared" si="32"/>
        <v>0</v>
      </c>
      <c r="L383" s="5245">
        <f t="shared" si="33"/>
        <v>0</v>
      </c>
      <c r="M383" s="5245">
        <f t="shared" si="34"/>
        <v>0</v>
      </c>
    </row>
    <row r="384" spans="1:13" ht="14.85" customHeight="1">
      <c r="A384" s="5238">
        <v>259</v>
      </c>
      <c r="B384" s="5238" t="s">
        <v>3444</v>
      </c>
      <c r="C384" s="5239" t="s">
        <v>2184</v>
      </c>
      <c r="D384" s="5240"/>
      <c r="E384" s="5241"/>
      <c r="F384" s="5243">
        <f t="shared" si="30"/>
        <v>0</v>
      </c>
      <c r="G384" s="5241"/>
      <c r="H384" s="5241"/>
      <c r="I384" s="5243">
        <f t="shared" si="31"/>
        <v>0</v>
      </c>
      <c r="J384" s="5244">
        <f t="shared" si="35"/>
        <v>0</v>
      </c>
      <c r="K384" s="5245">
        <f t="shared" si="32"/>
        <v>0</v>
      </c>
      <c r="L384" s="5245">
        <f t="shared" si="33"/>
        <v>0</v>
      </c>
      <c r="M384" s="5245">
        <f t="shared" si="34"/>
        <v>0</v>
      </c>
    </row>
    <row r="385" spans="1:13" ht="14.85" customHeight="1">
      <c r="A385" s="5238">
        <v>259</v>
      </c>
      <c r="B385" s="5238" t="s">
        <v>3445</v>
      </c>
      <c r="C385" s="5239" t="s">
        <v>4507</v>
      </c>
      <c r="D385" s="5240"/>
      <c r="E385" s="5241"/>
      <c r="F385" s="5243">
        <f t="shared" si="30"/>
        <v>0</v>
      </c>
      <c r="G385" s="5241"/>
      <c r="H385" s="5241"/>
      <c r="I385" s="5243">
        <f t="shared" si="31"/>
        <v>0</v>
      </c>
      <c r="J385" s="5244">
        <f t="shared" si="35"/>
        <v>0</v>
      </c>
      <c r="K385" s="5245">
        <f t="shared" si="32"/>
        <v>0</v>
      </c>
      <c r="L385" s="5245">
        <f t="shared" si="33"/>
        <v>0</v>
      </c>
      <c r="M385" s="5245">
        <f t="shared" si="34"/>
        <v>0</v>
      </c>
    </row>
    <row r="386" spans="1:13" ht="14.85" customHeight="1">
      <c r="A386" s="5238">
        <v>259</v>
      </c>
      <c r="B386" s="5238" t="s">
        <v>3446</v>
      </c>
      <c r="C386" s="5239" t="s">
        <v>2185</v>
      </c>
      <c r="D386" s="5240"/>
      <c r="E386" s="5241"/>
      <c r="F386" s="5243">
        <f t="shared" si="30"/>
        <v>0</v>
      </c>
      <c r="G386" s="5241"/>
      <c r="H386" s="5241"/>
      <c r="I386" s="5243">
        <f t="shared" si="31"/>
        <v>0</v>
      </c>
      <c r="J386" s="5244">
        <f t="shared" si="35"/>
        <v>0</v>
      </c>
      <c r="K386" s="5245">
        <f t="shared" si="32"/>
        <v>0</v>
      </c>
      <c r="L386" s="5245">
        <f t="shared" si="33"/>
        <v>0</v>
      </c>
      <c r="M386" s="5245">
        <f t="shared" si="34"/>
        <v>0</v>
      </c>
    </row>
    <row r="387" spans="1:13" ht="14.85" customHeight="1">
      <c r="A387" s="5238">
        <v>259</v>
      </c>
      <c r="B387" s="5238" t="s">
        <v>3447</v>
      </c>
      <c r="C387" s="5239" t="s">
        <v>4508</v>
      </c>
      <c r="D387" s="5240"/>
      <c r="E387" s="5241"/>
      <c r="F387" s="5243">
        <f t="shared" si="30"/>
        <v>0</v>
      </c>
      <c r="G387" s="5241"/>
      <c r="H387" s="5241"/>
      <c r="I387" s="5243">
        <f t="shared" si="31"/>
        <v>0</v>
      </c>
      <c r="J387" s="5244">
        <f t="shared" si="35"/>
        <v>0</v>
      </c>
      <c r="K387" s="5245">
        <f t="shared" si="32"/>
        <v>0</v>
      </c>
      <c r="L387" s="5245">
        <f t="shared" si="33"/>
        <v>0</v>
      </c>
      <c r="M387" s="5245">
        <f t="shared" si="34"/>
        <v>0</v>
      </c>
    </row>
    <row r="388" spans="1:13" ht="14.85" customHeight="1">
      <c r="A388" s="5238">
        <v>259</v>
      </c>
      <c r="B388" s="5238" t="s">
        <v>3448</v>
      </c>
      <c r="C388" s="5239" t="s">
        <v>2186</v>
      </c>
      <c r="D388" s="5240"/>
      <c r="E388" s="5241"/>
      <c r="F388" s="5243">
        <f t="shared" si="30"/>
        <v>0</v>
      </c>
      <c r="G388" s="5241"/>
      <c r="H388" s="5241"/>
      <c r="I388" s="5243">
        <f t="shared" si="31"/>
        <v>0</v>
      </c>
      <c r="J388" s="5244">
        <f t="shared" si="35"/>
        <v>0</v>
      </c>
      <c r="K388" s="5245">
        <f t="shared" si="32"/>
        <v>0</v>
      </c>
      <c r="L388" s="5245">
        <f t="shared" si="33"/>
        <v>0</v>
      </c>
      <c r="M388" s="5245">
        <f t="shared" si="34"/>
        <v>0</v>
      </c>
    </row>
    <row r="389" spans="1:13" ht="14.85" customHeight="1">
      <c r="A389" s="5238">
        <v>259</v>
      </c>
      <c r="B389" s="5238" t="s">
        <v>3449</v>
      </c>
      <c r="C389" s="5239" t="s">
        <v>4509</v>
      </c>
      <c r="D389" s="5240"/>
      <c r="E389" s="5241"/>
      <c r="F389" s="5243">
        <f t="shared" si="30"/>
        <v>0</v>
      </c>
      <c r="G389" s="5241"/>
      <c r="H389" s="5241"/>
      <c r="I389" s="5243">
        <f t="shared" si="31"/>
        <v>0</v>
      </c>
      <c r="J389" s="5244">
        <f t="shared" si="35"/>
        <v>0</v>
      </c>
      <c r="K389" s="5245">
        <f t="shared" si="32"/>
        <v>0</v>
      </c>
      <c r="L389" s="5245">
        <f t="shared" si="33"/>
        <v>0</v>
      </c>
      <c r="M389" s="5245">
        <f t="shared" si="34"/>
        <v>0</v>
      </c>
    </row>
    <row r="390" spans="1:13" ht="14.85" customHeight="1">
      <c r="A390" s="5238">
        <v>259</v>
      </c>
      <c r="B390" s="5238" t="s">
        <v>3450</v>
      </c>
      <c r="C390" s="5239" t="s">
        <v>2187</v>
      </c>
      <c r="D390" s="5240"/>
      <c r="E390" s="5241"/>
      <c r="F390" s="5243">
        <f t="shared" si="30"/>
        <v>0</v>
      </c>
      <c r="G390" s="5241"/>
      <c r="H390" s="5241"/>
      <c r="I390" s="5243">
        <f t="shared" si="31"/>
        <v>0</v>
      </c>
      <c r="J390" s="5244">
        <f t="shared" si="35"/>
        <v>0</v>
      </c>
      <c r="K390" s="5245">
        <f t="shared" si="32"/>
        <v>0</v>
      </c>
      <c r="L390" s="5245">
        <f t="shared" si="33"/>
        <v>0</v>
      </c>
      <c r="M390" s="5245">
        <f t="shared" si="34"/>
        <v>0</v>
      </c>
    </row>
    <row r="391" spans="1:13" ht="14.85" customHeight="1">
      <c r="A391" s="5238">
        <v>259</v>
      </c>
      <c r="B391" s="5238" t="s">
        <v>3451</v>
      </c>
      <c r="C391" s="5239" t="s">
        <v>2188</v>
      </c>
      <c r="D391" s="5240"/>
      <c r="E391" s="5241"/>
      <c r="F391" s="5243">
        <f t="shared" si="30"/>
        <v>0</v>
      </c>
      <c r="G391" s="5241"/>
      <c r="H391" s="5241"/>
      <c r="I391" s="5243">
        <f t="shared" si="31"/>
        <v>0</v>
      </c>
      <c r="J391" s="5244">
        <f t="shared" si="35"/>
        <v>0</v>
      </c>
      <c r="K391" s="5245">
        <f t="shared" si="32"/>
        <v>0</v>
      </c>
      <c r="L391" s="5245">
        <f t="shared" si="33"/>
        <v>0</v>
      </c>
      <c r="M391" s="5245">
        <f t="shared" si="34"/>
        <v>0</v>
      </c>
    </row>
    <row r="392" spans="1:13" ht="14.85" customHeight="1">
      <c r="A392" s="5238">
        <v>259</v>
      </c>
      <c r="B392" s="5238" t="s">
        <v>3452</v>
      </c>
      <c r="C392" s="5239" t="s">
        <v>2189</v>
      </c>
      <c r="D392" s="5240"/>
      <c r="E392" s="5241"/>
      <c r="F392" s="5243">
        <f t="shared" si="30"/>
        <v>0</v>
      </c>
      <c r="G392" s="5241"/>
      <c r="H392" s="5241"/>
      <c r="I392" s="5243">
        <f t="shared" si="31"/>
        <v>0</v>
      </c>
      <c r="J392" s="5244">
        <f t="shared" si="35"/>
        <v>0</v>
      </c>
      <c r="K392" s="5245">
        <f t="shared" si="32"/>
        <v>0</v>
      </c>
      <c r="L392" s="5245">
        <f t="shared" si="33"/>
        <v>0</v>
      </c>
      <c r="M392" s="5245">
        <f t="shared" si="34"/>
        <v>0</v>
      </c>
    </row>
    <row r="393" spans="1:13" ht="14.85" customHeight="1">
      <c r="A393" s="5238">
        <v>259</v>
      </c>
      <c r="B393" s="5238" t="s">
        <v>3453</v>
      </c>
      <c r="C393" s="5239" t="s">
        <v>2190</v>
      </c>
      <c r="D393" s="5240"/>
      <c r="E393" s="5241"/>
      <c r="F393" s="5243">
        <f t="shared" si="30"/>
        <v>0</v>
      </c>
      <c r="G393" s="5241"/>
      <c r="H393" s="5241"/>
      <c r="I393" s="5243">
        <f t="shared" si="31"/>
        <v>0</v>
      </c>
      <c r="J393" s="5244">
        <f t="shared" si="35"/>
        <v>0</v>
      </c>
      <c r="K393" s="5245">
        <f t="shared" si="32"/>
        <v>0</v>
      </c>
      <c r="L393" s="5245">
        <f t="shared" si="33"/>
        <v>0</v>
      </c>
      <c r="M393" s="5245">
        <f t="shared" si="34"/>
        <v>0</v>
      </c>
    </row>
    <row r="394" spans="1:13" ht="14.85" customHeight="1">
      <c r="A394" s="5238">
        <v>259</v>
      </c>
      <c r="B394" s="5238" t="s">
        <v>3454</v>
      </c>
      <c r="C394" s="5239" t="s">
        <v>4510</v>
      </c>
      <c r="D394" s="5240"/>
      <c r="E394" s="5241"/>
      <c r="F394" s="5243">
        <f t="shared" si="30"/>
        <v>0</v>
      </c>
      <c r="G394" s="5241"/>
      <c r="H394" s="5241"/>
      <c r="I394" s="5243">
        <f t="shared" si="31"/>
        <v>0</v>
      </c>
      <c r="J394" s="5244">
        <f t="shared" si="35"/>
        <v>0</v>
      </c>
      <c r="K394" s="5245">
        <f t="shared" si="32"/>
        <v>0</v>
      </c>
      <c r="L394" s="5245">
        <f t="shared" si="33"/>
        <v>0</v>
      </c>
      <c r="M394" s="5245">
        <f t="shared" si="34"/>
        <v>0</v>
      </c>
    </row>
    <row r="395" spans="1:13" ht="14.85" customHeight="1">
      <c r="A395" s="5238">
        <v>259</v>
      </c>
      <c r="B395" s="5238" t="s">
        <v>3455</v>
      </c>
      <c r="C395" s="5239" t="s">
        <v>2191</v>
      </c>
      <c r="D395" s="5240"/>
      <c r="E395" s="5241"/>
      <c r="F395" s="5243">
        <f t="shared" si="30"/>
        <v>0</v>
      </c>
      <c r="G395" s="5241"/>
      <c r="H395" s="5241"/>
      <c r="I395" s="5243">
        <f t="shared" si="31"/>
        <v>0</v>
      </c>
      <c r="J395" s="5244">
        <f t="shared" si="35"/>
        <v>0</v>
      </c>
      <c r="K395" s="5245">
        <f t="shared" si="32"/>
        <v>0</v>
      </c>
      <c r="L395" s="5245">
        <f t="shared" si="33"/>
        <v>0</v>
      </c>
      <c r="M395" s="5245">
        <f t="shared" si="34"/>
        <v>0</v>
      </c>
    </row>
    <row r="396" spans="1:13" ht="14.85" customHeight="1">
      <c r="A396" s="5238">
        <v>259</v>
      </c>
      <c r="B396" s="5238" t="s">
        <v>3456</v>
      </c>
      <c r="C396" s="5239" t="s">
        <v>2192</v>
      </c>
      <c r="D396" s="5240"/>
      <c r="E396" s="5241"/>
      <c r="F396" s="5243">
        <f t="shared" si="30"/>
        <v>0</v>
      </c>
      <c r="G396" s="5241"/>
      <c r="H396" s="5241"/>
      <c r="I396" s="5243">
        <f t="shared" si="31"/>
        <v>0</v>
      </c>
      <c r="J396" s="5244">
        <f t="shared" si="35"/>
        <v>0</v>
      </c>
      <c r="K396" s="5245">
        <f t="shared" si="32"/>
        <v>0</v>
      </c>
      <c r="L396" s="5245">
        <f t="shared" si="33"/>
        <v>0</v>
      </c>
      <c r="M396" s="5245">
        <f t="shared" si="34"/>
        <v>0</v>
      </c>
    </row>
    <row r="397" spans="1:13" ht="14.85" customHeight="1">
      <c r="A397" s="5238">
        <v>259</v>
      </c>
      <c r="B397" s="5238" t="s">
        <v>3457</v>
      </c>
      <c r="C397" s="5239" t="s">
        <v>2193</v>
      </c>
      <c r="D397" s="5240"/>
      <c r="E397" s="5241"/>
      <c r="F397" s="5243">
        <f t="shared" si="30"/>
        <v>0</v>
      </c>
      <c r="G397" s="5241"/>
      <c r="H397" s="5241"/>
      <c r="I397" s="5243">
        <f t="shared" si="31"/>
        <v>0</v>
      </c>
      <c r="J397" s="5244">
        <f t="shared" si="35"/>
        <v>0</v>
      </c>
      <c r="K397" s="5245">
        <f t="shared" si="32"/>
        <v>0</v>
      </c>
      <c r="L397" s="5245">
        <f t="shared" si="33"/>
        <v>0</v>
      </c>
      <c r="M397" s="5245">
        <f t="shared" si="34"/>
        <v>0</v>
      </c>
    </row>
    <row r="398" spans="1:13" ht="14.85" customHeight="1">
      <c r="A398" s="5238">
        <v>259</v>
      </c>
      <c r="B398" s="5238" t="s">
        <v>3458</v>
      </c>
      <c r="C398" s="5239" t="s">
        <v>2194</v>
      </c>
      <c r="D398" s="5240"/>
      <c r="E398" s="5241"/>
      <c r="F398" s="5243">
        <f t="shared" si="30"/>
        <v>0</v>
      </c>
      <c r="G398" s="5241"/>
      <c r="H398" s="5241"/>
      <c r="I398" s="5243">
        <f t="shared" si="31"/>
        <v>0</v>
      </c>
      <c r="J398" s="5244">
        <f t="shared" si="35"/>
        <v>0</v>
      </c>
      <c r="K398" s="5245">
        <f t="shared" si="32"/>
        <v>0</v>
      </c>
      <c r="L398" s="5245">
        <f t="shared" si="33"/>
        <v>0</v>
      </c>
      <c r="M398" s="5245">
        <f t="shared" si="34"/>
        <v>0</v>
      </c>
    </row>
    <row r="399" spans="1:13" ht="14.85" customHeight="1">
      <c r="A399" s="5238">
        <v>259</v>
      </c>
      <c r="B399" s="5238" t="s">
        <v>3459</v>
      </c>
      <c r="C399" s="5239" t="s">
        <v>2195</v>
      </c>
      <c r="D399" s="5240"/>
      <c r="E399" s="5241"/>
      <c r="F399" s="5243">
        <f t="shared" si="30"/>
        <v>0</v>
      </c>
      <c r="G399" s="5241"/>
      <c r="H399" s="5241"/>
      <c r="I399" s="5243">
        <f t="shared" si="31"/>
        <v>0</v>
      </c>
      <c r="J399" s="5244">
        <f t="shared" si="35"/>
        <v>0</v>
      </c>
      <c r="K399" s="5245">
        <f t="shared" si="32"/>
        <v>0</v>
      </c>
      <c r="L399" s="5245">
        <f t="shared" si="33"/>
        <v>0</v>
      </c>
      <c r="M399" s="5245">
        <f t="shared" si="34"/>
        <v>0</v>
      </c>
    </row>
    <row r="400" spans="1:13" ht="14.85" customHeight="1">
      <c r="A400" s="5238">
        <v>259</v>
      </c>
      <c r="B400" s="5238" t="s">
        <v>3460</v>
      </c>
      <c r="C400" s="5239" t="s">
        <v>4511</v>
      </c>
      <c r="D400" s="5240"/>
      <c r="E400" s="5241"/>
      <c r="F400" s="5243">
        <f t="shared" si="30"/>
        <v>0</v>
      </c>
      <c r="G400" s="5241"/>
      <c r="H400" s="5241"/>
      <c r="I400" s="5243">
        <f t="shared" si="31"/>
        <v>0</v>
      </c>
      <c r="J400" s="5244">
        <f t="shared" si="35"/>
        <v>0</v>
      </c>
      <c r="K400" s="5245">
        <f t="shared" si="32"/>
        <v>0</v>
      </c>
      <c r="L400" s="5245">
        <f t="shared" si="33"/>
        <v>0</v>
      </c>
      <c r="M400" s="5245">
        <f t="shared" si="34"/>
        <v>0</v>
      </c>
    </row>
    <row r="401" spans="1:13" ht="14.85" customHeight="1">
      <c r="A401" s="5238">
        <v>259</v>
      </c>
      <c r="B401" s="5238" t="s">
        <v>3461</v>
      </c>
      <c r="C401" s="5239" t="s">
        <v>2196</v>
      </c>
      <c r="D401" s="5240"/>
      <c r="E401" s="5241"/>
      <c r="F401" s="5243">
        <f t="shared" si="30"/>
        <v>0</v>
      </c>
      <c r="G401" s="5241"/>
      <c r="H401" s="5241"/>
      <c r="I401" s="5243">
        <f t="shared" si="31"/>
        <v>0</v>
      </c>
      <c r="J401" s="5244">
        <f t="shared" si="35"/>
        <v>0</v>
      </c>
      <c r="K401" s="5245">
        <f t="shared" si="32"/>
        <v>0</v>
      </c>
      <c r="L401" s="5245">
        <f t="shared" si="33"/>
        <v>0</v>
      </c>
      <c r="M401" s="5245">
        <f t="shared" si="34"/>
        <v>0</v>
      </c>
    </row>
    <row r="402" spans="1:13" ht="14.85" customHeight="1">
      <c r="A402" s="5238">
        <v>259</v>
      </c>
      <c r="B402" s="5238" t="s">
        <v>3462</v>
      </c>
      <c r="C402" s="5239" t="s">
        <v>2197</v>
      </c>
      <c r="D402" s="5240"/>
      <c r="E402" s="5241"/>
      <c r="F402" s="5243">
        <f t="shared" si="30"/>
        <v>0</v>
      </c>
      <c r="G402" s="5241"/>
      <c r="H402" s="5241"/>
      <c r="I402" s="5243">
        <f t="shared" si="31"/>
        <v>0</v>
      </c>
      <c r="J402" s="5244">
        <f t="shared" si="35"/>
        <v>0</v>
      </c>
      <c r="K402" s="5245">
        <f t="shared" si="32"/>
        <v>0</v>
      </c>
      <c r="L402" s="5245">
        <f t="shared" si="33"/>
        <v>0</v>
      </c>
      <c r="M402" s="5245">
        <f t="shared" si="34"/>
        <v>0</v>
      </c>
    </row>
    <row r="403" spans="1:13" ht="14.85" customHeight="1">
      <c r="A403" s="5238">
        <v>259</v>
      </c>
      <c r="B403" s="5238" t="s">
        <v>3463</v>
      </c>
      <c r="C403" s="5239" t="s">
        <v>2198</v>
      </c>
      <c r="D403" s="5240"/>
      <c r="E403" s="5241"/>
      <c r="F403" s="5243">
        <f t="shared" si="30"/>
        <v>0</v>
      </c>
      <c r="G403" s="5241"/>
      <c r="H403" s="5241"/>
      <c r="I403" s="5243">
        <f t="shared" si="31"/>
        <v>0</v>
      </c>
      <c r="J403" s="5244">
        <f t="shared" si="35"/>
        <v>0</v>
      </c>
      <c r="K403" s="5245">
        <f t="shared" si="32"/>
        <v>0</v>
      </c>
      <c r="L403" s="5245">
        <f t="shared" si="33"/>
        <v>0</v>
      </c>
      <c r="M403" s="5245">
        <f t="shared" si="34"/>
        <v>0</v>
      </c>
    </row>
    <row r="404" spans="1:13" ht="14.85" customHeight="1">
      <c r="A404" s="5238">
        <v>259</v>
      </c>
      <c r="B404" s="5238" t="s">
        <v>3464</v>
      </c>
      <c r="C404" s="5239" t="s">
        <v>4512</v>
      </c>
      <c r="D404" s="5240"/>
      <c r="E404" s="5241"/>
      <c r="F404" s="5243">
        <f t="shared" si="30"/>
        <v>0</v>
      </c>
      <c r="G404" s="5241"/>
      <c r="H404" s="5241"/>
      <c r="I404" s="5243">
        <f t="shared" si="31"/>
        <v>0</v>
      </c>
      <c r="J404" s="5244">
        <f t="shared" si="35"/>
        <v>0</v>
      </c>
      <c r="K404" s="5245">
        <f t="shared" si="32"/>
        <v>0</v>
      </c>
      <c r="L404" s="5245">
        <f t="shared" si="33"/>
        <v>0</v>
      </c>
      <c r="M404" s="5245">
        <f t="shared" si="34"/>
        <v>0</v>
      </c>
    </row>
    <row r="405" spans="1:13" ht="14.85" customHeight="1">
      <c r="A405" s="5238">
        <v>259</v>
      </c>
      <c r="B405" s="5238" t="s">
        <v>3465</v>
      </c>
      <c r="C405" s="5239" t="s">
        <v>2199</v>
      </c>
      <c r="D405" s="5240"/>
      <c r="E405" s="5241"/>
      <c r="F405" s="5243">
        <f t="shared" si="30"/>
        <v>0</v>
      </c>
      <c r="G405" s="5241"/>
      <c r="H405" s="5241"/>
      <c r="I405" s="5243">
        <f t="shared" si="31"/>
        <v>0</v>
      </c>
      <c r="J405" s="5244">
        <f t="shared" si="35"/>
        <v>0</v>
      </c>
      <c r="K405" s="5245">
        <f t="shared" si="32"/>
        <v>0</v>
      </c>
      <c r="L405" s="5245">
        <f t="shared" si="33"/>
        <v>0</v>
      </c>
      <c r="M405" s="5245">
        <f t="shared" si="34"/>
        <v>0</v>
      </c>
    </row>
    <row r="406" spans="1:13" ht="14.85" customHeight="1">
      <c r="A406" s="5238">
        <v>259</v>
      </c>
      <c r="B406" s="5238" t="s">
        <v>3466</v>
      </c>
      <c r="C406" s="5239" t="s">
        <v>2200</v>
      </c>
      <c r="D406" s="5240"/>
      <c r="E406" s="5241"/>
      <c r="F406" s="5243">
        <f t="shared" si="30"/>
        <v>0</v>
      </c>
      <c r="G406" s="5241"/>
      <c r="H406" s="5241"/>
      <c r="I406" s="5243">
        <f t="shared" si="31"/>
        <v>0</v>
      </c>
      <c r="J406" s="5244">
        <f t="shared" si="35"/>
        <v>0</v>
      </c>
      <c r="K406" s="5245">
        <f t="shared" si="32"/>
        <v>0</v>
      </c>
      <c r="L406" s="5245">
        <f t="shared" si="33"/>
        <v>0</v>
      </c>
      <c r="M406" s="5245">
        <f t="shared" si="34"/>
        <v>0</v>
      </c>
    </row>
    <row r="407" spans="1:13" ht="14.85" customHeight="1">
      <c r="A407" s="5238">
        <v>259</v>
      </c>
      <c r="B407" s="5238" t="s">
        <v>3467</v>
      </c>
      <c r="C407" s="5239" t="s">
        <v>2201</v>
      </c>
      <c r="D407" s="5240"/>
      <c r="E407" s="5241"/>
      <c r="F407" s="5243">
        <f t="shared" si="30"/>
        <v>0</v>
      </c>
      <c r="G407" s="5241"/>
      <c r="H407" s="5241"/>
      <c r="I407" s="5243">
        <f t="shared" si="31"/>
        <v>0</v>
      </c>
      <c r="J407" s="5244">
        <f t="shared" si="35"/>
        <v>0</v>
      </c>
      <c r="K407" s="5245">
        <f t="shared" si="32"/>
        <v>0</v>
      </c>
      <c r="L407" s="5245">
        <f t="shared" si="33"/>
        <v>0</v>
      </c>
      <c r="M407" s="5245">
        <f t="shared" si="34"/>
        <v>0</v>
      </c>
    </row>
    <row r="408" spans="1:13" ht="14.85" customHeight="1">
      <c r="A408" s="5238">
        <v>259</v>
      </c>
      <c r="B408" s="5238" t="s">
        <v>3468</v>
      </c>
      <c r="C408" s="5239" t="s">
        <v>2202</v>
      </c>
      <c r="D408" s="5240"/>
      <c r="E408" s="5241"/>
      <c r="F408" s="5243">
        <f t="shared" si="30"/>
        <v>0</v>
      </c>
      <c r="G408" s="5241"/>
      <c r="H408" s="5241"/>
      <c r="I408" s="5243">
        <f t="shared" si="31"/>
        <v>0</v>
      </c>
      <c r="J408" s="5244">
        <f t="shared" si="35"/>
        <v>0</v>
      </c>
      <c r="K408" s="5245">
        <f t="shared" si="32"/>
        <v>0</v>
      </c>
      <c r="L408" s="5245">
        <f t="shared" si="33"/>
        <v>0</v>
      </c>
      <c r="M408" s="5245">
        <f t="shared" si="34"/>
        <v>0</v>
      </c>
    </row>
    <row r="409" spans="1:13" ht="14.85" customHeight="1">
      <c r="A409" s="5238">
        <v>259</v>
      </c>
      <c r="B409" s="5238" t="s">
        <v>3469</v>
      </c>
      <c r="C409" s="5239" t="s">
        <v>2203</v>
      </c>
      <c r="D409" s="5240"/>
      <c r="E409" s="5241"/>
      <c r="F409" s="5243">
        <f t="shared" si="30"/>
        <v>0</v>
      </c>
      <c r="G409" s="5241"/>
      <c r="H409" s="5241"/>
      <c r="I409" s="5243">
        <f t="shared" si="31"/>
        <v>0</v>
      </c>
      <c r="J409" s="5244">
        <f t="shared" si="35"/>
        <v>0</v>
      </c>
      <c r="K409" s="5245">
        <f t="shared" si="32"/>
        <v>0</v>
      </c>
      <c r="L409" s="5245">
        <f t="shared" si="33"/>
        <v>0</v>
      </c>
      <c r="M409" s="5245">
        <f t="shared" si="34"/>
        <v>0</v>
      </c>
    </row>
    <row r="410" spans="1:13" ht="14.85" customHeight="1">
      <c r="A410" s="5238">
        <v>259</v>
      </c>
      <c r="B410" s="5238" t="s">
        <v>3470</v>
      </c>
      <c r="C410" s="5239" t="s">
        <v>2204</v>
      </c>
      <c r="D410" s="5240"/>
      <c r="E410" s="5241"/>
      <c r="F410" s="5243">
        <f t="shared" si="30"/>
        <v>0</v>
      </c>
      <c r="G410" s="5241"/>
      <c r="H410" s="5241"/>
      <c r="I410" s="5243">
        <f t="shared" si="31"/>
        <v>0</v>
      </c>
      <c r="J410" s="5244">
        <f t="shared" si="35"/>
        <v>0</v>
      </c>
      <c r="K410" s="5245">
        <f t="shared" si="32"/>
        <v>0</v>
      </c>
      <c r="L410" s="5245">
        <f t="shared" si="33"/>
        <v>0</v>
      </c>
      <c r="M410" s="5245">
        <f t="shared" si="34"/>
        <v>0</v>
      </c>
    </row>
    <row r="411" spans="1:13" ht="14.85" customHeight="1">
      <c r="A411" s="5238">
        <v>259</v>
      </c>
      <c r="B411" s="5238" t="s">
        <v>3471</v>
      </c>
      <c r="C411" s="5239" t="s">
        <v>2205</v>
      </c>
      <c r="D411" s="5240"/>
      <c r="E411" s="5241"/>
      <c r="F411" s="5243">
        <f t="shared" si="30"/>
        <v>0</v>
      </c>
      <c r="G411" s="5241"/>
      <c r="H411" s="5241"/>
      <c r="I411" s="5243">
        <f t="shared" si="31"/>
        <v>0</v>
      </c>
      <c r="J411" s="5244">
        <f t="shared" si="35"/>
        <v>0</v>
      </c>
      <c r="K411" s="5245">
        <f t="shared" si="32"/>
        <v>0</v>
      </c>
      <c r="L411" s="5245">
        <f t="shared" si="33"/>
        <v>0</v>
      </c>
      <c r="M411" s="5245">
        <f t="shared" si="34"/>
        <v>0</v>
      </c>
    </row>
    <row r="412" spans="1:13" ht="14.85" customHeight="1">
      <c r="A412" s="5238">
        <v>259</v>
      </c>
      <c r="B412" s="5238" t="s">
        <v>3472</v>
      </c>
      <c r="C412" s="5239" t="s">
        <v>4513</v>
      </c>
      <c r="D412" s="5240"/>
      <c r="E412" s="5241"/>
      <c r="F412" s="5243">
        <f t="shared" si="30"/>
        <v>0</v>
      </c>
      <c r="G412" s="5241"/>
      <c r="H412" s="5241"/>
      <c r="I412" s="5243">
        <f t="shared" si="31"/>
        <v>0</v>
      </c>
      <c r="J412" s="5244">
        <f t="shared" si="35"/>
        <v>0</v>
      </c>
      <c r="K412" s="5245">
        <f t="shared" si="32"/>
        <v>0</v>
      </c>
      <c r="L412" s="5245">
        <f t="shared" si="33"/>
        <v>0</v>
      </c>
      <c r="M412" s="5245">
        <f t="shared" si="34"/>
        <v>0</v>
      </c>
    </row>
    <row r="413" spans="1:13" ht="14.85" customHeight="1">
      <c r="A413" s="5238">
        <v>259</v>
      </c>
      <c r="B413" s="5238" t="s">
        <v>3473</v>
      </c>
      <c r="C413" s="5239" t="s">
        <v>4514</v>
      </c>
      <c r="D413" s="5240"/>
      <c r="E413" s="5241"/>
      <c r="F413" s="5243">
        <f t="shared" si="30"/>
        <v>0</v>
      </c>
      <c r="G413" s="5241"/>
      <c r="H413" s="5241"/>
      <c r="I413" s="5243">
        <f t="shared" si="31"/>
        <v>0</v>
      </c>
      <c r="J413" s="5244">
        <f t="shared" si="35"/>
        <v>0</v>
      </c>
      <c r="K413" s="5245">
        <f t="shared" si="32"/>
        <v>0</v>
      </c>
      <c r="L413" s="5245">
        <f t="shared" si="33"/>
        <v>0</v>
      </c>
      <c r="M413" s="5245">
        <f t="shared" si="34"/>
        <v>0</v>
      </c>
    </row>
    <row r="414" spans="1:13" ht="14.85" customHeight="1">
      <c r="A414" s="5238">
        <v>259</v>
      </c>
      <c r="B414" s="5238" t="s">
        <v>3474</v>
      </c>
      <c r="C414" s="5239" t="s">
        <v>2206</v>
      </c>
      <c r="D414" s="5240"/>
      <c r="E414" s="5241"/>
      <c r="F414" s="5243">
        <f t="shared" si="30"/>
        <v>0</v>
      </c>
      <c r="G414" s="5241"/>
      <c r="H414" s="5241"/>
      <c r="I414" s="5243">
        <f t="shared" si="31"/>
        <v>0</v>
      </c>
      <c r="J414" s="5244">
        <f t="shared" si="35"/>
        <v>0</v>
      </c>
      <c r="K414" s="5245">
        <f t="shared" si="32"/>
        <v>0</v>
      </c>
      <c r="L414" s="5245">
        <f t="shared" si="33"/>
        <v>0</v>
      </c>
      <c r="M414" s="5245">
        <f t="shared" si="34"/>
        <v>0</v>
      </c>
    </row>
    <row r="415" spans="1:13" ht="14.85" customHeight="1">
      <c r="A415" s="5238">
        <v>259</v>
      </c>
      <c r="B415" s="5238" t="s">
        <v>3475</v>
      </c>
      <c r="C415" s="5239" t="s">
        <v>4515</v>
      </c>
      <c r="D415" s="5240"/>
      <c r="E415" s="5241"/>
      <c r="F415" s="5243">
        <f t="shared" si="30"/>
        <v>0</v>
      </c>
      <c r="G415" s="5241"/>
      <c r="H415" s="5241"/>
      <c r="I415" s="5243">
        <f t="shared" si="31"/>
        <v>0</v>
      </c>
      <c r="J415" s="5244">
        <f t="shared" si="35"/>
        <v>0</v>
      </c>
      <c r="K415" s="5245">
        <f t="shared" si="32"/>
        <v>0</v>
      </c>
      <c r="L415" s="5245">
        <f t="shared" si="33"/>
        <v>0</v>
      </c>
      <c r="M415" s="5245">
        <f t="shared" si="34"/>
        <v>0</v>
      </c>
    </row>
    <row r="416" spans="1:13" ht="14.85" customHeight="1">
      <c r="A416" s="5238">
        <v>259</v>
      </c>
      <c r="B416" s="5238" t="s">
        <v>3476</v>
      </c>
      <c r="C416" s="5239" t="s">
        <v>2207</v>
      </c>
      <c r="D416" s="5240"/>
      <c r="E416" s="5241"/>
      <c r="F416" s="5243">
        <f t="shared" si="30"/>
        <v>0</v>
      </c>
      <c r="G416" s="5241"/>
      <c r="H416" s="5241"/>
      <c r="I416" s="5243">
        <f t="shared" si="31"/>
        <v>0</v>
      </c>
      <c r="J416" s="5244">
        <f t="shared" si="35"/>
        <v>0</v>
      </c>
      <c r="K416" s="5245">
        <f t="shared" si="32"/>
        <v>0</v>
      </c>
      <c r="L416" s="5245">
        <f t="shared" si="33"/>
        <v>0</v>
      </c>
      <c r="M416" s="5245">
        <f t="shared" si="34"/>
        <v>0</v>
      </c>
    </row>
    <row r="417" spans="1:13" ht="14.85" customHeight="1">
      <c r="A417" s="5238">
        <v>259</v>
      </c>
      <c r="B417" s="5238" t="s">
        <v>3477</v>
      </c>
      <c r="C417" s="5239" t="s">
        <v>2208</v>
      </c>
      <c r="D417" s="5240"/>
      <c r="E417" s="5241"/>
      <c r="F417" s="5243">
        <f t="shared" ref="F417:F480" si="36">SUM(D417:E417)</f>
        <v>0</v>
      </c>
      <c r="G417" s="5241"/>
      <c r="H417" s="5241"/>
      <c r="I417" s="5243">
        <f t="shared" ref="I417:I480" si="37">SUM(G417:H417)</f>
        <v>0</v>
      </c>
      <c r="J417" s="5244">
        <f t="shared" si="35"/>
        <v>0</v>
      </c>
      <c r="K417" s="5245">
        <f t="shared" ref="K417:K480" si="38">IF(AND((J417-35%)&gt;0,J417&lt;50%),I417*(J417-35%)*0.7,0)</f>
        <v>0</v>
      </c>
      <c r="L417" s="5245">
        <f t="shared" ref="L417:L480" si="39">IF(J417&gt;=50%,I417*10.5%,0)</f>
        <v>0</v>
      </c>
      <c r="M417" s="5245">
        <f t="shared" ref="M417:M480" si="40">MAX(K417,L417)</f>
        <v>0</v>
      </c>
    </row>
    <row r="418" spans="1:13" ht="14.85" customHeight="1">
      <c r="A418" s="5238">
        <v>259</v>
      </c>
      <c r="B418" s="5238" t="s">
        <v>3478</v>
      </c>
      <c r="C418" s="5239" t="s">
        <v>2209</v>
      </c>
      <c r="D418" s="5240"/>
      <c r="E418" s="5241"/>
      <c r="F418" s="5243">
        <f t="shared" si="36"/>
        <v>0</v>
      </c>
      <c r="G418" s="5241"/>
      <c r="H418" s="5241"/>
      <c r="I418" s="5243">
        <f t="shared" si="37"/>
        <v>0</v>
      </c>
      <c r="J418" s="5244">
        <f t="shared" si="35"/>
        <v>0</v>
      </c>
      <c r="K418" s="5245">
        <f t="shared" si="38"/>
        <v>0</v>
      </c>
      <c r="L418" s="5245">
        <f t="shared" si="39"/>
        <v>0</v>
      </c>
      <c r="M418" s="5245">
        <f t="shared" si="40"/>
        <v>0</v>
      </c>
    </row>
    <row r="419" spans="1:13" ht="14.85" customHeight="1">
      <c r="A419" s="5238">
        <v>259</v>
      </c>
      <c r="B419" s="5238" t="s">
        <v>3479</v>
      </c>
      <c r="C419" s="5239" t="s">
        <v>2210</v>
      </c>
      <c r="D419" s="5240"/>
      <c r="E419" s="5241"/>
      <c r="F419" s="5243">
        <f t="shared" si="36"/>
        <v>0</v>
      </c>
      <c r="G419" s="5241"/>
      <c r="H419" s="5241"/>
      <c r="I419" s="5243">
        <f t="shared" si="37"/>
        <v>0</v>
      </c>
      <c r="J419" s="5244">
        <f t="shared" si="35"/>
        <v>0</v>
      </c>
      <c r="K419" s="5245">
        <f t="shared" si="38"/>
        <v>0</v>
      </c>
      <c r="L419" s="5245">
        <f t="shared" si="39"/>
        <v>0</v>
      </c>
      <c r="M419" s="5245">
        <f t="shared" si="40"/>
        <v>0</v>
      </c>
    </row>
    <row r="420" spans="1:13" ht="14.85" customHeight="1">
      <c r="A420" s="5238">
        <v>259</v>
      </c>
      <c r="B420" s="5238" t="s">
        <v>3480</v>
      </c>
      <c r="C420" s="5239" t="s">
        <v>2211</v>
      </c>
      <c r="D420" s="5240"/>
      <c r="E420" s="5241"/>
      <c r="F420" s="5243">
        <f t="shared" si="36"/>
        <v>0</v>
      </c>
      <c r="G420" s="5241"/>
      <c r="H420" s="5241"/>
      <c r="I420" s="5243">
        <f t="shared" si="37"/>
        <v>0</v>
      </c>
      <c r="J420" s="5244">
        <f t="shared" ref="J420:J483" si="41">IF(ISERROR(I420/F420),0,I420/F420)</f>
        <v>0</v>
      </c>
      <c r="K420" s="5245">
        <f t="shared" si="38"/>
        <v>0</v>
      </c>
      <c r="L420" s="5245">
        <f t="shared" si="39"/>
        <v>0</v>
      </c>
      <c r="M420" s="5245">
        <f t="shared" si="40"/>
        <v>0</v>
      </c>
    </row>
    <row r="421" spans="1:13" ht="14.85" customHeight="1">
      <c r="A421" s="5238">
        <v>259</v>
      </c>
      <c r="B421" s="5238" t="s">
        <v>3481</v>
      </c>
      <c r="C421" s="5239" t="s">
        <v>2212</v>
      </c>
      <c r="D421" s="5240"/>
      <c r="E421" s="5241"/>
      <c r="F421" s="5243">
        <f t="shared" si="36"/>
        <v>0</v>
      </c>
      <c r="G421" s="5241"/>
      <c r="H421" s="5241"/>
      <c r="I421" s="5243">
        <f t="shared" si="37"/>
        <v>0</v>
      </c>
      <c r="J421" s="5244">
        <f t="shared" si="41"/>
        <v>0</v>
      </c>
      <c r="K421" s="5245">
        <f t="shared" si="38"/>
        <v>0</v>
      </c>
      <c r="L421" s="5245">
        <f t="shared" si="39"/>
        <v>0</v>
      </c>
      <c r="M421" s="5245">
        <f t="shared" si="40"/>
        <v>0</v>
      </c>
    </row>
    <row r="422" spans="1:13" ht="14.85" customHeight="1">
      <c r="A422" s="5238">
        <v>259</v>
      </c>
      <c r="B422" s="5238" t="s">
        <v>3482</v>
      </c>
      <c r="C422" s="5239" t="s">
        <v>2213</v>
      </c>
      <c r="D422" s="5240"/>
      <c r="E422" s="5241"/>
      <c r="F422" s="5243">
        <f t="shared" si="36"/>
        <v>0</v>
      </c>
      <c r="G422" s="5241"/>
      <c r="H422" s="5241"/>
      <c r="I422" s="5243">
        <f t="shared" si="37"/>
        <v>0</v>
      </c>
      <c r="J422" s="5244">
        <f t="shared" si="41"/>
        <v>0</v>
      </c>
      <c r="K422" s="5245">
        <f t="shared" si="38"/>
        <v>0</v>
      </c>
      <c r="L422" s="5245">
        <f t="shared" si="39"/>
        <v>0</v>
      </c>
      <c r="M422" s="5245">
        <f t="shared" si="40"/>
        <v>0</v>
      </c>
    </row>
    <row r="423" spans="1:13" ht="14.85" customHeight="1">
      <c r="A423" s="5238">
        <v>259</v>
      </c>
      <c r="B423" s="5238" t="s">
        <v>3483</v>
      </c>
      <c r="C423" s="5239" t="s">
        <v>2214</v>
      </c>
      <c r="D423" s="5240"/>
      <c r="E423" s="5241"/>
      <c r="F423" s="5243">
        <f t="shared" si="36"/>
        <v>0</v>
      </c>
      <c r="G423" s="5241"/>
      <c r="H423" s="5241"/>
      <c r="I423" s="5243">
        <f t="shared" si="37"/>
        <v>0</v>
      </c>
      <c r="J423" s="5244">
        <f t="shared" si="41"/>
        <v>0</v>
      </c>
      <c r="K423" s="5245">
        <f t="shared" si="38"/>
        <v>0</v>
      </c>
      <c r="L423" s="5245">
        <f t="shared" si="39"/>
        <v>0</v>
      </c>
      <c r="M423" s="5245">
        <f t="shared" si="40"/>
        <v>0</v>
      </c>
    </row>
    <row r="424" spans="1:13" ht="14.85" customHeight="1">
      <c r="A424" s="5238">
        <v>259</v>
      </c>
      <c r="B424" s="5238" t="s">
        <v>3484</v>
      </c>
      <c r="C424" s="5239" t="s">
        <v>2107</v>
      </c>
      <c r="D424" s="5240"/>
      <c r="E424" s="5241"/>
      <c r="F424" s="5243">
        <f t="shared" si="36"/>
        <v>0</v>
      </c>
      <c r="G424" s="5241"/>
      <c r="H424" s="5241"/>
      <c r="I424" s="5243">
        <f t="shared" si="37"/>
        <v>0</v>
      </c>
      <c r="J424" s="5244">
        <f t="shared" si="41"/>
        <v>0</v>
      </c>
      <c r="K424" s="5245">
        <f t="shared" si="38"/>
        <v>0</v>
      </c>
      <c r="L424" s="5245">
        <f t="shared" si="39"/>
        <v>0</v>
      </c>
      <c r="M424" s="5245">
        <f t="shared" si="40"/>
        <v>0</v>
      </c>
    </row>
    <row r="425" spans="1:13" ht="14.85" customHeight="1">
      <c r="A425" s="5238">
        <v>259</v>
      </c>
      <c r="B425" s="5238" t="s">
        <v>3485</v>
      </c>
      <c r="C425" s="5239" t="s">
        <v>2215</v>
      </c>
      <c r="D425" s="5240"/>
      <c r="E425" s="5241"/>
      <c r="F425" s="5243">
        <f t="shared" si="36"/>
        <v>0</v>
      </c>
      <c r="G425" s="5241"/>
      <c r="H425" s="5241"/>
      <c r="I425" s="5243">
        <f t="shared" si="37"/>
        <v>0</v>
      </c>
      <c r="J425" s="5244">
        <f t="shared" si="41"/>
        <v>0</v>
      </c>
      <c r="K425" s="5245">
        <f t="shared" si="38"/>
        <v>0</v>
      </c>
      <c r="L425" s="5245">
        <f t="shared" si="39"/>
        <v>0</v>
      </c>
      <c r="M425" s="5245">
        <f t="shared" si="40"/>
        <v>0</v>
      </c>
    </row>
    <row r="426" spans="1:13" ht="14.85" customHeight="1">
      <c r="A426" s="5238">
        <v>259</v>
      </c>
      <c r="B426" s="5238" t="s">
        <v>3486</v>
      </c>
      <c r="C426" s="5239" t="s">
        <v>2216</v>
      </c>
      <c r="D426" s="5240"/>
      <c r="E426" s="5241"/>
      <c r="F426" s="5243">
        <f t="shared" si="36"/>
        <v>0</v>
      </c>
      <c r="G426" s="5241"/>
      <c r="H426" s="5241"/>
      <c r="I426" s="5243">
        <f t="shared" si="37"/>
        <v>0</v>
      </c>
      <c r="J426" s="5244">
        <f t="shared" si="41"/>
        <v>0</v>
      </c>
      <c r="K426" s="5245">
        <f t="shared" si="38"/>
        <v>0</v>
      </c>
      <c r="L426" s="5245">
        <f t="shared" si="39"/>
        <v>0</v>
      </c>
      <c r="M426" s="5245">
        <f t="shared" si="40"/>
        <v>0</v>
      </c>
    </row>
    <row r="427" spans="1:13" ht="14.85" customHeight="1">
      <c r="A427" s="5238">
        <v>259</v>
      </c>
      <c r="B427" s="5238" t="s">
        <v>3487</v>
      </c>
      <c r="C427" s="5239" t="s">
        <v>2217</v>
      </c>
      <c r="D427" s="5240"/>
      <c r="E427" s="5241"/>
      <c r="F427" s="5243">
        <f t="shared" si="36"/>
        <v>0</v>
      </c>
      <c r="G427" s="5241"/>
      <c r="H427" s="5241"/>
      <c r="I427" s="5243">
        <f t="shared" si="37"/>
        <v>0</v>
      </c>
      <c r="J427" s="5244">
        <f t="shared" si="41"/>
        <v>0</v>
      </c>
      <c r="K427" s="5245">
        <f t="shared" si="38"/>
        <v>0</v>
      </c>
      <c r="L427" s="5245">
        <f t="shared" si="39"/>
        <v>0</v>
      </c>
      <c r="M427" s="5245">
        <f t="shared" si="40"/>
        <v>0</v>
      </c>
    </row>
    <row r="428" spans="1:13" ht="14.85" customHeight="1">
      <c r="A428" s="5238">
        <v>259</v>
      </c>
      <c r="B428" s="5238" t="s">
        <v>3488</v>
      </c>
      <c r="C428" s="5239" t="s">
        <v>2218</v>
      </c>
      <c r="D428" s="5240"/>
      <c r="E428" s="5241"/>
      <c r="F428" s="5243">
        <f t="shared" si="36"/>
        <v>0</v>
      </c>
      <c r="G428" s="5241"/>
      <c r="H428" s="5241"/>
      <c r="I428" s="5243">
        <f t="shared" si="37"/>
        <v>0</v>
      </c>
      <c r="J428" s="5244">
        <f t="shared" si="41"/>
        <v>0</v>
      </c>
      <c r="K428" s="5245">
        <f t="shared" si="38"/>
        <v>0</v>
      </c>
      <c r="L428" s="5245">
        <f t="shared" si="39"/>
        <v>0</v>
      </c>
      <c r="M428" s="5245">
        <f t="shared" si="40"/>
        <v>0</v>
      </c>
    </row>
    <row r="429" spans="1:13" ht="14.85" customHeight="1">
      <c r="A429" s="5238">
        <v>260</v>
      </c>
      <c r="B429" s="5238" t="s">
        <v>3489</v>
      </c>
      <c r="C429" s="5239" t="s">
        <v>2219</v>
      </c>
      <c r="D429" s="5240"/>
      <c r="E429" s="5241"/>
      <c r="F429" s="5243">
        <f t="shared" si="36"/>
        <v>0</v>
      </c>
      <c r="G429" s="5241"/>
      <c r="H429" s="5241"/>
      <c r="I429" s="5243">
        <f t="shared" si="37"/>
        <v>0</v>
      </c>
      <c r="J429" s="5244">
        <f t="shared" si="41"/>
        <v>0</v>
      </c>
      <c r="K429" s="5245">
        <f t="shared" si="38"/>
        <v>0</v>
      </c>
      <c r="L429" s="5245">
        <f t="shared" si="39"/>
        <v>0</v>
      </c>
      <c r="M429" s="5245">
        <f t="shared" si="40"/>
        <v>0</v>
      </c>
    </row>
    <row r="430" spans="1:13" ht="14.85" customHeight="1">
      <c r="A430" s="5238">
        <v>260</v>
      </c>
      <c r="B430" s="5238" t="s">
        <v>3490</v>
      </c>
      <c r="C430" s="5239" t="s">
        <v>2220</v>
      </c>
      <c r="D430" s="5240"/>
      <c r="E430" s="5241"/>
      <c r="F430" s="5243">
        <f t="shared" si="36"/>
        <v>0</v>
      </c>
      <c r="G430" s="5241"/>
      <c r="H430" s="5241"/>
      <c r="I430" s="5243">
        <f t="shared" si="37"/>
        <v>0</v>
      </c>
      <c r="J430" s="5244">
        <f t="shared" si="41"/>
        <v>0</v>
      </c>
      <c r="K430" s="5245">
        <f t="shared" si="38"/>
        <v>0</v>
      </c>
      <c r="L430" s="5245">
        <f t="shared" si="39"/>
        <v>0</v>
      </c>
      <c r="M430" s="5245">
        <f t="shared" si="40"/>
        <v>0</v>
      </c>
    </row>
    <row r="431" spans="1:13" ht="14.85" customHeight="1">
      <c r="A431" s="5238">
        <v>260</v>
      </c>
      <c r="B431" s="5238" t="s">
        <v>3491</v>
      </c>
      <c r="C431" s="5239" t="s">
        <v>2221</v>
      </c>
      <c r="D431" s="5240"/>
      <c r="E431" s="5241"/>
      <c r="F431" s="5243">
        <f t="shared" si="36"/>
        <v>0</v>
      </c>
      <c r="G431" s="5241"/>
      <c r="H431" s="5241"/>
      <c r="I431" s="5243">
        <f t="shared" si="37"/>
        <v>0</v>
      </c>
      <c r="J431" s="5244">
        <f t="shared" si="41"/>
        <v>0</v>
      </c>
      <c r="K431" s="5245">
        <f t="shared" si="38"/>
        <v>0</v>
      </c>
      <c r="L431" s="5245">
        <f t="shared" si="39"/>
        <v>0</v>
      </c>
      <c r="M431" s="5245">
        <f t="shared" si="40"/>
        <v>0</v>
      </c>
    </row>
    <row r="432" spans="1:13" ht="14.85" customHeight="1">
      <c r="A432" s="5238">
        <v>260</v>
      </c>
      <c r="B432" s="5238" t="s">
        <v>3492</v>
      </c>
      <c r="C432" s="5239" t="s">
        <v>2222</v>
      </c>
      <c r="D432" s="5240"/>
      <c r="E432" s="5241"/>
      <c r="F432" s="5243">
        <f t="shared" si="36"/>
        <v>0</v>
      </c>
      <c r="G432" s="5241"/>
      <c r="H432" s="5241"/>
      <c r="I432" s="5243">
        <f t="shared" si="37"/>
        <v>0</v>
      </c>
      <c r="J432" s="5244">
        <f t="shared" si="41"/>
        <v>0</v>
      </c>
      <c r="K432" s="5245">
        <f t="shared" si="38"/>
        <v>0</v>
      </c>
      <c r="L432" s="5245">
        <f t="shared" si="39"/>
        <v>0</v>
      </c>
      <c r="M432" s="5245">
        <f t="shared" si="40"/>
        <v>0</v>
      </c>
    </row>
    <row r="433" spans="1:13" ht="14.85" customHeight="1">
      <c r="A433" s="5238">
        <v>260</v>
      </c>
      <c r="B433" s="5238" t="s">
        <v>3493</v>
      </c>
      <c r="C433" s="5239" t="s">
        <v>2223</v>
      </c>
      <c r="D433" s="5240"/>
      <c r="E433" s="5241"/>
      <c r="F433" s="5243">
        <f t="shared" si="36"/>
        <v>0</v>
      </c>
      <c r="G433" s="5241"/>
      <c r="H433" s="5241"/>
      <c r="I433" s="5243">
        <f t="shared" si="37"/>
        <v>0</v>
      </c>
      <c r="J433" s="5244">
        <f t="shared" si="41"/>
        <v>0</v>
      </c>
      <c r="K433" s="5245">
        <f t="shared" si="38"/>
        <v>0</v>
      </c>
      <c r="L433" s="5245">
        <f t="shared" si="39"/>
        <v>0</v>
      </c>
      <c r="M433" s="5245">
        <f t="shared" si="40"/>
        <v>0</v>
      </c>
    </row>
    <row r="434" spans="1:13" ht="14.85" customHeight="1">
      <c r="A434" s="5238">
        <v>260</v>
      </c>
      <c r="B434" s="5238" t="s">
        <v>3494</v>
      </c>
      <c r="C434" s="5239" t="s">
        <v>2224</v>
      </c>
      <c r="D434" s="5240"/>
      <c r="E434" s="5241"/>
      <c r="F434" s="5243">
        <f t="shared" si="36"/>
        <v>0</v>
      </c>
      <c r="G434" s="5241"/>
      <c r="H434" s="5241"/>
      <c r="I434" s="5243">
        <f t="shared" si="37"/>
        <v>0</v>
      </c>
      <c r="J434" s="5244">
        <f t="shared" si="41"/>
        <v>0</v>
      </c>
      <c r="K434" s="5245">
        <f t="shared" si="38"/>
        <v>0</v>
      </c>
      <c r="L434" s="5245">
        <f t="shared" si="39"/>
        <v>0</v>
      </c>
      <c r="M434" s="5245">
        <f t="shared" si="40"/>
        <v>0</v>
      </c>
    </row>
    <row r="435" spans="1:13" ht="14.85" customHeight="1">
      <c r="A435" s="5238">
        <v>260</v>
      </c>
      <c r="B435" s="5238" t="s">
        <v>3495</v>
      </c>
      <c r="C435" s="5239" t="s">
        <v>2225</v>
      </c>
      <c r="D435" s="5240"/>
      <c r="E435" s="5241"/>
      <c r="F435" s="5243">
        <f t="shared" si="36"/>
        <v>0</v>
      </c>
      <c r="G435" s="5241"/>
      <c r="H435" s="5241"/>
      <c r="I435" s="5243">
        <f t="shared" si="37"/>
        <v>0</v>
      </c>
      <c r="J435" s="5244">
        <f t="shared" si="41"/>
        <v>0</v>
      </c>
      <c r="K435" s="5245">
        <f t="shared" si="38"/>
        <v>0</v>
      </c>
      <c r="L435" s="5245">
        <f t="shared" si="39"/>
        <v>0</v>
      </c>
      <c r="M435" s="5245">
        <f t="shared" si="40"/>
        <v>0</v>
      </c>
    </row>
    <row r="436" spans="1:13" ht="14.85" customHeight="1">
      <c r="A436" s="5238">
        <v>260</v>
      </c>
      <c r="B436" s="5238" t="s">
        <v>3496</v>
      </c>
      <c r="C436" s="5239" t="s">
        <v>2226</v>
      </c>
      <c r="D436" s="5240"/>
      <c r="E436" s="5241"/>
      <c r="F436" s="5243">
        <f t="shared" si="36"/>
        <v>0</v>
      </c>
      <c r="G436" s="5241"/>
      <c r="H436" s="5241"/>
      <c r="I436" s="5243">
        <f t="shared" si="37"/>
        <v>0</v>
      </c>
      <c r="J436" s="5244">
        <f t="shared" si="41"/>
        <v>0</v>
      </c>
      <c r="K436" s="5245">
        <f t="shared" si="38"/>
        <v>0</v>
      </c>
      <c r="L436" s="5245">
        <f t="shared" si="39"/>
        <v>0</v>
      </c>
      <c r="M436" s="5245">
        <f t="shared" si="40"/>
        <v>0</v>
      </c>
    </row>
    <row r="437" spans="1:13" ht="14.85" customHeight="1">
      <c r="A437" s="5238">
        <v>260</v>
      </c>
      <c r="B437" s="5238" t="s">
        <v>3497</v>
      </c>
      <c r="C437" s="5239" t="s">
        <v>2227</v>
      </c>
      <c r="D437" s="5240"/>
      <c r="E437" s="5241"/>
      <c r="F437" s="5243">
        <f t="shared" si="36"/>
        <v>0</v>
      </c>
      <c r="G437" s="5241"/>
      <c r="H437" s="5241"/>
      <c r="I437" s="5243">
        <f t="shared" si="37"/>
        <v>0</v>
      </c>
      <c r="J437" s="5244">
        <f t="shared" si="41"/>
        <v>0</v>
      </c>
      <c r="K437" s="5245">
        <f t="shared" si="38"/>
        <v>0</v>
      </c>
      <c r="L437" s="5245">
        <f t="shared" si="39"/>
        <v>0</v>
      </c>
      <c r="M437" s="5245">
        <f t="shared" si="40"/>
        <v>0</v>
      </c>
    </row>
    <row r="438" spans="1:13" ht="14.85" customHeight="1">
      <c r="A438" s="5238">
        <v>260</v>
      </c>
      <c r="B438" s="5238" t="s">
        <v>3498</v>
      </c>
      <c r="C438" s="5239" t="s">
        <v>2228</v>
      </c>
      <c r="D438" s="5240"/>
      <c r="E438" s="5241"/>
      <c r="F438" s="5243">
        <f t="shared" si="36"/>
        <v>0</v>
      </c>
      <c r="G438" s="5241"/>
      <c r="H438" s="5241"/>
      <c r="I438" s="5243">
        <f t="shared" si="37"/>
        <v>0</v>
      </c>
      <c r="J438" s="5244">
        <f t="shared" si="41"/>
        <v>0</v>
      </c>
      <c r="K438" s="5245">
        <f t="shared" si="38"/>
        <v>0</v>
      </c>
      <c r="L438" s="5245">
        <f t="shared" si="39"/>
        <v>0</v>
      </c>
      <c r="M438" s="5245">
        <f t="shared" si="40"/>
        <v>0</v>
      </c>
    </row>
    <row r="439" spans="1:13" ht="14.85" customHeight="1">
      <c r="A439" s="5238">
        <v>260</v>
      </c>
      <c r="B439" s="5238" t="s">
        <v>3499</v>
      </c>
      <c r="C439" s="5239" t="s">
        <v>2229</v>
      </c>
      <c r="D439" s="5240"/>
      <c r="E439" s="5241"/>
      <c r="F439" s="5243">
        <f t="shared" si="36"/>
        <v>0</v>
      </c>
      <c r="G439" s="5241"/>
      <c r="H439" s="5241"/>
      <c r="I439" s="5243">
        <f t="shared" si="37"/>
        <v>0</v>
      </c>
      <c r="J439" s="5244">
        <f t="shared" si="41"/>
        <v>0</v>
      </c>
      <c r="K439" s="5245">
        <f t="shared" si="38"/>
        <v>0</v>
      </c>
      <c r="L439" s="5245">
        <f t="shared" si="39"/>
        <v>0</v>
      </c>
      <c r="M439" s="5245">
        <f t="shared" si="40"/>
        <v>0</v>
      </c>
    </row>
    <row r="440" spans="1:13" ht="14.85" customHeight="1">
      <c r="A440" s="5238">
        <v>260</v>
      </c>
      <c r="B440" s="5238" t="s">
        <v>4960</v>
      </c>
      <c r="C440" s="5239" t="s">
        <v>4961</v>
      </c>
      <c r="D440" s="5240"/>
      <c r="E440" s="5241"/>
      <c r="F440" s="5243">
        <f t="shared" si="36"/>
        <v>0</v>
      </c>
      <c r="G440" s="5241"/>
      <c r="H440" s="5241"/>
      <c r="I440" s="5243">
        <f t="shared" si="37"/>
        <v>0</v>
      </c>
      <c r="J440" s="5244">
        <f t="shared" si="41"/>
        <v>0</v>
      </c>
      <c r="K440" s="5245">
        <f t="shared" si="38"/>
        <v>0</v>
      </c>
      <c r="L440" s="5245">
        <f t="shared" si="39"/>
        <v>0</v>
      </c>
      <c r="M440" s="5245">
        <f t="shared" si="40"/>
        <v>0</v>
      </c>
    </row>
    <row r="441" spans="1:13" ht="14.85" customHeight="1">
      <c r="A441" s="5238">
        <v>261</v>
      </c>
      <c r="B441" s="5238" t="s">
        <v>3500</v>
      </c>
      <c r="C441" s="5239" t="s">
        <v>2230</v>
      </c>
      <c r="D441" s="5240"/>
      <c r="E441" s="5241"/>
      <c r="F441" s="5243">
        <f t="shared" si="36"/>
        <v>0</v>
      </c>
      <c r="G441" s="5241"/>
      <c r="H441" s="5241"/>
      <c r="I441" s="5243">
        <f t="shared" si="37"/>
        <v>0</v>
      </c>
      <c r="J441" s="5244">
        <f t="shared" si="41"/>
        <v>0</v>
      </c>
      <c r="K441" s="5245">
        <f t="shared" si="38"/>
        <v>0</v>
      </c>
      <c r="L441" s="5245">
        <f t="shared" si="39"/>
        <v>0</v>
      </c>
      <c r="M441" s="5245">
        <f t="shared" si="40"/>
        <v>0</v>
      </c>
    </row>
    <row r="442" spans="1:13" ht="14.85" customHeight="1">
      <c r="A442" s="5238">
        <v>261</v>
      </c>
      <c r="B442" s="5238" t="s">
        <v>3501</v>
      </c>
      <c r="C442" s="5239" t="s">
        <v>2231</v>
      </c>
      <c r="D442" s="5240"/>
      <c r="E442" s="5241"/>
      <c r="F442" s="5243">
        <f t="shared" si="36"/>
        <v>0</v>
      </c>
      <c r="G442" s="5241"/>
      <c r="H442" s="5241"/>
      <c r="I442" s="5243">
        <f t="shared" si="37"/>
        <v>0</v>
      </c>
      <c r="J442" s="5244">
        <f t="shared" si="41"/>
        <v>0</v>
      </c>
      <c r="K442" s="5245">
        <f t="shared" si="38"/>
        <v>0</v>
      </c>
      <c r="L442" s="5245">
        <f t="shared" si="39"/>
        <v>0</v>
      </c>
      <c r="M442" s="5245">
        <f t="shared" si="40"/>
        <v>0</v>
      </c>
    </row>
    <row r="443" spans="1:13" ht="14.85" customHeight="1">
      <c r="A443" s="5238">
        <v>261</v>
      </c>
      <c r="B443" s="5238" t="s">
        <v>3502</v>
      </c>
      <c r="C443" s="5239" t="s">
        <v>2232</v>
      </c>
      <c r="D443" s="5240"/>
      <c r="E443" s="5241"/>
      <c r="F443" s="5243">
        <f t="shared" si="36"/>
        <v>0</v>
      </c>
      <c r="G443" s="5241"/>
      <c r="H443" s="5241"/>
      <c r="I443" s="5243">
        <f t="shared" si="37"/>
        <v>0</v>
      </c>
      <c r="J443" s="5244">
        <f t="shared" si="41"/>
        <v>0</v>
      </c>
      <c r="K443" s="5245">
        <f t="shared" si="38"/>
        <v>0</v>
      </c>
      <c r="L443" s="5245">
        <f t="shared" si="39"/>
        <v>0</v>
      </c>
      <c r="M443" s="5245">
        <f t="shared" si="40"/>
        <v>0</v>
      </c>
    </row>
    <row r="444" spans="1:13" ht="14.85" customHeight="1">
      <c r="A444" s="5238">
        <v>261</v>
      </c>
      <c r="B444" s="5238" t="s">
        <v>3503</v>
      </c>
      <c r="C444" s="5239" t="s">
        <v>2233</v>
      </c>
      <c r="D444" s="5240"/>
      <c r="E444" s="5241"/>
      <c r="F444" s="5243">
        <f t="shared" si="36"/>
        <v>0</v>
      </c>
      <c r="G444" s="5241"/>
      <c r="H444" s="5241"/>
      <c r="I444" s="5243">
        <f t="shared" si="37"/>
        <v>0</v>
      </c>
      <c r="J444" s="5244">
        <f t="shared" si="41"/>
        <v>0</v>
      </c>
      <c r="K444" s="5245">
        <f t="shared" si="38"/>
        <v>0</v>
      </c>
      <c r="L444" s="5245">
        <f t="shared" si="39"/>
        <v>0</v>
      </c>
      <c r="M444" s="5245">
        <f t="shared" si="40"/>
        <v>0</v>
      </c>
    </row>
    <row r="445" spans="1:13" ht="14.85" customHeight="1">
      <c r="A445" s="5238">
        <v>261</v>
      </c>
      <c r="B445" s="5238" t="s">
        <v>3504</v>
      </c>
      <c r="C445" s="5239" t="s">
        <v>2234</v>
      </c>
      <c r="D445" s="5240"/>
      <c r="E445" s="5241"/>
      <c r="F445" s="5243">
        <f t="shared" si="36"/>
        <v>0</v>
      </c>
      <c r="G445" s="5241"/>
      <c r="H445" s="5241"/>
      <c r="I445" s="5243">
        <f t="shared" si="37"/>
        <v>0</v>
      </c>
      <c r="J445" s="5244">
        <f t="shared" si="41"/>
        <v>0</v>
      </c>
      <c r="K445" s="5245">
        <f t="shared" si="38"/>
        <v>0</v>
      </c>
      <c r="L445" s="5245">
        <f t="shared" si="39"/>
        <v>0</v>
      </c>
      <c r="M445" s="5245">
        <f t="shared" si="40"/>
        <v>0</v>
      </c>
    </row>
    <row r="446" spans="1:13" ht="14.85" customHeight="1">
      <c r="A446" s="5238">
        <v>261</v>
      </c>
      <c r="B446" s="5238" t="s">
        <v>3505</v>
      </c>
      <c r="C446" s="5239" t="s">
        <v>2235</v>
      </c>
      <c r="D446" s="5240"/>
      <c r="E446" s="5241"/>
      <c r="F446" s="5243">
        <f t="shared" si="36"/>
        <v>0</v>
      </c>
      <c r="G446" s="5241"/>
      <c r="H446" s="5241"/>
      <c r="I446" s="5243">
        <f t="shared" si="37"/>
        <v>0</v>
      </c>
      <c r="J446" s="5244">
        <f t="shared" si="41"/>
        <v>0</v>
      </c>
      <c r="K446" s="5245">
        <f t="shared" si="38"/>
        <v>0</v>
      </c>
      <c r="L446" s="5245">
        <f t="shared" si="39"/>
        <v>0</v>
      </c>
      <c r="M446" s="5245">
        <f t="shared" si="40"/>
        <v>0</v>
      </c>
    </row>
    <row r="447" spans="1:13" ht="14.85" customHeight="1">
      <c r="A447" s="5238">
        <v>261</v>
      </c>
      <c r="B447" s="5238" t="s">
        <v>3506</v>
      </c>
      <c r="C447" s="5239" t="s">
        <v>2236</v>
      </c>
      <c r="D447" s="5240"/>
      <c r="E447" s="5241"/>
      <c r="F447" s="5243">
        <f t="shared" si="36"/>
        <v>0</v>
      </c>
      <c r="G447" s="5241"/>
      <c r="H447" s="5241"/>
      <c r="I447" s="5243">
        <f t="shared" si="37"/>
        <v>0</v>
      </c>
      <c r="J447" s="5244">
        <f t="shared" si="41"/>
        <v>0</v>
      </c>
      <c r="K447" s="5245">
        <f t="shared" si="38"/>
        <v>0</v>
      </c>
      <c r="L447" s="5245">
        <f t="shared" si="39"/>
        <v>0</v>
      </c>
      <c r="M447" s="5245">
        <f t="shared" si="40"/>
        <v>0</v>
      </c>
    </row>
    <row r="448" spans="1:13" ht="14.85" customHeight="1">
      <c r="A448" s="5238">
        <v>261</v>
      </c>
      <c r="B448" s="5238" t="s">
        <v>3507</v>
      </c>
      <c r="C448" s="5239" t="s">
        <v>2237</v>
      </c>
      <c r="D448" s="5240"/>
      <c r="E448" s="5241"/>
      <c r="F448" s="5243">
        <f t="shared" si="36"/>
        <v>0</v>
      </c>
      <c r="G448" s="5241"/>
      <c r="H448" s="5241"/>
      <c r="I448" s="5243">
        <f t="shared" si="37"/>
        <v>0</v>
      </c>
      <c r="J448" s="5244">
        <f t="shared" si="41"/>
        <v>0</v>
      </c>
      <c r="K448" s="5245">
        <f t="shared" si="38"/>
        <v>0</v>
      </c>
      <c r="L448" s="5245">
        <f t="shared" si="39"/>
        <v>0</v>
      </c>
      <c r="M448" s="5245">
        <f t="shared" si="40"/>
        <v>0</v>
      </c>
    </row>
    <row r="449" spans="1:13" ht="14.85" customHeight="1">
      <c r="A449" s="5238">
        <v>261</v>
      </c>
      <c r="B449" s="5238" t="s">
        <v>3508</v>
      </c>
      <c r="C449" s="5239" t="s">
        <v>2238</v>
      </c>
      <c r="D449" s="5240"/>
      <c r="E449" s="5241"/>
      <c r="F449" s="5243">
        <f t="shared" si="36"/>
        <v>0</v>
      </c>
      <c r="G449" s="5241"/>
      <c r="H449" s="5241"/>
      <c r="I449" s="5243">
        <f t="shared" si="37"/>
        <v>0</v>
      </c>
      <c r="J449" s="5244">
        <f t="shared" si="41"/>
        <v>0</v>
      </c>
      <c r="K449" s="5245">
        <f t="shared" si="38"/>
        <v>0</v>
      </c>
      <c r="L449" s="5245">
        <f t="shared" si="39"/>
        <v>0</v>
      </c>
      <c r="M449" s="5245">
        <f t="shared" si="40"/>
        <v>0</v>
      </c>
    </row>
    <row r="450" spans="1:13" ht="14.85" customHeight="1">
      <c r="A450" s="5238">
        <v>262</v>
      </c>
      <c r="B450" s="5238" t="s">
        <v>3509</v>
      </c>
      <c r="C450" s="5239" t="s">
        <v>2239</v>
      </c>
      <c r="D450" s="5240"/>
      <c r="E450" s="5241"/>
      <c r="F450" s="5243">
        <f t="shared" si="36"/>
        <v>0</v>
      </c>
      <c r="G450" s="5241"/>
      <c r="H450" s="5241"/>
      <c r="I450" s="5243">
        <f t="shared" si="37"/>
        <v>0</v>
      </c>
      <c r="J450" s="5244">
        <f t="shared" si="41"/>
        <v>0</v>
      </c>
      <c r="K450" s="5245">
        <f t="shared" si="38"/>
        <v>0</v>
      </c>
      <c r="L450" s="5245">
        <f t="shared" si="39"/>
        <v>0</v>
      </c>
      <c r="M450" s="5245">
        <f t="shared" si="40"/>
        <v>0</v>
      </c>
    </row>
    <row r="451" spans="1:13" ht="14.85" customHeight="1">
      <c r="A451" s="5238">
        <v>262</v>
      </c>
      <c r="B451" s="5238" t="s">
        <v>3510</v>
      </c>
      <c r="C451" s="5239" t="s">
        <v>2240</v>
      </c>
      <c r="D451" s="5240"/>
      <c r="E451" s="5241"/>
      <c r="F451" s="5243">
        <f t="shared" si="36"/>
        <v>0</v>
      </c>
      <c r="G451" s="5241"/>
      <c r="H451" s="5241"/>
      <c r="I451" s="5243">
        <f t="shared" si="37"/>
        <v>0</v>
      </c>
      <c r="J451" s="5244">
        <f t="shared" si="41"/>
        <v>0</v>
      </c>
      <c r="K451" s="5245">
        <f t="shared" si="38"/>
        <v>0</v>
      </c>
      <c r="L451" s="5245">
        <f t="shared" si="39"/>
        <v>0</v>
      </c>
      <c r="M451" s="5245">
        <f t="shared" si="40"/>
        <v>0</v>
      </c>
    </row>
    <row r="452" spans="1:13" ht="14.85" customHeight="1">
      <c r="A452" s="5238">
        <v>262</v>
      </c>
      <c r="B452" s="5238" t="s">
        <v>3511</v>
      </c>
      <c r="C452" s="5239" t="s">
        <v>2241</v>
      </c>
      <c r="D452" s="5240"/>
      <c r="E452" s="5241"/>
      <c r="F452" s="5243">
        <f t="shared" si="36"/>
        <v>0</v>
      </c>
      <c r="G452" s="5241"/>
      <c r="H452" s="5241"/>
      <c r="I452" s="5243">
        <f t="shared" si="37"/>
        <v>0</v>
      </c>
      <c r="J452" s="5244">
        <f t="shared" si="41"/>
        <v>0</v>
      </c>
      <c r="K452" s="5245">
        <f t="shared" si="38"/>
        <v>0</v>
      </c>
      <c r="L452" s="5245">
        <f t="shared" si="39"/>
        <v>0</v>
      </c>
      <c r="M452" s="5245">
        <f t="shared" si="40"/>
        <v>0</v>
      </c>
    </row>
    <row r="453" spans="1:13" ht="14.85" customHeight="1">
      <c r="A453" s="5238">
        <v>262</v>
      </c>
      <c r="B453" s="5238" t="s">
        <v>3512</v>
      </c>
      <c r="C453" s="5239" t="s">
        <v>2242</v>
      </c>
      <c r="D453" s="5240"/>
      <c r="E453" s="5241"/>
      <c r="F453" s="5243">
        <f t="shared" si="36"/>
        <v>0</v>
      </c>
      <c r="G453" s="5241"/>
      <c r="H453" s="5241"/>
      <c r="I453" s="5243">
        <f t="shared" si="37"/>
        <v>0</v>
      </c>
      <c r="J453" s="5244">
        <f t="shared" si="41"/>
        <v>0</v>
      </c>
      <c r="K453" s="5245">
        <f t="shared" si="38"/>
        <v>0</v>
      </c>
      <c r="L453" s="5245">
        <f t="shared" si="39"/>
        <v>0</v>
      </c>
      <c r="M453" s="5245">
        <f t="shared" si="40"/>
        <v>0</v>
      </c>
    </row>
    <row r="454" spans="1:13" ht="14.85" customHeight="1">
      <c r="A454" s="5238">
        <v>262</v>
      </c>
      <c r="B454" s="5238" t="s">
        <v>3513</v>
      </c>
      <c r="C454" s="5239" t="s">
        <v>2243</v>
      </c>
      <c r="D454" s="5240"/>
      <c r="E454" s="5241"/>
      <c r="F454" s="5243">
        <f t="shared" si="36"/>
        <v>0</v>
      </c>
      <c r="G454" s="5241"/>
      <c r="H454" s="5241"/>
      <c r="I454" s="5243">
        <f t="shared" si="37"/>
        <v>0</v>
      </c>
      <c r="J454" s="5244">
        <f t="shared" si="41"/>
        <v>0</v>
      </c>
      <c r="K454" s="5245">
        <f t="shared" si="38"/>
        <v>0</v>
      </c>
      <c r="L454" s="5245">
        <f t="shared" si="39"/>
        <v>0</v>
      </c>
      <c r="M454" s="5245">
        <f t="shared" si="40"/>
        <v>0</v>
      </c>
    </row>
    <row r="455" spans="1:13" ht="14.85" customHeight="1">
      <c r="A455" s="5238">
        <v>262</v>
      </c>
      <c r="B455" s="5238" t="s">
        <v>3514</v>
      </c>
      <c r="C455" s="5239" t="s">
        <v>2244</v>
      </c>
      <c r="D455" s="5240"/>
      <c r="E455" s="5241"/>
      <c r="F455" s="5243">
        <f t="shared" si="36"/>
        <v>0</v>
      </c>
      <c r="G455" s="5241"/>
      <c r="H455" s="5241"/>
      <c r="I455" s="5243">
        <f t="shared" si="37"/>
        <v>0</v>
      </c>
      <c r="J455" s="5244">
        <f t="shared" si="41"/>
        <v>0</v>
      </c>
      <c r="K455" s="5245">
        <f t="shared" si="38"/>
        <v>0</v>
      </c>
      <c r="L455" s="5245">
        <f t="shared" si="39"/>
        <v>0</v>
      </c>
      <c r="M455" s="5245">
        <f t="shared" si="40"/>
        <v>0</v>
      </c>
    </row>
    <row r="456" spans="1:13" ht="14.85" customHeight="1">
      <c r="A456" s="5238">
        <v>262</v>
      </c>
      <c r="B456" s="5238" t="s">
        <v>3515</v>
      </c>
      <c r="C456" s="5239" t="s">
        <v>2245</v>
      </c>
      <c r="D456" s="5240"/>
      <c r="E456" s="5241"/>
      <c r="F456" s="5243">
        <f t="shared" si="36"/>
        <v>0</v>
      </c>
      <c r="G456" s="5241"/>
      <c r="H456" s="5241"/>
      <c r="I456" s="5243">
        <f t="shared" si="37"/>
        <v>0</v>
      </c>
      <c r="J456" s="5244">
        <f t="shared" si="41"/>
        <v>0</v>
      </c>
      <c r="K456" s="5245">
        <f t="shared" si="38"/>
        <v>0</v>
      </c>
      <c r="L456" s="5245">
        <f t="shared" si="39"/>
        <v>0</v>
      </c>
      <c r="M456" s="5245">
        <f t="shared" si="40"/>
        <v>0</v>
      </c>
    </row>
    <row r="457" spans="1:13" ht="14.85" customHeight="1">
      <c r="A457" s="5238">
        <v>263</v>
      </c>
      <c r="B457" s="5238" t="s">
        <v>3516</v>
      </c>
      <c r="C457" s="5239" t="s">
        <v>2246</v>
      </c>
      <c r="D457" s="5240"/>
      <c r="E457" s="5241"/>
      <c r="F457" s="5243">
        <f t="shared" si="36"/>
        <v>0</v>
      </c>
      <c r="G457" s="5241"/>
      <c r="H457" s="5241"/>
      <c r="I457" s="5243">
        <f t="shared" si="37"/>
        <v>0</v>
      </c>
      <c r="J457" s="5244">
        <f t="shared" si="41"/>
        <v>0</v>
      </c>
      <c r="K457" s="5245">
        <f t="shared" si="38"/>
        <v>0</v>
      </c>
      <c r="L457" s="5245">
        <f t="shared" si="39"/>
        <v>0</v>
      </c>
      <c r="M457" s="5245">
        <f t="shared" si="40"/>
        <v>0</v>
      </c>
    </row>
    <row r="458" spans="1:13" ht="14.85" customHeight="1">
      <c r="A458" s="5238">
        <v>263</v>
      </c>
      <c r="B458" s="5238" t="s">
        <v>3517</v>
      </c>
      <c r="C458" s="5239" t="s">
        <v>2247</v>
      </c>
      <c r="D458" s="5240"/>
      <c r="E458" s="5241"/>
      <c r="F458" s="5243">
        <f t="shared" si="36"/>
        <v>0</v>
      </c>
      <c r="G458" s="5241"/>
      <c r="H458" s="5241"/>
      <c r="I458" s="5243">
        <f t="shared" si="37"/>
        <v>0</v>
      </c>
      <c r="J458" s="5244">
        <f t="shared" si="41"/>
        <v>0</v>
      </c>
      <c r="K458" s="5245">
        <f t="shared" si="38"/>
        <v>0</v>
      </c>
      <c r="L458" s="5245">
        <f t="shared" si="39"/>
        <v>0</v>
      </c>
      <c r="M458" s="5245">
        <f t="shared" si="40"/>
        <v>0</v>
      </c>
    </row>
    <row r="459" spans="1:13" ht="14.85" customHeight="1">
      <c r="A459" s="5238">
        <v>263</v>
      </c>
      <c r="B459" s="5238" t="s">
        <v>3518</v>
      </c>
      <c r="C459" s="5239" t="s">
        <v>2248</v>
      </c>
      <c r="D459" s="5240"/>
      <c r="E459" s="5241"/>
      <c r="F459" s="5243">
        <f t="shared" si="36"/>
        <v>0</v>
      </c>
      <c r="G459" s="5241"/>
      <c r="H459" s="5241"/>
      <c r="I459" s="5243">
        <f t="shared" si="37"/>
        <v>0</v>
      </c>
      <c r="J459" s="5244">
        <f t="shared" si="41"/>
        <v>0</v>
      </c>
      <c r="K459" s="5245">
        <f t="shared" si="38"/>
        <v>0</v>
      </c>
      <c r="L459" s="5245">
        <f t="shared" si="39"/>
        <v>0</v>
      </c>
      <c r="M459" s="5245">
        <f t="shared" si="40"/>
        <v>0</v>
      </c>
    </row>
    <row r="460" spans="1:13" ht="14.85" customHeight="1">
      <c r="A460" s="5238">
        <v>263</v>
      </c>
      <c r="B460" s="5238" t="s">
        <v>3519</v>
      </c>
      <c r="C460" s="5239" t="s">
        <v>2249</v>
      </c>
      <c r="D460" s="5240"/>
      <c r="E460" s="5241"/>
      <c r="F460" s="5243">
        <f t="shared" si="36"/>
        <v>0</v>
      </c>
      <c r="G460" s="5241"/>
      <c r="H460" s="5241"/>
      <c r="I460" s="5243">
        <f t="shared" si="37"/>
        <v>0</v>
      </c>
      <c r="J460" s="5244">
        <f t="shared" si="41"/>
        <v>0</v>
      </c>
      <c r="K460" s="5245">
        <f t="shared" si="38"/>
        <v>0</v>
      </c>
      <c r="L460" s="5245">
        <f t="shared" si="39"/>
        <v>0</v>
      </c>
      <c r="M460" s="5245">
        <f t="shared" si="40"/>
        <v>0</v>
      </c>
    </row>
    <row r="461" spans="1:13" ht="14.85" customHeight="1">
      <c r="A461" s="5238">
        <v>264</v>
      </c>
      <c r="B461" s="5238" t="s">
        <v>3520</v>
      </c>
      <c r="C461" s="5239" t="s">
        <v>2250</v>
      </c>
      <c r="D461" s="5240"/>
      <c r="E461" s="5241"/>
      <c r="F461" s="5243">
        <f t="shared" si="36"/>
        <v>0</v>
      </c>
      <c r="G461" s="5241"/>
      <c r="H461" s="5241"/>
      <c r="I461" s="5243">
        <f t="shared" si="37"/>
        <v>0</v>
      </c>
      <c r="J461" s="5244">
        <f t="shared" si="41"/>
        <v>0</v>
      </c>
      <c r="K461" s="5245">
        <f t="shared" si="38"/>
        <v>0</v>
      </c>
      <c r="L461" s="5245">
        <f t="shared" si="39"/>
        <v>0</v>
      </c>
      <c r="M461" s="5245">
        <f t="shared" si="40"/>
        <v>0</v>
      </c>
    </row>
    <row r="462" spans="1:13" ht="14.85" customHeight="1">
      <c r="A462" s="5238">
        <v>264</v>
      </c>
      <c r="B462" s="5238" t="s">
        <v>3521</v>
      </c>
      <c r="C462" s="5239" t="s">
        <v>4516</v>
      </c>
      <c r="D462" s="5240"/>
      <c r="E462" s="5241"/>
      <c r="F462" s="5243">
        <f t="shared" si="36"/>
        <v>0</v>
      </c>
      <c r="G462" s="5241"/>
      <c r="H462" s="5241"/>
      <c r="I462" s="5243">
        <f t="shared" si="37"/>
        <v>0</v>
      </c>
      <c r="J462" s="5244">
        <f t="shared" si="41"/>
        <v>0</v>
      </c>
      <c r="K462" s="5245">
        <f t="shared" si="38"/>
        <v>0</v>
      </c>
      <c r="L462" s="5245">
        <f t="shared" si="39"/>
        <v>0</v>
      </c>
      <c r="M462" s="5245">
        <f t="shared" si="40"/>
        <v>0</v>
      </c>
    </row>
    <row r="463" spans="1:13" ht="14.85" customHeight="1">
      <c r="A463" s="5238">
        <v>264</v>
      </c>
      <c r="B463" s="5238" t="s">
        <v>3522</v>
      </c>
      <c r="C463" s="5239" t="s">
        <v>2251</v>
      </c>
      <c r="D463" s="5240"/>
      <c r="E463" s="5241"/>
      <c r="F463" s="5243">
        <f t="shared" si="36"/>
        <v>0</v>
      </c>
      <c r="G463" s="5241"/>
      <c r="H463" s="5241"/>
      <c r="I463" s="5243">
        <f t="shared" si="37"/>
        <v>0</v>
      </c>
      <c r="J463" s="5244">
        <f t="shared" si="41"/>
        <v>0</v>
      </c>
      <c r="K463" s="5245">
        <f t="shared" si="38"/>
        <v>0</v>
      </c>
      <c r="L463" s="5245">
        <f t="shared" si="39"/>
        <v>0</v>
      </c>
      <c r="M463" s="5245">
        <f t="shared" si="40"/>
        <v>0</v>
      </c>
    </row>
    <row r="464" spans="1:13" ht="14.85" customHeight="1">
      <c r="A464" s="5238">
        <v>265</v>
      </c>
      <c r="B464" s="5238" t="s">
        <v>3523</v>
      </c>
      <c r="C464" s="5239" t="s">
        <v>2252</v>
      </c>
      <c r="D464" s="5240"/>
      <c r="E464" s="5241"/>
      <c r="F464" s="5243">
        <f t="shared" si="36"/>
        <v>0</v>
      </c>
      <c r="G464" s="5241"/>
      <c r="H464" s="5241"/>
      <c r="I464" s="5243">
        <f t="shared" si="37"/>
        <v>0</v>
      </c>
      <c r="J464" s="5244">
        <f t="shared" si="41"/>
        <v>0</v>
      </c>
      <c r="K464" s="5245">
        <f t="shared" si="38"/>
        <v>0</v>
      </c>
      <c r="L464" s="5245">
        <f t="shared" si="39"/>
        <v>0</v>
      </c>
      <c r="M464" s="5245">
        <f t="shared" si="40"/>
        <v>0</v>
      </c>
    </row>
    <row r="465" spans="1:13" ht="14.85" customHeight="1">
      <c r="A465" s="5238">
        <v>265</v>
      </c>
      <c r="B465" s="5238" t="s">
        <v>3524</v>
      </c>
      <c r="C465" s="5239" t="s">
        <v>2253</v>
      </c>
      <c r="D465" s="5240"/>
      <c r="E465" s="5241"/>
      <c r="F465" s="5243">
        <f t="shared" si="36"/>
        <v>0</v>
      </c>
      <c r="G465" s="5241"/>
      <c r="H465" s="5241"/>
      <c r="I465" s="5243">
        <f t="shared" si="37"/>
        <v>0</v>
      </c>
      <c r="J465" s="5244">
        <f t="shared" si="41"/>
        <v>0</v>
      </c>
      <c r="K465" s="5245">
        <f t="shared" si="38"/>
        <v>0</v>
      </c>
      <c r="L465" s="5245">
        <f t="shared" si="39"/>
        <v>0</v>
      </c>
      <c r="M465" s="5245">
        <f t="shared" si="40"/>
        <v>0</v>
      </c>
    </row>
    <row r="466" spans="1:13" ht="14.85" customHeight="1">
      <c r="A466" s="5238">
        <v>265</v>
      </c>
      <c r="B466" s="5238" t="s">
        <v>3525</v>
      </c>
      <c r="C466" s="5239" t="s">
        <v>2254</v>
      </c>
      <c r="D466" s="5240"/>
      <c r="E466" s="5241"/>
      <c r="F466" s="5243">
        <f t="shared" si="36"/>
        <v>0</v>
      </c>
      <c r="G466" s="5241"/>
      <c r="H466" s="5241"/>
      <c r="I466" s="5243">
        <f t="shared" si="37"/>
        <v>0</v>
      </c>
      <c r="J466" s="5244">
        <f t="shared" si="41"/>
        <v>0</v>
      </c>
      <c r="K466" s="5245">
        <f t="shared" si="38"/>
        <v>0</v>
      </c>
      <c r="L466" s="5245">
        <f t="shared" si="39"/>
        <v>0</v>
      </c>
      <c r="M466" s="5245">
        <f t="shared" si="40"/>
        <v>0</v>
      </c>
    </row>
    <row r="467" spans="1:13" ht="14.85" customHeight="1">
      <c r="A467" s="5238">
        <v>265</v>
      </c>
      <c r="B467" s="5238" t="s">
        <v>3526</v>
      </c>
      <c r="C467" s="5239" t="s">
        <v>2255</v>
      </c>
      <c r="D467" s="5240"/>
      <c r="E467" s="5241"/>
      <c r="F467" s="5243">
        <f t="shared" si="36"/>
        <v>0</v>
      </c>
      <c r="G467" s="5241"/>
      <c r="H467" s="5241"/>
      <c r="I467" s="5243">
        <f t="shared" si="37"/>
        <v>0</v>
      </c>
      <c r="J467" s="5244">
        <f t="shared" si="41"/>
        <v>0</v>
      </c>
      <c r="K467" s="5245">
        <f t="shared" si="38"/>
        <v>0</v>
      </c>
      <c r="L467" s="5245">
        <f t="shared" si="39"/>
        <v>0</v>
      </c>
      <c r="M467" s="5245">
        <f t="shared" si="40"/>
        <v>0</v>
      </c>
    </row>
    <row r="468" spans="1:13" ht="14.85" customHeight="1">
      <c r="A468" s="5238">
        <v>265</v>
      </c>
      <c r="B468" s="5238" t="s">
        <v>3527</v>
      </c>
      <c r="C468" s="5239" t="s">
        <v>4517</v>
      </c>
      <c r="D468" s="5240"/>
      <c r="E468" s="5241"/>
      <c r="F468" s="5243">
        <f t="shared" si="36"/>
        <v>0</v>
      </c>
      <c r="G468" s="5241"/>
      <c r="H468" s="5241"/>
      <c r="I468" s="5243">
        <f t="shared" si="37"/>
        <v>0</v>
      </c>
      <c r="J468" s="5244">
        <f t="shared" si="41"/>
        <v>0</v>
      </c>
      <c r="K468" s="5245">
        <f t="shared" si="38"/>
        <v>0</v>
      </c>
      <c r="L468" s="5245">
        <f t="shared" si="39"/>
        <v>0</v>
      </c>
      <c r="M468" s="5245">
        <f t="shared" si="40"/>
        <v>0</v>
      </c>
    </row>
    <row r="469" spans="1:13" ht="14.85" customHeight="1">
      <c r="A469" s="5238">
        <v>265</v>
      </c>
      <c r="B469" s="5238" t="s">
        <v>3528</v>
      </c>
      <c r="C469" s="5239" t="s">
        <v>2256</v>
      </c>
      <c r="D469" s="5240"/>
      <c r="E469" s="5241"/>
      <c r="F469" s="5243">
        <f t="shared" si="36"/>
        <v>0</v>
      </c>
      <c r="G469" s="5241"/>
      <c r="H469" s="5241"/>
      <c r="I469" s="5243">
        <f t="shared" si="37"/>
        <v>0</v>
      </c>
      <c r="J469" s="5244">
        <f t="shared" si="41"/>
        <v>0</v>
      </c>
      <c r="K469" s="5245">
        <f t="shared" si="38"/>
        <v>0</v>
      </c>
      <c r="L469" s="5245">
        <f t="shared" si="39"/>
        <v>0</v>
      </c>
      <c r="M469" s="5245">
        <f t="shared" si="40"/>
        <v>0</v>
      </c>
    </row>
    <row r="470" spans="1:13" ht="14.85" customHeight="1">
      <c r="A470" s="5238">
        <v>265</v>
      </c>
      <c r="B470" s="5238" t="s">
        <v>3529</v>
      </c>
      <c r="C470" s="5239" t="s">
        <v>2257</v>
      </c>
      <c r="D470" s="5240"/>
      <c r="E470" s="5241"/>
      <c r="F470" s="5243">
        <f t="shared" si="36"/>
        <v>0</v>
      </c>
      <c r="G470" s="5241"/>
      <c r="H470" s="5241"/>
      <c r="I470" s="5243">
        <f t="shared" si="37"/>
        <v>0</v>
      </c>
      <c r="J470" s="5244">
        <f t="shared" si="41"/>
        <v>0</v>
      </c>
      <c r="K470" s="5245">
        <f t="shared" si="38"/>
        <v>0</v>
      </c>
      <c r="L470" s="5245">
        <f t="shared" si="39"/>
        <v>0</v>
      </c>
      <c r="M470" s="5245">
        <f t="shared" si="40"/>
        <v>0</v>
      </c>
    </row>
    <row r="471" spans="1:13" ht="14.85" customHeight="1">
      <c r="A471" s="5238">
        <v>265</v>
      </c>
      <c r="B471" s="5238" t="s">
        <v>3530</v>
      </c>
      <c r="C471" s="5239" t="s">
        <v>2258</v>
      </c>
      <c r="D471" s="5240"/>
      <c r="E471" s="5241"/>
      <c r="F471" s="5243">
        <f t="shared" si="36"/>
        <v>0</v>
      </c>
      <c r="G471" s="5241"/>
      <c r="H471" s="5241"/>
      <c r="I471" s="5243">
        <f t="shared" si="37"/>
        <v>0</v>
      </c>
      <c r="J471" s="5244">
        <f t="shared" si="41"/>
        <v>0</v>
      </c>
      <c r="K471" s="5245">
        <f t="shared" si="38"/>
        <v>0</v>
      </c>
      <c r="L471" s="5245">
        <f t="shared" si="39"/>
        <v>0</v>
      </c>
      <c r="M471" s="5245">
        <f t="shared" si="40"/>
        <v>0</v>
      </c>
    </row>
    <row r="472" spans="1:13" ht="14.85" customHeight="1">
      <c r="A472" s="5238">
        <v>265</v>
      </c>
      <c r="B472" s="5238" t="s">
        <v>3531</v>
      </c>
      <c r="C472" s="5239" t="s">
        <v>2259</v>
      </c>
      <c r="D472" s="5240"/>
      <c r="E472" s="5241"/>
      <c r="F472" s="5243">
        <f t="shared" si="36"/>
        <v>0</v>
      </c>
      <c r="G472" s="5241"/>
      <c r="H472" s="5241"/>
      <c r="I472" s="5243">
        <f t="shared" si="37"/>
        <v>0</v>
      </c>
      <c r="J472" s="5244">
        <f t="shared" si="41"/>
        <v>0</v>
      </c>
      <c r="K472" s="5245">
        <f t="shared" si="38"/>
        <v>0</v>
      </c>
      <c r="L472" s="5245">
        <f t="shared" si="39"/>
        <v>0</v>
      </c>
      <c r="M472" s="5245">
        <f t="shared" si="40"/>
        <v>0</v>
      </c>
    </row>
    <row r="473" spans="1:13" ht="14.85" customHeight="1">
      <c r="A473" s="5238">
        <v>265</v>
      </c>
      <c r="B473" s="5238" t="s">
        <v>3532</v>
      </c>
      <c r="C473" s="5239" t="s">
        <v>2260</v>
      </c>
      <c r="D473" s="5240"/>
      <c r="E473" s="5241"/>
      <c r="F473" s="5243">
        <f t="shared" si="36"/>
        <v>0</v>
      </c>
      <c r="G473" s="5241"/>
      <c r="H473" s="5241"/>
      <c r="I473" s="5243">
        <f t="shared" si="37"/>
        <v>0</v>
      </c>
      <c r="J473" s="5244">
        <f t="shared" si="41"/>
        <v>0</v>
      </c>
      <c r="K473" s="5245">
        <f t="shared" si="38"/>
        <v>0</v>
      </c>
      <c r="L473" s="5245">
        <f t="shared" si="39"/>
        <v>0</v>
      </c>
      <c r="M473" s="5245">
        <f t="shared" si="40"/>
        <v>0</v>
      </c>
    </row>
    <row r="474" spans="1:13" ht="14.85" customHeight="1">
      <c r="A474" s="5238">
        <v>265</v>
      </c>
      <c r="B474" s="5238" t="s">
        <v>3533</v>
      </c>
      <c r="C474" s="5239" t="s">
        <v>2261</v>
      </c>
      <c r="D474" s="5240"/>
      <c r="E474" s="5241"/>
      <c r="F474" s="5243">
        <f t="shared" si="36"/>
        <v>0</v>
      </c>
      <c r="G474" s="5241"/>
      <c r="H474" s="5241"/>
      <c r="I474" s="5243">
        <f t="shared" si="37"/>
        <v>0</v>
      </c>
      <c r="J474" s="5244">
        <f t="shared" si="41"/>
        <v>0</v>
      </c>
      <c r="K474" s="5245">
        <f t="shared" si="38"/>
        <v>0</v>
      </c>
      <c r="L474" s="5245">
        <f t="shared" si="39"/>
        <v>0</v>
      </c>
      <c r="M474" s="5245">
        <f t="shared" si="40"/>
        <v>0</v>
      </c>
    </row>
    <row r="475" spans="1:13" ht="14.85" customHeight="1">
      <c r="A475" s="5238">
        <v>266</v>
      </c>
      <c r="B475" s="5238" t="s">
        <v>3534</v>
      </c>
      <c r="C475" s="5239" t="s">
        <v>2262</v>
      </c>
      <c r="D475" s="5240"/>
      <c r="E475" s="5241"/>
      <c r="F475" s="5243">
        <f t="shared" si="36"/>
        <v>0</v>
      </c>
      <c r="G475" s="5241"/>
      <c r="H475" s="5241"/>
      <c r="I475" s="5243">
        <f t="shared" si="37"/>
        <v>0</v>
      </c>
      <c r="J475" s="5244">
        <f t="shared" si="41"/>
        <v>0</v>
      </c>
      <c r="K475" s="5245">
        <f t="shared" si="38"/>
        <v>0</v>
      </c>
      <c r="L475" s="5245">
        <f t="shared" si="39"/>
        <v>0</v>
      </c>
      <c r="M475" s="5245">
        <f t="shared" si="40"/>
        <v>0</v>
      </c>
    </row>
    <row r="476" spans="1:13" ht="14.85" customHeight="1">
      <c r="A476" s="5238">
        <v>266</v>
      </c>
      <c r="B476" s="5238" t="s">
        <v>3535</v>
      </c>
      <c r="C476" s="5239" t="s">
        <v>2263</v>
      </c>
      <c r="D476" s="5240"/>
      <c r="E476" s="5241"/>
      <c r="F476" s="5243">
        <f t="shared" si="36"/>
        <v>0</v>
      </c>
      <c r="G476" s="5241"/>
      <c r="H476" s="5241"/>
      <c r="I476" s="5243">
        <f t="shared" si="37"/>
        <v>0</v>
      </c>
      <c r="J476" s="5244">
        <f t="shared" si="41"/>
        <v>0</v>
      </c>
      <c r="K476" s="5245">
        <f t="shared" si="38"/>
        <v>0</v>
      </c>
      <c r="L476" s="5245">
        <f t="shared" si="39"/>
        <v>0</v>
      </c>
      <c r="M476" s="5245">
        <f t="shared" si="40"/>
        <v>0</v>
      </c>
    </row>
    <row r="477" spans="1:13" ht="14.85" customHeight="1">
      <c r="A477" s="5238">
        <v>266</v>
      </c>
      <c r="B477" s="5238" t="s">
        <v>3536</v>
      </c>
      <c r="C477" s="5239" t="s">
        <v>2264</v>
      </c>
      <c r="D477" s="5240"/>
      <c r="E477" s="5241"/>
      <c r="F477" s="5243">
        <f t="shared" si="36"/>
        <v>0</v>
      </c>
      <c r="G477" s="5241"/>
      <c r="H477" s="5241"/>
      <c r="I477" s="5243">
        <f t="shared" si="37"/>
        <v>0</v>
      </c>
      <c r="J477" s="5244">
        <f t="shared" si="41"/>
        <v>0</v>
      </c>
      <c r="K477" s="5245">
        <f t="shared" si="38"/>
        <v>0</v>
      </c>
      <c r="L477" s="5245">
        <f t="shared" si="39"/>
        <v>0</v>
      </c>
      <c r="M477" s="5245">
        <f t="shared" si="40"/>
        <v>0</v>
      </c>
    </row>
    <row r="478" spans="1:13" ht="14.85" customHeight="1">
      <c r="A478" s="5238">
        <v>266</v>
      </c>
      <c r="B478" s="5238" t="s">
        <v>3537</v>
      </c>
      <c r="C478" s="5239" t="s">
        <v>2265</v>
      </c>
      <c r="D478" s="5240"/>
      <c r="E478" s="5241"/>
      <c r="F478" s="5243">
        <f t="shared" si="36"/>
        <v>0</v>
      </c>
      <c r="G478" s="5241"/>
      <c r="H478" s="5241"/>
      <c r="I478" s="5243">
        <f t="shared" si="37"/>
        <v>0</v>
      </c>
      <c r="J478" s="5244">
        <f t="shared" si="41"/>
        <v>0</v>
      </c>
      <c r="K478" s="5245">
        <f t="shared" si="38"/>
        <v>0</v>
      </c>
      <c r="L478" s="5245">
        <f t="shared" si="39"/>
        <v>0</v>
      </c>
      <c r="M478" s="5245">
        <f t="shared" si="40"/>
        <v>0</v>
      </c>
    </row>
    <row r="479" spans="1:13" ht="14.85" customHeight="1">
      <c r="A479" s="5238">
        <v>266</v>
      </c>
      <c r="B479" s="5238" t="s">
        <v>3538</v>
      </c>
      <c r="C479" s="5239" t="s">
        <v>2266</v>
      </c>
      <c r="D479" s="5240"/>
      <c r="E479" s="5241"/>
      <c r="F479" s="5243">
        <f t="shared" si="36"/>
        <v>0</v>
      </c>
      <c r="G479" s="5241"/>
      <c r="H479" s="5241"/>
      <c r="I479" s="5243">
        <f t="shared" si="37"/>
        <v>0</v>
      </c>
      <c r="J479" s="5244">
        <f t="shared" si="41"/>
        <v>0</v>
      </c>
      <c r="K479" s="5245">
        <f t="shared" si="38"/>
        <v>0</v>
      </c>
      <c r="L479" s="5245">
        <f t="shared" si="39"/>
        <v>0</v>
      </c>
      <c r="M479" s="5245">
        <f t="shared" si="40"/>
        <v>0</v>
      </c>
    </row>
    <row r="480" spans="1:13" ht="14.85" customHeight="1">
      <c r="A480" s="5238">
        <v>266</v>
      </c>
      <c r="B480" s="5238" t="s">
        <v>3539</v>
      </c>
      <c r="C480" s="5239" t="s">
        <v>2267</v>
      </c>
      <c r="D480" s="5240"/>
      <c r="E480" s="5241"/>
      <c r="F480" s="5243">
        <f t="shared" si="36"/>
        <v>0</v>
      </c>
      <c r="G480" s="5241"/>
      <c r="H480" s="5241"/>
      <c r="I480" s="5243">
        <f t="shared" si="37"/>
        <v>0</v>
      </c>
      <c r="J480" s="5244">
        <f t="shared" si="41"/>
        <v>0</v>
      </c>
      <c r="K480" s="5245">
        <f t="shared" si="38"/>
        <v>0</v>
      </c>
      <c r="L480" s="5245">
        <f t="shared" si="39"/>
        <v>0</v>
      </c>
      <c r="M480" s="5245">
        <f t="shared" si="40"/>
        <v>0</v>
      </c>
    </row>
    <row r="481" spans="1:13" ht="14.85" customHeight="1">
      <c r="A481" s="5238">
        <v>266</v>
      </c>
      <c r="B481" s="5238" t="s">
        <v>3540</v>
      </c>
      <c r="C481" s="5239" t="s">
        <v>2268</v>
      </c>
      <c r="D481" s="5240"/>
      <c r="E481" s="5241"/>
      <c r="F481" s="5243">
        <f t="shared" ref="F481:F544" si="42">SUM(D481:E481)</f>
        <v>0</v>
      </c>
      <c r="G481" s="5241"/>
      <c r="H481" s="5241"/>
      <c r="I481" s="5243">
        <f t="shared" ref="I481:I544" si="43">SUM(G481:H481)</f>
        <v>0</v>
      </c>
      <c r="J481" s="5244">
        <f t="shared" si="41"/>
        <v>0</v>
      </c>
      <c r="K481" s="5245">
        <f t="shared" ref="K481:K544" si="44">IF(AND((J481-35%)&gt;0,J481&lt;50%),I481*(J481-35%)*0.7,0)</f>
        <v>0</v>
      </c>
      <c r="L481" s="5245">
        <f t="shared" ref="L481:L544" si="45">IF(J481&gt;=50%,I481*10.5%,0)</f>
        <v>0</v>
      </c>
      <c r="M481" s="5245">
        <f t="shared" ref="M481:M544" si="46">MAX(K481,L481)</f>
        <v>0</v>
      </c>
    </row>
    <row r="482" spans="1:13" ht="14.85" customHeight="1">
      <c r="A482" s="5238">
        <v>266</v>
      </c>
      <c r="B482" s="5238" t="s">
        <v>3541</v>
      </c>
      <c r="C482" s="5239" t="s">
        <v>2269</v>
      </c>
      <c r="D482" s="5240"/>
      <c r="E482" s="5241"/>
      <c r="F482" s="5243">
        <f t="shared" si="42"/>
        <v>0</v>
      </c>
      <c r="G482" s="5241"/>
      <c r="H482" s="5241"/>
      <c r="I482" s="5243">
        <f t="shared" si="43"/>
        <v>0</v>
      </c>
      <c r="J482" s="5244">
        <f t="shared" si="41"/>
        <v>0</v>
      </c>
      <c r="K482" s="5245">
        <f t="shared" si="44"/>
        <v>0</v>
      </c>
      <c r="L482" s="5245">
        <f t="shared" si="45"/>
        <v>0</v>
      </c>
      <c r="M482" s="5245">
        <f t="shared" si="46"/>
        <v>0</v>
      </c>
    </row>
    <row r="483" spans="1:13" ht="14.85" customHeight="1">
      <c r="A483" s="5238">
        <v>266</v>
      </c>
      <c r="B483" s="5238" t="s">
        <v>3542</v>
      </c>
      <c r="C483" s="5239" t="s">
        <v>2270</v>
      </c>
      <c r="D483" s="5240"/>
      <c r="E483" s="5241"/>
      <c r="F483" s="5243">
        <f t="shared" si="42"/>
        <v>0</v>
      </c>
      <c r="G483" s="5241"/>
      <c r="H483" s="5241"/>
      <c r="I483" s="5243">
        <f t="shared" si="43"/>
        <v>0</v>
      </c>
      <c r="J483" s="5244">
        <f t="shared" si="41"/>
        <v>0</v>
      </c>
      <c r="K483" s="5245">
        <f t="shared" si="44"/>
        <v>0</v>
      </c>
      <c r="L483" s="5245">
        <f t="shared" si="45"/>
        <v>0</v>
      </c>
      <c r="M483" s="5245">
        <f t="shared" si="46"/>
        <v>0</v>
      </c>
    </row>
    <row r="484" spans="1:13" ht="14.85" customHeight="1">
      <c r="A484" s="5238">
        <v>266</v>
      </c>
      <c r="B484" s="5238" t="s">
        <v>3543</v>
      </c>
      <c r="C484" s="5239" t="s">
        <v>2271</v>
      </c>
      <c r="D484" s="5240"/>
      <c r="E484" s="5241"/>
      <c r="F484" s="5243">
        <f t="shared" si="42"/>
        <v>0</v>
      </c>
      <c r="G484" s="5241"/>
      <c r="H484" s="5241"/>
      <c r="I484" s="5243">
        <f t="shared" si="43"/>
        <v>0</v>
      </c>
      <c r="J484" s="5244">
        <f t="shared" ref="J484:J547" si="47">IF(ISERROR(I484/F484),0,I484/F484)</f>
        <v>0</v>
      </c>
      <c r="K484" s="5245">
        <f t="shared" si="44"/>
        <v>0</v>
      </c>
      <c r="L484" s="5245">
        <f t="shared" si="45"/>
        <v>0</v>
      </c>
      <c r="M484" s="5245">
        <f t="shared" si="46"/>
        <v>0</v>
      </c>
    </row>
    <row r="485" spans="1:13" ht="14.85" customHeight="1">
      <c r="A485" s="5238">
        <v>267</v>
      </c>
      <c r="B485" s="5238" t="s">
        <v>3544</v>
      </c>
      <c r="C485" s="5239" t="s">
        <v>2272</v>
      </c>
      <c r="D485" s="5240"/>
      <c r="E485" s="5241"/>
      <c r="F485" s="5243">
        <f t="shared" si="42"/>
        <v>0</v>
      </c>
      <c r="G485" s="5241"/>
      <c r="H485" s="5241"/>
      <c r="I485" s="5243">
        <f t="shared" si="43"/>
        <v>0</v>
      </c>
      <c r="J485" s="5244">
        <f t="shared" si="47"/>
        <v>0</v>
      </c>
      <c r="K485" s="5245">
        <f t="shared" si="44"/>
        <v>0</v>
      </c>
      <c r="L485" s="5245">
        <f t="shared" si="45"/>
        <v>0</v>
      </c>
      <c r="M485" s="5245">
        <f t="shared" si="46"/>
        <v>0</v>
      </c>
    </row>
    <row r="486" spans="1:13" ht="14.85" customHeight="1">
      <c r="A486" s="5238">
        <v>267</v>
      </c>
      <c r="B486" s="5238" t="s">
        <v>3545</v>
      </c>
      <c r="C486" s="5239" t="s">
        <v>2273</v>
      </c>
      <c r="D486" s="5240"/>
      <c r="E486" s="5241"/>
      <c r="F486" s="5243">
        <f t="shared" si="42"/>
        <v>0</v>
      </c>
      <c r="G486" s="5241"/>
      <c r="H486" s="5241"/>
      <c r="I486" s="5243">
        <f t="shared" si="43"/>
        <v>0</v>
      </c>
      <c r="J486" s="5244">
        <f t="shared" si="47"/>
        <v>0</v>
      </c>
      <c r="K486" s="5245">
        <f t="shared" si="44"/>
        <v>0</v>
      </c>
      <c r="L486" s="5245">
        <f t="shared" si="45"/>
        <v>0</v>
      </c>
      <c r="M486" s="5245">
        <f t="shared" si="46"/>
        <v>0</v>
      </c>
    </row>
    <row r="487" spans="1:13" ht="14.85" customHeight="1">
      <c r="A487" s="5238">
        <v>267</v>
      </c>
      <c r="B487" s="5238" t="s">
        <v>3546</v>
      </c>
      <c r="C487" s="5239" t="s">
        <v>2274</v>
      </c>
      <c r="D487" s="5240"/>
      <c r="E487" s="5241"/>
      <c r="F487" s="5243">
        <f t="shared" si="42"/>
        <v>0</v>
      </c>
      <c r="G487" s="5241"/>
      <c r="H487" s="5241"/>
      <c r="I487" s="5243">
        <f t="shared" si="43"/>
        <v>0</v>
      </c>
      <c r="J487" s="5244">
        <f t="shared" si="47"/>
        <v>0</v>
      </c>
      <c r="K487" s="5245">
        <f t="shared" si="44"/>
        <v>0</v>
      </c>
      <c r="L487" s="5245">
        <f t="shared" si="45"/>
        <v>0</v>
      </c>
      <c r="M487" s="5245">
        <f t="shared" si="46"/>
        <v>0</v>
      </c>
    </row>
    <row r="488" spans="1:13" ht="14.85" customHeight="1">
      <c r="A488" s="5238">
        <v>267</v>
      </c>
      <c r="B488" s="5238" t="s">
        <v>3547</v>
      </c>
      <c r="C488" s="5239" t="s">
        <v>2275</v>
      </c>
      <c r="D488" s="5240"/>
      <c r="E488" s="5241"/>
      <c r="F488" s="5243">
        <f t="shared" si="42"/>
        <v>0</v>
      </c>
      <c r="G488" s="5241"/>
      <c r="H488" s="5241"/>
      <c r="I488" s="5243">
        <f t="shared" si="43"/>
        <v>0</v>
      </c>
      <c r="J488" s="5244">
        <f t="shared" si="47"/>
        <v>0</v>
      </c>
      <c r="K488" s="5245">
        <f t="shared" si="44"/>
        <v>0</v>
      </c>
      <c r="L488" s="5245">
        <f t="shared" si="45"/>
        <v>0</v>
      </c>
      <c r="M488" s="5245">
        <f t="shared" si="46"/>
        <v>0</v>
      </c>
    </row>
    <row r="489" spans="1:13" ht="14.85" customHeight="1">
      <c r="A489" s="5238">
        <v>267</v>
      </c>
      <c r="B489" s="5238" t="s">
        <v>3548</v>
      </c>
      <c r="C489" s="5239" t="s">
        <v>2276</v>
      </c>
      <c r="D489" s="5240"/>
      <c r="E489" s="5241"/>
      <c r="F489" s="5243">
        <f t="shared" si="42"/>
        <v>0</v>
      </c>
      <c r="G489" s="5241"/>
      <c r="H489" s="5241"/>
      <c r="I489" s="5243">
        <f t="shared" si="43"/>
        <v>0</v>
      </c>
      <c r="J489" s="5244">
        <f t="shared" si="47"/>
        <v>0</v>
      </c>
      <c r="K489" s="5245">
        <f t="shared" si="44"/>
        <v>0</v>
      </c>
      <c r="L489" s="5245">
        <f t="shared" si="45"/>
        <v>0</v>
      </c>
      <c r="M489" s="5245">
        <f t="shared" si="46"/>
        <v>0</v>
      </c>
    </row>
    <row r="490" spans="1:13" ht="14.85" customHeight="1">
      <c r="A490" s="5238">
        <v>267</v>
      </c>
      <c r="B490" s="5238" t="s">
        <v>3549</v>
      </c>
      <c r="C490" s="5239" t="s">
        <v>2277</v>
      </c>
      <c r="D490" s="5240"/>
      <c r="E490" s="5241"/>
      <c r="F490" s="5243">
        <f t="shared" si="42"/>
        <v>0</v>
      </c>
      <c r="G490" s="5241"/>
      <c r="H490" s="5241"/>
      <c r="I490" s="5243">
        <f t="shared" si="43"/>
        <v>0</v>
      </c>
      <c r="J490" s="5244">
        <f t="shared" si="47"/>
        <v>0</v>
      </c>
      <c r="K490" s="5245">
        <f t="shared" si="44"/>
        <v>0</v>
      </c>
      <c r="L490" s="5245">
        <f t="shared" si="45"/>
        <v>0</v>
      </c>
      <c r="M490" s="5245">
        <f t="shared" si="46"/>
        <v>0</v>
      </c>
    </row>
    <row r="491" spans="1:13" ht="14.85" customHeight="1">
      <c r="A491" s="5238">
        <v>268</v>
      </c>
      <c r="B491" s="5238" t="s">
        <v>3550</v>
      </c>
      <c r="C491" s="5239" t="s">
        <v>2278</v>
      </c>
      <c r="D491" s="5240"/>
      <c r="E491" s="5241"/>
      <c r="F491" s="5243">
        <f t="shared" si="42"/>
        <v>0</v>
      </c>
      <c r="G491" s="5241"/>
      <c r="H491" s="5241"/>
      <c r="I491" s="5243">
        <f t="shared" si="43"/>
        <v>0</v>
      </c>
      <c r="J491" s="5244">
        <f t="shared" si="47"/>
        <v>0</v>
      </c>
      <c r="K491" s="5245">
        <f t="shared" si="44"/>
        <v>0</v>
      </c>
      <c r="L491" s="5245">
        <f t="shared" si="45"/>
        <v>0</v>
      </c>
      <c r="M491" s="5245">
        <f t="shared" si="46"/>
        <v>0</v>
      </c>
    </row>
    <row r="492" spans="1:13" ht="14.85" customHeight="1">
      <c r="A492" s="5238">
        <v>268</v>
      </c>
      <c r="B492" s="5238" t="s">
        <v>3551</v>
      </c>
      <c r="C492" s="5239" t="s">
        <v>2279</v>
      </c>
      <c r="D492" s="5240"/>
      <c r="E492" s="5241"/>
      <c r="F492" s="5243">
        <f t="shared" si="42"/>
        <v>0</v>
      </c>
      <c r="G492" s="5241"/>
      <c r="H492" s="5241"/>
      <c r="I492" s="5243">
        <f t="shared" si="43"/>
        <v>0</v>
      </c>
      <c r="J492" s="5244">
        <f t="shared" si="47"/>
        <v>0</v>
      </c>
      <c r="K492" s="5245">
        <f t="shared" si="44"/>
        <v>0</v>
      </c>
      <c r="L492" s="5245">
        <f t="shared" si="45"/>
        <v>0</v>
      </c>
      <c r="M492" s="5245">
        <f t="shared" si="46"/>
        <v>0</v>
      </c>
    </row>
    <row r="493" spans="1:13" ht="14.85" customHeight="1">
      <c r="A493" s="5238">
        <v>268</v>
      </c>
      <c r="B493" s="5238" t="s">
        <v>3552</v>
      </c>
      <c r="C493" s="5239" t="s">
        <v>2280</v>
      </c>
      <c r="D493" s="5240"/>
      <c r="E493" s="5241"/>
      <c r="F493" s="5243">
        <f t="shared" si="42"/>
        <v>0</v>
      </c>
      <c r="G493" s="5241"/>
      <c r="H493" s="5241"/>
      <c r="I493" s="5243">
        <f t="shared" si="43"/>
        <v>0</v>
      </c>
      <c r="J493" s="5244">
        <f t="shared" si="47"/>
        <v>0</v>
      </c>
      <c r="K493" s="5245">
        <f t="shared" si="44"/>
        <v>0</v>
      </c>
      <c r="L493" s="5245">
        <f t="shared" si="45"/>
        <v>0</v>
      </c>
      <c r="M493" s="5245">
        <f t="shared" si="46"/>
        <v>0</v>
      </c>
    </row>
    <row r="494" spans="1:13" ht="14.85" customHeight="1">
      <c r="A494" s="5238">
        <v>269</v>
      </c>
      <c r="B494" s="5238" t="s">
        <v>3553</v>
      </c>
      <c r="C494" s="5239" t="s">
        <v>2281</v>
      </c>
      <c r="D494" s="5240"/>
      <c r="E494" s="5241"/>
      <c r="F494" s="5243">
        <f t="shared" si="42"/>
        <v>0</v>
      </c>
      <c r="G494" s="5241"/>
      <c r="H494" s="5241"/>
      <c r="I494" s="5243">
        <f t="shared" si="43"/>
        <v>0</v>
      </c>
      <c r="J494" s="5244">
        <f t="shared" si="47"/>
        <v>0</v>
      </c>
      <c r="K494" s="5245">
        <f t="shared" si="44"/>
        <v>0</v>
      </c>
      <c r="L494" s="5245">
        <f t="shared" si="45"/>
        <v>0</v>
      </c>
      <c r="M494" s="5245">
        <f t="shared" si="46"/>
        <v>0</v>
      </c>
    </row>
    <row r="495" spans="1:13" ht="14.85" customHeight="1">
      <c r="A495" s="5238">
        <v>269</v>
      </c>
      <c r="B495" s="5238" t="s">
        <v>3554</v>
      </c>
      <c r="C495" s="5239" t="s">
        <v>2282</v>
      </c>
      <c r="D495" s="5240"/>
      <c r="E495" s="5241"/>
      <c r="F495" s="5243">
        <f t="shared" si="42"/>
        <v>0</v>
      </c>
      <c r="G495" s="5241"/>
      <c r="H495" s="5241"/>
      <c r="I495" s="5243">
        <f t="shared" si="43"/>
        <v>0</v>
      </c>
      <c r="J495" s="5244">
        <f t="shared" si="47"/>
        <v>0</v>
      </c>
      <c r="K495" s="5245">
        <f t="shared" si="44"/>
        <v>0</v>
      </c>
      <c r="L495" s="5245">
        <f t="shared" si="45"/>
        <v>0</v>
      </c>
      <c r="M495" s="5245">
        <f t="shared" si="46"/>
        <v>0</v>
      </c>
    </row>
    <row r="496" spans="1:13" ht="14.85" customHeight="1">
      <c r="A496" s="5238">
        <v>269</v>
      </c>
      <c r="B496" s="5238" t="s">
        <v>3555</v>
      </c>
      <c r="C496" s="5239" t="s">
        <v>2283</v>
      </c>
      <c r="D496" s="5240"/>
      <c r="E496" s="5241"/>
      <c r="F496" s="5243">
        <f t="shared" si="42"/>
        <v>0</v>
      </c>
      <c r="G496" s="5241"/>
      <c r="H496" s="5241"/>
      <c r="I496" s="5243">
        <f t="shared" si="43"/>
        <v>0</v>
      </c>
      <c r="J496" s="5244">
        <f t="shared" si="47"/>
        <v>0</v>
      </c>
      <c r="K496" s="5245">
        <f t="shared" si="44"/>
        <v>0</v>
      </c>
      <c r="L496" s="5245">
        <f t="shared" si="45"/>
        <v>0</v>
      </c>
      <c r="M496" s="5245">
        <f t="shared" si="46"/>
        <v>0</v>
      </c>
    </row>
    <row r="497" spans="1:13" ht="14.85" customHeight="1">
      <c r="A497" s="5238">
        <v>270</v>
      </c>
      <c r="B497" s="5238" t="s">
        <v>3556</v>
      </c>
      <c r="C497" s="5239" t="s">
        <v>2284</v>
      </c>
      <c r="D497" s="5240"/>
      <c r="E497" s="5241"/>
      <c r="F497" s="5243">
        <f t="shared" si="42"/>
        <v>0</v>
      </c>
      <c r="G497" s="5241"/>
      <c r="H497" s="5241"/>
      <c r="I497" s="5243">
        <f t="shared" si="43"/>
        <v>0</v>
      </c>
      <c r="J497" s="5244">
        <f t="shared" si="47"/>
        <v>0</v>
      </c>
      <c r="K497" s="5245">
        <f t="shared" si="44"/>
        <v>0</v>
      </c>
      <c r="L497" s="5245">
        <f t="shared" si="45"/>
        <v>0</v>
      </c>
      <c r="M497" s="5245">
        <f t="shared" si="46"/>
        <v>0</v>
      </c>
    </row>
    <row r="498" spans="1:13" ht="14.85" customHeight="1">
      <c r="A498" s="5238">
        <v>270</v>
      </c>
      <c r="B498" s="5238" t="s">
        <v>3557</v>
      </c>
      <c r="C498" s="5239" t="s">
        <v>2285</v>
      </c>
      <c r="D498" s="5240"/>
      <c r="E498" s="5241"/>
      <c r="F498" s="5243">
        <f t="shared" si="42"/>
        <v>0</v>
      </c>
      <c r="G498" s="5241"/>
      <c r="H498" s="5241"/>
      <c r="I498" s="5243">
        <f t="shared" si="43"/>
        <v>0</v>
      </c>
      <c r="J498" s="5244">
        <f t="shared" si="47"/>
        <v>0</v>
      </c>
      <c r="K498" s="5245">
        <f t="shared" si="44"/>
        <v>0</v>
      </c>
      <c r="L498" s="5245">
        <f t="shared" si="45"/>
        <v>0</v>
      </c>
      <c r="M498" s="5245">
        <f t="shared" si="46"/>
        <v>0</v>
      </c>
    </row>
    <row r="499" spans="1:13" ht="14.85" customHeight="1">
      <c r="A499" s="5238">
        <v>271</v>
      </c>
      <c r="B499" s="5238" t="s">
        <v>3558</v>
      </c>
      <c r="C499" s="5239" t="s">
        <v>2286</v>
      </c>
      <c r="D499" s="5240"/>
      <c r="E499" s="5241"/>
      <c r="F499" s="5243">
        <f t="shared" si="42"/>
        <v>0</v>
      </c>
      <c r="G499" s="5241"/>
      <c r="H499" s="5241"/>
      <c r="I499" s="5243">
        <f t="shared" si="43"/>
        <v>0</v>
      </c>
      <c r="J499" s="5244">
        <f t="shared" si="47"/>
        <v>0</v>
      </c>
      <c r="K499" s="5245">
        <f t="shared" si="44"/>
        <v>0</v>
      </c>
      <c r="L499" s="5245">
        <f t="shared" si="45"/>
        <v>0</v>
      </c>
      <c r="M499" s="5245">
        <f t="shared" si="46"/>
        <v>0</v>
      </c>
    </row>
    <row r="500" spans="1:13" ht="14.85" customHeight="1">
      <c r="A500" s="5238">
        <v>271</v>
      </c>
      <c r="B500" s="5238" t="s">
        <v>3559</v>
      </c>
      <c r="C500" s="5239" t="s">
        <v>2287</v>
      </c>
      <c r="D500" s="5240"/>
      <c r="E500" s="5241"/>
      <c r="F500" s="5243">
        <f t="shared" si="42"/>
        <v>0</v>
      </c>
      <c r="G500" s="5241"/>
      <c r="H500" s="5241"/>
      <c r="I500" s="5243">
        <f t="shared" si="43"/>
        <v>0</v>
      </c>
      <c r="J500" s="5244">
        <f t="shared" si="47"/>
        <v>0</v>
      </c>
      <c r="K500" s="5245">
        <f t="shared" si="44"/>
        <v>0</v>
      </c>
      <c r="L500" s="5245">
        <f t="shared" si="45"/>
        <v>0</v>
      </c>
      <c r="M500" s="5245">
        <f t="shared" si="46"/>
        <v>0</v>
      </c>
    </row>
    <row r="501" spans="1:13" ht="14.85" customHeight="1">
      <c r="A501" s="5238">
        <v>272</v>
      </c>
      <c r="B501" s="5238" t="s">
        <v>3560</v>
      </c>
      <c r="C501" s="5239" t="s">
        <v>2288</v>
      </c>
      <c r="D501" s="5240"/>
      <c r="E501" s="5241"/>
      <c r="F501" s="5243">
        <f t="shared" si="42"/>
        <v>0</v>
      </c>
      <c r="G501" s="5241"/>
      <c r="H501" s="5241"/>
      <c r="I501" s="5243">
        <f t="shared" si="43"/>
        <v>0</v>
      </c>
      <c r="J501" s="5244">
        <f t="shared" si="47"/>
        <v>0</v>
      </c>
      <c r="K501" s="5245">
        <f t="shared" si="44"/>
        <v>0</v>
      </c>
      <c r="L501" s="5245">
        <f t="shared" si="45"/>
        <v>0</v>
      </c>
      <c r="M501" s="5245">
        <f t="shared" si="46"/>
        <v>0</v>
      </c>
    </row>
    <row r="502" spans="1:13" ht="14.85" customHeight="1">
      <c r="A502" s="5238">
        <v>272</v>
      </c>
      <c r="B502" s="5238" t="s">
        <v>3561</v>
      </c>
      <c r="C502" s="5239" t="s">
        <v>2289</v>
      </c>
      <c r="D502" s="5240"/>
      <c r="E502" s="5241"/>
      <c r="F502" s="5243">
        <f t="shared" si="42"/>
        <v>0</v>
      </c>
      <c r="G502" s="5241"/>
      <c r="H502" s="5241"/>
      <c r="I502" s="5243">
        <f t="shared" si="43"/>
        <v>0</v>
      </c>
      <c r="J502" s="5244">
        <f t="shared" si="47"/>
        <v>0</v>
      </c>
      <c r="K502" s="5245">
        <f t="shared" si="44"/>
        <v>0</v>
      </c>
      <c r="L502" s="5245">
        <f t="shared" si="45"/>
        <v>0</v>
      </c>
      <c r="M502" s="5245">
        <f t="shared" si="46"/>
        <v>0</v>
      </c>
    </row>
    <row r="503" spans="1:13" ht="14.85" customHeight="1">
      <c r="A503" s="5238">
        <v>272</v>
      </c>
      <c r="B503" s="5238" t="s">
        <v>3562</v>
      </c>
      <c r="C503" s="5239" t="s">
        <v>2290</v>
      </c>
      <c r="D503" s="5240"/>
      <c r="E503" s="5241"/>
      <c r="F503" s="5243">
        <f t="shared" si="42"/>
        <v>0</v>
      </c>
      <c r="G503" s="5241"/>
      <c r="H503" s="5241"/>
      <c r="I503" s="5243">
        <f t="shared" si="43"/>
        <v>0</v>
      </c>
      <c r="J503" s="5244">
        <f t="shared" si="47"/>
        <v>0</v>
      </c>
      <c r="K503" s="5245">
        <f t="shared" si="44"/>
        <v>0</v>
      </c>
      <c r="L503" s="5245">
        <f t="shared" si="45"/>
        <v>0</v>
      </c>
      <c r="M503" s="5245">
        <f t="shared" si="46"/>
        <v>0</v>
      </c>
    </row>
    <row r="504" spans="1:13" ht="14.85" customHeight="1">
      <c r="A504" s="5238">
        <v>273</v>
      </c>
      <c r="B504" s="5238" t="s">
        <v>3563</v>
      </c>
      <c r="C504" s="5239" t="s">
        <v>2291</v>
      </c>
      <c r="D504" s="5240"/>
      <c r="E504" s="5241"/>
      <c r="F504" s="5243">
        <f t="shared" si="42"/>
        <v>0</v>
      </c>
      <c r="G504" s="5241"/>
      <c r="H504" s="5241"/>
      <c r="I504" s="5243">
        <f t="shared" si="43"/>
        <v>0</v>
      </c>
      <c r="J504" s="5244">
        <f t="shared" si="47"/>
        <v>0</v>
      </c>
      <c r="K504" s="5245">
        <f t="shared" si="44"/>
        <v>0</v>
      </c>
      <c r="L504" s="5245">
        <f t="shared" si="45"/>
        <v>0</v>
      </c>
      <c r="M504" s="5245">
        <f t="shared" si="46"/>
        <v>0</v>
      </c>
    </row>
    <row r="505" spans="1:13" ht="14.85" customHeight="1">
      <c r="A505" s="5238">
        <v>273</v>
      </c>
      <c r="B505" s="5238" t="s">
        <v>3564</v>
      </c>
      <c r="C505" s="5239" t="s">
        <v>2292</v>
      </c>
      <c r="D505" s="5240"/>
      <c r="E505" s="5241"/>
      <c r="F505" s="5243">
        <f t="shared" si="42"/>
        <v>0</v>
      </c>
      <c r="G505" s="5241"/>
      <c r="H505" s="5241"/>
      <c r="I505" s="5243">
        <f t="shared" si="43"/>
        <v>0</v>
      </c>
      <c r="J505" s="5244">
        <f t="shared" si="47"/>
        <v>0</v>
      </c>
      <c r="K505" s="5245">
        <f t="shared" si="44"/>
        <v>0</v>
      </c>
      <c r="L505" s="5245">
        <f t="shared" si="45"/>
        <v>0</v>
      </c>
      <c r="M505" s="5245">
        <f t="shared" si="46"/>
        <v>0</v>
      </c>
    </row>
    <row r="506" spans="1:13" ht="14.85" customHeight="1">
      <c r="A506" s="5238">
        <v>274</v>
      </c>
      <c r="B506" s="5238" t="s">
        <v>3565</v>
      </c>
      <c r="C506" s="5239" t="s">
        <v>2293</v>
      </c>
      <c r="D506" s="5240"/>
      <c r="E506" s="5241"/>
      <c r="F506" s="5243">
        <f t="shared" si="42"/>
        <v>0</v>
      </c>
      <c r="G506" s="5241"/>
      <c r="H506" s="5241"/>
      <c r="I506" s="5243">
        <f t="shared" si="43"/>
        <v>0</v>
      </c>
      <c r="J506" s="5244">
        <f t="shared" si="47"/>
        <v>0</v>
      </c>
      <c r="K506" s="5245">
        <f t="shared" si="44"/>
        <v>0</v>
      </c>
      <c r="L506" s="5245">
        <f t="shared" si="45"/>
        <v>0</v>
      </c>
      <c r="M506" s="5245">
        <f t="shared" si="46"/>
        <v>0</v>
      </c>
    </row>
    <row r="507" spans="1:13" ht="14.85" customHeight="1">
      <c r="A507" s="5238">
        <v>274</v>
      </c>
      <c r="B507" s="5238" t="s">
        <v>3566</v>
      </c>
      <c r="C507" s="5239" t="s">
        <v>2294</v>
      </c>
      <c r="D507" s="5240"/>
      <c r="E507" s="5241"/>
      <c r="F507" s="5243">
        <f t="shared" si="42"/>
        <v>0</v>
      </c>
      <c r="G507" s="5241"/>
      <c r="H507" s="5241"/>
      <c r="I507" s="5243">
        <f t="shared" si="43"/>
        <v>0</v>
      </c>
      <c r="J507" s="5244">
        <f t="shared" si="47"/>
        <v>0</v>
      </c>
      <c r="K507" s="5245">
        <f t="shared" si="44"/>
        <v>0</v>
      </c>
      <c r="L507" s="5245">
        <f t="shared" si="45"/>
        <v>0</v>
      </c>
      <c r="M507" s="5245">
        <f t="shared" si="46"/>
        <v>0</v>
      </c>
    </row>
    <row r="508" spans="1:13" ht="14.85" customHeight="1">
      <c r="A508" s="5238">
        <v>274</v>
      </c>
      <c r="B508" s="5238" t="s">
        <v>3567</v>
      </c>
      <c r="C508" s="5239" t="s">
        <v>2295</v>
      </c>
      <c r="D508" s="5240"/>
      <c r="E508" s="5241"/>
      <c r="F508" s="5243">
        <f t="shared" si="42"/>
        <v>0</v>
      </c>
      <c r="G508" s="5241"/>
      <c r="H508" s="5241"/>
      <c r="I508" s="5243">
        <f t="shared" si="43"/>
        <v>0</v>
      </c>
      <c r="J508" s="5244">
        <f t="shared" si="47"/>
        <v>0</v>
      </c>
      <c r="K508" s="5245">
        <f t="shared" si="44"/>
        <v>0</v>
      </c>
      <c r="L508" s="5245">
        <f t="shared" si="45"/>
        <v>0</v>
      </c>
      <c r="M508" s="5245">
        <f t="shared" si="46"/>
        <v>0</v>
      </c>
    </row>
    <row r="509" spans="1:13" ht="14.85" customHeight="1">
      <c r="A509" s="5238">
        <v>275</v>
      </c>
      <c r="B509" s="5238" t="s">
        <v>3568</v>
      </c>
      <c r="C509" s="5239" t="s">
        <v>2296</v>
      </c>
      <c r="D509" s="5240"/>
      <c r="E509" s="5241"/>
      <c r="F509" s="5243">
        <f t="shared" si="42"/>
        <v>0</v>
      </c>
      <c r="G509" s="5241"/>
      <c r="H509" s="5241"/>
      <c r="I509" s="5243">
        <f t="shared" si="43"/>
        <v>0</v>
      </c>
      <c r="J509" s="5244">
        <f t="shared" si="47"/>
        <v>0</v>
      </c>
      <c r="K509" s="5245">
        <f t="shared" si="44"/>
        <v>0</v>
      </c>
      <c r="L509" s="5245">
        <f t="shared" si="45"/>
        <v>0</v>
      </c>
      <c r="M509" s="5245">
        <f t="shared" si="46"/>
        <v>0</v>
      </c>
    </row>
    <row r="510" spans="1:13" ht="14.85" customHeight="1">
      <c r="A510" s="5238">
        <v>275</v>
      </c>
      <c r="B510" s="5238" t="s">
        <v>3569</v>
      </c>
      <c r="C510" s="5239" t="s">
        <v>2297</v>
      </c>
      <c r="D510" s="5240"/>
      <c r="E510" s="5241"/>
      <c r="F510" s="5243">
        <f t="shared" si="42"/>
        <v>0</v>
      </c>
      <c r="G510" s="5241"/>
      <c r="H510" s="5241"/>
      <c r="I510" s="5243">
        <f t="shared" si="43"/>
        <v>0</v>
      </c>
      <c r="J510" s="5244">
        <f t="shared" si="47"/>
        <v>0</v>
      </c>
      <c r="K510" s="5245">
        <f t="shared" si="44"/>
        <v>0</v>
      </c>
      <c r="L510" s="5245">
        <f t="shared" si="45"/>
        <v>0</v>
      </c>
      <c r="M510" s="5245">
        <f t="shared" si="46"/>
        <v>0</v>
      </c>
    </row>
    <row r="511" spans="1:13" ht="14.85" customHeight="1">
      <c r="A511" s="5238">
        <v>281</v>
      </c>
      <c r="B511" s="5238" t="s">
        <v>3570</v>
      </c>
      <c r="C511" s="5239" t="s">
        <v>2298</v>
      </c>
      <c r="D511" s="5240"/>
      <c r="E511" s="5241"/>
      <c r="F511" s="5243">
        <f t="shared" si="42"/>
        <v>0</v>
      </c>
      <c r="G511" s="5241"/>
      <c r="H511" s="5241"/>
      <c r="I511" s="5243">
        <f t="shared" si="43"/>
        <v>0</v>
      </c>
      <c r="J511" s="5244">
        <f t="shared" si="47"/>
        <v>0</v>
      </c>
      <c r="K511" s="5245">
        <f t="shared" si="44"/>
        <v>0</v>
      </c>
      <c r="L511" s="5245">
        <f t="shared" si="45"/>
        <v>0</v>
      </c>
      <c r="M511" s="5245">
        <f t="shared" si="46"/>
        <v>0</v>
      </c>
    </row>
    <row r="512" spans="1:13" ht="14.85" customHeight="1">
      <c r="A512" s="5238">
        <v>281</v>
      </c>
      <c r="B512" s="5238" t="s">
        <v>3571</v>
      </c>
      <c r="C512" s="5239" t="s">
        <v>2299</v>
      </c>
      <c r="D512" s="5240"/>
      <c r="E512" s="5241"/>
      <c r="F512" s="5243">
        <f t="shared" si="42"/>
        <v>0</v>
      </c>
      <c r="G512" s="5241"/>
      <c r="H512" s="5241"/>
      <c r="I512" s="5243">
        <f t="shared" si="43"/>
        <v>0</v>
      </c>
      <c r="J512" s="5244">
        <f t="shared" si="47"/>
        <v>0</v>
      </c>
      <c r="K512" s="5245">
        <f t="shared" si="44"/>
        <v>0</v>
      </c>
      <c r="L512" s="5245">
        <f t="shared" si="45"/>
        <v>0</v>
      </c>
      <c r="M512" s="5245">
        <f t="shared" si="46"/>
        <v>0</v>
      </c>
    </row>
    <row r="513" spans="1:13" ht="14.85" customHeight="1">
      <c r="A513" s="5238">
        <v>282</v>
      </c>
      <c r="B513" s="5238" t="s">
        <v>3572</v>
      </c>
      <c r="C513" s="5239" t="s">
        <v>2300</v>
      </c>
      <c r="D513" s="5240"/>
      <c r="E513" s="5241"/>
      <c r="F513" s="5243">
        <f t="shared" si="42"/>
        <v>0</v>
      </c>
      <c r="G513" s="5241"/>
      <c r="H513" s="5241"/>
      <c r="I513" s="5243">
        <f t="shared" si="43"/>
        <v>0</v>
      </c>
      <c r="J513" s="5244">
        <f t="shared" si="47"/>
        <v>0</v>
      </c>
      <c r="K513" s="5245">
        <f t="shared" si="44"/>
        <v>0</v>
      </c>
      <c r="L513" s="5245">
        <f t="shared" si="45"/>
        <v>0</v>
      </c>
      <c r="M513" s="5245">
        <f t="shared" si="46"/>
        <v>0</v>
      </c>
    </row>
    <row r="514" spans="1:13" ht="14.85" customHeight="1">
      <c r="A514" s="5238">
        <v>283</v>
      </c>
      <c r="B514" s="5238" t="s">
        <v>3573</v>
      </c>
      <c r="C514" s="5239" t="s">
        <v>2301</v>
      </c>
      <c r="D514" s="5240"/>
      <c r="E514" s="5241"/>
      <c r="F514" s="5243">
        <f t="shared" si="42"/>
        <v>0</v>
      </c>
      <c r="G514" s="5241"/>
      <c r="H514" s="5241"/>
      <c r="I514" s="5243">
        <f t="shared" si="43"/>
        <v>0</v>
      </c>
      <c r="J514" s="5244">
        <f t="shared" si="47"/>
        <v>0</v>
      </c>
      <c r="K514" s="5245">
        <f t="shared" si="44"/>
        <v>0</v>
      </c>
      <c r="L514" s="5245">
        <f t="shared" si="45"/>
        <v>0</v>
      </c>
      <c r="M514" s="5245">
        <f t="shared" si="46"/>
        <v>0</v>
      </c>
    </row>
    <row r="515" spans="1:13" ht="14.85" customHeight="1">
      <c r="A515" s="5238">
        <v>283</v>
      </c>
      <c r="B515" s="5238" t="s">
        <v>3574</v>
      </c>
      <c r="C515" s="5239" t="s">
        <v>2302</v>
      </c>
      <c r="D515" s="5240"/>
      <c r="E515" s="5241"/>
      <c r="F515" s="5243">
        <f t="shared" si="42"/>
        <v>0</v>
      </c>
      <c r="G515" s="5241"/>
      <c r="H515" s="5241"/>
      <c r="I515" s="5243">
        <f t="shared" si="43"/>
        <v>0</v>
      </c>
      <c r="J515" s="5244">
        <f t="shared" si="47"/>
        <v>0</v>
      </c>
      <c r="K515" s="5245">
        <f t="shared" si="44"/>
        <v>0</v>
      </c>
      <c r="L515" s="5245">
        <f t="shared" si="45"/>
        <v>0</v>
      </c>
      <c r="M515" s="5245">
        <f t="shared" si="46"/>
        <v>0</v>
      </c>
    </row>
    <row r="516" spans="1:13" ht="14.85" customHeight="1">
      <c r="A516" s="5238">
        <v>284</v>
      </c>
      <c r="B516" s="5238" t="s">
        <v>3575</v>
      </c>
      <c r="C516" s="5239" t="s">
        <v>2303</v>
      </c>
      <c r="D516" s="5240"/>
      <c r="E516" s="5241"/>
      <c r="F516" s="5243">
        <f t="shared" si="42"/>
        <v>0</v>
      </c>
      <c r="G516" s="5241"/>
      <c r="H516" s="5241"/>
      <c r="I516" s="5243">
        <f t="shared" si="43"/>
        <v>0</v>
      </c>
      <c r="J516" s="5244">
        <f t="shared" si="47"/>
        <v>0</v>
      </c>
      <c r="K516" s="5245">
        <f t="shared" si="44"/>
        <v>0</v>
      </c>
      <c r="L516" s="5245">
        <f t="shared" si="45"/>
        <v>0</v>
      </c>
      <c r="M516" s="5245">
        <f t="shared" si="46"/>
        <v>0</v>
      </c>
    </row>
    <row r="517" spans="1:13" ht="14.85" customHeight="1">
      <c r="A517" s="5238">
        <v>284</v>
      </c>
      <c r="B517" s="5238" t="s">
        <v>3576</v>
      </c>
      <c r="C517" s="5239" t="s">
        <v>2304</v>
      </c>
      <c r="D517" s="5240"/>
      <c r="E517" s="5241"/>
      <c r="F517" s="5243">
        <f t="shared" si="42"/>
        <v>0</v>
      </c>
      <c r="G517" s="5241"/>
      <c r="H517" s="5241"/>
      <c r="I517" s="5243">
        <f t="shared" si="43"/>
        <v>0</v>
      </c>
      <c r="J517" s="5244">
        <f t="shared" si="47"/>
        <v>0</v>
      </c>
      <c r="K517" s="5245">
        <f t="shared" si="44"/>
        <v>0</v>
      </c>
      <c r="L517" s="5245">
        <f t="shared" si="45"/>
        <v>0</v>
      </c>
      <c r="M517" s="5245">
        <f t="shared" si="46"/>
        <v>0</v>
      </c>
    </row>
    <row r="518" spans="1:13" ht="14.85" customHeight="1">
      <c r="A518" s="5238">
        <v>285</v>
      </c>
      <c r="B518" s="5238" t="s">
        <v>3577</v>
      </c>
      <c r="C518" s="5239" t="s">
        <v>2305</v>
      </c>
      <c r="D518" s="5240"/>
      <c r="E518" s="5241"/>
      <c r="F518" s="5243">
        <f t="shared" si="42"/>
        <v>0</v>
      </c>
      <c r="G518" s="5241"/>
      <c r="H518" s="5241"/>
      <c r="I518" s="5243">
        <f t="shared" si="43"/>
        <v>0</v>
      </c>
      <c r="J518" s="5244">
        <f t="shared" si="47"/>
        <v>0</v>
      </c>
      <c r="K518" s="5245">
        <f t="shared" si="44"/>
        <v>0</v>
      </c>
      <c r="L518" s="5245">
        <f t="shared" si="45"/>
        <v>0</v>
      </c>
      <c r="M518" s="5245">
        <f t="shared" si="46"/>
        <v>0</v>
      </c>
    </row>
    <row r="519" spans="1:13" ht="14.85" customHeight="1">
      <c r="A519" s="5238">
        <v>285</v>
      </c>
      <c r="B519" s="5238" t="s">
        <v>3578</v>
      </c>
      <c r="C519" s="5239" t="s">
        <v>2306</v>
      </c>
      <c r="D519" s="5240"/>
      <c r="E519" s="5241"/>
      <c r="F519" s="5243">
        <f t="shared" si="42"/>
        <v>0</v>
      </c>
      <c r="G519" s="5241"/>
      <c r="H519" s="5241"/>
      <c r="I519" s="5243">
        <f t="shared" si="43"/>
        <v>0</v>
      </c>
      <c r="J519" s="5244">
        <f t="shared" si="47"/>
        <v>0</v>
      </c>
      <c r="K519" s="5245">
        <f t="shared" si="44"/>
        <v>0</v>
      </c>
      <c r="L519" s="5245">
        <f t="shared" si="45"/>
        <v>0</v>
      </c>
      <c r="M519" s="5245">
        <f t="shared" si="46"/>
        <v>0</v>
      </c>
    </row>
    <row r="520" spans="1:13" ht="14.85" customHeight="1">
      <c r="A520" s="5238">
        <v>286</v>
      </c>
      <c r="B520" s="5238" t="s">
        <v>3579</v>
      </c>
      <c r="C520" s="5239" t="s">
        <v>2307</v>
      </c>
      <c r="D520" s="5240"/>
      <c r="E520" s="5241"/>
      <c r="F520" s="5243">
        <f t="shared" si="42"/>
        <v>0</v>
      </c>
      <c r="G520" s="5241"/>
      <c r="H520" s="5241"/>
      <c r="I520" s="5243">
        <f t="shared" si="43"/>
        <v>0</v>
      </c>
      <c r="J520" s="5244">
        <f t="shared" si="47"/>
        <v>0</v>
      </c>
      <c r="K520" s="5245">
        <f t="shared" si="44"/>
        <v>0</v>
      </c>
      <c r="L520" s="5245">
        <f t="shared" si="45"/>
        <v>0</v>
      </c>
      <c r="M520" s="5245">
        <f t="shared" si="46"/>
        <v>0</v>
      </c>
    </row>
    <row r="521" spans="1:13" ht="14.85" customHeight="1">
      <c r="A521" s="5238">
        <v>286</v>
      </c>
      <c r="B521" s="5238" t="s">
        <v>3580</v>
      </c>
      <c r="C521" s="5239" t="s">
        <v>2308</v>
      </c>
      <c r="D521" s="5240"/>
      <c r="E521" s="5241"/>
      <c r="F521" s="5243">
        <f t="shared" si="42"/>
        <v>0</v>
      </c>
      <c r="G521" s="5241"/>
      <c r="H521" s="5241"/>
      <c r="I521" s="5243">
        <f t="shared" si="43"/>
        <v>0</v>
      </c>
      <c r="J521" s="5244">
        <f t="shared" si="47"/>
        <v>0</v>
      </c>
      <c r="K521" s="5245">
        <f t="shared" si="44"/>
        <v>0</v>
      </c>
      <c r="L521" s="5245">
        <f t="shared" si="45"/>
        <v>0</v>
      </c>
      <c r="M521" s="5245">
        <f t="shared" si="46"/>
        <v>0</v>
      </c>
    </row>
    <row r="522" spans="1:13" ht="14.85" customHeight="1">
      <c r="A522" s="5238">
        <v>287</v>
      </c>
      <c r="B522" s="5238" t="s">
        <v>3581</v>
      </c>
      <c r="C522" s="5239" t="s">
        <v>2309</v>
      </c>
      <c r="D522" s="5240"/>
      <c r="E522" s="5241"/>
      <c r="F522" s="5243">
        <f t="shared" si="42"/>
        <v>0</v>
      </c>
      <c r="G522" s="5241"/>
      <c r="H522" s="5241"/>
      <c r="I522" s="5243">
        <f t="shared" si="43"/>
        <v>0</v>
      </c>
      <c r="J522" s="5244">
        <f t="shared" si="47"/>
        <v>0</v>
      </c>
      <c r="K522" s="5245">
        <f t="shared" si="44"/>
        <v>0</v>
      </c>
      <c r="L522" s="5245">
        <f t="shared" si="45"/>
        <v>0</v>
      </c>
      <c r="M522" s="5245">
        <f t="shared" si="46"/>
        <v>0</v>
      </c>
    </row>
    <row r="523" spans="1:13" ht="14.85" customHeight="1">
      <c r="A523" s="5238">
        <v>287</v>
      </c>
      <c r="B523" s="5238" t="s">
        <v>3582</v>
      </c>
      <c r="C523" s="5239" t="s">
        <v>2310</v>
      </c>
      <c r="D523" s="5240"/>
      <c r="E523" s="5241"/>
      <c r="F523" s="5243">
        <f t="shared" si="42"/>
        <v>0</v>
      </c>
      <c r="G523" s="5241"/>
      <c r="H523" s="5241"/>
      <c r="I523" s="5243">
        <f t="shared" si="43"/>
        <v>0</v>
      </c>
      <c r="J523" s="5244">
        <f t="shared" si="47"/>
        <v>0</v>
      </c>
      <c r="K523" s="5245">
        <f t="shared" si="44"/>
        <v>0</v>
      </c>
      <c r="L523" s="5245">
        <f t="shared" si="45"/>
        <v>0</v>
      </c>
      <c r="M523" s="5245">
        <f t="shared" si="46"/>
        <v>0</v>
      </c>
    </row>
    <row r="524" spans="1:13" ht="14.85" customHeight="1">
      <c r="A524" s="5238">
        <v>287</v>
      </c>
      <c r="B524" s="5238" t="s">
        <v>3583</v>
      </c>
      <c r="C524" s="5239" t="s">
        <v>2311</v>
      </c>
      <c r="D524" s="5240"/>
      <c r="E524" s="5241"/>
      <c r="F524" s="5243">
        <f t="shared" si="42"/>
        <v>0</v>
      </c>
      <c r="G524" s="5241"/>
      <c r="H524" s="5241"/>
      <c r="I524" s="5243">
        <f t="shared" si="43"/>
        <v>0</v>
      </c>
      <c r="J524" s="5244">
        <f t="shared" si="47"/>
        <v>0</v>
      </c>
      <c r="K524" s="5245">
        <f t="shared" si="44"/>
        <v>0</v>
      </c>
      <c r="L524" s="5245">
        <f t="shared" si="45"/>
        <v>0</v>
      </c>
      <c r="M524" s="5245">
        <f t="shared" si="46"/>
        <v>0</v>
      </c>
    </row>
    <row r="525" spans="1:13" ht="14.85" customHeight="1">
      <c r="A525" s="5238">
        <v>287</v>
      </c>
      <c r="B525" s="5238" t="s">
        <v>3584</v>
      </c>
      <c r="C525" s="5239" t="s">
        <v>2312</v>
      </c>
      <c r="D525" s="5240"/>
      <c r="E525" s="5241"/>
      <c r="F525" s="5243">
        <f t="shared" si="42"/>
        <v>0</v>
      </c>
      <c r="G525" s="5241"/>
      <c r="H525" s="5241"/>
      <c r="I525" s="5243">
        <f t="shared" si="43"/>
        <v>0</v>
      </c>
      <c r="J525" s="5244">
        <f t="shared" si="47"/>
        <v>0</v>
      </c>
      <c r="K525" s="5245">
        <f t="shared" si="44"/>
        <v>0</v>
      </c>
      <c r="L525" s="5245">
        <f t="shared" si="45"/>
        <v>0</v>
      </c>
      <c r="M525" s="5245">
        <f t="shared" si="46"/>
        <v>0</v>
      </c>
    </row>
    <row r="526" spans="1:13" ht="14.85" customHeight="1">
      <c r="A526" s="5238">
        <v>288</v>
      </c>
      <c r="B526" s="5238" t="s">
        <v>3585</v>
      </c>
      <c r="C526" s="5239" t="s">
        <v>2313</v>
      </c>
      <c r="D526" s="5240"/>
      <c r="E526" s="5241"/>
      <c r="F526" s="5243">
        <f t="shared" si="42"/>
        <v>0</v>
      </c>
      <c r="G526" s="5241"/>
      <c r="H526" s="5241"/>
      <c r="I526" s="5243">
        <f t="shared" si="43"/>
        <v>0</v>
      </c>
      <c r="J526" s="5244">
        <f t="shared" si="47"/>
        <v>0</v>
      </c>
      <c r="K526" s="5245">
        <f t="shared" si="44"/>
        <v>0</v>
      </c>
      <c r="L526" s="5245">
        <f t="shared" si="45"/>
        <v>0</v>
      </c>
      <c r="M526" s="5245">
        <f t="shared" si="46"/>
        <v>0</v>
      </c>
    </row>
    <row r="527" spans="1:13" ht="14.85" customHeight="1">
      <c r="A527" s="5238">
        <v>288</v>
      </c>
      <c r="B527" s="5238" t="s">
        <v>3586</v>
      </c>
      <c r="C527" s="5239" t="s">
        <v>2314</v>
      </c>
      <c r="D527" s="5240"/>
      <c r="E527" s="5241"/>
      <c r="F527" s="5243">
        <f t="shared" si="42"/>
        <v>0</v>
      </c>
      <c r="G527" s="5241"/>
      <c r="H527" s="5241"/>
      <c r="I527" s="5243">
        <f t="shared" si="43"/>
        <v>0</v>
      </c>
      <c r="J527" s="5244">
        <f t="shared" si="47"/>
        <v>0</v>
      </c>
      <c r="K527" s="5245">
        <f t="shared" si="44"/>
        <v>0</v>
      </c>
      <c r="L527" s="5245">
        <f t="shared" si="45"/>
        <v>0</v>
      </c>
      <c r="M527" s="5245">
        <f t="shared" si="46"/>
        <v>0</v>
      </c>
    </row>
    <row r="528" spans="1:13" ht="14.85" customHeight="1">
      <c r="A528" s="5238">
        <v>289</v>
      </c>
      <c r="B528" s="5238" t="s">
        <v>3587</v>
      </c>
      <c r="C528" s="5239" t="s">
        <v>2315</v>
      </c>
      <c r="D528" s="5240"/>
      <c r="E528" s="5241"/>
      <c r="F528" s="5243">
        <f t="shared" si="42"/>
        <v>0</v>
      </c>
      <c r="G528" s="5241"/>
      <c r="H528" s="5241"/>
      <c r="I528" s="5243">
        <f t="shared" si="43"/>
        <v>0</v>
      </c>
      <c r="J528" s="5244">
        <f t="shared" si="47"/>
        <v>0</v>
      </c>
      <c r="K528" s="5245">
        <f t="shared" si="44"/>
        <v>0</v>
      </c>
      <c r="L528" s="5245">
        <f t="shared" si="45"/>
        <v>0</v>
      </c>
      <c r="M528" s="5245">
        <f t="shared" si="46"/>
        <v>0</v>
      </c>
    </row>
    <row r="529" spans="1:13" ht="14.85" customHeight="1">
      <c r="A529" s="5238">
        <v>289</v>
      </c>
      <c r="B529" s="5238" t="s">
        <v>3588</v>
      </c>
      <c r="C529" s="5239" t="s">
        <v>2316</v>
      </c>
      <c r="D529" s="5240"/>
      <c r="E529" s="5241"/>
      <c r="F529" s="5243">
        <f t="shared" si="42"/>
        <v>0</v>
      </c>
      <c r="G529" s="5241"/>
      <c r="H529" s="5241"/>
      <c r="I529" s="5243">
        <f t="shared" si="43"/>
        <v>0</v>
      </c>
      <c r="J529" s="5244">
        <f t="shared" si="47"/>
        <v>0</v>
      </c>
      <c r="K529" s="5245">
        <f t="shared" si="44"/>
        <v>0</v>
      </c>
      <c r="L529" s="5245">
        <f t="shared" si="45"/>
        <v>0</v>
      </c>
      <c r="M529" s="5245">
        <f t="shared" si="46"/>
        <v>0</v>
      </c>
    </row>
    <row r="530" spans="1:13" ht="14.85" customHeight="1">
      <c r="A530" s="5238">
        <v>289</v>
      </c>
      <c r="B530" s="5238" t="s">
        <v>3589</v>
      </c>
      <c r="C530" s="5239" t="s">
        <v>2317</v>
      </c>
      <c r="D530" s="5240"/>
      <c r="E530" s="5241"/>
      <c r="F530" s="5243">
        <f t="shared" si="42"/>
        <v>0</v>
      </c>
      <c r="G530" s="5241"/>
      <c r="H530" s="5241"/>
      <c r="I530" s="5243">
        <f t="shared" si="43"/>
        <v>0</v>
      </c>
      <c r="J530" s="5244">
        <f t="shared" si="47"/>
        <v>0</v>
      </c>
      <c r="K530" s="5245">
        <f t="shared" si="44"/>
        <v>0</v>
      </c>
      <c r="L530" s="5245">
        <f t="shared" si="45"/>
        <v>0</v>
      </c>
      <c r="M530" s="5245">
        <f t="shared" si="46"/>
        <v>0</v>
      </c>
    </row>
    <row r="531" spans="1:13" ht="14.85" customHeight="1">
      <c r="A531" s="5238">
        <v>290</v>
      </c>
      <c r="B531" s="5238" t="s">
        <v>3590</v>
      </c>
      <c r="C531" s="5239" t="s">
        <v>2318</v>
      </c>
      <c r="D531" s="5240"/>
      <c r="E531" s="5241"/>
      <c r="F531" s="5243">
        <f t="shared" si="42"/>
        <v>0</v>
      </c>
      <c r="G531" s="5241"/>
      <c r="H531" s="5241"/>
      <c r="I531" s="5243">
        <f t="shared" si="43"/>
        <v>0</v>
      </c>
      <c r="J531" s="5244">
        <f t="shared" si="47"/>
        <v>0</v>
      </c>
      <c r="K531" s="5245">
        <f t="shared" si="44"/>
        <v>0</v>
      </c>
      <c r="L531" s="5245">
        <f t="shared" si="45"/>
        <v>0</v>
      </c>
      <c r="M531" s="5245">
        <f t="shared" si="46"/>
        <v>0</v>
      </c>
    </row>
    <row r="532" spans="1:13" ht="14.85" customHeight="1">
      <c r="A532" s="5238">
        <v>290</v>
      </c>
      <c r="B532" s="5238" t="s">
        <v>3591</v>
      </c>
      <c r="C532" s="5239" t="s">
        <v>2141</v>
      </c>
      <c r="D532" s="5240"/>
      <c r="E532" s="5241"/>
      <c r="F532" s="5243">
        <f t="shared" si="42"/>
        <v>0</v>
      </c>
      <c r="G532" s="5241"/>
      <c r="H532" s="5241"/>
      <c r="I532" s="5243">
        <f t="shared" si="43"/>
        <v>0</v>
      </c>
      <c r="J532" s="5244">
        <f t="shared" si="47"/>
        <v>0</v>
      </c>
      <c r="K532" s="5245">
        <f t="shared" si="44"/>
        <v>0</v>
      </c>
      <c r="L532" s="5245">
        <f t="shared" si="45"/>
        <v>0</v>
      </c>
      <c r="M532" s="5245">
        <f t="shared" si="46"/>
        <v>0</v>
      </c>
    </row>
    <row r="533" spans="1:13" ht="14.85" customHeight="1">
      <c r="A533" s="5238">
        <v>290</v>
      </c>
      <c r="B533" s="5238" t="s">
        <v>3592</v>
      </c>
      <c r="C533" s="5239" t="s">
        <v>2319</v>
      </c>
      <c r="D533" s="5240"/>
      <c r="E533" s="5241"/>
      <c r="F533" s="5243">
        <f t="shared" si="42"/>
        <v>0</v>
      </c>
      <c r="G533" s="5241"/>
      <c r="H533" s="5241"/>
      <c r="I533" s="5243">
        <f t="shared" si="43"/>
        <v>0</v>
      </c>
      <c r="J533" s="5244">
        <f t="shared" si="47"/>
        <v>0</v>
      </c>
      <c r="K533" s="5245">
        <f t="shared" si="44"/>
        <v>0</v>
      </c>
      <c r="L533" s="5245">
        <f t="shared" si="45"/>
        <v>0</v>
      </c>
      <c r="M533" s="5245">
        <f t="shared" si="46"/>
        <v>0</v>
      </c>
    </row>
    <row r="534" spans="1:13" ht="14.85" customHeight="1">
      <c r="A534" s="5238">
        <v>290</v>
      </c>
      <c r="B534" s="5238" t="s">
        <v>3593</v>
      </c>
      <c r="C534" s="5239" t="s">
        <v>2320</v>
      </c>
      <c r="D534" s="5240"/>
      <c r="E534" s="5241"/>
      <c r="F534" s="5243">
        <f t="shared" si="42"/>
        <v>0</v>
      </c>
      <c r="G534" s="5241"/>
      <c r="H534" s="5241"/>
      <c r="I534" s="5243">
        <f t="shared" si="43"/>
        <v>0</v>
      </c>
      <c r="J534" s="5244">
        <f t="shared" si="47"/>
        <v>0</v>
      </c>
      <c r="K534" s="5245">
        <f t="shared" si="44"/>
        <v>0</v>
      </c>
      <c r="L534" s="5245">
        <f t="shared" si="45"/>
        <v>0</v>
      </c>
      <c r="M534" s="5245">
        <f t="shared" si="46"/>
        <v>0</v>
      </c>
    </row>
    <row r="535" spans="1:13" ht="14.85" customHeight="1">
      <c r="A535" s="5238">
        <v>290</v>
      </c>
      <c r="B535" s="5238" t="s">
        <v>3594</v>
      </c>
      <c r="C535" s="5239" t="s">
        <v>2573</v>
      </c>
      <c r="D535" s="5240"/>
      <c r="E535" s="5241"/>
      <c r="F535" s="5243">
        <f t="shared" si="42"/>
        <v>0</v>
      </c>
      <c r="G535" s="5241"/>
      <c r="H535" s="5241"/>
      <c r="I535" s="5243">
        <f t="shared" si="43"/>
        <v>0</v>
      </c>
      <c r="J535" s="5244">
        <f t="shared" si="47"/>
        <v>0</v>
      </c>
      <c r="K535" s="5245">
        <f t="shared" si="44"/>
        <v>0</v>
      </c>
      <c r="L535" s="5245">
        <f t="shared" si="45"/>
        <v>0</v>
      </c>
      <c r="M535" s="5245">
        <f t="shared" si="46"/>
        <v>0</v>
      </c>
    </row>
    <row r="536" spans="1:13" ht="14.85" customHeight="1">
      <c r="A536" s="5238">
        <v>291</v>
      </c>
      <c r="B536" s="5238" t="s">
        <v>3595</v>
      </c>
      <c r="C536" s="5239" t="s">
        <v>2321</v>
      </c>
      <c r="D536" s="5240"/>
      <c r="E536" s="5241"/>
      <c r="F536" s="5243">
        <f t="shared" si="42"/>
        <v>0</v>
      </c>
      <c r="G536" s="5241"/>
      <c r="H536" s="5241"/>
      <c r="I536" s="5243">
        <f t="shared" si="43"/>
        <v>0</v>
      </c>
      <c r="J536" s="5244">
        <f t="shared" si="47"/>
        <v>0</v>
      </c>
      <c r="K536" s="5245">
        <f t="shared" si="44"/>
        <v>0</v>
      </c>
      <c r="L536" s="5245">
        <f t="shared" si="45"/>
        <v>0</v>
      </c>
      <c r="M536" s="5245">
        <f t="shared" si="46"/>
        <v>0</v>
      </c>
    </row>
    <row r="537" spans="1:13" ht="14.85" customHeight="1">
      <c r="A537" s="5238">
        <v>291</v>
      </c>
      <c r="B537" s="5238" t="s">
        <v>3596</v>
      </c>
      <c r="C537" s="5239" t="s">
        <v>2322</v>
      </c>
      <c r="D537" s="5240"/>
      <c r="E537" s="5241"/>
      <c r="F537" s="5243">
        <f t="shared" si="42"/>
        <v>0</v>
      </c>
      <c r="G537" s="5241"/>
      <c r="H537" s="5241"/>
      <c r="I537" s="5243">
        <f t="shared" si="43"/>
        <v>0</v>
      </c>
      <c r="J537" s="5244">
        <f t="shared" si="47"/>
        <v>0</v>
      </c>
      <c r="K537" s="5245">
        <f t="shared" si="44"/>
        <v>0</v>
      </c>
      <c r="L537" s="5245">
        <f t="shared" si="45"/>
        <v>0</v>
      </c>
      <c r="M537" s="5245">
        <f t="shared" si="46"/>
        <v>0</v>
      </c>
    </row>
    <row r="538" spans="1:13" ht="14.85" customHeight="1">
      <c r="A538" s="5238">
        <v>292</v>
      </c>
      <c r="B538" s="5238" t="s">
        <v>3597</v>
      </c>
      <c r="C538" s="5239" t="s">
        <v>2323</v>
      </c>
      <c r="D538" s="5240"/>
      <c r="E538" s="5241"/>
      <c r="F538" s="5243">
        <f t="shared" si="42"/>
        <v>0</v>
      </c>
      <c r="G538" s="5241"/>
      <c r="H538" s="5241"/>
      <c r="I538" s="5243">
        <f t="shared" si="43"/>
        <v>0</v>
      </c>
      <c r="J538" s="5244">
        <f t="shared" si="47"/>
        <v>0</v>
      </c>
      <c r="K538" s="5245">
        <f t="shared" si="44"/>
        <v>0</v>
      </c>
      <c r="L538" s="5245">
        <f t="shared" si="45"/>
        <v>0</v>
      </c>
      <c r="M538" s="5245">
        <f t="shared" si="46"/>
        <v>0</v>
      </c>
    </row>
    <row r="539" spans="1:13" ht="14.85" customHeight="1">
      <c r="A539" s="5238">
        <v>292</v>
      </c>
      <c r="B539" s="5238" t="s">
        <v>3598</v>
      </c>
      <c r="C539" s="5239" t="s">
        <v>2324</v>
      </c>
      <c r="D539" s="5240"/>
      <c r="E539" s="5241"/>
      <c r="F539" s="5243">
        <f t="shared" si="42"/>
        <v>0</v>
      </c>
      <c r="G539" s="5241"/>
      <c r="H539" s="5241"/>
      <c r="I539" s="5243">
        <f t="shared" si="43"/>
        <v>0</v>
      </c>
      <c r="J539" s="5244">
        <f t="shared" si="47"/>
        <v>0</v>
      </c>
      <c r="K539" s="5245">
        <f t="shared" si="44"/>
        <v>0</v>
      </c>
      <c r="L539" s="5245">
        <f t="shared" si="45"/>
        <v>0</v>
      </c>
      <c r="M539" s="5245">
        <f t="shared" si="46"/>
        <v>0</v>
      </c>
    </row>
    <row r="540" spans="1:13" ht="14.85" customHeight="1">
      <c r="A540" s="5238">
        <v>293</v>
      </c>
      <c r="B540" s="5238" t="s">
        <v>3599</v>
      </c>
      <c r="C540" s="5239" t="s">
        <v>2325</v>
      </c>
      <c r="D540" s="5240"/>
      <c r="E540" s="5241"/>
      <c r="F540" s="5243">
        <f t="shared" si="42"/>
        <v>0</v>
      </c>
      <c r="G540" s="5241"/>
      <c r="H540" s="5241"/>
      <c r="I540" s="5243">
        <f t="shared" si="43"/>
        <v>0</v>
      </c>
      <c r="J540" s="5244">
        <f t="shared" si="47"/>
        <v>0</v>
      </c>
      <c r="K540" s="5245">
        <f t="shared" si="44"/>
        <v>0</v>
      </c>
      <c r="L540" s="5245">
        <f t="shared" si="45"/>
        <v>0</v>
      </c>
      <c r="M540" s="5245">
        <f t="shared" si="46"/>
        <v>0</v>
      </c>
    </row>
    <row r="541" spans="1:13" ht="14.85" customHeight="1">
      <c r="A541" s="5238">
        <v>293</v>
      </c>
      <c r="B541" s="5238" t="s">
        <v>3600</v>
      </c>
      <c r="C541" s="5239" t="s">
        <v>2326</v>
      </c>
      <c r="D541" s="5240"/>
      <c r="E541" s="5241"/>
      <c r="F541" s="5243">
        <f t="shared" si="42"/>
        <v>0</v>
      </c>
      <c r="G541" s="5241"/>
      <c r="H541" s="5241"/>
      <c r="I541" s="5243">
        <f t="shared" si="43"/>
        <v>0</v>
      </c>
      <c r="J541" s="5244">
        <f t="shared" si="47"/>
        <v>0</v>
      </c>
      <c r="K541" s="5245">
        <f t="shared" si="44"/>
        <v>0</v>
      </c>
      <c r="L541" s="5245">
        <f t="shared" si="45"/>
        <v>0</v>
      </c>
      <c r="M541" s="5245">
        <f t="shared" si="46"/>
        <v>0</v>
      </c>
    </row>
    <row r="542" spans="1:13" ht="14.85" customHeight="1">
      <c r="A542" s="5238">
        <v>294</v>
      </c>
      <c r="B542" s="5238" t="s">
        <v>3601</v>
      </c>
      <c r="C542" s="5239" t="s">
        <v>2327</v>
      </c>
      <c r="D542" s="5240"/>
      <c r="E542" s="5241"/>
      <c r="F542" s="5243">
        <f t="shared" si="42"/>
        <v>0</v>
      </c>
      <c r="G542" s="5241"/>
      <c r="H542" s="5241"/>
      <c r="I542" s="5243">
        <f t="shared" si="43"/>
        <v>0</v>
      </c>
      <c r="J542" s="5244">
        <f t="shared" si="47"/>
        <v>0</v>
      </c>
      <c r="K542" s="5245">
        <f t="shared" si="44"/>
        <v>0</v>
      </c>
      <c r="L542" s="5245">
        <f t="shared" si="45"/>
        <v>0</v>
      </c>
      <c r="M542" s="5245">
        <f t="shared" si="46"/>
        <v>0</v>
      </c>
    </row>
    <row r="543" spans="1:13" ht="14.85" customHeight="1">
      <c r="A543" s="5238">
        <v>294</v>
      </c>
      <c r="B543" s="5238" t="s">
        <v>3602</v>
      </c>
      <c r="C543" s="5239" t="s">
        <v>2328</v>
      </c>
      <c r="D543" s="5240"/>
      <c r="E543" s="5241"/>
      <c r="F543" s="5243">
        <f t="shared" si="42"/>
        <v>0</v>
      </c>
      <c r="G543" s="5241"/>
      <c r="H543" s="5241"/>
      <c r="I543" s="5243">
        <f t="shared" si="43"/>
        <v>0</v>
      </c>
      <c r="J543" s="5244">
        <f t="shared" si="47"/>
        <v>0</v>
      </c>
      <c r="K543" s="5245">
        <f t="shared" si="44"/>
        <v>0</v>
      </c>
      <c r="L543" s="5245">
        <f t="shared" si="45"/>
        <v>0</v>
      </c>
      <c r="M543" s="5245">
        <f t="shared" si="46"/>
        <v>0</v>
      </c>
    </row>
    <row r="544" spans="1:13" ht="14.85" customHeight="1">
      <c r="A544" s="5238">
        <v>297</v>
      </c>
      <c r="B544" s="5238" t="s">
        <v>3603</v>
      </c>
      <c r="C544" s="5239" t="s">
        <v>2329</v>
      </c>
      <c r="D544" s="5240"/>
      <c r="E544" s="5241"/>
      <c r="F544" s="5243">
        <f t="shared" si="42"/>
        <v>0</v>
      </c>
      <c r="G544" s="5241"/>
      <c r="H544" s="5241"/>
      <c r="I544" s="5243">
        <f t="shared" si="43"/>
        <v>0</v>
      </c>
      <c r="J544" s="5244">
        <f t="shared" si="47"/>
        <v>0</v>
      </c>
      <c r="K544" s="5245">
        <f t="shared" si="44"/>
        <v>0</v>
      </c>
      <c r="L544" s="5245">
        <f t="shared" si="45"/>
        <v>0</v>
      </c>
      <c r="M544" s="5245">
        <f t="shared" si="46"/>
        <v>0</v>
      </c>
    </row>
    <row r="545" spans="1:13" ht="14.85" customHeight="1">
      <c r="A545" s="5238">
        <v>297</v>
      </c>
      <c r="B545" s="5238" t="s">
        <v>3604</v>
      </c>
      <c r="C545" s="5239" t="s">
        <v>2330</v>
      </c>
      <c r="D545" s="5240"/>
      <c r="E545" s="5241"/>
      <c r="F545" s="5243">
        <f t="shared" ref="F545:F608" si="48">SUM(D545:E545)</f>
        <v>0</v>
      </c>
      <c r="G545" s="5241"/>
      <c r="H545" s="5241"/>
      <c r="I545" s="5243">
        <f t="shared" ref="I545:I608" si="49">SUM(G545:H545)</f>
        <v>0</v>
      </c>
      <c r="J545" s="5244">
        <f t="shared" si="47"/>
        <v>0</v>
      </c>
      <c r="K545" s="5245">
        <f t="shared" ref="K545:K608" si="50">IF(AND((J545-35%)&gt;0,J545&lt;50%),I545*(J545-35%)*0.7,0)</f>
        <v>0</v>
      </c>
      <c r="L545" s="5245">
        <f t="shared" ref="L545:L608" si="51">IF(J545&gt;=50%,I545*10.5%,0)</f>
        <v>0</v>
      </c>
      <c r="M545" s="5245">
        <f t="shared" ref="M545:M608" si="52">MAX(K545,L545)</f>
        <v>0</v>
      </c>
    </row>
    <row r="546" spans="1:13" ht="14.85" customHeight="1">
      <c r="A546" s="5238">
        <v>298</v>
      </c>
      <c r="B546" s="5238" t="s">
        <v>3605</v>
      </c>
      <c r="C546" s="5239" t="s">
        <v>2141</v>
      </c>
      <c r="D546" s="5240"/>
      <c r="E546" s="5241"/>
      <c r="F546" s="5243">
        <f t="shared" si="48"/>
        <v>0</v>
      </c>
      <c r="G546" s="5241"/>
      <c r="H546" s="5241"/>
      <c r="I546" s="5243">
        <f t="shared" si="49"/>
        <v>0</v>
      </c>
      <c r="J546" s="5244">
        <f t="shared" si="47"/>
        <v>0</v>
      </c>
      <c r="K546" s="5245">
        <f t="shared" si="50"/>
        <v>0</v>
      </c>
      <c r="L546" s="5245">
        <f t="shared" si="51"/>
        <v>0</v>
      </c>
      <c r="M546" s="5245">
        <f t="shared" si="52"/>
        <v>0</v>
      </c>
    </row>
    <row r="547" spans="1:13" ht="14.85" customHeight="1">
      <c r="A547" s="5238">
        <v>298</v>
      </c>
      <c r="B547" s="5238" t="s">
        <v>3606</v>
      </c>
      <c r="C547" s="5239" t="s">
        <v>2331</v>
      </c>
      <c r="D547" s="5240"/>
      <c r="E547" s="5241"/>
      <c r="F547" s="5243">
        <f t="shared" si="48"/>
        <v>0</v>
      </c>
      <c r="G547" s="5241"/>
      <c r="H547" s="5241"/>
      <c r="I547" s="5243">
        <f t="shared" si="49"/>
        <v>0</v>
      </c>
      <c r="J547" s="5244">
        <f t="shared" si="47"/>
        <v>0</v>
      </c>
      <c r="K547" s="5245">
        <f t="shared" si="50"/>
        <v>0</v>
      </c>
      <c r="L547" s="5245">
        <f t="shared" si="51"/>
        <v>0</v>
      </c>
      <c r="M547" s="5245">
        <f t="shared" si="52"/>
        <v>0</v>
      </c>
    </row>
    <row r="548" spans="1:13" ht="14.85" customHeight="1">
      <c r="A548" s="5238">
        <v>299</v>
      </c>
      <c r="B548" s="5238" t="s">
        <v>3607</v>
      </c>
      <c r="C548" s="5239" t="s">
        <v>2332</v>
      </c>
      <c r="D548" s="5240"/>
      <c r="E548" s="5241"/>
      <c r="F548" s="5243">
        <f t="shared" si="48"/>
        <v>0</v>
      </c>
      <c r="G548" s="5241"/>
      <c r="H548" s="5241"/>
      <c r="I548" s="5243">
        <f t="shared" si="49"/>
        <v>0</v>
      </c>
      <c r="J548" s="5244">
        <f t="shared" ref="J548:J611" si="53">IF(ISERROR(I548/F548),0,I548/F548)</f>
        <v>0</v>
      </c>
      <c r="K548" s="5245">
        <f t="shared" si="50"/>
        <v>0</v>
      </c>
      <c r="L548" s="5245">
        <f t="shared" si="51"/>
        <v>0</v>
      </c>
      <c r="M548" s="5245">
        <f t="shared" si="52"/>
        <v>0</v>
      </c>
    </row>
    <row r="549" spans="1:13" ht="14.85" customHeight="1">
      <c r="A549" s="5238">
        <v>299</v>
      </c>
      <c r="B549" s="5238" t="s">
        <v>3608</v>
      </c>
      <c r="C549" s="5239" t="s">
        <v>2333</v>
      </c>
      <c r="D549" s="5240"/>
      <c r="E549" s="5241"/>
      <c r="F549" s="5243">
        <f t="shared" si="48"/>
        <v>0</v>
      </c>
      <c r="G549" s="5241"/>
      <c r="H549" s="5241"/>
      <c r="I549" s="5243">
        <f t="shared" si="49"/>
        <v>0</v>
      </c>
      <c r="J549" s="5244">
        <f t="shared" si="53"/>
        <v>0</v>
      </c>
      <c r="K549" s="5245">
        <f t="shared" si="50"/>
        <v>0</v>
      </c>
      <c r="L549" s="5245">
        <f t="shared" si="51"/>
        <v>0</v>
      </c>
      <c r="M549" s="5245">
        <f t="shared" si="52"/>
        <v>0</v>
      </c>
    </row>
    <row r="550" spans="1:13" ht="14.85" customHeight="1">
      <c r="A550" s="5238">
        <v>300</v>
      </c>
      <c r="B550" s="5238" t="s">
        <v>3609</v>
      </c>
      <c r="C550" s="5239" t="s">
        <v>2334</v>
      </c>
      <c r="D550" s="5240"/>
      <c r="E550" s="5241"/>
      <c r="F550" s="5243">
        <f t="shared" si="48"/>
        <v>0</v>
      </c>
      <c r="G550" s="5241"/>
      <c r="H550" s="5241"/>
      <c r="I550" s="5243">
        <f t="shared" si="49"/>
        <v>0</v>
      </c>
      <c r="J550" s="5244">
        <f t="shared" si="53"/>
        <v>0</v>
      </c>
      <c r="K550" s="5245">
        <f t="shared" si="50"/>
        <v>0</v>
      </c>
      <c r="L550" s="5245">
        <f t="shared" si="51"/>
        <v>0</v>
      </c>
      <c r="M550" s="5245">
        <f t="shared" si="52"/>
        <v>0</v>
      </c>
    </row>
    <row r="551" spans="1:13" ht="14.85" customHeight="1">
      <c r="A551" s="5238">
        <v>300</v>
      </c>
      <c r="B551" s="5238" t="s">
        <v>3610</v>
      </c>
      <c r="C551" s="5239" t="s">
        <v>2335</v>
      </c>
      <c r="D551" s="5240"/>
      <c r="E551" s="5241"/>
      <c r="F551" s="5243">
        <f t="shared" si="48"/>
        <v>0</v>
      </c>
      <c r="G551" s="5241"/>
      <c r="H551" s="5241"/>
      <c r="I551" s="5243">
        <f t="shared" si="49"/>
        <v>0</v>
      </c>
      <c r="J551" s="5244">
        <f t="shared" si="53"/>
        <v>0</v>
      </c>
      <c r="K551" s="5245">
        <f t="shared" si="50"/>
        <v>0</v>
      </c>
      <c r="L551" s="5245">
        <f t="shared" si="51"/>
        <v>0</v>
      </c>
      <c r="M551" s="5245">
        <f t="shared" si="52"/>
        <v>0</v>
      </c>
    </row>
    <row r="552" spans="1:13" ht="14.85" customHeight="1">
      <c r="A552" s="5238">
        <v>300</v>
      </c>
      <c r="B552" s="5238" t="s">
        <v>3611</v>
      </c>
      <c r="C552" s="5239" t="s">
        <v>2336</v>
      </c>
      <c r="D552" s="5240"/>
      <c r="E552" s="5241"/>
      <c r="F552" s="5243">
        <f t="shared" si="48"/>
        <v>0</v>
      </c>
      <c r="G552" s="5241"/>
      <c r="H552" s="5241"/>
      <c r="I552" s="5243">
        <f t="shared" si="49"/>
        <v>0</v>
      </c>
      <c r="J552" s="5244">
        <f t="shared" si="53"/>
        <v>0</v>
      </c>
      <c r="K552" s="5245">
        <f t="shared" si="50"/>
        <v>0</v>
      </c>
      <c r="L552" s="5245">
        <f t="shared" si="51"/>
        <v>0</v>
      </c>
      <c r="M552" s="5245">
        <f t="shared" si="52"/>
        <v>0</v>
      </c>
    </row>
    <row r="553" spans="1:13" ht="14.85" customHeight="1">
      <c r="A553" s="5238">
        <v>303</v>
      </c>
      <c r="B553" s="5238" t="s">
        <v>3612</v>
      </c>
      <c r="C553" s="5239" t="s">
        <v>2337</v>
      </c>
      <c r="D553" s="5240"/>
      <c r="E553" s="5241"/>
      <c r="F553" s="5243">
        <f t="shared" si="48"/>
        <v>0</v>
      </c>
      <c r="G553" s="5241"/>
      <c r="H553" s="5241"/>
      <c r="I553" s="5243">
        <f t="shared" si="49"/>
        <v>0</v>
      </c>
      <c r="J553" s="5244">
        <f t="shared" si="53"/>
        <v>0</v>
      </c>
      <c r="K553" s="5245">
        <f t="shared" si="50"/>
        <v>0</v>
      </c>
      <c r="L553" s="5245">
        <f t="shared" si="51"/>
        <v>0</v>
      </c>
      <c r="M553" s="5245">
        <f t="shared" si="52"/>
        <v>0</v>
      </c>
    </row>
    <row r="554" spans="1:13" ht="14.85" customHeight="1">
      <c r="A554" s="5238">
        <v>303</v>
      </c>
      <c r="B554" s="5238" t="s">
        <v>3613</v>
      </c>
      <c r="C554" s="5239" t="s">
        <v>2338</v>
      </c>
      <c r="D554" s="5240"/>
      <c r="E554" s="5241"/>
      <c r="F554" s="5243">
        <f t="shared" si="48"/>
        <v>0</v>
      </c>
      <c r="G554" s="5241"/>
      <c r="H554" s="5241"/>
      <c r="I554" s="5243">
        <f t="shared" si="49"/>
        <v>0</v>
      </c>
      <c r="J554" s="5244">
        <f t="shared" si="53"/>
        <v>0</v>
      </c>
      <c r="K554" s="5245">
        <f t="shared" si="50"/>
        <v>0</v>
      </c>
      <c r="L554" s="5245">
        <f t="shared" si="51"/>
        <v>0</v>
      </c>
      <c r="M554" s="5245">
        <f t="shared" si="52"/>
        <v>0</v>
      </c>
    </row>
    <row r="555" spans="1:13" ht="14.85" customHeight="1">
      <c r="A555" s="5238">
        <v>305</v>
      </c>
      <c r="B555" s="5238" t="s">
        <v>3614</v>
      </c>
      <c r="C555" s="5239" t="s">
        <v>2339</v>
      </c>
      <c r="D555" s="5240"/>
      <c r="E555" s="5241"/>
      <c r="F555" s="5243">
        <f t="shared" si="48"/>
        <v>0</v>
      </c>
      <c r="G555" s="5241"/>
      <c r="H555" s="5241"/>
      <c r="I555" s="5243">
        <f t="shared" si="49"/>
        <v>0</v>
      </c>
      <c r="J555" s="5244">
        <f t="shared" si="53"/>
        <v>0</v>
      </c>
      <c r="K555" s="5245">
        <f t="shared" si="50"/>
        <v>0</v>
      </c>
      <c r="L555" s="5245">
        <f t="shared" si="51"/>
        <v>0</v>
      </c>
      <c r="M555" s="5245">
        <f t="shared" si="52"/>
        <v>0</v>
      </c>
    </row>
    <row r="556" spans="1:13" ht="14.85" customHeight="1">
      <c r="A556" s="5238">
        <v>305</v>
      </c>
      <c r="B556" s="5238" t="s">
        <v>3615</v>
      </c>
      <c r="C556" s="5239" t="s">
        <v>2340</v>
      </c>
      <c r="D556" s="5240"/>
      <c r="E556" s="5241"/>
      <c r="F556" s="5243">
        <f t="shared" si="48"/>
        <v>0</v>
      </c>
      <c r="G556" s="5241"/>
      <c r="H556" s="5241"/>
      <c r="I556" s="5243">
        <f t="shared" si="49"/>
        <v>0</v>
      </c>
      <c r="J556" s="5244">
        <f t="shared" si="53"/>
        <v>0</v>
      </c>
      <c r="K556" s="5245">
        <f t="shared" si="50"/>
        <v>0</v>
      </c>
      <c r="L556" s="5245">
        <f t="shared" si="51"/>
        <v>0</v>
      </c>
      <c r="M556" s="5245">
        <f t="shared" si="52"/>
        <v>0</v>
      </c>
    </row>
    <row r="557" spans="1:13" ht="14.85" customHeight="1">
      <c r="A557" s="5238">
        <v>305</v>
      </c>
      <c r="B557" s="5238" t="s">
        <v>3616</v>
      </c>
      <c r="C557" s="5239" t="s">
        <v>2341</v>
      </c>
      <c r="D557" s="5240"/>
      <c r="E557" s="5241"/>
      <c r="F557" s="5243">
        <f t="shared" si="48"/>
        <v>0</v>
      </c>
      <c r="G557" s="5241"/>
      <c r="H557" s="5241"/>
      <c r="I557" s="5243">
        <f t="shared" si="49"/>
        <v>0</v>
      </c>
      <c r="J557" s="5244">
        <f t="shared" si="53"/>
        <v>0</v>
      </c>
      <c r="K557" s="5245">
        <f t="shared" si="50"/>
        <v>0</v>
      </c>
      <c r="L557" s="5245">
        <f t="shared" si="51"/>
        <v>0</v>
      </c>
      <c r="M557" s="5245">
        <f t="shared" si="52"/>
        <v>0</v>
      </c>
    </row>
    <row r="558" spans="1:13" ht="14.85" customHeight="1">
      <c r="A558" s="5238">
        <v>305</v>
      </c>
      <c r="B558" s="5238" t="s">
        <v>3617</v>
      </c>
      <c r="C558" s="5239" t="s">
        <v>2342</v>
      </c>
      <c r="D558" s="5240"/>
      <c r="E558" s="5241"/>
      <c r="F558" s="5243">
        <f t="shared" si="48"/>
        <v>0</v>
      </c>
      <c r="G558" s="5241"/>
      <c r="H558" s="5241"/>
      <c r="I558" s="5243">
        <f t="shared" si="49"/>
        <v>0</v>
      </c>
      <c r="J558" s="5244">
        <f t="shared" si="53"/>
        <v>0</v>
      </c>
      <c r="K558" s="5245">
        <f t="shared" si="50"/>
        <v>0</v>
      </c>
      <c r="L558" s="5245">
        <f t="shared" si="51"/>
        <v>0</v>
      </c>
      <c r="M558" s="5245">
        <f t="shared" si="52"/>
        <v>0</v>
      </c>
    </row>
    <row r="559" spans="1:13" ht="14.85" customHeight="1">
      <c r="A559" s="5238">
        <v>305</v>
      </c>
      <c r="B559" s="5238" t="s">
        <v>3618</v>
      </c>
      <c r="C559" s="5239" t="s">
        <v>2343</v>
      </c>
      <c r="D559" s="5240"/>
      <c r="E559" s="5241"/>
      <c r="F559" s="5243">
        <f t="shared" si="48"/>
        <v>0</v>
      </c>
      <c r="G559" s="5241"/>
      <c r="H559" s="5241"/>
      <c r="I559" s="5243">
        <f t="shared" si="49"/>
        <v>0</v>
      </c>
      <c r="J559" s="5244">
        <f t="shared" si="53"/>
        <v>0</v>
      </c>
      <c r="K559" s="5245">
        <f t="shared" si="50"/>
        <v>0</v>
      </c>
      <c r="L559" s="5245">
        <f t="shared" si="51"/>
        <v>0</v>
      </c>
      <c r="M559" s="5245">
        <f t="shared" si="52"/>
        <v>0</v>
      </c>
    </row>
    <row r="560" spans="1:13" ht="14.85" customHeight="1">
      <c r="A560" s="5238">
        <v>305</v>
      </c>
      <c r="B560" s="5238" t="s">
        <v>3619</v>
      </c>
      <c r="C560" s="5239" t="s">
        <v>2344</v>
      </c>
      <c r="D560" s="5240"/>
      <c r="E560" s="5241"/>
      <c r="F560" s="5243">
        <f t="shared" si="48"/>
        <v>0</v>
      </c>
      <c r="G560" s="5241"/>
      <c r="H560" s="5241"/>
      <c r="I560" s="5243">
        <f t="shared" si="49"/>
        <v>0</v>
      </c>
      <c r="J560" s="5244">
        <f t="shared" si="53"/>
        <v>0</v>
      </c>
      <c r="K560" s="5245">
        <f t="shared" si="50"/>
        <v>0</v>
      </c>
      <c r="L560" s="5245">
        <f t="shared" si="51"/>
        <v>0</v>
      </c>
      <c r="M560" s="5245">
        <f t="shared" si="52"/>
        <v>0</v>
      </c>
    </row>
    <row r="561" spans="1:13" ht="14.85" customHeight="1">
      <c r="A561" s="5238">
        <v>305</v>
      </c>
      <c r="B561" s="5238" t="s">
        <v>3620</v>
      </c>
      <c r="C561" s="5239" t="s">
        <v>2345</v>
      </c>
      <c r="D561" s="5240"/>
      <c r="E561" s="5241"/>
      <c r="F561" s="5243">
        <f t="shared" si="48"/>
        <v>0</v>
      </c>
      <c r="G561" s="5241"/>
      <c r="H561" s="5241"/>
      <c r="I561" s="5243">
        <f t="shared" si="49"/>
        <v>0</v>
      </c>
      <c r="J561" s="5244">
        <f t="shared" si="53"/>
        <v>0</v>
      </c>
      <c r="K561" s="5245">
        <f t="shared" si="50"/>
        <v>0</v>
      </c>
      <c r="L561" s="5245">
        <f t="shared" si="51"/>
        <v>0</v>
      </c>
      <c r="M561" s="5245">
        <f t="shared" si="52"/>
        <v>0</v>
      </c>
    </row>
    <row r="562" spans="1:13" ht="14.85" customHeight="1">
      <c r="A562" s="5238">
        <v>305</v>
      </c>
      <c r="B562" s="5238" t="s">
        <v>3621</v>
      </c>
      <c r="C562" s="5239" t="s">
        <v>3622</v>
      </c>
      <c r="D562" s="5240"/>
      <c r="E562" s="5241"/>
      <c r="F562" s="5243">
        <f t="shared" si="48"/>
        <v>0</v>
      </c>
      <c r="G562" s="5241"/>
      <c r="H562" s="5241"/>
      <c r="I562" s="5243">
        <f t="shared" si="49"/>
        <v>0</v>
      </c>
      <c r="J562" s="5244">
        <f t="shared" si="53"/>
        <v>0</v>
      </c>
      <c r="K562" s="5245">
        <f t="shared" si="50"/>
        <v>0</v>
      </c>
      <c r="L562" s="5245">
        <f t="shared" si="51"/>
        <v>0</v>
      </c>
      <c r="M562" s="5245">
        <f t="shared" si="52"/>
        <v>0</v>
      </c>
    </row>
    <row r="563" spans="1:13" ht="14.85" customHeight="1">
      <c r="A563" s="5238">
        <v>305</v>
      </c>
      <c r="B563" s="5238" t="s">
        <v>3623</v>
      </c>
      <c r="C563" s="5239" t="s">
        <v>2346</v>
      </c>
      <c r="D563" s="5240"/>
      <c r="E563" s="5241"/>
      <c r="F563" s="5243">
        <f t="shared" si="48"/>
        <v>0</v>
      </c>
      <c r="G563" s="5241"/>
      <c r="H563" s="5241"/>
      <c r="I563" s="5243">
        <f t="shared" si="49"/>
        <v>0</v>
      </c>
      <c r="J563" s="5244">
        <f t="shared" si="53"/>
        <v>0</v>
      </c>
      <c r="K563" s="5245">
        <f t="shared" si="50"/>
        <v>0</v>
      </c>
      <c r="L563" s="5245">
        <f t="shared" si="51"/>
        <v>0</v>
      </c>
      <c r="M563" s="5245">
        <f t="shared" si="52"/>
        <v>0</v>
      </c>
    </row>
    <row r="564" spans="1:13" ht="14.85" customHeight="1">
      <c r="A564" s="5238">
        <v>305</v>
      </c>
      <c r="B564" s="5238" t="s">
        <v>3624</v>
      </c>
      <c r="C564" s="5239" t="s">
        <v>2347</v>
      </c>
      <c r="D564" s="5240"/>
      <c r="E564" s="5241"/>
      <c r="F564" s="5243">
        <f t="shared" si="48"/>
        <v>0</v>
      </c>
      <c r="G564" s="5241"/>
      <c r="H564" s="5241"/>
      <c r="I564" s="5243">
        <f t="shared" si="49"/>
        <v>0</v>
      </c>
      <c r="J564" s="5244">
        <f t="shared" si="53"/>
        <v>0</v>
      </c>
      <c r="K564" s="5245">
        <f t="shared" si="50"/>
        <v>0</v>
      </c>
      <c r="L564" s="5245">
        <f t="shared" si="51"/>
        <v>0</v>
      </c>
      <c r="M564" s="5245">
        <f t="shared" si="52"/>
        <v>0</v>
      </c>
    </row>
    <row r="565" spans="1:13" ht="14.85" customHeight="1">
      <c r="A565" s="5238">
        <v>305</v>
      </c>
      <c r="B565" s="5238" t="s">
        <v>3625</v>
      </c>
      <c r="C565" s="5239" t="s">
        <v>2348</v>
      </c>
      <c r="D565" s="5240"/>
      <c r="E565" s="5241"/>
      <c r="F565" s="5243">
        <f t="shared" si="48"/>
        <v>0</v>
      </c>
      <c r="G565" s="5241"/>
      <c r="H565" s="5241"/>
      <c r="I565" s="5243">
        <f t="shared" si="49"/>
        <v>0</v>
      </c>
      <c r="J565" s="5244">
        <f t="shared" si="53"/>
        <v>0</v>
      </c>
      <c r="K565" s="5245">
        <f t="shared" si="50"/>
        <v>0</v>
      </c>
      <c r="L565" s="5245">
        <f t="shared" si="51"/>
        <v>0</v>
      </c>
      <c r="M565" s="5245">
        <f t="shared" si="52"/>
        <v>0</v>
      </c>
    </row>
    <row r="566" spans="1:13" ht="14.85" customHeight="1">
      <c r="A566" s="5238">
        <v>305</v>
      </c>
      <c r="B566" s="5238" t="s">
        <v>3626</v>
      </c>
      <c r="C566" s="5239" t="s">
        <v>2349</v>
      </c>
      <c r="D566" s="5240"/>
      <c r="E566" s="5241"/>
      <c r="F566" s="5243">
        <f t="shared" si="48"/>
        <v>0</v>
      </c>
      <c r="G566" s="5241"/>
      <c r="H566" s="5241"/>
      <c r="I566" s="5243">
        <f t="shared" si="49"/>
        <v>0</v>
      </c>
      <c r="J566" s="5244">
        <f t="shared" si="53"/>
        <v>0</v>
      </c>
      <c r="K566" s="5245">
        <f t="shared" si="50"/>
        <v>0</v>
      </c>
      <c r="L566" s="5245">
        <f t="shared" si="51"/>
        <v>0</v>
      </c>
      <c r="M566" s="5245">
        <f t="shared" si="52"/>
        <v>0</v>
      </c>
    </row>
    <row r="567" spans="1:13" ht="14.85" customHeight="1">
      <c r="A567" s="5238">
        <v>306</v>
      </c>
      <c r="B567" s="5238" t="s">
        <v>3627</v>
      </c>
      <c r="C567" s="5239" t="s">
        <v>2350</v>
      </c>
      <c r="D567" s="5240"/>
      <c r="E567" s="5241"/>
      <c r="F567" s="5243">
        <f t="shared" si="48"/>
        <v>0</v>
      </c>
      <c r="G567" s="5241"/>
      <c r="H567" s="5241"/>
      <c r="I567" s="5243">
        <f t="shared" si="49"/>
        <v>0</v>
      </c>
      <c r="J567" s="5244">
        <f t="shared" si="53"/>
        <v>0</v>
      </c>
      <c r="K567" s="5245">
        <f t="shared" si="50"/>
        <v>0</v>
      </c>
      <c r="L567" s="5245">
        <f t="shared" si="51"/>
        <v>0</v>
      </c>
      <c r="M567" s="5245">
        <f t="shared" si="52"/>
        <v>0</v>
      </c>
    </row>
    <row r="568" spans="1:13" ht="14.85" customHeight="1">
      <c r="A568" s="5238">
        <v>306</v>
      </c>
      <c r="B568" s="5238" t="s">
        <v>3628</v>
      </c>
      <c r="C568" s="5239" t="s">
        <v>2351</v>
      </c>
      <c r="D568" s="5240"/>
      <c r="E568" s="5241"/>
      <c r="F568" s="5243">
        <f t="shared" si="48"/>
        <v>0</v>
      </c>
      <c r="G568" s="5241"/>
      <c r="H568" s="5241"/>
      <c r="I568" s="5243">
        <f t="shared" si="49"/>
        <v>0</v>
      </c>
      <c r="J568" s="5244">
        <f t="shared" si="53"/>
        <v>0</v>
      </c>
      <c r="K568" s="5245">
        <f t="shared" si="50"/>
        <v>0</v>
      </c>
      <c r="L568" s="5245">
        <f t="shared" si="51"/>
        <v>0</v>
      </c>
      <c r="M568" s="5245">
        <f t="shared" si="52"/>
        <v>0</v>
      </c>
    </row>
    <row r="569" spans="1:13" ht="14.85" customHeight="1">
      <c r="A569" s="5238">
        <v>307</v>
      </c>
      <c r="B569" s="5238" t="s">
        <v>3629</v>
      </c>
      <c r="C569" s="5239" t="s">
        <v>2352</v>
      </c>
      <c r="D569" s="5240"/>
      <c r="E569" s="5241"/>
      <c r="F569" s="5243">
        <f t="shared" si="48"/>
        <v>0</v>
      </c>
      <c r="G569" s="5241"/>
      <c r="H569" s="5241"/>
      <c r="I569" s="5243">
        <f t="shared" si="49"/>
        <v>0</v>
      </c>
      <c r="J569" s="5244">
        <f t="shared" si="53"/>
        <v>0</v>
      </c>
      <c r="K569" s="5245">
        <f t="shared" si="50"/>
        <v>0</v>
      </c>
      <c r="L569" s="5245">
        <f t="shared" si="51"/>
        <v>0</v>
      </c>
      <c r="M569" s="5245">
        <f t="shared" si="52"/>
        <v>0</v>
      </c>
    </row>
    <row r="570" spans="1:13" ht="14.85" customHeight="1">
      <c r="A570" s="5238">
        <v>307</v>
      </c>
      <c r="B570" s="5238" t="s">
        <v>3630</v>
      </c>
      <c r="C570" s="5239" t="s">
        <v>2353</v>
      </c>
      <c r="D570" s="5240"/>
      <c r="E570" s="5241"/>
      <c r="F570" s="5243">
        <f t="shared" si="48"/>
        <v>0</v>
      </c>
      <c r="G570" s="5241"/>
      <c r="H570" s="5241"/>
      <c r="I570" s="5243">
        <f t="shared" si="49"/>
        <v>0</v>
      </c>
      <c r="J570" s="5244">
        <f t="shared" si="53"/>
        <v>0</v>
      </c>
      <c r="K570" s="5245">
        <f t="shared" si="50"/>
        <v>0</v>
      </c>
      <c r="L570" s="5245">
        <f t="shared" si="51"/>
        <v>0</v>
      </c>
      <c r="M570" s="5245">
        <f t="shared" si="52"/>
        <v>0</v>
      </c>
    </row>
    <row r="571" spans="1:13" ht="14.85" customHeight="1">
      <c r="A571" s="5238">
        <v>308</v>
      </c>
      <c r="B571" s="5238" t="s">
        <v>3631</v>
      </c>
      <c r="C571" s="5239" t="s">
        <v>2354</v>
      </c>
      <c r="D571" s="5240"/>
      <c r="E571" s="5241"/>
      <c r="F571" s="5243">
        <f t="shared" si="48"/>
        <v>0</v>
      </c>
      <c r="G571" s="5241"/>
      <c r="H571" s="5241"/>
      <c r="I571" s="5243">
        <f t="shared" si="49"/>
        <v>0</v>
      </c>
      <c r="J571" s="5244">
        <f t="shared" si="53"/>
        <v>0</v>
      </c>
      <c r="K571" s="5245">
        <f t="shared" si="50"/>
        <v>0</v>
      </c>
      <c r="L571" s="5245">
        <f t="shared" si="51"/>
        <v>0</v>
      </c>
      <c r="M571" s="5245">
        <f t="shared" si="52"/>
        <v>0</v>
      </c>
    </row>
    <row r="572" spans="1:13" ht="14.85" customHeight="1">
      <c r="A572" s="5238">
        <v>308</v>
      </c>
      <c r="B572" s="5238" t="s">
        <v>3632</v>
      </c>
      <c r="C572" s="5239" t="s">
        <v>2355</v>
      </c>
      <c r="D572" s="5240"/>
      <c r="E572" s="5241"/>
      <c r="F572" s="5243">
        <f t="shared" si="48"/>
        <v>0</v>
      </c>
      <c r="G572" s="5241"/>
      <c r="H572" s="5241"/>
      <c r="I572" s="5243">
        <f t="shared" si="49"/>
        <v>0</v>
      </c>
      <c r="J572" s="5244">
        <f t="shared" si="53"/>
        <v>0</v>
      </c>
      <c r="K572" s="5245">
        <f t="shared" si="50"/>
        <v>0</v>
      </c>
      <c r="L572" s="5245">
        <f t="shared" si="51"/>
        <v>0</v>
      </c>
      <c r="M572" s="5245">
        <f t="shared" si="52"/>
        <v>0</v>
      </c>
    </row>
    <row r="573" spans="1:13" ht="14.85" customHeight="1">
      <c r="A573" s="5238">
        <v>308</v>
      </c>
      <c r="B573" s="5238" t="s">
        <v>3633</v>
      </c>
      <c r="C573" s="5239" t="s">
        <v>2356</v>
      </c>
      <c r="D573" s="5240"/>
      <c r="E573" s="5241"/>
      <c r="F573" s="5243">
        <f t="shared" si="48"/>
        <v>0</v>
      </c>
      <c r="G573" s="5241"/>
      <c r="H573" s="5241"/>
      <c r="I573" s="5243">
        <f t="shared" si="49"/>
        <v>0</v>
      </c>
      <c r="J573" s="5244">
        <f t="shared" si="53"/>
        <v>0</v>
      </c>
      <c r="K573" s="5245">
        <f t="shared" si="50"/>
        <v>0</v>
      </c>
      <c r="L573" s="5245">
        <f t="shared" si="51"/>
        <v>0</v>
      </c>
      <c r="M573" s="5245">
        <f t="shared" si="52"/>
        <v>0</v>
      </c>
    </row>
    <row r="574" spans="1:13" ht="14.85" customHeight="1">
      <c r="A574" s="5238">
        <v>308</v>
      </c>
      <c r="B574" s="5238" t="s">
        <v>3634</v>
      </c>
      <c r="C574" s="5239" t="s">
        <v>2357</v>
      </c>
      <c r="D574" s="5240"/>
      <c r="E574" s="5241"/>
      <c r="F574" s="5243">
        <f t="shared" si="48"/>
        <v>0</v>
      </c>
      <c r="G574" s="5241"/>
      <c r="H574" s="5241"/>
      <c r="I574" s="5243">
        <f t="shared" si="49"/>
        <v>0</v>
      </c>
      <c r="J574" s="5244">
        <f t="shared" si="53"/>
        <v>0</v>
      </c>
      <c r="K574" s="5245">
        <f t="shared" si="50"/>
        <v>0</v>
      </c>
      <c r="L574" s="5245">
        <f t="shared" si="51"/>
        <v>0</v>
      </c>
      <c r="M574" s="5245">
        <f t="shared" si="52"/>
        <v>0</v>
      </c>
    </row>
    <row r="575" spans="1:13" ht="14.85" customHeight="1">
      <c r="A575" s="5238">
        <v>308</v>
      </c>
      <c r="B575" s="5238" t="s">
        <v>3635</v>
      </c>
      <c r="C575" s="5239" t="s">
        <v>2358</v>
      </c>
      <c r="D575" s="5240"/>
      <c r="E575" s="5241"/>
      <c r="F575" s="5243">
        <f t="shared" si="48"/>
        <v>0</v>
      </c>
      <c r="G575" s="5241"/>
      <c r="H575" s="5241"/>
      <c r="I575" s="5243">
        <f t="shared" si="49"/>
        <v>0</v>
      </c>
      <c r="J575" s="5244">
        <f t="shared" si="53"/>
        <v>0</v>
      </c>
      <c r="K575" s="5245">
        <f t="shared" si="50"/>
        <v>0</v>
      </c>
      <c r="L575" s="5245">
        <f t="shared" si="51"/>
        <v>0</v>
      </c>
      <c r="M575" s="5245">
        <f t="shared" si="52"/>
        <v>0</v>
      </c>
    </row>
    <row r="576" spans="1:13" ht="14.85" customHeight="1">
      <c r="A576" s="5238">
        <v>308</v>
      </c>
      <c r="B576" s="5238" t="s">
        <v>3636</v>
      </c>
      <c r="C576" s="5239" t="s">
        <v>2359</v>
      </c>
      <c r="D576" s="5240"/>
      <c r="E576" s="5241"/>
      <c r="F576" s="5243">
        <f t="shared" si="48"/>
        <v>0</v>
      </c>
      <c r="G576" s="5241"/>
      <c r="H576" s="5241"/>
      <c r="I576" s="5243">
        <f t="shared" si="49"/>
        <v>0</v>
      </c>
      <c r="J576" s="5244">
        <f t="shared" si="53"/>
        <v>0</v>
      </c>
      <c r="K576" s="5245">
        <f t="shared" si="50"/>
        <v>0</v>
      </c>
      <c r="L576" s="5245">
        <f t="shared" si="51"/>
        <v>0</v>
      </c>
      <c r="M576" s="5245">
        <f t="shared" si="52"/>
        <v>0</v>
      </c>
    </row>
    <row r="577" spans="1:13" ht="14.85" customHeight="1">
      <c r="A577" s="5238">
        <v>308</v>
      </c>
      <c r="B577" s="5238" t="s">
        <v>3637</v>
      </c>
      <c r="C577" s="5239" t="s">
        <v>2360</v>
      </c>
      <c r="D577" s="5240"/>
      <c r="E577" s="5241"/>
      <c r="F577" s="5243">
        <f t="shared" si="48"/>
        <v>0</v>
      </c>
      <c r="G577" s="5241"/>
      <c r="H577" s="5241"/>
      <c r="I577" s="5243">
        <f t="shared" si="49"/>
        <v>0</v>
      </c>
      <c r="J577" s="5244">
        <f t="shared" si="53"/>
        <v>0</v>
      </c>
      <c r="K577" s="5245">
        <f t="shared" si="50"/>
        <v>0</v>
      </c>
      <c r="L577" s="5245">
        <f t="shared" si="51"/>
        <v>0</v>
      </c>
      <c r="M577" s="5245">
        <f t="shared" si="52"/>
        <v>0</v>
      </c>
    </row>
    <row r="578" spans="1:13" ht="14.85" customHeight="1">
      <c r="A578" s="5238">
        <v>308</v>
      </c>
      <c r="B578" s="5238" t="s">
        <v>3638</v>
      </c>
      <c r="C578" s="5239" t="s">
        <v>2361</v>
      </c>
      <c r="D578" s="5240"/>
      <c r="E578" s="5241"/>
      <c r="F578" s="5243">
        <f t="shared" si="48"/>
        <v>0</v>
      </c>
      <c r="G578" s="5241"/>
      <c r="H578" s="5241"/>
      <c r="I578" s="5243">
        <f t="shared" si="49"/>
        <v>0</v>
      </c>
      <c r="J578" s="5244">
        <f t="shared" si="53"/>
        <v>0</v>
      </c>
      <c r="K578" s="5245">
        <f t="shared" si="50"/>
        <v>0</v>
      </c>
      <c r="L578" s="5245">
        <f t="shared" si="51"/>
        <v>0</v>
      </c>
      <c r="M578" s="5245">
        <f t="shared" si="52"/>
        <v>0</v>
      </c>
    </row>
    <row r="579" spans="1:13" ht="14.85" customHeight="1">
      <c r="A579" s="5238">
        <v>308</v>
      </c>
      <c r="B579" s="5238" t="s">
        <v>3639</v>
      </c>
      <c r="C579" s="5239" t="s">
        <v>2362</v>
      </c>
      <c r="D579" s="5240"/>
      <c r="E579" s="5241"/>
      <c r="F579" s="5243">
        <f t="shared" si="48"/>
        <v>0</v>
      </c>
      <c r="G579" s="5241"/>
      <c r="H579" s="5241"/>
      <c r="I579" s="5243">
        <f t="shared" si="49"/>
        <v>0</v>
      </c>
      <c r="J579" s="5244">
        <f t="shared" si="53"/>
        <v>0</v>
      </c>
      <c r="K579" s="5245">
        <f t="shared" si="50"/>
        <v>0</v>
      </c>
      <c r="L579" s="5245">
        <f t="shared" si="51"/>
        <v>0</v>
      </c>
      <c r="M579" s="5245">
        <f t="shared" si="52"/>
        <v>0</v>
      </c>
    </row>
    <row r="580" spans="1:13" ht="14.85" customHeight="1">
      <c r="A580" s="5238">
        <v>308</v>
      </c>
      <c r="B580" s="5238" t="s">
        <v>3640</v>
      </c>
      <c r="C580" s="5239" t="s">
        <v>2363</v>
      </c>
      <c r="D580" s="5240"/>
      <c r="E580" s="5241"/>
      <c r="F580" s="5243">
        <f t="shared" si="48"/>
        <v>0</v>
      </c>
      <c r="G580" s="5241"/>
      <c r="H580" s="5241"/>
      <c r="I580" s="5243">
        <f t="shared" si="49"/>
        <v>0</v>
      </c>
      <c r="J580" s="5244">
        <f t="shared" si="53"/>
        <v>0</v>
      </c>
      <c r="K580" s="5245">
        <f t="shared" si="50"/>
        <v>0</v>
      </c>
      <c r="L580" s="5245">
        <f t="shared" si="51"/>
        <v>0</v>
      </c>
      <c r="M580" s="5245">
        <f t="shared" si="52"/>
        <v>0</v>
      </c>
    </row>
    <row r="581" spans="1:13" ht="14.85" customHeight="1">
      <c r="A581" s="5238">
        <v>309</v>
      </c>
      <c r="B581" s="5238" t="s">
        <v>3641</v>
      </c>
      <c r="C581" s="5239" t="s">
        <v>2364</v>
      </c>
      <c r="D581" s="5240"/>
      <c r="E581" s="5241"/>
      <c r="F581" s="5243">
        <f t="shared" si="48"/>
        <v>0</v>
      </c>
      <c r="G581" s="5241"/>
      <c r="H581" s="5241"/>
      <c r="I581" s="5243">
        <f t="shared" si="49"/>
        <v>0</v>
      </c>
      <c r="J581" s="5244">
        <f t="shared" si="53"/>
        <v>0</v>
      </c>
      <c r="K581" s="5245">
        <f t="shared" si="50"/>
        <v>0</v>
      </c>
      <c r="L581" s="5245">
        <f t="shared" si="51"/>
        <v>0</v>
      </c>
      <c r="M581" s="5245">
        <f t="shared" si="52"/>
        <v>0</v>
      </c>
    </row>
    <row r="582" spans="1:13" ht="14.85" customHeight="1">
      <c r="A582" s="5238">
        <v>309</v>
      </c>
      <c r="B582" s="5238" t="s">
        <v>3642</v>
      </c>
      <c r="C582" s="5239" t="s">
        <v>2365</v>
      </c>
      <c r="D582" s="5240"/>
      <c r="E582" s="5241"/>
      <c r="F582" s="5243">
        <f t="shared" si="48"/>
        <v>0</v>
      </c>
      <c r="G582" s="5241"/>
      <c r="H582" s="5241"/>
      <c r="I582" s="5243">
        <f t="shared" si="49"/>
        <v>0</v>
      </c>
      <c r="J582" s="5244">
        <f t="shared" si="53"/>
        <v>0</v>
      </c>
      <c r="K582" s="5245">
        <f t="shared" si="50"/>
        <v>0</v>
      </c>
      <c r="L582" s="5245">
        <f t="shared" si="51"/>
        <v>0</v>
      </c>
      <c r="M582" s="5245">
        <f t="shared" si="52"/>
        <v>0</v>
      </c>
    </row>
    <row r="583" spans="1:13" ht="14.85" customHeight="1">
      <c r="A583" s="5238">
        <v>309</v>
      </c>
      <c r="B583" s="5238" t="s">
        <v>3643</v>
      </c>
      <c r="C583" s="5239" t="s">
        <v>2366</v>
      </c>
      <c r="D583" s="5240"/>
      <c r="E583" s="5241"/>
      <c r="F583" s="5243">
        <f t="shared" si="48"/>
        <v>0</v>
      </c>
      <c r="G583" s="5241"/>
      <c r="H583" s="5241"/>
      <c r="I583" s="5243">
        <f t="shared" si="49"/>
        <v>0</v>
      </c>
      <c r="J583" s="5244">
        <f t="shared" si="53"/>
        <v>0</v>
      </c>
      <c r="K583" s="5245">
        <f t="shared" si="50"/>
        <v>0</v>
      </c>
      <c r="L583" s="5245">
        <f t="shared" si="51"/>
        <v>0</v>
      </c>
      <c r="M583" s="5245">
        <f t="shared" si="52"/>
        <v>0</v>
      </c>
    </row>
    <row r="584" spans="1:13" ht="14.85" customHeight="1">
      <c r="A584" s="5238">
        <v>309</v>
      </c>
      <c r="B584" s="5238" t="s">
        <v>3644</v>
      </c>
      <c r="C584" s="5239" t="s">
        <v>2367</v>
      </c>
      <c r="D584" s="5240"/>
      <c r="E584" s="5241"/>
      <c r="F584" s="5243">
        <f t="shared" si="48"/>
        <v>0</v>
      </c>
      <c r="G584" s="5241"/>
      <c r="H584" s="5241"/>
      <c r="I584" s="5243">
        <f t="shared" si="49"/>
        <v>0</v>
      </c>
      <c r="J584" s="5244">
        <f t="shared" si="53"/>
        <v>0</v>
      </c>
      <c r="K584" s="5245">
        <f t="shared" si="50"/>
        <v>0</v>
      </c>
      <c r="L584" s="5245">
        <f t="shared" si="51"/>
        <v>0</v>
      </c>
      <c r="M584" s="5245">
        <f t="shared" si="52"/>
        <v>0</v>
      </c>
    </row>
    <row r="585" spans="1:13" ht="14.85" customHeight="1">
      <c r="A585" s="5238">
        <v>309</v>
      </c>
      <c r="B585" s="5238" t="s">
        <v>3645</v>
      </c>
      <c r="C585" s="5239" t="s">
        <v>3646</v>
      </c>
      <c r="D585" s="5240"/>
      <c r="E585" s="5241"/>
      <c r="F585" s="5243">
        <f t="shared" si="48"/>
        <v>0</v>
      </c>
      <c r="G585" s="5241"/>
      <c r="H585" s="5241"/>
      <c r="I585" s="5243">
        <f t="shared" si="49"/>
        <v>0</v>
      </c>
      <c r="J585" s="5244">
        <f t="shared" si="53"/>
        <v>0</v>
      </c>
      <c r="K585" s="5245">
        <f t="shared" si="50"/>
        <v>0</v>
      </c>
      <c r="L585" s="5245">
        <f t="shared" si="51"/>
        <v>0</v>
      </c>
      <c r="M585" s="5245">
        <f t="shared" si="52"/>
        <v>0</v>
      </c>
    </row>
    <row r="586" spans="1:13" ht="14.85" customHeight="1">
      <c r="A586" s="5238">
        <v>310</v>
      </c>
      <c r="B586" s="5238" t="s">
        <v>3647</v>
      </c>
      <c r="C586" s="5239" t="s">
        <v>2368</v>
      </c>
      <c r="D586" s="5240"/>
      <c r="E586" s="5241"/>
      <c r="F586" s="5243">
        <f t="shared" si="48"/>
        <v>0</v>
      </c>
      <c r="G586" s="5241"/>
      <c r="H586" s="5241"/>
      <c r="I586" s="5243">
        <f t="shared" si="49"/>
        <v>0</v>
      </c>
      <c r="J586" s="5244">
        <f t="shared" si="53"/>
        <v>0</v>
      </c>
      <c r="K586" s="5245">
        <f t="shared" si="50"/>
        <v>0</v>
      </c>
      <c r="L586" s="5245">
        <f t="shared" si="51"/>
        <v>0</v>
      </c>
      <c r="M586" s="5245">
        <f t="shared" si="52"/>
        <v>0</v>
      </c>
    </row>
    <row r="587" spans="1:13" ht="14.85" customHeight="1">
      <c r="A587" s="5238">
        <v>311</v>
      </c>
      <c r="B587" s="5238" t="s">
        <v>3648</v>
      </c>
      <c r="C587" s="5239" t="s">
        <v>2369</v>
      </c>
      <c r="D587" s="5240"/>
      <c r="E587" s="5241"/>
      <c r="F587" s="5243">
        <f t="shared" si="48"/>
        <v>0</v>
      </c>
      <c r="G587" s="5241"/>
      <c r="H587" s="5241"/>
      <c r="I587" s="5243">
        <f t="shared" si="49"/>
        <v>0</v>
      </c>
      <c r="J587" s="5244">
        <f t="shared" si="53"/>
        <v>0</v>
      </c>
      <c r="K587" s="5245">
        <f t="shared" si="50"/>
        <v>0</v>
      </c>
      <c r="L587" s="5245">
        <f t="shared" si="51"/>
        <v>0</v>
      </c>
      <c r="M587" s="5245">
        <f t="shared" si="52"/>
        <v>0</v>
      </c>
    </row>
    <row r="588" spans="1:13" ht="14.85" customHeight="1">
      <c r="A588" s="5238">
        <v>311</v>
      </c>
      <c r="B588" s="5238" t="s">
        <v>3649</v>
      </c>
      <c r="C588" s="5239" t="s">
        <v>2370</v>
      </c>
      <c r="D588" s="5240"/>
      <c r="E588" s="5241"/>
      <c r="F588" s="5243">
        <f t="shared" si="48"/>
        <v>0</v>
      </c>
      <c r="G588" s="5241"/>
      <c r="H588" s="5241"/>
      <c r="I588" s="5243">
        <f t="shared" si="49"/>
        <v>0</v>
      </c>
      <c r="J588" s="5244">
        <f t="shared" si="53"/>
        <v>0</v>
      </c>
      <c r="K588" s="5245">
        <f t="shared" si="50"/>
        <v>0</v>
      </c>
      <c r="L588" s="5245">
        <f t="shared" si="51"/>
        <v>0</v>
      </c>
      <c r="M588" s="5245">
        <f t="shared" si="52"/>
        <v>0</v>
      </c>
    </row>
    <row r="589" spans="1:13" ht="14.85" customHeight="1">
      <c r="A589" s="5238">
        <v>311</v>
      </c>
      <c r="B589" s="5238" t="s">
        <v>3650</v>
      </c>
      <c r="C589" s="5239" t="s">
        <v>2371</v>
      </c>
      <c r="D589" s="5240"/>
      <c r="E589" s="5241"/>
      <c r="F589" s="5243">
        <f t="shared" si="48"/>
        <v>0</v>
      </c>
      <c r="G589" s="5241"/>
      <c r="H589" s="5241"/>
      <c r="I589" s="5243">
        <f t="shared" si="49"/>
        <v>0</v>
      </c>
      <c r="J589" s="5244">
        <f t="shared" si="53"/>
        <v>0</v>
      </c>
      <c r="K589" s="5245">
        <f t="shared" si="50"/>
        <v>0</v>
      </c>
      <c r="L589" s="5245">
        <f t="shared" si="51"/>
        <v>0</v>
      </c>
      <c r="M589" s="5245">
        <f t="shared" si="52"/>
        <v>0</v>
      </c>
    </row>
    <row r="590" spans="1:13" ht="14.85" customHeight="1">
      <c r="A590" s="5238">
        <v>312</v>
      </c>
      <c r="B590" s="5238" t="s">
        <v>3651</v>
      </c>
      <c r="C590" s="5239" t="s">
        <v>2372</v>
      </c>
      <c r="D590" s="5240"/>
      <c r="E590" s="5241"/>
      <c r="F590" s="5243">
        <f t="shared" si="48"/>
        <v>0</v>
      </c>
      <c r="G590" s="5241"/>
      <c r="H590" s="5241"/>
      <c r="I590" s="5243">
        <f t="shared" si="49"/>
        <v>0</v>
      </c>
      <c r="J590" s="5244">
        <f t="shared" si="53"/>
        <v>0</v>
      </c>
      <c r="K590" s="5245">
        <f t="shared" si="50"/>
        <v>0</v>
      </c>
      <c r="L590" s="5245">
        <f t="shared" si="51"/>
        <v>0</v>
      </c>
      <c r="M590" s="5245">
        <f t="shared" si="52"/>
        <v>0</v>
      </c>
    </row>
    <row r="591" spans="1:13" ht="14.85" customHeight="1">
      <c r="A591" s="5238">
        <v>312</v>
      </c>
      <c r="B591" s="5238" t="s">
        <v>3652</v>
      </c>
      <c r="C591" s="5239" t="s">
        <v>2373</v>
      </c>
      <c r="D591" s="5240"/>
      <c r="E591" s="5241"/>
      <c r="F591" s="5243">
        <f t="shared" si="48"/>
        <v>0</v>
      </c>
      <c r="G591" s="5241"/>
      <c r="H591" s="5241"/>
      <c r="I591" s="5243">
        <f t="shared" si="49"/>
        <v>0</v>
      </c>
      <c r="J591" s="5244">
        <f t="shared" si="53"/>
        <v>0</v>
      </c>
      <c r="K591" s="5245">
        <f t="shared" si="50"/>
        <v>0</v>
      </c>
      <c r="L591" s="5245">
        <f t="shared" si="51"/>
        <v>0</v>
      </c>
      <c r="M591" s="5245">
        <f t="shared" si="52"/>
        <v>0</v>
      </c>
    </row>
    <row r="592" spans="1:13" ht="14.85" customHeight="1">
      <c r="A592" s="5238">
        <v>312</v>
      </c>
      <c r="B592" s="5238" t="s">
        <v>3653</v>
      </c>
      <c r="C592" s="5239" t="s">
        <v>2374</v>
      </c>
      <c r="D592" s="5240"/>
      <c r="E592" s="5241"/>
      <c r="F592" s="5243">
        <f t="shared" si="48"/>
        <v>0</v>
      </c>
      <c r="G592" s="5241"/>
      <c r="H592" s="5241"/>
      <c r="I592" s="5243">
        <f t="shared" si="49"/>
        <v>0</v>
      </c>
      <c r="J592" s="5244">
        <f t="shared" si="53"/>
        <v>0</v>
      </c>
      <c r="K592" s="5245">
        <f t="shared" si="50"/>
        <v>0</v>
      </c>
      <c r="L592" s="5245">
        <f t="shared" si="51"/>
        <v>0</v>
      </c>
      <c r="M592" s="5245">
        <f t="shared" si="52"/>
        <v>0</v>
      </c>
    </row>
    <row r="593" spans="1:13" ht="14.85" customHeight="1">
      <c r="A593" s="5238">
        <v>312</v>
      </c>
      <c r="B593" s="5238" t="s">
        <v>3654</v>
      </c>
      <c r="C593" s="5239" t="s">
        <v>2375</v>
      </c>
      <c r="D593" s="5240"/>
      <c r="E593" s="5241"/>
      <c r="F593" s="5243">
        <f t="shared" si="48"/>
        <v>0</v>
      </c>
      <c r="G593" s="5241"/>
      <c r="H593" s="5241"/>
      <c r="I593" s="5243">
        <f t="shared" si="49"/>
        <v>0</v>
      </c>
      <c r="J593" s="5244">
        <f t="shared" si="53"/>
        <v>0</v>
      </c>
      <c r="K593" s="5245">
        <f t="shared" si="50"/>
        <v>0</v>
      </c>
      <c r="L593" s="5245">
        <f t="shared" si="51"/>
        <v>0</v>
      </c>
      <c r="M593" s="5245">
        <f t="shared" si="52"/>
        <v>0</v>
      </c>
    </row>
    <row r="594" spans="1:13" ht="14.85" customHeight="1">
      <c r="A594" s="5238">
        <v>312</v>
      </c>
      <c r="B594" s="5238" t="s">
        <v>3655</v>
      </c>
      <c r="C594" s="5239" t="s">
        <v>2376</v>
      </c>
      <c r="D594" s="5240"/>
      <c r="E594" s="5241"/>
      <c r="F594" s="5243">
        <f t="shared" si="48"/>
        <v>0</v>
      </c>
      <c r="G594" s="5241"/>
      <c r="H594" s="5241"/>
      <c r="I594" s="5243">
        <f t="shared" si="49"/>
        <v>0</v>
      </c>
      <c r="J594" s="5244">
        <f t="shared" si="53"/>
        <v>0</v>
      </c>
      <c r="K594" s="5245">
        <f t="shared" si="50"/>
        <v>0</v>
      </c>
      <c r="L594" s="5245">
        <f t="shared" si="51"/>
        <v>0</v>
      </c>
      <c r="M594" s="5245">
        <f t="shared" si="52"/>
        <v>0</v>
      </c>
    </row>
    <row r="595" spans="1:13" ht="14.85" customHeight="1">
      <c r="A595" s="5238">
        <v>313</v>
      </c>
      <c r="B595" s="5238" t="s">
        <v>3656</v>
      </c>
      <c r="C595" s="5239" t="s">
        <v>2377</v>
      </c>
      <c r="D595" s="5240"/>
      <c r="E595" s="5241"/>
      <c r="F595" s="5243">
        <f t="shared" si="48"/>
        <v>0</v>
      </c>
      <c r="G595" s="5241"/>
      <c r="H595" s="5241"/>
      <c r="I595" s="5243">
        <f t="shared" si="49"/>
        <v>0</v>
      </c>
      <c r="J595" s="5244">
        <f t="shared" si="53"/>
        <v>0</v>
      </c>
      <c r="K595" s="5245">
        <f t="shared" si="50"/>
        <v>0</v>
      </c>
      <c r="L595" s="5245">
        <f t="shared" si="51"/>
        <v>0</v>
      </c>
      <c r="M595" s="5245">
        <f t="shared" si="52"/>
        <v>0</v>
      </c>
    </row>
    <row r="596" spans="1:13" ht="14.85" customHeight="1">
      <c r="A596" s="5238">
        <v>313</v>
      </c>
      <c r="B596" s="5238" t="s">
        <v>3657</v>
      </c>
      <c r="C596" s="5239" t="s">
        <v>2378</v>
      </c>
      <c r="D596" s="5240"/>
      <c r="E596" s="5241"/>
      <c r="F596" s="5243">
        <f t="shared" si="48"/>
        <v>0</v>
      </c>
      <c r="G596" s="5241"/>
      <c r="H596" s="5241"/>
      <c r="I596" s="5243">
        <f t="shared" si="49"/>
        <v>0</v>
      </c>
      <c r="J596" s="5244">
        <f t="shared" si="53"/>
        <v>0</v>
      </c>
      <c r="K596" s="5245">
        <f t="shared" si="50"/>
        <v>0</v>
      </c>
      <c r="L596" s="5245">
        <f t="shared" si="51"/>
        <v>0</v>
      </c>
      <c r="M596" s="5245">
        <f t="shared" si="52"/>
        <v>0</v>
      </c>
    </row>
    <row r="597" spans="1:13" ht="14.85" customHeight="1">
      <c r="A597" s="5238">
        <v>313</v>
      </c>
      <c r="B597" s="5238" t="s">
        <v>3658</v>
      </c>
      <c r="C597" s="5239" t="s">
        <v>2379</v>
      </c>
      <c r="D597" s="5240"/>
      <c r="E597" s="5241"/>
      <c r="F597" s="5243">
        <f t="shared" si="48"/>
        <v>0</v>
      </c>
      <c r="G597" s="5241"/>
      <c r="H597" s="5241"/>
      <c r="I597" s="5243">
        <f t="shared" si="49"/>
        <v>0</v>
      </c>
      <c r="J597" s="5244">
        <f t="shared" si="53"/>
        <v>0</v>
      </c>
      <c r="K597" s="5245">
        <f t="shared" si="50"/>
        <v>0</v>
      </c>
      <c r="L597" s="5245">
        <f t="shared" si="51"/>
        <v>0</v>
      </c>
      <c r="M597" s="5245">
        <f t="shared" si="52"/>
        <v>0</v>
      </c>
    </row>
    <row r="598" spans="1:13" ht="14.85" customHeight="1">
      <c r="A598" s="5238">
        <v>313</v>
      </c>
      <c r="B598" s="5238" t="s">
        <v>3659</v>
      </c>
      <c r="C598" s="5239" t="s">
        <v>2380</v>
      </c>
      <c r="D598" s="5240"/>
      <c r="E598" s="5241"/>
      <c r="F598" s="5243">
        <f t="shared" si="48"/>
        <v>0</v>
      </c>
      <c r="G598" s="5241"/>
      <c r="H598" s="5241"/>
      <c r="I598" s="5243">
        <f t="shared" si="49"/>
        <v>0</v>
      </c>
      <c r="J598" s="5244">
        <f t="shared" si="53"/>
        <v>0</v>
      </c>
      <c r="K598" s="5245">
        <f t="shared" si="50"/>
        <v>0</v>
      </c>
      <c r="L598" s="5245">
        <f t="shared" si="51"/>
        <v>0</v>
      </c>
      <c r="M598" s="5245">
        <f t="shared" si="52"/>
        <v>0</v>
      </c>
    </row>
    <row r="599" spans="1:13" ht="14.85" customHeight="1">
      <c r="A599" s="5238">
        <v>313</v>
      </c>
      <c r="B599" s="5238" t="s">
        <v>3660</v>
      </c>
      <c r="C599" s="5239" t="s">
        <v>2381</v>
      </c>
      <c r="D599" s="5240"/>
      <c r="E599" s="5241"/>
      <c r="F599" s="5243">
        <f t="shared" si="48"/>
        <v>0</v>
      </c>
      <c r="G599" s="5241"/>
      <c r="H599" s="5241"/>
      <c r="I599" s="5243">
        <f t="shared" si="49"/>
        <v>0</v>
      </c>
      <c r="J599" s="5244">
        <f t="shared" si="53"/>
        <v>0</v>
      </c>
      <c r="K599" s="5245">
        <f t="shared" si="50"/>
        <v>0</v>
      </c>
      <c r="L599" s="5245">
        <f t="shared" si="51"/>
        <v>0</v>
      </c>
      <c r="M599" s="5245">
        <f t="shared" si="52"/>
        <v>0</v>
      </c>
    </row>
    <row r="600" spans="1:13" ht="14.85" customHeight="1">
      <c r="A600" s="5238">
        <v>314</v>
      </c>
      <c r="B600" s="5238" t="s">
        <v>3661</v>
      </c>
      <c r="C600" s="5239" t="s">
        <v>2382</v>
      </c>
      <c r="D600" s="5240"/>
      <c r="E600" s="5241"/>
      <c r="F600" s="5243">
        <f t="shared" si="48"/>
        <v>0</v>
      </c>
      <c r="G600" s="5241"/>
      <c r="H600" s="5241"/>
      <c r="I600" s="5243">
        <f t="shared" si="49"/>
        <v>0</v>
      </c>
      <c r="J600" s="5244">
        <f t="shared" si="53"/>
        <v>0</v>
      </c>
      <c r="K600" s="5245">
        <f t="shared" si="50"/>
        <v>0</v>
      </c>
      <c r="L600" s="5245">
        <f t="shared" si="51"/>
        <v>0</v>
      </c>
      <c r="M600" s="5245">
        <f t="shared" si="52"/>
        <v>0</v>
      </c>
    </row>
    <row r="601" spans="1:13" ht="14.85" customHeight="1">
      <c r="A601" s="5238">
        <v>314</v>
      </c>
      <c r="B601" s="5238" t="s">
        <v>3662</v>
      </c>
      <c r="C601" s="5239" t="s">
        <v>2383</v>
      </c>
      <c r="D601" s="5240"/>
      <c r="E601" s="5241"/>
      <c r="F601" s="5243">
        <f t="shared" si="48"/>
        <v>0</v>
      </c>
      <c r="G601" s="5241"/>
      <c r="H601" s="5241"/>
      <c r="I601" s="5243">
        <f t="shared" si="49"/>
        <v>0</v>
      </c>
      <c r="J601" s="5244">
        <f t="shared" si="53"/>
        <v>0</v>
      </c>
      <c r="K601" s="5245">
        <f t="shared" si="50"/>
        <v>0</v>
      </c>
      <c r="L601" s="5245">
        <f t="shared" si="51"/>
        <v>0</v>
      </c>
      <c r="M601" s="5245">
        <f t="shared" si="52"/>
        <v>0</v>
      </c>
    </row>
    <row r="602" spans="1:13" ht="14.85" customHeight="1">
      <c r="A602" s="5238">
        <v>315</v>
      </c>
      <c r="B602" s="5238" t="s">
        <v>3663</v>
      </c>
      <c r="C602" s="5239" t="s">
        <v>2384</v>
      </c>
      <c r="D602" s="5240"/>
      <c r="E602" s="5241"/>
      <c r="F602" s="5243">
        <f t="shared" si="48"/>
        <v>0</v>
      </c>
      <c r="G602" s="5241"/>
      <c r="H602" s="5241"/>
      <c r="I602" s="5243">
        <f t="shared" si="49"/>
        <v>0</v>
      </c>
      <c r="J602" s="5244">
        <f t="shared" si="53"/>
        <v>0</v>
      </c>
      <c r="K602" s="5245">
        <f t="shared" si="50"/>
        <v>0</v>
      </c>
      <c r="L602" s="5245">
        <f t="shared" si="51"/>
        <v>0</v>
      </c>
      <c r="M602" s="5245">
        <f t="shared" si="52"/>
        <v>0</v>
      </c>
    </row>
    <row r="603" spans="1:13" ht="14.85" customHeight="1">
      <c r="A603" s="5238">
        <v>315</v>
      </c>
      <c r="B603" s="5238" t="s">
        <v>3664</v>
      </c>
      <c r="C603" s="5239" t="s">
        <v>2385</v>
      </c>
      <c r="D603" s="5240"/>
      <c r="E603" s="5241"/>
      <c r="F603" s="5243">
        <f t="shared" si="48"/>
        <v>0</v>
      </c>
      <c r="G603" s="5241"/>
      <c r="H603" s="5241"/>
      <c r="I603" s="5243">
        <f t="shared" si="49"/>
        <v>0</v>
      </c>
      <c r="J603" s="5244">
        <f t="shared" si="53"/>
        <v>0</v>
      </c>
      <c r="K603" s="5245">
        <f t="shared" si="50"/>
        <v>0</v>
      </c>
      <c r="L603" s="5245">
        <f t="shared" si="51"/>
        <v>0</v>
      </c>
      <c r="M603" s="5245">
        <f t="shared" si="52"/>
        <v>0</v>
      </c>
    </row>
    <row r="604" spans="1:13" ht="14.85" customHeight="1">
      <c r="A604" s="5238">
        <v>315</v>
      </c>
      <c r="B604" s="5238" t="s">
        <v>3665</v>
      </c>
      <c r="C604" s="5239" t="s">
        <v>2386</v>
      </c>
      <c r="D604" s="5240"/>
      <c r="E604" s="5241"/>
      <c r="F604" s="5243">
        <f t="shared" si="48"/>
        <v>0</v>
      </c>
      <c r="G604" s="5241"/>
      <c r="H604" s="5241"/>
      <c r="I604" s="5243">
        <f t="shared" si="49"/>
        <v>0</v>
      </c>
      <c r="J604" s="5244">
        <f t="shared" si="53"/>
        <v>0</v>
      </c>
      <c r="K604" s="5245">
        <f t="shared" si="50"/>
        <v>0</v>
      </c>
      <c r="L604" s="5245">
        <f t="shared" si="51"/>
        <v>0</v>
      </c>
      <c r="M604" s="5245">
        <f t="shared" si="52"/>
        <v>0</v>
      </c>
    </row>
    <row r="605" spans="1:13" ht="14.85" customHeight="1">
      <c r="A605" s="5238">
        <v>316</v>
      </c>
      <c r="B605" s="5238" t="s">
        <v>3666</v>
      </c>
      <c r="C605" s="5239" t="s">
        <v>2387</v>
      </c>
      <c r="D605" s="5240"/>
      <c r="E605" s="5241"/>
      <c r="F605" s="5243">
        <f t="shared" si="48"/>
        <v>0</v>
      </c>
      <c r="G605" s="5241"/>
      <c r="H605" s="5241"/>
      <c r="I605" s="5243">
        <f t="shared" si="49"/>
        <v>0</v>
      </c>
      <c r="J605" s="5244">
        <f t="shared" si="53"/>
        <v>0</v>
      </c>
      <c r="K605" s="5245">
        <f t="shared" si="50"/>
        <v>0</v>
      </c>
      <c r="L605" s="5245">
        <f t="shared" si="51"/>
        <v>0</v>
      </c>
      <c r="M605" s="5245">
        <f t="shared" si="52"/>
        <v>0</v>
      </c>
    </row>
    <row r="606" spans="1:13" ht="14.85" customHeight="1">
      <c r="A606" s="5238">
        <v>316</v>
      </c>
      <c r="B606" s="5238" t="s">
        <v>3667</v>
      </c>
      <c r="C606" s="5239" t="s">
        <v>2388</v>
      </c>
      <c r="D606" s="5240"/>
      <c r="E606" s="5241"/>
      <c r="F606" s="5243">
        <f t="shared" si="48"/>
        <v>0</v>
      </c>
      <c r="G606" s="5241"/>
      <c r="H606" s="5241"/>
      <c r="I606" s="5243">
        <f t="shared" si="49"/>
        <v>0</v>
      </c>
      <c r="J606" s="5244">
        <f t="shared" si="53"/>
        <v>0</v>
      </c>
      <c r="K606" s="5245">
        <f t="shared" si="50"/>
        <v>0</v>
      </c>
      <c r="L606" s="5245">
        <f t="shared" si="51"/>
        <v>0</v>
      </c>
      <c r="M606" s="5245">
        <f t="shared" si="52"/>
        <v>0</v>
      </c>
    </row>
    <row r="607" spans="1:13" ht="14.85" customHeight="1">
      <c r="A607" s="5238">
        <v>316</v>
      </c>
      <c r="B607" s="5238" t="s">
        <v>3668</v>
      </c>
      <c r="C607" s="5239" t="s">
        <v>2389</v>
      </c>
      <c r="D607" s="5240"/>
      <c r="E607" s="5241"/>
      <c r="F607" s="5243">
        <f t="shared" si="48"/>
        <v>0</v>
      </c>
      <c r="G607" s="5241"/>
      <c r="H607" s="5241"/>
      <c r="I607" s="5243">
        <f t="shared" si="49"/>
        <v>0</v>
      </c>
      <c r="J607" s="5244">
        <f t="shared" si="53"/>
        <v>0</v>
      </c>
      <c r="K607" s="5245">
        <f t="shared" si="50"/>
        <v>0</v>
      </c>
      <c r="L607" s="5245">
        <f t="shared" si="51"/>
        <v>0</v>
      </c>
      <c r="M607" s="5245">
        <f t="shared" si="52"/>
        <v>0</v>
      </c>
    </row>
    <row r="608" spans="1:13" ht="14.85" customHeight="1">
      <c r="A608" s="5238">
        <v>320</v>
      </c>
      <c r="B608" s="5238" t="s">
        <v>3669</v>
      </c>
      <c r="C608" s="5239" t="s">
        <v>2390</v>
      </c>
      <c r="D608" s="5240"/>
      <c r="E608" s="5241"/>
      <c r="F608" s="5243">
        <f t="shared" si="48"/>
        <v>0</v>
      </c>
      <c r="G608" s="5241"/>
      <c r="H608" s="5241"/>
      <c r="I608" s="5243">
        <f t="shared" si="49"/>
        <v>0</v>
      </c>
      <c r="J608" s="5244">
        <f t="shared" si="53"/>
        <v>0</v>
      </c>
      <c r="K608" s="5245">
        <f t="shared" si="50"/>
        <v>0</v>
      </c>
      <c r="L608" s="5245">
        <f t="shared" si="51"/>
        <v>0</v>
      </c>
      <c r="M608" s="5245">
        <f t="shared" si="52"/>
        <v>0</v>
      </c>
    </row>
    <row r="609" spans="1:13" ht="14.85" customHeight="1">
      <c r="A609" s="5238">
        <v>320</v>
      </c>
      <c r="B609" s="5238" t="s">
        <v>3670</v>
      </c>
      <c r="C609" s="5239" t="s">
        <v>2037</v>
      </c>
      <c r="D609" s="5240"/>
      <c r="E609" s="5241"/>
      <c r="F609" s="5243">
        <f t="shared" ref="F609:F672" si="54">SUM(D609:E609)</f>
        <v>0</v>
      </c>
      <c r="G609" s="5241"/>
      <c r="H609" s="5241"/>
      <c r="I609" s="5243">
        <f t="shared" ref="I609:I672" si="55">SUM(G609:H609)</f>
        <v>0</v>
      </c>
      <c r="J609" s="5244">
        <f t="shared" si="53"/>
        <v>0</v>
      </c>
      <c r="K609" s="5245">
        <f t="shared" ref="K609:K672" si="56">IF(AND((J609-35%)&gt;0,J609&lt;50%),I609*(J609-35%)*0.7,0)</f>
        <v>0</v>
      </c>
      <c r="L609" s="5245">
        <f t="shared" ref="L609:L672" si="57">IF(J609&gt;=50%,I609*10.5%,0)</f>
        <v>0</v>
      </c>
      <c r="M609" s="5245">
        <f t="shared" ref="M609:M672" si="58">MAX(K609,L609)</f>
        <v>0</v>
      </c>
    </row>
    <row r="610" spans="1:13" ht="14.85" customHeight="1">
      <c r="A610" s="5238">
        <v>320</v>
      </c>
      <c r="B610" s="5238" t="s">
        <v>3671</v>
      </c>
      <c r="C610" s="5239" t="s">
        <v>2391</v>
      </c>
      <c r="D610" s="5240"/>
      <c r="E610" s="5241"/>
      <c r="F610" s="5243">
        <f t="shared" si="54"/>
        <v>0</v>
      </c>
      <c r="G610" s="5241"/>
      <c r="H610" s="5241"/>
      <c r="I610" s="5243">
        <f t="shared" si="55"/>
        <v>0</v>
      </c>
      <c r="J610" s="5244">
        <f t="shared" si="53"/>
        <v>0</v>
      </c>
      <c r="K610" s="5245">
        <f t="shared" si="56"/>
        <v>0</v>
      </c>
      <c r="L610" s="5245">
        <f t="shared" si="57"/>
        <v>0</v>
      </c>
      <c r="M610" s="5245">
        <f t="shared" si="58"/>
        <v>0</v>
      </c>
    </row>
    <row r="611" spans="1:13" ht="14.85" customHeight="1">
      <c r="A611" s="5238">
        <v>320</v>
      </c>
      <c r="B611" s="5238" t="s">
        <v>3672</v>
      </c>
      <c r="C611" s="5239" t="s">
        <v>2242</v>
      </c>
      <c r="D611" s="5240"/>
      <c r="E611" s="5241"/>
      <c r="F611" s="5243">
        <f t="shared" si="54"/>
        <v>0</v>
      </c>
      <c r="G611" s="5241"/>
      <c r="H611" s="5241"/>
      <c r="I611" s="5243">
        <f t="shared" si="55"/>
        <v>0</v>
      </c>
      <c r="J611" s="5244">
        <f t="shared" si="53"/>
        <v>0</v>
      </c>
      <c r="K611" s="5245">
        <f t="shared" si="56"/>
        <v>0</v>
      </c>
      <c r="L611" s="5245">
        <f t="shared" si="57"/>
        <v>0</v>
      </c>
      <c r="M611" s="5245">
        <f t="shared" si="58"/>
        <v>0</v>
      </c>
    </row>
    <row r="612" spans="1:13" ht="14.85" customHeight="1">
      <c r="A612" s="5238">
        <v>321</v>
      </c>
      <c r="B612" s="5238" t="s">
        <v>3673</v>
      </c>
      <c r="C612" s="5239" t="s">
        <v>2392</v>
      </c>
      <c r="D612" s="5240"/>
      <c r="E612" s="5241"/>
      <c r="F612" s="5243">
        <f t="shared" si="54"/>
        <v>0</v>
      </c>
      <c r="G612" s="5241"/>
      <c r="H612" s="5241"/>
      <c r="I612" s="5243">
        <f t="shared" si="55"/>
        <v>0</v>
      </c>
      <c r="J612" s="5244">
        <f t="shared" ref="J612:J675" si="59">IF(ISERROR(I612/F612),0,I612/F612)</f>
        <v>0</v>
      </c>
      <c r="K612" s="5245">
        <f t="shared" si="56"/>
        <v>0</v>
      </c>
      <c r="L612" s="5245">
        <f t="shared" si="57"/>
        <v>0</v>
      </c>
      <c r="M612" s="5245">
        <f t="shared" si="58"/>
        <v>0</v>
      </c>
    </row>
    <row r="613" spans="1:13" ht="14.85" customHeight="1">
      <c r="A613" s="5238">
        <v>321</v>
      </c>
      <c r="B613" s="5238" t="s">
        <v>3674</v>
      </c>
      <c r="C613" s="5239" t="s">
        <v>2393</v>
      </c>
      <c r="D613" s="5240"/>
      <c r="E613" s="5241"/>
      <c r="F613" s="5243">
        <f t="shared" si="54"/>
        <v>0</v>
      </c>
      <c r="G613" s="5241"/>
      <c r="H613" s="5241"/>
      <c r="I613" s="5243">
        <f t="shared" si="55"/>
        <v>0</v>
      </c>
      <c r="J613" s="5244">
        <f t="shared" si="59"/>
        <v>0</v>
      </c>
      <c r="K613" s="5245">
        <f t="shared" si="56"/>
        <v>0</v>
      </c>
      <c r="L613" s="5245">
        <f t="shared" si="57"/>
        <v>0</v>
      </c>
      <c r="M613" s="5245">
        <f t="shared" si="58"/>
        <v>0</v>
      </c>
    </row>
    <row r="614" spans="1:13" ht="14.85" customHeight="1">
      <c r="A614" s="5238">
        <v>321</v>
      </c>
      <c r="B614" s="5238" t="s">
        <v>3675</v>
      </c>
      <c r="C614" s="5239" t="s">
        <v>2394</v>
      </c>
      <c r="D614" s="5240"/>
      <c r="E614" s="5241"/>
      <c r="F614" s="5243">
        <f t="shared" si="54"/>
        <v>0</v>
      </c>
      <c r="G614" s="5241"/>
      <c r="H614" s="5241"/>
      <c r="I614" s="5243">
        <f t="shared" si="55"/>
        <v>0</v>
      </c>
      <c r="J614" s="5244">
        <f t="shared" si="59"/>
        <v>0</v>
      </c>
      <c r="K614" s="5245">
        <f t="shared" si="56"/>
        <v>0</v>
      </c>
      <c r="L614" s="5245">
        <f t="shared" si="57"/>
        <v>0</v>
      </c>
      <c r="M614" s="5245">
        <f t="shared" si="58"/>
        <v>0</v>
      </c>
    </row>
    <row r="615" spans="1:13" ht="14.85" customHeight="1">
      <c r="A615" s="5238">
        <v>321</v>
      </c>
      <c r="B615" s="5238" t="s">
        <v>3676</v>
      </c>
      <c r="C615" s="5239" t="s">
        <v>2395</v>
      </c>
      <c r="D615" s="5240"/>
      <c r="E615" s="5241"/>
      <c r="F615" s="5243">
        <f t="shared" si="54"/>
        <v>0</v>
      </c>
      <c r="G615" s="5241"/>
      <c r="H615" s="5241"/>
      <c r="I615" s="5243">
        <f t="shared" si="55"/>
        <v>0</v>
      </c>
      <c r="J615" s="5244">
        <f t="shared" si="59"/>
        <v>0</v>
      </c>
      <c r="K615" s="5245">
        <f t="shared" si="56"/>
        <v>0</v>
      </c>
      <c r="L615" s="5245">
        <f t="shared" si="57"/>
        <v>0</v>
      </c>
      <c r="M615" s="5245">
        <f t="shared" si="58"/>
        <v>0</v>
      </c>
    </row>
    <row r="616" spans="1:13" ht="14.85" customHeight="1">
      <c r="A616" s="5238">
        <v>322</v>
      </c>
      <c r="B616" s="5238" t="s">
        <v>3677</v>
      </c>
      <c r="C616" s="5239" t="s">
        <v>2396</v>
      </c>
      <c r="D616" s="5240"/>
      <c r="E616" s="5241"/>
      <c r="F616" s="5243">
        <f t="shared" si="54"/>
        <v>0</v>
      </c>
      <c r="G616" s="5241"/>
      <c r="H616" s="5241"/>
      <c r="I616" s="5243">
        <f t="shared" si="55"/>
        <v>0</v>
      </c>
      <c r="J616" s="5244">
        <f t="shared" si="59"/>
        <v>0</v>
      </c>
      <c r="K616" s="5245">
        <f t="shared" si="56"/>
        <v>0</v>
      </c>
      <c r="L616" s="5245">
        <f t="shared" si="57"/>
        <v>0</v>
      </c>
      <c r="M616" s="5245">
        <f t="shared" si="58"/>
        <v>0</v>
      </c>
    </row>
    <row r="617" spans="1:13" ht="14.85" customHeight="1">
      <c r="A617" s="5238">
        <v>322</v>
      </c>
      <c r="B617" s="5238" t="s">
        <v>3678</v>
      </c>
      <c r="C617" s="5239" t="s">
        <v>2397</v>
      </c>
      <c r="D617" s="5240"/>
      <c r="E617" s="5241"/>
      <c r="F617" s="5243">
        <f t="shared" si="54"/>
        <v>0</v>
      </c>
      <c r="G617" s="5241"/>
      <c r="H617" s="5241"/>
      <c r="I617" s="5243">
        <f t="shared" si="55"/>
        <v>0</v>
      </c>
      <c r="J617" s="5244">
        <f t="shared" si="59"/>
        <v>0</v>
      </c>
      <c r="K617" s="5245">
        <f t="shared" si="56"/>
        <v>0</v>
      </c>
      <c r="L617" s="5245">
        <f t="shared" si="57"/>
        <v>0</v>
      </c>
      <c r="M617" s="5245">
        <f t="shared" si="58"/>
        <v>0</v>
      </c>
    </row>
    <row r="618" spans="1:13" ht="14.85" customHeight="1">
      <c r="A618" s="5238">
        <v>323</v>
      </c>
      <c r="B618" s="5238" t="s">
        <v>4962</v>
      </c>
      <c r="C618" s="5239" t="s">
        <v>4963</v>
      </c>
      <c r="D618" s="5240"/>
      <c r="E618" s="5241"/>
      <c r="F618" s="5243">
        <f t="shared" si="54"/>
        <v>0</v>
      </c>
      <c r="G618" s="5241"/>
      <c r="H618" s="5241"/>
      <c r="I618" s="5243">
        <f t="shared" si="55"/>
        <v>0</v>
      </c>
      <c r="J618" s="5244">
        <f t="shared" si="59"/>
        <v>0</v>
      </c>
      <c r="K618" s="5245">
        <f t="shared" si="56"/>
        <v>0</v>
      </c>
      <c r="L618" s="5245">
        <f t="shared" si="57"/>
        <v>0</v>
      </c>
      <c r="M618" s="5245">
        <f t="shared" si="58"/>
        <v>0</v>
      </c>
    </row>
    <row r="619" spans="1:13" ht="14.85" customHeight="1">
      <c r="A619" s="5238">
        <v>323</v>
      </c>
      <c r="B619" s="5238" t="s">
        <v>3679</v>
      </c>
      <c r="C619" s="5239" t="s">
        <v>2398</v>
      </c>
      <c r="D619" s="5240"/>
      <c r="E619" s="5241"/>
      <c r="F619" s="5243">
        <f t="shared" si="54"/>
        <v>0</v>
      </c>
      <c r="G619" s="5241"/>
      <c r="H619" s="5241"/>
      <c r="I619" s="5243">
        <f t="shared" si="55"/>
        <v>0</v>
      </c>
      <c r="J619" s="5244">
        <f t="shared" si="59"/>
        <v>0</v>
      </c>
      <c r="K619" s="5245">
        <f t="shared" si="56"/>
        <v>0</v>
      </c>
      <c r="L619" s="5245">
        <f t="shared" si="57"/>
        <v>0</v>
      </c>
      <c r="M619" s="5245">
        <f t="shared" si="58"/>
        <v>0</v>
      </c>
    </row>
    <row r="620" spans="1:13" ht="14.85" customHeight="1">
      <c r="A620" s="5238">
        <v>323</v>
      </c>
      <c r="B620" s="5238" t="s">
        <v>3680</v>
      </c>
      <c r="C620" s="5239" t="s">
        <v>2399</v>
      </c>
      <c r="D620" s="5240"/>
      <c r="E620" s="5241"/>
      <c r="F620" s="5243">
        <f t="shared" si="54"/>
        <v>0</v>
      </c>
      <c r="G620" s="5241"/>
      <c r="H620" s="5241"/>
      <c r="I620" s="5243">
        <f t="shared" si="55"/>
        <v>0</v>
      </c>
      <c r="J620" s="5244">
        <f t="shared" si="59"/>
        <v>0</v>
      </c>
      <c r="K620" s="5245">
        <f t="shared" si="56"/>
        <v>0</v>
      </c>
      <c r="L620" s="5245">
        <f t="shared" si="57"/>
        <v>0</v>
      </c>
      <c r="M620" s="5245">
        <f t="shared" si="58"/>
        <v>0</v>
      </c>
    </row>
    <row r="621" spans="1:13" ht="14.85" customHeight="1">
      <c r="A621" s="5238">
        <v>323</v>
      </c>
      <c r="B621" s="5238" t="s">
        <v>3681</v>
      </c>
      <c r="C621" s="5239" t="s">
        <v>4964</v>
      </c>
      <c r="D621" s="5240"/>
      <c r="E621" s="5241"/>
      <c r="F621" s="5243">
        <f t="shared" si="54"/>
        <v>0</v>
      </c>
      <c r="G621" s="5241"/>
      <c r="H621" s="5241"/>
      <c r="I621" s="5243">
        <f t="shared" si="55"/>
        <v>0</v>
      </c>
      <c r="J621" s="5244">
        <f t="shared" si="59"/>
        <v>0</v>
      </c>
      <c r="K621" s="5245">
        <f t="shared" si="56"/>
        <v>0</v>
      </c>
      <c r="L621" s="5245">
        <f t="shared" si="57"/>
        <v>0</v>
      </c>
      <c r="M621" s="5245">
        <f t="shared" si="58"/>
        <v>0</v>
      </c>
    </row>
    <row r="622" spans="1:13" ht="14.85" customHeight="1">
      <c r="A622" s="5238">
        <v>325</v>
      </c>
      <c r="B622" s="5238" t="s">
        <v>3682</v>
      </c>
      <c r="C622" s="5239" t="s">
        <v>2400</v>
      </c>
      <c r="D622" s="5240"/>
      <c r="E622" s="5241"/>
      <c r="F622" s="5243">
        <f t="shared" si="54"/>
        <v>0</v>
      </c>
      <c r="G622" s="5241"/>
      <c r="H622" s="5241"/>
      <c r="I622" s="5243">
        <f t="shared" si="55"/>
        <v>0</v>
      </c>
      <c r="J622" s="5244">
        <f t="shared" si="59"/>
        <v>0</v>
      </c>
      <c r="K622" s="5245">
        <f t="shared" si="56"/>
        <v>0</v>
      </c>
      <c r="L622" s="5245">
        <f t="shared" si="57"/>
        <v>0</v>
      </c>
      <c r="M622" s="5245">
        <f t="shared" si="58"/>
        <v>0</v>
      </c>
    </row>
    <row r="623" spans="1:13" ht="14.85" customHeight="1">
      <c r="A623" s="5238">
        <v>325</v>
      </c>
      <c r="B623" s="5238" t="s">
        <v>3683</v>
      </c>
      <c r="C623" s="5239" t="s">
        <v>2401</v>
      </c>
      <c r="D623" s="5240"/>
      <c r="E623" s="5241"/>
      <c r="F623" s="5243">
        <f t="shared" si="54"/>
        <v>0</v>
      </c>
      <c r="G623" s="5241"/>
      <c r="H623" s="5241"/>
      <c r="I623" s="5243">
        <f t="shared" si="55"/>
        <v>0</v>
      </c>
      <c r="J623" s="5244">
        <f t="shared" si="59"/>
        <v>0</v>
      </c>
      <c r="K623" s="5245">
        <f t="shared" si="56"/>
        <v>0</v>
      </c>
      <c r="L623" s="5245">
        <f t="shared" si="57"/>
        <v>0</v>
      </c>
      <c r="M623" s="5245">
        <f t="shared" si="58"/>
        <v>0</v>
      </c>
    </row>
    <row r="624" spans="1:13" ht="14.85" customHeight="1">
      <c r="A624" s="5238">
        <v>325</v>
      </c>
      <c r="B624" s="5238" t="s">
        <v>3684</v>
      </c>
      <c r="C624" s="5239" t="s">
        <v>2402</v>
      </c>
      <c r="D624" s="5240"/>
      <c r="E624" s="5241"/>
      <c r="F624" s="5243">
        <f t="shared" si="54"/>
        <v>0</v>
      </c>
      <c r="G624" s="5241"/>
      <c r="H624" s="5241"/>
      <c r="I624" s="5243">
        <f t="shared" si="55"/>
        <v>0</v>
      </c>
      <c r="J624" s="5244">
        <f t="shared" si="59"/>
        <v>0</v>
      </c>
      <c r="K624" s="5245">
        <f t="shared" si="56"/>
        <v>0</v>
      </c>
      <c r="L624" s="5245">
        <f t="shared" si="57"/>
        <v>0</v>
      </c>
      <c r="M624" s="5245">
        <f t="shared" si="58"/>
        <v>0</v>
      </c>
    </row>
    <row r="625" spans="1:13" ht="14.85" customHeight="1">
      <c r="A625" s="5238">
        <v>326</v>
      </c>
      <c r="B625" s="5238" t="s">
        <v>3685</v>
      </c>
      <c r="C625" s="5239" t="s">
        <v>2403</v>
      </c>
      <c r="D625" s="5240"/>
      <c r="E625" s="5241"/>
      <c r="F625" s="5243">
        <f t="shared" si="54"/>
        <v>0</v>
      </c>
      <c r="G625" s="5241"/>
      <c r="H625" s="5241"/>
      <c r="I625" s="5243">
        <f t="shared" si="55"/>
        <v>0</v>
      </c>
      <c r="J625" s="5244">
        <f t="shared" si="59"/>
        <v>0</v>
      </c>
      <c r="K625" s="5245">
        <f t="shared" si="56"/>
        <v>0</v>
      </c>
      <c r="L625" s="5245">
        <f t="shared" si="57"/>
        <v>0</v>
      </c>
      <c r="M625" s="5245">
        <f t="shared" si="58"/>
        <v>0</v>
      </c>
    </row>
    <row r="626" spans="1:13" ht="14.85" customHeight="1">
      <c r="A626" s="5238">
        <v>326</v>
      </c>
      <c r="B626" s="5238" t="s">
        <v>3686</v>
      </c>
      <c r="C626" s="5239" t="s">
        <v>2404</v>
      </c>
      <c r="D626" s="5240"/>
      <c r="E626" s="5241"/>
      <c r="F626" s="5243">
        <f t="shared" si="54"/>
        <v>0</v>
      </c>
      <c r="G626" s="5241"/>
      <c r="H626" s="5241"/>
      <c r="I626" s="5243">
        <f t="shared" si="55"/>
        <v>0</v>
      </c>
      <c r="J626" s="5244">
        <f t="shared" si="59"/>
        <v>0</v>
      </c>
      <c r="K626" s="5245">
        <f t="shared" si="56"/>
        <v>0</v>
      </c>
      <c r="L626" s="5245">
        <f t="shared" si="57"/>
        <v>0</v>
      </c>
      <c r="M626" s="5245">
        <f t="shared" si="58"/>
        <v>0</v>
      </c>
    </row>
    <row r="627" spans="1:13" ht="14.85" customHeight="1">
      <c r="A627" s="5238">
        <v>327</v>
      </c>
      <c r="B627" s="5238" t="s">
        <v>3687</v>
      </c>
      <c r="C627" s="5239" t="s">
        <v>2405</v>
      </c>
      <c r="D627" s="5240"/>
      <c r="E627" s="5241"/>
      <c r="F627" s="5243">
        <f t="shared" si="54"/>
        <v>0</v>
      </c>
      <c r="G627" s="5241"/>
      <c r="H627" s="5241"/>
      <c r="I627" s="5243">
        <f t="shared" si="55"/>
        <v>0</v>
      </c>
      <c r="J627" s="5244">
        <f t="shared" si="59"/>
        <v>0</v>
      </c>
      <c r="K627" s="5245">
        <f t="shared" si="56"/>
        <v>0</v>
      </c>
      <c r="L627" s="5245">
        <f t="shared" si="57"/>
        <v>0</v>
      </c>
      <c r="M627" s="5245">
        <f t="shared" si="58"/>
        <v>0</v>
      </c>
    </row>
    <row r="628" spans="1:13" ht="14.85" customHeight="1">
      <c r="A628" s="5238">
        <v>327</v>
      </c>
      <c r="B628" s="5238" t="s">
        <v>3688</v>
      </c>
      <c r="C628" s="5239" t="s">
        <v>2406</v>
      </c>
      <c r="D628" s="5240"/>
      <c r="E628" s="5241"/>
      <c r="F628" s="5243">
        <f t="shared" si="54"/>
        <v>0</v>
      </c>
      <c r="G628" s="5241"/>
      <c r="H628" s="5241"/>
      <c r="I628" s="5243">
        <f t="shared" si="55"/>
        <v>0</v>
      </c>
      <c r="J628" s="5244">
        <f t="shared" si="59"/>
        <v>0</v>
      </c>
      <c r="K628" s="5245">
        <f t="shared" si="56"/>
        <v>0</v>
      </c>
      <c r="L628" s="5245">
        <f t="shared" si="57"/>
        <v>0</v>
      </c>
      <c r="M628" s="5245">
        <f t="shared" si="58"/>
        <v>0</v>
      </c>
    </row>
    <row r="629" spans="1:13" ht="14.85" customHeight="1">
      <c r="A629" s="5238">
        <v>327</v>
      </c>
      <c r="B629" s="5238" t="s">
        <v>3689</v>
      </c>
      <c r="C629" s="5239" t="s">
        <v>2407</v>
      </c>
      <c r="D629" s="5240"/>
      <c r="E629" s="5241"/>
      <c r="F629" s="5243">
        <f t="shared" si="54"/>
        <v>0</v>
      </c>
      <c r="G629" s="5241"/>
      <c r="H629" s="5241"/>
      <c r="I629" s="5243">
        <f t="shared" si="55"/>
        <v>0</v>
      </c>
      <c r="J629" s="5244">
        <f t="shared" si="59"/>
        <v>0</v>
      </c>
      <c r="K629" s="5245">
        <f t="shared" si="56"/>
        <v>0</v>
      </c>
      <c r="L629" s="5245">
        <f t="shared" si="57"/>
        <v>0</v>
      </c>
      <c r="M629" s="5245">
        <f t="shared" si="58"/>
        <v>0</v>
      </c>
    </row>
    <row r="630" spans="1:13" ht="14.85" customHeight="1">
      <c r="A630" s="5238">
        <v>329</v>
      </c>
      <c r="B630" s="5238" t="s">
        <v>3690</v>
      </c>
      <c r="C630" s="5239" t="s">
        <v>2408</v>
      </c>
      <c r="D630" s="5240"/>
      <c r="E630" s="5241"/>
      <c r="F630" s="5243">
        <f t="shared" si="54"/>
        <v>0</v>
      </c>
      <c r="G630" s="5241"/>
      <c r="H630" s="5241"/>
      <c r="I630" s="5243">
        <f t="shared" si="55"/>
        <v>0</v>
      </c>
      <c r="J630" s="5244">
        <f t="shared" si="59"/>
        <v>0</v>
      </c>
      <c r="K630" s="5245">
        <f t="shared" si="56"/>
        <v>0</v>
      </c>
      <c r="L630" s="5245">
        <f t="shared" si="57"/>
        <v>0</v>
      </c>
      <c r="M630" s="5245">
        <f t="shared" si="58"/>
        <v>0</v>
      </c>
    </row>
    <row r="631" spans="1:13" ht="14.85" customHeight="1">
      <c r="A631" s="5238">
        <v>329</v>
      </c>
      <c r="B631" s="5238" t="s">
        <v>3691</v>
      </c>
      <c r="C631" s="5239" t="s">
        <v>2409</v>
      </c>
      <c r="D631" s="5240"/>
      <c r="E631" s="5241"/>
      <c r="F631" s="5243">
        <f t="shared" si="54"/>
        <v>0</v>
      </c>
      <c r="G631" s="5241"/>
      <c r="H631" s="5241"/>
      <c r="I631" s="5243">
        <f t="shared" si="55"/>
        <v>0</v>
      </c>
      <c r="J631" s="5244">
        <f t="shared" si="59"/>
        <v>0</v>
      </c>
      <c r="K631" s="5245">
        <f t="shared" si="56"/>
        <v>0</v>
      </c>
      <c r="L631" s="5245">
        <f t="shared" si="57"/>
        <v>0</v>
      </c>
      <c r="M631" s="5245">
        <f t="shared" si="58"/>
        <v>0</v>
      </c>
    </row>
    <row r="632" spans="1:13" ht="14.85" customHeight="1">
      <c r="A632" s="5238">
        <v>329</v>
      </c>
      <c r="B632" s="5238" t="s">
        <v>3692</v>
      </c>
      <c r="C632" s="5239" t="s">
        <v>2410</v>
      </c>
      <c r="D632" s="5240"/>
      <c r="E632" s="5241"/>
      <c r="F632" s="5243">
        <f t="shared" si="54"/>
        <v>0</v>
      </c>
      <c r="G632" s="5241"/>
      <c r="H632" s="5241"/>
      <c r="I632" s="5243">
        <f t="shared" si="55"/>
        <v>0</v>
      </c>
      <c r="J632" s="5244">
        <f t="shared" si="59"/>
        <v>0</v>
      </c>
      <c r="K632" s="5245">
        <f t="shared" si="56"/>
        <v>0</v>
      </c>
      <c r="L632" s="5245">
        <f t="shared" si="57"/>
        <v>0</v>
      </c>
      <c r="M632" s="5245">
        <f t="shared" si="58"/>
        <v>0</v>
      </c>
    </row>
    <row r="633" spans="1:13" ht="14.85" customHeight="1">
      <c r="A633" s="5238">
        <v>329</v>
      </c>
      <c r="B633" s="5238" t="s">
        <v>3693</v>
      </c>
      <c r="C633" s="5239" t="s">
        <v>2411</v>
      </c>
      <c r="D633" s="5240"/>
      <c r="E633" s="5241"/>
      <c r="F633" s="5243">
        <f t="shared" si="54"/>
        <v>0</v>
      </c>
      <c r="G633" s="5241"/>
      <c r="H633" s="5241"/>
      <c r="I633" s="5243">
        <f t="shared" si="55"/>
        <v>0</v>
      </c>
      <c r="J633" s="5244">
        <f t="shared" si="59"/>
        <v>0</v>
      </c>
      <c r="K633" s="5245">
        <f t="shared" si="56"/>
        <v>0</v>
      </c>
      <c r="L633" s="5245">
        <f t="shared" si="57"/>
        <v>0</v>
      </c>
      <c r="M633" s="5245">
        <f t="shared" si="58"/>
        <v>0</v>
      </c>
    </row>
    <row r="634" spans="1:13" ht="14.85" customHeight="1">
      <c r="A634" s="5238">
        <v>329</v>
      </c>
      <c r="B634" s="5238" t="s">
        <v>3694</v>
      </c>
      <c r="C634" s="5239" t="s">
        <v>2412</v>
      </c>
      <c r="D634" s="5240"/>
      <c r="E634" s="5241"/>
      <c r="F634" s="5243">
        <f t="shared" si="54"/>
        <v>0</v>
      </c>
      <c r="G634" s="5241"/>
      <c r="H634" s="5241"/>
      <c r="I634" s="5243">
        <f t="shared" si="55"/>
        <v>0</v>
      </c>
      <c r="J634" s="5244">
        <f t="shared" si="59"/>
        <v>0</v>
      </c>
      <c r="K634" s="5245">
        <f t="shared" si="56"/>
        <v>0</v>
      </c>
      <c r="L634" s="5245">
        <f t="shared" si="57"/>
        <v>0</v>
      </c>
      <c r="M634" s="5245">
        <f t="shared" si="58"/>
        <v>0</v>
      </c>
    </row>
    <row r="635" spans="1:13" ht="14.85" customHeight="1">
      <c r="A635" s="5238">
        <v>330</v>
      </c>
      <c r="B635" s="5238" t="s">
        <v>3695</v>
      </c>
      <c r="C635" s="5239" t="s">
        <v>4518</v>
      </c>
      <c r="D635" s="5240"/>
      <c r="E635" s="5241"/>
      <c r="F635" s="5243">
        <f t="shared" si="54"/>
        <v>0</v>
      </c>
      <c r="G635" s="5241"/>
      <c r="H635" s="5241"/>
      <c r="I635" s="5243">
        <f t="shared" si="55"/>
        <v>0</v>
      </c>
      <c r="J635" s="5244">
        <f t="shared" si="59"/>
        <v>0</v>
      </c>
      <c r="K635" s="5245">
        <f t="shared" si="56"/>
        <v>0</v>
      </c>
      <c r="L635" s="5245">
        <f t="shared" si="57"/>
        <v>0</v>
      </c>
      <c r="M635" s="5245">
        <f t="shared" si="58"/>
        <v>0</v>
      </c>
    </row>
    <row r="636" spans="1:13" ht="14.85" customHeight="1">
      <c r="A636" s="5238">
        <v>330</v>
      </c>
      <c r="B636" s="5238" t="s">
        <v>3696</v>
      </c>
      <c r="C636" s="5239" t="s">
        <v>2413</v>
      </c>
      <c r="D636" s="5240"/>
      <c r="E636" s="5241"/>
      <c r="F636" s="5243">
        <f t="shared" si="54"/>
        <v>0</v>
      </c>
      <c r="G636" s="5241"/>
      <c r="H636" s="5241"/>
      <c r="I636" s="5243">
        <f t="shared" si="55"/>
        <v>0</v>
      </c>
      <c r="J636" s="5244">
        <f t="shared" si="59"/>
        <v>0</v>
      </c>
      <c r="K636" s="5245">
        <f t="shared" si="56"/>
        <v>0</v>
      </c>
      <c r="L636" s="5245">
        <f t="shared" si="57"/>
        <v>0</v>
      </c>
      <c r="M636" s="5245">
        <f t="shared" si="58"/>
        <v>0</v>
      </c>
    </row>
    <row r="637" spans="1:13" ht="14.85" customHeight="1">
      <c r="A637" s="5238">
        <v>331</v>
      </c>
      <c r="B637" s="5238" t="s">
        <v>3697</v>
      </c>
      <c r="C637" s="5239" t="s">
        <v>2414</v>
      </c>
      <c r="D637" s="5240"/>
      <c r="E637" s="5241"/>
      <c r="F637" s="5243">
        <f t="shared" si="54"/>
        <v>0</v>
      </c>
      <c r="G637" s="5241"/>
      <c r="H637" s="5241"/>
      <c r="I637" s="5243">
        <f t="shared" si="55"/>
        <v>0</v>
      </c>
      <c r="J637" s="5244">
        <f t="shared" si="59"/>
        <v>0</v>
      </c>
      <c r="K637" s="5245">
        <f t="shared" si="56"/>
        <v>0</v>
      </c>
      <c r="L637" s="5245">
        <f t="shared" si="57"/>
        <v>0</v>
      </c>
      <c r="M637" s="5245">
        <f t="shared" si="58"/>
        <v>0</v>
      </c>
    </row>
    <row r="638" spans="1:13" ht="14.85" customHeight="1">
      <c r="A638" s="5238">
        <v>331</v>
      </c>
      <c r="B638" s="5238" t="s">
        <v>3698</v>
      </c>
      <c r="C638" s="5239" t="s">
        <v>2415</v>
      </c>
      <c r="D638" s="5240"/>
      <c r="E638" s="5241"/>
      <c r="F638" s="5243">
        <f t="shared" si="54"/>
        <v>0</v>
      </c>
      <c r="G638" s="5241"/>
      <c r="H638" s="5241"/>
      <c r="I638" s="5243">
        <f t="shared" si="55"/>
        <v>0</v>
      </c>
      <c r="J638" s="5244">
        <f t="shared" si="59"/>
        <v>0</v>
      </c>
      <c r="K638" s="5245">
        <f t="shared" si="56"/>
        <v>0</v>
      </c>
      <c r="L638" s="5245">
        <f t="shared" si="57"/>
        <v>0</v>
      </c>
      <c r="M638" s="5245">
        <f t="shared" si="58"/>
        <v>0</v>
      </c>
    </row>
    <row r="639" spans="1:13" ht="14.85" customHeight="1">
      <c r="A639" s="5238">
        <v>331</v>
      </c>
      <c r="B639" s="5238" t="s">
        <v>3699</v>
      </c>
      <c r="C639" s="5239" t="s">
        <v>2416</v>
      </c>
      <c r="D639" s="5240"/>
      <c r="E639" s="5241"/>
      <c r="F639" s="5243">
        <f t="shared" si="54"/>
        <v>0</v>
      </c>
      <c r="G639" s="5241"/>
      <c r="H639" s="5241"/>
      <c r="I639" s="5243">
        <f t="shared" si="55"/>
        <v>0</v>
      </c>
      <c r="J639" s="5244">
        <f t="shared" si="59"/>
        <v>0</v>
      </c>
      <c r="K639" s="5245">
        <f t="shared" si="56"/>
        <v>0</v>
      </c>
      <c r="L639" s="5245">
        <f t="shared" si="57"/>
        <v>0</v>
      </c>
      <c r="M639" s="5245">
        <f t="shared" si="58"/>
        <v>0</v>
      </c>
    </row>
    <row r="640" spans="1:13" ht="14.85" customHeight="1">
      <c r="A640" s="5238">
        <v>331</v>
      </c>
      <c r="B640" s="5238" t="s">
        <v>3700</v>
      </c>
      <c r="C640" s="5239" t="s">
        <v>2417</v>
      </c>
      <c r="D640" s="5240"/>
      <c r="E640" s="5241"/>
      <c r="F640" s="5243">
        <f t="shared" si="54"/>
        <v>0</v>
      </c>
      <c r="G640" s="5241"/>
      <c r="H640" s="5241"/>
      <c r="I640" s="5243">
        <f t="shared" si="55"/>
        <v>0</v>
      </c>
      <c r="J640" s="5244">
        <f t="shared" si="59"/>
        <v>0</v>
      </c>
      <c r="K640" s="5245">
        <f t="shared" si="56"/>
        <v>0</v>
      </c>
      <c r="L640" s="5245">
        <f t="shared" si="57"/>
        <v>0</v>
      </c>
      <c r="M640" s="5245">
        <f t="shared" si="58"/>
        <v>0</v>
      </c>
    </row>
    <row r="641" spans="1:13" ht="14.85" customHeight="1">
      <c r="A641" s="5238">
        <v>331</v>
      </c>
      <c r="B641" s="5238" t="s">
        <v>3701</v>
      </c>
      <c r="C641" s="5239" t="s">
        <v>2418</v>
      </c>
      <c r="D641" s="5240"/>
      <c r="E641" s="5241"/>
      <c r="F641" s="5243">
        <f t="shared" si="54"/>
        <v>0</v>
      </c>
      <c r="G641" s="5241"/>
      <c r="H641" s="5241"/>
      <c r="I641" s="5243">
        <f t="shared" si="55"/>
        <v>0</v>
      </c>
      <c r="J641" s="5244">
        <f t="shared" si="59"/>
        <v>0</v>
      </c>
      <c r="K641" s="5245">
        <f t="shared" si="56"/>
        <v>0</v>
      </c>
      <c r="L641" s="5245">
        <f t="shared" si="57"/>
        <v>0</v>
      </c>
      <c r="M641" s="5245">
        <f t="shared" si="58"/>
        <v>0</v>
      </c>
    </row>
    <row r="642" spans="1:13" ht="14.85" customHeight="1">
      <c r="A642" s="5238">
        <v>331</v>
      </c>
      <c r="B642" s="5238" t="s">
        <v>3702</v>
      </c>
      <c r="C642" s="5239" t="s">
        <v>2419</v>
      </c>
      <c r="D642" s="5240"/>
      <c r="E642" s="5241"/>
      <c r="F642" s="5243">
        <f t="shared" si="54"/>
        <v>0</v>
      </c>
      <c r="G642" s="5241"/>
      <c r="H642" s="5241"/>
      <c r="I642" s="5243">
        <f t="shared" si="55"/>
        <v>0</v>
      </c>
      <c r="J642" s="5244">
        <f t="shared" si="59"/>
        <v>0</v>
      </c>
      <c r="K642" s="5245">
        <f t="shared" si="56"/>
        <v>0</v>
      </c>
      <c r="L642" s="5245">
        <f t="shared" si="57"/>
        <v>0</v>
      </c>
      <c r="M642" s="5245">
        <f t="shared" si="58"/>
        <v>0</v>
      </c>
    </row>
    <row r="643" spans="1:13" ht="14.85" customHeight="1">
      <c r="A643" s="5238">
        <v>331</v>
      </c>
      <c r="B643" s="5238" t="s">
        <v>3703</v>
      </c>
      <c r="C643" s="5239" t="s">
        <v>2420</v>
      </c>
      <c r="D643" s="5240"/>
      <c r="E643" s="5241"/>
      <c r="F643" s="5243">
        <f t="shared" si="54"/>
        <v>0</v>
      </c>
      <c r="G643" s="5241"/>
      <c r="H643" s="5241"/>
      <c r="I643" s="5243">
        <f t="shared" si="55"/>
        <v>0</v>
      </c>
      <c r="J643" s="5244">
        <f t="shared" si="59"/>
        <v>0</v>
      </c>
      <c r="K643" s="5245">
        <f t="shared" si="56"/>
        <v>0</v>
      </c>
      <c r="L643" s="5245">
        <f t="shared" si="57"/>
        <v>0</v>
      </c>
      <c r="M643" s="5245">
        <f t="shared" si="58"/>
        <v>0</v>
      </c>
    </row>
    <row r="644" spans="1:13" ht="14.85" customHeight="1">
      <c r="A644" s="5238">
        <v>332</v>
      </c>
      <c r="B644" s="5238" t="s">
        <v>3704</v>
      </c>
      <c r="C644" s="5239" t="s">
        <v>2421</v>
      </c>
      <c r="D644" s="5240"/>
      <c r="E644" s="5241"/>
      <c r="F644" s="5243">
        <f t="shared" si="54"/>
        <v>0</v>
      </c>
      <c r="G644" s="5241"/>
      <c r="H644" s="5241"/>
      <c r="I644" s="5243">
        <f t="shared" si="55"/>
        <v>0</v>
      </c>
      <c r="J644" s="5244">
        <f t="shared" si="59"/>
        <v>0</v>
      </c>
      <c r="K644" s="5245">
        <f t="shared" si="56"/>
        <v>0</v>
      </c>
      <c r="L644" s="5245">
        <f t="shared" si="57"/>
        <v>0</v>
      </c>
      <c r="M644" s="5245">
        <f t="shared" si="58"/>
        <v>0</v>
      </c>
    </row>
    <row r="645" spans="1:13" ht="14.85" customHeight="1">
      <c r="A645" s="5238">
        <v>332</v>
      </c>
      <c r="B645" s="5238" t="s">
        <v>3705</v>
      </c>
      <c r="C645" s="5239" t="s">
        <v>2422</v>
      </c>
      <c r="D645" s="5240"/>
      <c r="E645" s="5241"/>
      <c r="F645" s="5243">
        <f t="shared" si="54"/>
        <v>0</v>
      </c>
      <c r="G645" s="5241"/>
      <c r="H645" s="5241"/>
      <c r="I645" s="5243">
        <f t="shared" si="55"/>
        <v>0</v>
      </c>
      <c r="J645" s="5244">
        <f t="shared" si="59"/>
        <v>0</v>
      </c>
      <c r="K645" s="5245">
        <f t="shared" si="56"/>
        <v>0</v>
      </c>
      <c r="L645" s="5245">
        <f t="shared" si="57"/>
        <v>0</v>
      </c>
      <c r="M645" s="5245">
        <f t="shared" si="58"/>
        <v>0</v>
      </c>
    </row>
    <row r="646" spans="1:13" ht="14.85" customHeight="1">
      <c r="A646" s="5238">
        <v>333</v>
      </c>
      <c r="B646" s="5238" t="s">
        <v>3706</v>
      </c>
      <c r="C646" s="5239" t="s">
        <v>2423</v>
      </c>
      <c r="D646" s="5240"/>
      <c r="E646" s="5241"/>
      <c r="F646" s="5243">
        <f t="shared" si="54"/>
        <v>0</v>
      </c>
      <c r="G646" s="5241"/>
      <c r="H646" s="5241"/>
      <c r="I646" s="5243">
        <f t="shared" si="55"/>
        <v>0</v>
      </c>
      <c r="J646" s="5244">
        <f t="shared" si="59"/>
        <v>0</v>
      </c>
      <c r="K646" s="5245">
        <f t="shared" si="56"/>
        <v>0</v>
      </c>
      <c r="L646" s="5245">
        <f t="shared" si="57"/>
        <v>0</v>
      </c>
      <c r="M646" s="5245">
        <f t="shared" si="58"/>
        <v>0</v>
      </c>
    </row>
    <row r="647" spans="1:13" ht="14.85" customHeight="1">
      <c r="A647" s="5238">
        <v>333</v>
      </c>
      <c r="B647" s="5238" t="s">
        <v>3707</v>
      </c>
      <c r="C647" s="5239" t="s">
        <v>2424</v>
      </c>
      <c r="D647" s="5240"/>
      <c r="E647" s="5241"/>
      <c r="F647" s="5243">
        <f t="shared" si="54"/>
        <v>0</v>
      </c>
      <c r="G647" s="5241"/>
      <c r="H647" s="5241"/>
      <c r="I647" s="5243">
        <f t="shared" si="55"/>
        <v>0</v>
      </c>
      <c r="J647" s="5244">
        <f t="shared" si="59"/>
        <v>0</v>
      </c>
      <c r="K647" s="5245">
        <f t="shared" si="56"/>
        <v>0</v>
      </c>
      <c r="L647" s="5245">
        <f t="shared" si="57"/>
        <v>0</v>
      </c>
      <c r="M647" s="5245">
        <f t="shared" si="58"/>
        <v>0</v>
      </c>
    </row>
    <row r="648" spans="1:13" ht="14.85" customHeight="1">
      <c r="A648" s="5238">
        <v>333</v>
      </c>
      <c r="B648" s="5238" t="s">
        <v>3708</v>
      </c>
      <c r="C648" s="5239" t="s">
        <v>2425</v>
      </c>
      <c r="D648" s="5240"/>
      <c r="E648" s="5241"/>
      <c r="F648" s="5243">
        <f t="shared" si="54"/>
        <v>0</v>
      </c>
      <c r="G648" s="5241"/>
      <c r="H648" s="5241"/>
      <c r="I648" s="5243">
        <f t="shared" si="55"/>
        <v>0</v>
      </c>
      <c r="J648" s="5244">
        <f t="shared" si="59"/>
        <v>0</v>
      </c>
      <c r="K648" s="5245">
        <f t="shared" si="56"/>
        <v>0</v>
      </c>
      <c r="L648" s="5245">
        <f t="shared" si="57"/>
        <v>0</v>
      </c>
      <c r="M648" s="5245">
        <f t="shared" si="58"/>
        <v>0</v>
      </c>
    </row>
    <row r="649" spans="1:13" ht="14.85" customHeight="1">
      <c r="A649" s="5238">
        <v>334</v>
      </c>
      <c r="B649" s="5238" t="s">
        <v>3709</v>
      </c>
      <c r="C649" s="5239" t="s">
        <v>2426</v>
      </c>
      <c r="D649" s="5240"/>
      <c r="E649" s="5241"/>
      <c r="F649" s="5243">
        <f t="shared" si="54"/>
        <v>0</v>
      </c>
      <c r="G649" s="5241"/>
      <c r="H649" s="5241"/>
      <c r="I649" s="5243">
        <f t="shared" si="55"/>
        <v>0</v>
      </c>
      <c r="J649" s="5244">
        <f t="shared" si="59"/>
        <v>0</v>
      </c>
      <c r="K649" s="5245">
        <f t="shared" si="56"/>
        <v>0</v>
      </c>
      <c r="L649" s="5245">
        <f t="shared" si="57"/>
        <v>0</v>
      </c>
      <c r="M649" s="5245">
        <f t="shared" si="58"/>
        <v>0</v>
      </c>
    </row>
    <row r="650" spans="1:13" ht="14.85" customHeight="1">
      <c r="A650" s="5238">
        <v>334</v>
      </c>
      <c r="B650" s="5238" t="s">
        <v>3710</v>
      </c>
      <c r="C650" s="5239" t="s">
        <v>2427</v>
      </c>
      <c r="D650" s="5240"/>
      <c r="E650" s="5241"/>
      <c r="F650" s="5243">
        <f t="shared" si="54"/>
        <v>0</v>
      </c>
      <c r="G650" s="5241"/>
      <c r="H650" s="5241"/>
      <c r="I650" s="5243">
        <f t="shared" si="55"/>
        <v>0</v>
      </c>
      <c r="J650" s="5244">
        <f t="shared" si="59"/>
        <v>0</v>
      </c>
      <c r="K650" s="5245">
        <f t="shared" si="56"/>
        <v>0</v>
      </c>
      <c r="L650" s="5245">
        <f t="shared" si="57"/>
        <v>0</v>
      </c>
      <c r="M650" s="5245">
        <f t="shared" si="58"/>
        <v>0</v>
      </c>
    </row>
    <row r="651" spans="1:13" ht="14.85" customHeight="1">
      <c r="A651" s="5238">
        <v>334</v>
      </c>
      <c r="B651" s="5238" t="s">
        <v>3711</v>
      </c>
      <c r="C651" s="5239" t="s">
        <v>2428</v>
      </c>
      <c r="D651" s="5240"/>
      <c r="E651" s="5241"/>
      <c r="F651" s="5243">
        <f t="shared" si="54"/>
        <v>0</v>
      </c>
      <c r="G651" s="5241"/>
      <c r="H651" s="5241"/>
      <c r="I651" s="5243">
        <f t="shared" si="55"/>
        <v>0</v>
      </c>
      <c r="J651" s="5244">
        <f t="shared" si="59"/>
        <v>0</v>
      </c>
      <c r="K651" s="5245">
        <f t="shared" si="56"/>
        <v>0</v>
      </c>
      <c r="L651" s="5245">
        <f t="shared" si="57"/>
        <v>0</v>
      </c>
      <c r="M651" s="5245">
        <f t="shared" si="58"/>
        <v>0</v>
      </c>
    </row>
    <row r="652" spans="1:13" ht="14.85" customHeight="1">
      <c r="A652" s="5238">
        <v>334</v>
      </c>
      <c r="B652" s="5238" t="s">
        <v>3712</v>
      </c>
      <c r="C652" s="5239" t="s">
        <v>2429</v>
      </c>
      <c r="D652" s="5240"/>
      <c r="E652" s="5241"/>
      <c r="F652" s="5243">
        <f t="shared" si="54"/>
        <v>0</v>
      </c>
      <c r="G652" s="5241"/>
      <c r="H652" s="5241"/>
      <c r="I652" s="5243">
        <f t="shared" si="55"/>
        <v>0</v>
      </c>
      <c r="J652" s="5244">
        <f t="shared" si="59"/>
        <v>0</v>
      </c>
      <c r="K652" s="5245">
        <f t="shared" si="56"/>
        <v>0</v>
      </c>
      <c r="L652" s="5245">
        <f t="shared" si="57"/>
        <v>0</v>
      </c>
      <c r="M652" s="5245">
        <f t="shared" si="58"/>
        <v>0</v>
      </c>
    </row>
    <row r="653" spans="1:13" ht="14.85" customHeight="1">
      <c r="A653" s="5238">
        <v>335</v>
      </c>
      <c r="B653" s="5238" t="s">
        <v>3713</v>
      </c>
      <c r="C653" s="5239" t="s">
        <v>2430</v>
      </c>
      <c r="D653" s="5240"/>
      <c r="E653" s="5241"/>
      <c r="F653" s="5243">
        <f t="shared" si="54"/>
        <v>0</v>
      </c>
      <c r="G653" s="5241"/>
      <c r="H653" s="5241"/>
      <c r="I653" s="5243">
        <f t="shared" si="55"/>
        <v>0</v>
      </c>
      <c r="J653" s="5244">
        <f t="shared" si="59"/>
        <v>0</v>
      </c>
      <c r="K653" s="5245">
        <f t="shared" si="56"/>
        <v>0</v>
      </c>
      <c r="L653" s="5245">
        <f t="shared" si="57"/>
        <v>0</v>
      </c>
      <c r="M653" s="5245">
        <f t="shared" si="58"/>
        <v>0</v>
      </c>
    </row>
    <row r="654" spans="1:13" ht="14.85" customHeight="1">
      <c r="A654" s="5238">
        <v>335</v>
      </c>
      <c r="B654" s="5238" t="s">
        <v>3714</v>
      </c>
      <c r="C654" s="5239" t="s">
        <v>4519</v>
      </c>
      <c r="D654" s="5240"/>
      <c r="E654" s="5241"/>
      <c r="F654" s="5243">
        <f t="shared" si="54"/>
        <v>0</v>
      </c>
      <c r="G654" s="5241"/>
      <c r="H654" s="5241"/>
      <c r="I654" s="5243">
        <f t="shared" si="55"/>
        <v>0</v>
      </c>
      <c r="J654" s="5244">
        <f t="shared" si="59"/>
        <v>0</v>
      </c>
      <c r="K654" s="5245">
        <f t="shared" si="56"/>
        <v>0</v>
      </c>
      <c r="L654" s="5245">
        <f t="shared" si="57"/>
        <v>0</v>
      </c>
      <c r="M654" s="5245">
        <f t="shared" si="58"/>
        <v>0</v>
      </c>
    </row>
    <row r="655" spans="1:13" ht="14.85" customHeight="1">
      <c r="A655" s="5238">
        <v>336</v>
      </c>
      <c r="B655" s="5238" t="s">
        <v>3715</v>
      </c>
      <c r="C655" s="5239" t="s">
        <v>2431</v>
      </c>
      <c r="D655" s="5240"/>
      <c r="E655" s="5241"/>
      <c r="F655" s="5243">
        <f t="shared" si="54"/>
        <v>0</v>
      </c>
      <c r="G655" s="5241"/>
      <c r="H655" s="5241"/>
      <c r="I655" s="5243">
        <f t="shared" si="55"/>
        <v>0</v>
      </c>
      <c r="J655" s="5244">
        <f t="shared" si="59"/>
        <v>0</v>
      </c>
      <c r="K655" s="5245">
        <f t="shared" si="56"/>
        <v>0</v>
      </c>
      <c r="L655" s="5245">
        <f t="shared" si="57"/>
        <v>0</v>
      </c>
      <c r="M655" s="5245">
        <f t="shared" si="58"/>
        <v>0</v>
      </c>
    </row>
    <row r="656" spans="1:13" ht="14.85" customHeight="1">
      <c r="A656" s="5238">
        <v>336</v>
      </c>
      <c r="B656" s="5238" t="s">
        <v>3716</v>
      </c>
      <c r="C656" s="5239" t="s">
        <v>2432</v>
      </c>
      <c r="D656" s="5240"/>
      <c r="E656" s="5241"/>
      <c r="F656" s="5243">
        <f t="shared" si="54"/>
        <v>0</v>
      </c>
      <c r="G656" s="5241"/>
      <c r="H656" s="5241"/>
      <c r="I656" s="5243">
        <f t="shared" si="55"/>
        <v>0</v>
      </c>
      <c r="J656" s="5244">
        <f t="shared" si="59"/>
        <v>0</v>
      </c>
      <c r="K656" s="5245">
        <f t="shared" si="56"/>
        <v>0</v>
      </c>
      <c r="L656" s="5245">
        <f t="shared" si="57"/>
        <v>0</v>
      </c>
      <c r="M656" s="5245">
        <f t="shared" si="58"/>
        <v>0</v>
      </c>
    </row>
    <row r="657" spans="1:13" ht="14.85" customHeight="1">
      <c r="A657" s="5238">
        <v>336</v>
      </c>
      <c r="B657" s="5238" t="s">
        <v>3717</v>
      </c>
      <c r="C657" s="5239" t="s">
        <v>2433</v>
      </c>
      <c r="D657" s="5240"/>
      <c r="E657" s="5241"/>
      <c r="F657" s="5243">
        <f t="shared" si="54"/>
        <v>0</v>
      </c>
      <c r="G657" s="5241"/>
      <c r="H657" s="5241"/>
      <c r="I657" s="5243">
        <f t="shared" si="55"/>
        <v>0</v>
      </c>
      <c r="J657" s="5244">
        <f t="shared" si="59"/>
        <v>0</v>
      </c>
      <c r="K657" s="5245">
        <f t="shared" si="56"/>
        <v>0</v>
      </c>
      <c r="L657" s="5245">
        <f t="shared" si="57"/>
        <v>0</v>
      </c>
      <c r="M657" s="5245">
        <f t="shared" si="58"/>
        <v>0</v>
      </c>
    </row>
    <row r="658" spans="1:13" ht="14.85" customHeight="1">
      <c r="A658" s="5238">
        <v>337</v>
      </c>
      <c r="B658" s="5238" t="s">
        <v>3718</v>
      </c>
      <c r="C658" s="5239" t="s">
        <v>2434</v>
      </c>
      <c r="D658" s="5240"/>
      <c r="E658" s="5241"/>
      <c r="F658" s="5243">
        <f t="shared" si="54"/>
        <v>0</v>
      </c>
      <c r="G658" s="5241"/>
      <c r="H658" s="5241"/>
      <c r="I658" s="5243">
        <f t="shared" si="55"/>
        <v>0</v>
      </c>
      <c r="J658" s="5244">
        <f t="shared" si="59"/>
        <v>0</v>
      </c>
      <c r="K658" s="5245">
        <f t="shared" si="56"/>
        <v>0</v>
      </c>
      <c r="L658" s="5245">
        <f t="shared" si="57"/>
        <v>0</v>
      </c>
      <c r="M658" s="5245">
        <f t="shared" si="58"/>
        <v>0</v>
      </c>
    </row>
    <row r="659" spans="1:13" ht="14.85" customHeight="1">
      <c r="A659" s="5238">
        <v>337</v>
      </c>
      <c r="B659" s="5238" t="s">
        <v>3719</v>
      </c>
      <c r="C659" s="5239" t="s">
        <v>2435</v>
      </c>
      <c r="D659" s="5240"/>
      <c r="E659" s="5241"/>
      <c r="F659" s="5243">
        <f t="shared" si="54"/>
        <v>0</v>
      </c>
      <c r="G659" s="5241"/>
      <c r="H659" s="5241"/>
      <c r="I659" s="5243">
        <f t="shared" si="55"/>
        <v>0</v>
      </c>
      <c r="J659" s="5244">
        <f t="shared" si="59"/>
        <v>0</v>
      </c>
      <c r="K659" s="5245">
        <f t="shared" si="56"/>
        <v>0</v>
      </c>
      <c r="L659" s="5245">
        <f t="shared" si="57"/>
        <v>0</v>
      </c>
      <c r="M659" s="5245">
        <f t="shared" si="58"/>
        <v>0</v>
      </c>
    </row>
    <row r="660" spans="1:13" ht="14.85" customHeight="1">
      <c r="A660" s="5238">
        <v>337</v>
      </c>
      <c r="B660" s="5238" t="s">
        <v>3720</v>
      </c>
      <c r="C660" s="5239" t="s">
        <v>2436</v>
      </c>
      <c r="D660" s="5240"/>
      <c r="E660" s="5241"/>
      <c r="F660" s="5243">
        <f t="shared" si="54"/>
        <v>0</v>
      </c>
      <c r="G660" s="5241"/>
      <c r="H660" s="5241"/>
      <c r="I660" s="5243">
        <f t="shared" si="55"/>
        <v>0</v>
      </c>
      <c r="J660" s="5244">
        <f t="shared" si="59"/>
        <v>0</v>
      </c>
      <c r="K660" s="5245">
        <f t="shared" si="56"/>
        <v>0</v>
      </c>
      <c r="L660" s="5245">
        <f t="shared" si="57"/>
        <v>0</v>
      </c>
      <c r="M660" s="5245">
        <f t="shared" si="58"/>
        <v>0</v>
      </c>
    </row>
    <row r="661" spans="1:13" ht="14.85" customHeight="1">
      <c r="A661" s="5238">
        <v>338</v>
      </c>
      <c r="B661" s="5238" t="s">
        <v>3721</v>
      </c>
      <c r="C661" s="5239" t="s">
        <v>2437</v>
      </c>
      <c r="D661" s="5240"/>
      <c r="E661" s="5241"/>
      <c r="F661" s="5243">
        <f t="shared" si="54"/>
        <v>0</v>
      </c>
      <c r="G661" s="5241"/>
      <c r="H661" s="5241"/>
      <c r="I661" s="5243">
        <f t="shared" si="55"/>
        <v>0</v>
      </c>
      <c r="J661" s="5244">
        <f t="shared" si="59"/>
        <v>0</v>
      </c>
      <c r="K661" s="5245">
        <f t="shared" si="56"/>
        <v>0</v>
      </c>
      <c r="L661" s="5245">
        <f t="shared" si="57"/>
        <v>0</v>
      </c>
      <c r="M661" s="5245">
        <f t="shared" si="58"/>
        <v>0</v>
      </c>
    </row>
    <row r="662" spans="1:13" ht="14.85" customHeight="1">
      <c r="A662" s="5238">
        <v>338</v>
      </c>
      <c r="B662" s="5238" t="s">
        <v>3722</v>
      </c>
      <c r="C662" s="5239" t="s">
        <v>2438</v>
      </c>
      <c r="D662" s="5240"/>
      <c r="E662" s="5241"/>
      <c r="F662" s="5243">
        <f t="shared" si="54"/>
        <v>0</v>
      </c>
      <c r="G662" s="5241"/>
      <c r="H662" s="5241"/>
      <c r="I662" s="5243">
        <f t="shared" si="55"/>
        <v>0</v>
      </c>
      <c r="J662" s="5244">
        <f t="shared" si="59"/>
        <v>0</v>
      </c>
      <c r="K662" s="5245">
        <f t="shared" si="56"/>
        <v>0</v>
      </c>
      <c r="L662" s="5245">
        <f t="shared" si="57"/>
        <v>0</v>
      </c>
      <c r="M662" s="5245">
        <f t="shared" si="58"/>
        <v>0</v>
      </c>
    </row>
    <row r="663" spans="1:13" ht="14.85" customHeight="1">
      <c r="A663" s="5238">
        <v>339</v>
      </c>
      <c r="B663" s="5238" t="s">
        <v>3723</v>
      </c>
      <c r="C663" s="5239" t="s">
        <v>2439</v>
      </c>
      <c r="D663" s="5240"/>
      <c r="E663" s="5241"/>
      <c r="F663" s="5243">
        <f t="shared" si="54"/>
        <v>0</v>
      </c>
      <c r="G663" s="5241"/>
      <c r="H663" s="5241"/>
      <c r="I663" s="5243">
        <f t="shared" si="55"/>
        <v>0</v>
      </c>
      <c r="J663" s="5244">
        <f t="shared" si="59"/>
        <v>0</v>
      </c>
      <c r="K663" s="5245">
        <f t="shared" si="56"/>
        <v>0</v>
      </c>
      <c r="L663" s="5245">
        <f t="shared" si="57"/>
        <v>0</v>
      </c>
      <c r="M663" s="5245">
        <f t="shared" si="58"/>
        <v>0</v>
      </c>
    </row>
    <row r="664" spans="1:13" ht="14.85" customHeight="1">
      <c r="A664" s="5238">
        <v>339</v>
      </c>
      <c r="B664" s="5238" t="s">
        <v>3724</v>
      </c>
      <c r="C664" s="5239" t="s">
        <v>4520</v>
      </c>
      <c r="D664" s="5240"/>
      <c r="E664" s="5241"/>
      <c r="F664" s="5243">
        <f t="shared" si="54"/>
        <v>0</v>
      </c>
      <c r="G664" s="5241"/>
      <c r="H664" s="5241"/>
      <c r="I664" s="5243">
        <f t="shared" si="55"/>
        <v>0</v>
      </c>
      <c r="J664" s="5244">
        <f t="shared" si="59"/>
        <v>0</v>
      </c>
      <c r="K664" s="5245">
        <f t="shared" si="56"/>
        <v>0</v>
      </c>
      <c r="L664" s="5245">
        <f t="shared" si="57"/>
        <v>0</v>
      </c>
      <c r="M664" s="5245">
        <f t="shared" si="58"/>
        <v>0</v>
      </c>
    </row>
    <row r="665" spans="1:13" ht="14.85" customHeight="1">
      <c r="A665" s="5238">
        <v>340</v>
      </c>
      <c r="B665" s="5238" t="s">
        <v>3725</v>
      </c>
      <c r="C665" s="5239" t="s">
        <v>2440</v>
      </c>
      <c r="D665" s="5240"/>
      <c r="E665" s="5241"/>
      <c r="F665" s="5243">
        <f t="shared" si="54"/>
        <v>0</v>
      </c>
      <c r="G665" s="5241"/>
      <c r="H665" s="5241"/>
      <c r="I665" s="5243">
        <f t="shared" si="55"/>
        <v>0</v>
      </c>
      <c r="J665" s="5244">
        <f t="shared" si="59"/>
        <v>0</v>
      </c>
      <c r="K665" s="5245">
        <f t="shared" si="56"/>
        <v>0</v>
      </c>
      <c r="L665" s="5245">
        <f t="shared" si="57"/>
        <v>0</v>
      </c>
      <c r="M665" s="5245">
        <f t="shared" si="58"/>
        <v>0</v>
      </c>
    </row>
    <row r="666" spans="1:13" ht="14.85" customHeight="1">
      <c r="A666" s="5238">
        <v>340</v>
      </c>
      <c r="B666" s="5238" t="s">
        <v>3726</v>
      </c>
      <c r="C666" s="5239" t="s">
        <v>2441</v>
      </c>
      <c r="D666" s="5240"/>
      <c r="E666" s="5241"/>
      <c r="F666" s="5243">
        <f t="shared" si="54"/>
        <v>0</v>
      </c>
      <c r="G666" s="5241"/>
      <c r="H666" s="5241"/>
      <c r="I666" s="5243">
        <f t="shared" si="55"/>
        <v>0</v>
      </c>
      <c r="J666" s="5244">
        <f t="shared" si="59"/>
        <v>0</v>
      </c>
      <c r="K666" s="5245">
        <f t="shared" si="56"/>
        <v>0</v>
      </c>
      <c r="L666" s="5245">
        <f t="shared" si="57"/>
        <v>0</v>
      </c>
      <c r="M666" s="5245">
        <f t="shared" si="58"/>
        <v>0</v>
      </c>
    </row>
    <row r="667" spans="1:13" ht="14.85" customHeight="1">
      <c r="A667" s="5238">
        <v>340</v>
      </c>
      <c r="B667" s="5238" t="s">
        <v>3727</v>
      </c>
      <c r="C667" s="5239" t="s">
        <v>2442</v>
      </c>
      <c r="D667" s="5240"/>
      <c r="E667" s="5241"/>
      <c r="F667" s="5243">
        <f t="shared" si="54"/>
        <v>0</v>
      </c>
      <c r="G667" s="5241"/>
      <c r="H667" s="5241"/>
      <c r="I667" s="5243">
        <f t="shared" si="55"/>
        <v>0</v>
      </c>
      <c r="J667" s="5244">
        <f t="shared" si="59"/>
        <v>0</v>
      </c>
      <c r="K667" s="5245">
        <f t="shared" si="56"/>
        <v>0</v>
      </c>
      <c r="L667" s="5245">
        <f t="shared" si="57"/>
        <v>0</v>
      </c>
      <c r="M667" s="5245">
        <f t="shared" si="58"/>
        <v>0</v>
      </c>
    </row>
    <row r="668" spans="1:13" ht="14.85" customHeight="1">
      <c r="A668" s="5238">
        <v>341</v>
      </c>
      <c r="B668" s="5238" t="s">
        <v>3728</v>
      </c>
      <c r="C668" s="5239" t="s">
        <v>2443</v>
      </c>
      <c r="D668" s="5240"/>
      <c r="E668" s="5241"/>
      <c r="F668" s="5243">
        <f t="shared" si="54"/>
        <v>0</v>
      </c>
      <c r="G668" s="5241"/>
      <c r="H668" s="5241"/>
      <c r="I668" s="5243">
        <f t="shared" si="55"/>
        <v>0</v>
      </c>
      <c r="J668" s="5244">
        <f t="shared" si="59"/>
        <v>0</v>
      </c>
      <c r="K668" s="5245">
        <f t="shared" si="56"/>
        <v>0</v>
      </c>
      <c r="L668" s="5245">
        <f t="shared" si="57"/>
        <v>0</v>
      </c>
      <c r="M668" s="5245">
        <f t="shared" si="58"/>
        <v>0</v>
      </c>
    </row>
    <row r="669" spans="1:13" ht="14.85" customHeight="1">
      <c r="A669" s="5238">
        <v>341</v>
      </c>
      <c r="B669" s="5238" t="s">
        <v>3729</v>
      </c>
      <c r="C669" s="5239" t="s">
        <v>2444</v>
      </c>
      <c r="D669" s="5240"/>
      <c r="E669" s="5241"/>
      <c r="F669" s="5243">
        <f t="shared" si="54"/>
        <v>0</v>
      </c>
      <c r="G669" s="5241"/>
      <c r="H669" s="5241"/>
      <c r="I669" s="5243">
        <f t="shared" si="55"/>
        <v>0</v>
      </c>
      <c r="J669" s="5244">
        <f t="shared" si="59"/>
        <v>0</v>
      </c>
      <c r="K669" s="5245">
        <f t="shared" si="56"/>
        <v>0</v>
      </c>
      <c r="L669" s="5245">
        <f t="shared" si="57"/>
        <v>0</v>
      </c>
      <c r="M669" s="5245">
        <f t="shared" si="58"/>
        <v>0</v>
      </c>
    </row>
    <row r="670" spans="1:13" ht="14.85" customHeight="1">
      <c r="A670" s="5238">
        <v>342</v>
      </c>
      <c r="B670" s="5238" t="s">
        <v>3730</v>
      </c>
      <c r="C670" s="5239" t="s">
        <v>2445</v>
      </c>
      <c r="D670" s="5240"/>
      <c r="E670" s="5241"/>
      <c r="F670" s="5243">
        <f t="shared" si="54"/>
        <v>0</v>
      </c>
      <c r="G670" s="5241"/>
      <c r="H670" s="5241"/>
      <c r="I670" s="5243">
        <f t="shared" si="55"/>
        <v>0</v>
      </c>
      <c r="J670" s="5244">
        <f t="shared" si="59"/>
        <v>0</v>
      </c>
      <c r="K670" s="5245">
        <f t="shared" si="56"/>
        <v>0</v>
      </c>
      <c r="L670" s="5245">
        <f t="shared" si="57"/>
        <v>0</v>
      </c>
      <c r="M670" s="5245">
        <f t="shared" si="58"/>
        <v>0</v>
      </c>
    </row>
    <row r="671" spans="1:13" ht="14.85" customHeight="1">
      <c r="A671" s="5238">
        <v>342</v>
      </c>
      <c r="B671" s="5238" t="s">
        <v>3731</v>
      </c>
      <c r="C671" s="5239" t="s">
        <v>2446</v>
      </c>
      <c r="D671" s="5240"/>
      <c r="E671" s="5241"/>
      <c r="F671" s="5243">
        <f t="shared" si="54"/>
        <v>0</v>
      </c>
      <c r="G671" s="5241"/>
      <c r="H671" s="5241"/>
      <c r="I671" s="5243">
        <f t="shared" si="55"/>
        <v>0</v>
      </c>
      <c r="J671" s="5244">
        <f t="shared" si="59"/>
        <v>0</v>
      </c>
      <c r="K671" s="5245">
        <f t="shared" si="56"/>
        <v>0</v>
      </c>
      <c r="L671" s="5245">
        <f t="shared" si="57"/>
        <v>0</v>
      </c>
      <c r="M671" s="5245">
        <f t="shared" si="58"/>
        <v>0</v>
      </c>
    </row>
    <row r="672" spans="1:13" ht="14.85" customHeight="1">
      <c r="A672" s="5238">
        <v>342</v>
      </c>
      <c r="B672" s="5238" t="s">
        <v>3732</v>
      </c>
      <c r="C672" s="5239" t="s">
        <v>2447</v>
      </c>
      <c r="D672" s="5240"/>
      <c r="E672" s="5241"/>
      <c r="F672" s="5243">
        <f t="shared" si="54"/>
        <v>0</v>
      </c>
      <c r="G672" s="5241"/>
      <c r="H672" s="5241"/>
      <c r="I672" s="5243">
        <f t="shared" si="55"/>
        <v>0</v>
      </c>
      <c r="J672" s="5244">
        <f t="shared" si="59"/>
        <v>0</v>
      </c>
      <c r="K672" s="5245">
        <f t="shared" si="56"/>
        <v>0</v>
      </c>
      <c r="L672" s="5245">
        <f t="shared" si="57"/>
        <v>0</v>
      </c>
      <c r="M672" s="5245">
        <f t="shared" si="58"/>
        <v>0</v>
      </c>
    </row>
    <row r="673" spans="1:13" ht="14.85" customHeight="1">
      <c r="A673" s="5238">
        <v>343</v>
      </c>
      <c r="B673" s="5238" t="s">
        <v>3733</v>
      </c>
      <c r="C673" s="5239" t="s">
        <v>2448</v>
      </c>
      <c r="D673" s="5240"/>
      <c r="E673" s="5241"/>
      <c r="F673" s="5243">
        <f t="shared" ref="F673:F736" si="60">SUM(D673:E673)</f>
        <v>0</v>
      </c>
      <c r="G673" s="5241"/>
      <c r="H673" s="5241"/>
      <c r="I673" s="5243">
        <f t="shared" ref="I673:I736" si="61">SUM(G673:H673)</f>
        <v>0</v>
      </c>
      <c r="J673" s="5244">
        <f t="shared" si="59"/>
        <v>0</v>
      </c>
      <c r="K673" s="5245">
        <f t="shared" ref="K673:K736" si="62">IF(AND((J673-35%)&gt;0,J673&lt;50%),I673*(J673-35%)*0.7,0)</f>
        <v>0</v>
      </c>
      <c r="L673" s="5245">
        <f t="shared" ref="L673:L736" si="63">IF(J673&gt;=50%,I673*10.5%,0)</f>
        <v>0</v>
      </c>
      <c r="M673" s="5245">
        <f t="shared" ref="M673:M736" si="64">MAX(K673,L673)</f>
        <v>0</v>
      </c>
    </row>
    <row r="674" spans="1:13" ht="14.85" customHeight="1">
      <c r="A674" s="5238">
        <v>343</v>
      </c>
      <c r="B674" s="5238" t="s">
        <v>3734</v>
      </c>
      <c r="C674" s="5239" t="s">
        <v>2449</v>
      </c>
      <c r="D674" s="5240"/>
      <c r="E674" s="5241"/>
      <c r="F674" s="5243">
        <f t="shared" si="60"/>
        <v>0</v>
      </c>
      <c r="G674" s="5241"/>
      <c r="H674" s="5241"/>
      <c r="I674" s="5243">
        <f t="shared" si="61"/>
        <v>0</v>
      </c>
      <c r="J674" s="5244">
        <f t="shared" si="59"/>
        <v>0</v>
      </c>
      <c r="K674" s="5245">
        <f t="shared" si="62"/>
        <v>0</v>
      </c>
      <c r="L674" s="5245">
        <f t="shared" si="63"/>
        <v>0</v>
      </c>
      <c r="M674" s="5245">
        <f t="shared" si="64"/>
        <v>0</v>
      </c>
    </row>
    <row r="675" spans="1:13" ht="14.85" customHeight="1">
      <c r="A675" s="5238">
        <v>343</v>
      </c>
      <c r="B675" s="5238" t="s">
        <v>3735</v>
      </c>
      <c r="C675" s="5239" t="s">
        <v>2450</v>
      </c>
      <c r="D675" s="5240"/>
      <c r="E675" s="5241"/>
      <c r="F675" s="5243">
        <f t="shared" si="60"/>
        <v>0</v>
      </c>
      <c r="G675" s="5241"/>
      <c r="H675" s="5241"/>
      <c r="I675" s="5243">
        <f t="shared" si="61"/>
        <v>0</v>
      </c>
      <c r="J675" s="5244">
        <f t="shared" si="59"/>
        <v>0</v>
      </c>
      <c r="K675" s="5245">
        <f t="shared" si="62"/>
        <v>0</v>
      </c>
      <c r="L675" s="5245">
        <f t="shared" si="63"/>
        <v>0</v>
      </c>
      <c r="M675" s="5245">
        <f t="shared" si="64"/>
        <v>0</v>
      </c>
    </row>
    <row r="676" spans="1:13" ht="14.85" customHeight="1">
      <c r="A676" s="5238">
        <v>344</v>
      </c>
      <c r="B676" s="5238" t="s">
        <v>3736</v>
      </c>
      <c r="C676" s="5239" t="s">
        <v>2451</v>
      </c>
      <c r="D676" s="5240"/>
      <c r="E676" s="5241"/>
      <c r="F676" s="5243">
        <f t="shared" si="60"/>
        <v>0</v>
      </c>
      <c r="G676" s="5241"/>
      <c r="H676" s="5241"/>
      <c r="I676" s="5243">
        <f t="shared" si="61"/>
        <v>0</v>
      </c>
      <c r="J676" s="5244">
        <f t="shared" ref="J676:J739" si="65">IF(ISERROR(I676/F676),0,I676/F676)</f>
        <v>0</v>
      </c>
      <c r="K676" s="5245">
        <f t="shared" si="62"/>
        <v>0</v>
      </c>
      <c r="L676" s="5245">
        <f t="shared" si="63"/>
        <v>0</v>
      </c>
      <c r="M676" s="5245">
        <f t="shared" si="64"/>
        <v>0</v>
      </c>
    </row>
    <row r="677" spans="1:13" ht="14.85" customHeight="1">
      <c r="A677" s="5238">
        <v>344</v>
      </c>
      <c r="B677" s="5238" t="s">
        <v>3737</v>
      </c>
      <c r="C677" s="5239" t="s">
        <v>2452</v>
      </c>
      <c r="D677" s="5240"/>
      <c r="E677" s="5241"/>
      <c r="F677" s="5243">
        <f t="shared" si="60"/>
        <v>0</v>
      </c>
      <c r="G677" s="5241"/>
      <c r="H677" s="5241"/>
      <c r="I677" s="5243">
        <f t="shared" si="61"/>
        <v>0</v>
      </c>
      <c r="J677" s="5244">
        <f t="shared" si="65"/>
        <v>0</v>
      </c>
      <c r="K677" s="5245">
        <f t="shared" si="62"/>
        <v>0</v>
      </c>
      <c r="L677" s="5245">
        <f t="shared" si="63"/>
        <v>0</v>
      </c>
      <c r="M677" s="5245">
        <f t="shared" si="64"/>
        <v>0</v>
      </c>
    </row>
    <row r="678" spans="1:13" ht="14.85" customHeight="1">
      <c r="A678" s="5238">
        <v>345</v>
      </c>
      <c r="B678" s="5238" t="s">
        <v>3738</v>
      </c>
      <c r="C678" s="5239" t="s">
        <v>2453</v>
      </c>
      <c r="D678" s="5240"/>
      <c r="E678" s="5241"/>
      <c r="F678" s="5243">
        <f t="shared" si="60"/>
        <v>0</v>
      </c>
      <c r="G678" s="5241"/>
      <c r="H678" s="5241"/>
      <c r="I678" s="5243">
        <f t="shared" si="61"/>
        <v>0</v>
      </c>
      <c r="J678" s="5244">
        <f t="shared" si="65"/>
        <v>0</v>
      </c>
      <c r="K678" s="5245">
        <f t="shared" si="62"/>
        <v>0</v>
      </c>
      <c r="L678" s="5245">
        <f t="shared" si="63"/>
        <v>0</v>
      </c>
      <c r="M678" s="5245">
        <f t="shared" si="64"/>
        <v>0</v>
      </c>
    </row>
    <row r="679" spans="1:13" ht="14.85" customHeight="1">
      <c r="A679" s="5238">
        <v>345</v>
      </c>
      <c r="B679" s="5238" t="s">
        <v>3739</v>
      </c>
      <c r="C679" s="5239" t="s">
        <v>2454</v>
      </c>
      <c r="D679" s="5240"/>
      <c r="E679" s="5241"/>
      <c r="F679" s="5243">
        <f t="shared" si="60"/>
        <v>0</v>
      </c>
      <c r="G679" s="5241"/>
      <c r="H679" s="5241"/>
      <c r="I679" s="5243">
        <f t="shared" si="61"/>
        <v>0</v>
      </c>
      <c r="J679" s="5244">
        <f t="shared" si="65"/>
        <v>0</v>
      </c>
      <c r="K679" s="5245">
        <f t="shared" si="62"/>
        <v>0</v>
      </c>
      <c r="L679" s="5245">
        <f t="shared" si="63"/>
        <v>0</v>
      </c>
      <c r="M679" s="5245">
        <f t="shared" si="64"/>
        <v>0</v>
      </c>
    </row>
    <row r="680" spans="1:13" ht="14.85" customHeight="1">
      <c r="A680" s="5238">
        <v>345</v>
      </c>
      <c r="B680" s="5238" t="s">
        <v>3740</v>
      </c>
      <c r="C680" s="5239" t="s">
        <v>2455</v>
      </c>
      <c r="D680" s="5240"/>
      <c r="E680" s="5241"/>
      <c r="F680" s="5243">
        <f t="shared" si="60"/>
        <v>0</v>
      </c>
      <c r="G680" s="5241"/>
      <c r="H680" s="5241"/>
      <c r="I680" s="5243">
        <f t="shared" si="61"/>
        <v>0</v>
      </c>
      <c r="J680" s="5244">
        <f t="shared" si="65"/>
        <v>0</v>
      </c>
      <c r="K680" s="5245">
        <f t="shared" si="62"/>
        <v>0</v>
      </c>
      <c r="L680" s="5245">
        <f t="shared" si="63"/>
        <v>0</v>
      </c>
      <c r="M680" s="5245">
        <f t="shared" si="64"/>
        <v>0</v>
      </c>
    </row>
    <row r="681" spans="1:13" ht="14.85" customHeight="1">
      <c r="A681" s="5238">
        <v>345</v>
      </c>
      <c r="B681" s="5238" t="s">
        <v>3741</v>
      </c>
      <c r="C681" s="5239" t="s">
        <v>2456</v>
      </c>
      <c r="D681" s="5240"/>
      <c r="E681" s="5241"/>
      <c r="F681" s="5243">
        <f t="shared" si="60"/>
        <v>0</v>
      </c>
      <c r="G681" s="5241"/>
      <c r="H681" s="5241"/>
      <c r="I681" s="5243">
        <f t="shared" si="61"/>
        <v>0</v>
      </c>
      <c r="J681" s="5244">
        <f t="shared" si="65"/>
        <v>0</v>
      </c>
      <c r="K681" s="5245">
        <f t="shared" si="62"/>
        <v>0</v>
      </c>
      <c r="L681" s="5245">
        <f t="shared" si="63"/>
        <v>0</v>
      </c>
      <c r="M681" s="5245">
        <f t="shared" si="64"/>
        <v>0</v>
      </c>
    </row>
    <row r="682" spans="1:13" ht="14.85" customHeight="1">
      <c r="A682" s="5238">
        <v>345</v>
      </c>
      <c r="B682" s="5238" t="s">
        <v>3742</v>
      </c>
      <c r="C682" s="5239" t="s">
        <v>2457</v>
      </c>
      <c r="D682" s="5240"/>
      <c r="E682" s="5241"/>
      <c r="F682" s="5243">
        <f t="shared" si="60"/>
        <v>0</v>
      </c>
      <c r="G682" s="5241"/>
      <c r="H682" s="5241"/>
      <c r="I682" s="5243">
        <f t="shared" si="61"/>
        <v>0</v>
      </c>
      <c r="J682" s="5244">
        <f t="shared" si="65"/>
        <v>0</v>
      </c>
      <c r="K682" s="5245">
        <f t="shared" si="62"/>
        <v>0</v>
      </c>
      <c r="L682" s="5245">
        <f t="shared" si="63"/>
        <v>0</v>
      </c>
      <c r="M682" s="5245">
        <f t="shared" si="64"/>
        <v>0</v>
      </c>
    </row>
    <row r="683" spans="1:13" ht="14.85" customHeight="1">
      <c r="A683" s="5238">
        <v>345</v>
      </c>
      <c r="B683" s="5238" t="s">
        <v>3743</v>
      </c>
      <c r="C683" s="5239" t="s">
        <v>2458</v>
      </c>
      <c r="D683" s="5240"/>
      <c r="E683" s="5241"/>
      <c r="F683" s="5243">
        <f t="shared" si="60"/>
        <v>0</v>
      </c>
      <c r="G683" s="5241"/>
      <c r="H683" s="5241"/>
      <c r="I683" s="5243">
        <f t="shared" si="61"/>
        <v>0</v>
      </c>
      <c r="J683" s="5244">
        <f t="shared" si="65"/>
        <v>0</v>
      </c>
      <c r="K683" s="5245">
        <f t="shared" si="62"/>
        <v>0</v>
      </c>
      <c r="L683" s="5245">
        <f t="shared" si="63"/>
        <v>0</v>
      </c>
      <c r="M683" s="5245">
        <f t="shared" si="64"/>
        <v>0</v>
      </c>
    </row>
    <row r="684" spans="1:13" ht="14.85" customHeight="1">
      <c r="A684" s="5238">
        <v>345</v>
      </c>
      <c r="B684" s="5238" t="s">
        <v>3744</v>
      </c>
      <c r="C684" s="5239" t="s">
        <v>2459</v>
      </c>
      <c r="D684" s="5240"/>
      <c r="E684" s="5241"/>
      <c r="F684" s="5243">
        <f t="shared" si="60"/>
        <v>0</v>
      </c>
      <c r="G684" s="5241"/>
      <c r="H684" s="5241"/>
      <c r="I684" s="5243">
        <f t="shared" si="61"/>
        <v>0</v>
      </c>
      <c r="J684" s="5244">
        <f t="shared" si="65"/>
        <v>0</v>
      </c>
      <c r="K684" s="5245">
        <f t="shared" si="62"/>
        <v>0</v>
      </c>
      <c r="L684" s="5245">
        <f t="shared" si="63"/>
        <v>0</v>
      </c>
      <c r="M684" s="5245">
        <f t="shared" si="64"/>
        <v>0</v>
      </c>
    </row>
    <row r="685" spans="1:13" ht="14.85" customHeight="1">
      <c r="A685" s="5238">
        <v>346</v>
      </c>
      <c r="B685" s="5238" t="s">
        <v>3745</v>
      </c>
      <c r="C685" s="5239" t="s">
        <v>2460</v>
      </c>
      <c r="D685" s="5240"/>
      <c r="E685" s="5241"/>
      <c r="F685" s="5243">
        <f t="shared" si="60"/>
        <v>0</v>
      </c>
      <c r="G685" s="5241"/>
      <c r="H685" s="5241"/>
      <c r="I685" s="5243">
        <f t="shared" si="61"/>
        <v>0</v>
      </c>
      <c r="J685" s="5244">
        <f t="shared" si="65"/>
        <v>0</v>
      </c>
      <c r="K685" s="5245">
        <f t="shared" si="62"/>
        <v>0</v>
      </c>
      <c r="L685" s="5245">
        <f t="shared" si="63"/>
        <v>0</v>
      </c>
      <c r="M685" s="5245">
        <f t="shared" si="64"/>
        <v>0</v>
      </c>
    </row>
    <row r="686" spans="1:13" ht="14.85" customHeight="1">
      <c r="A686" s="5238">
        <v>346</v>
      </c>
      <c r="B686" s="5238" t="s">
        <v>3746</v>
      </c>
      <c r="C686" s="5239" t="s">
        <v>2461</v>
      </c>
      <c r="D686" s="5240"/>
      <c r="E686" s="5241"/>
      <c r="F686" s="5243">
        <f t="shared" si="60"/>
        <v>0</v>
      </c>
      <c r="G686" s="5241"/>
      <c r="H686" s="5241"/>
      <c r="I686" s="5243">
        <f t="shared" si="61"/>
        <v>0</v>
      </c>
      <c r="J686" s="5244">
        <f t="shared" si="65"/>
        <v>0</v>
      </c>
      <c r="K686" s="5245">
        <f t="shared" si="62"/>
        <v>0</v>
      </c>
      <c r="L686" s="5245">
        <f t="shared" si="63"/>
        <v>0</v>
      </c>
      <c r="M686" s="5245">
        <f t="shared" si="64"/>
        <v>0</v>
      </c>
    </row>
    <row r="687" spans="1:13" ht="14.85" customHeight="1">
      <c r="A687" s="5238">
        <v>347</v>
      </c>
      <c r="B687" s="5238" t="s">
        <v>3747</v>
      </c>
      <c r="C687" s="5239" t="s">
        <v>2462</v>
      </c>
      <c r="D687" s="5240"/>
      <c r="E687" s="5241"/>
      <c r="F687" s="5243">
        <f t="shared" si="60"/>
        <v>0</v>
      </c>
      <c r="G687" s="5241"/>
      <c r="H687" s="5241"/>
      <c r="I687" s="5243">
        <f t="shared" si="61"/>
        <v>0</v>
      </c>
      <c r="J687" s="5244">
        <f t="shared" si="65"/>
        <v>0</v>
      </c>
      <c r="K687" s="5245">
        <f t="shared" si="62"/>
        <v>0</v>
      </c>
      <c r="L687" s="5245">
        <f t="shared" si="63"/>
        <v>0</v>
      </c>
      <c r="M687" s="5245">
        <f t="shared" si="64"/>
        <v>0</v>
      </c>
    </row>
    <row r="688" spans="1:13" ht="14.85" customHeight="1">
      <c r="A688" s="5238">
        <v>347</v>
      </c>
      <c r="B688" s="5238" t="s">
        <v>3748</v>
      </c>
      <c r="C688" s="5239" t="s">
        <v>4521</v>
      </c>
      <c r="D688" s="5240"/>
      <c r="E688" s="5241"/>
      <c r="F688" s="5243">
        <f t="shared" si="60"/>
        <v>0</v>
      </c>
      <c r="G688" s="5241"/>
      <c r="H688" s="5241"/>
      <c r="I688" s="5243">
        <f t="shared" si="61"/>
        <v>0</v>
      </c>
      <c r="J688" s="5244">
        <f t="shared" si="65"/>
        <v>0</v>
      </c>
      <c r="K688" s="5245">
        <f t="shared" si="62"/>
        <v>0</v>
      </c>
      <c r="L688" s="5245">
        <f t="shared" si="63"/>
        <v>0</v>
      </c>
      <c r="M688" s="5245">
        <f t="shared" si="64"/>
        <v>0</v>
      </c>
    </row>
    <row r="689" spans="1:13" ht="14.85" customHeight="1">
      <c r="A689" s="5238">
        <v>348</v>
      </c>
      <c r="B689" s="5238" t="s">
        <v>3749</v>
      </c>
      <c r="C689" s="5239" t="s">
        <v>2463</v>
      </c>
      <c r="D689" s="5240"/>
      <c r="E689" s="5241"/>
      <c r="F689" s="5243">
        <f t="shared" si="60"/>
        <v>0</v>
      </c>
      <c r="G689" s="5241"/>
      <c r="H689" s="5241"/>
      <c r="I689" s="5243">
        <f t="shared" si="61"/>
        <v>0</v>
      </c>
      <c r="J689" s="5244">
        <f t="shared" si="65"/>
        <v>0</v>
      </c>
      <c r="K689" s="5245">
        <f t="shared" si="62"/>
        <v>0</v>
      </c>
      <c r="L689" s="5245">
        <f t="shared" si="63"/>
        <v>0</v>
      </c>
      <c r="M689" s="5245">
        <f t="shared" si="64"/>
        <v>0</v>
      </c>
    </row>
    <row r="690" spans="1:13" ht="14.85" customHeight="1">
      <c r="A690" s="5238">
        <v>348</v>
      </c>
      <c r="B690" s="5238" t="s">
        <v>3750</v>
      </c>
      <c r="C690" s="5239" t="s">
        <v>2464</v>
      </c>
      <c r="D690" s="5240"/>
      <c r="E690" s="5241"/>
      <c r="F690" s="5243">
        <f t="shared" si="60"/>
        <v>0</v>
      </c>
      <c r="G690" s="5241"/>
      <c r="H690" s="5241"/>
      <c r="I690" s="5243">
        <f t="shared" si="61"/>
        <v>0</v>
      </c>
      <c r="J690" s="5244">
        <f t="shared" si="65"/>
        <v>0</v>
      </c>
      <c r="K690" s="5245">
        <f t="shared" si="62"/>
        <v>0</v>
      </c>
      <c r="L690" s="5245">
        <f t="shared" si="63"/>
        <v>0</v>
      </c>
      <c r="M690" s="5245">
        <f t="shared" si="64"/>
        <v>0</v>
      </c>
    </row>
    <row r="691" spans="1:13" ht="14.85" customHeight="1">
      <c r="A691" s="5238">
        <v>348</v>
      </c>
      <c r="B691" s="5238" t="s">
        <v>3751</v>
      </c>
      <c r="C691" s="5239" t="s">
        <v>4522</v>
      </c>
      <c r="D691" s="5240"/>
      <c r="E691" s="5241"/>
      <c r="F691" s="5243">
        <f t="shared" si="60"/>
        <v>0</v>
      </c>
      <c r="G691" s="5241"/>
      <c r="H691" s="5241"/>
      <c r="I691" s="5243">
        <f t="shared" si="61"/>
        <v>0</v>
      </c>
      <c r="J691" s="5244">
        <f t="shared" si="65"/>
        <v>0</v>
      </c>
      <c r="K691" s="5245">
        <f t="shared" si="62"/>
        <v>0</v>
      </c>
      <c r="L691" s="5245">
        <f t="shared" si="63"/>
        <v>0</v>
      </c>
      <c r="M691" s="5245">
        <f t="shared" si="64"/>
        <v>0</v>
      </c>
    </row>
    <row r="692" spans="1:13" ht="14.85" customHeight="1">
      <c r="A692" s="5238">
        <v>348</v>
      </c>
      <c r="B692" s="5238" t="s">
        <v>3752</v>
      </c>
      <c r="C692" s="5239" t="s">
        <v>4523</v>
      </c>
      <c r="D692" s="5240"/>
      <c r="E692" s="5241"/>
      <c r="F692" s="5243">
        <f t="shared" si="60"/>
        <v>0</v>
      </c>
      <c r="G692" s="5241"/>
      <c r="H692" s="5241"/>
      <c r="I692" s="5243">
        <f t="shared" si="61"/>
        <v>0</v>
      </c>
      <c r="J692" s="5244">
        <f t="shared" si="65"/>
        <v>0</v>
      </c>
      <c r="K692" s="5245">
        <f t="shared" si="62"/>
        <v>0</v>
      </c>
      <c r="L692" s="5245">
        <f t="shared" si="63"/>
        <v>0</v>
      </c>
      <c r="M692" s="5245">
        <f t="shared" si="64"/>
        <v>0</v>
      </c>
    </row>
    <row r="693" spans="1:13" ht="14.85" customHeight="1">
      <c r="A693" s="5238">
        <v>349</v>
      </c>
      <c r="B693" s="5238" t="s">
        <v>3753</v>
      </c>
      <c r="C693" s="5239" t="s">
        <v>2465</v>
      </c>
      <c r="D693" s="5240"/>
      <c r="E693" s="5241"/>
      <c r="F693" s="5243">
        <f t="shared" si="60"/>
        <v>0</v>
      </c>
      <c r="G693" s="5241"/>
      <c r="H693" s="5241"/>
      <c r="I693" s="5243">
        <f t="shared" si="61"/>
        <v>0</v>
      </c>
      <c r="J693" s="5244">
        <f t="shared" si="65"/>
        <v>0</v>
      </c>
      <c r="K693" s="5245">
        <f t="shared" si="62"/>
        <v>0</v>
      </c>
      <c r="L693" s="5245">
        <f t="shared" si="63"/>
        <v>0</v>
      </c>
      <c r="M693" s="5245">
        <f t="shared" si="64"/>
        <v>0</v>
      </c>
    </row>
    <row r="694" spans="1:13" ht="14.85" customHeight="1">
      <c r="A694" s="5238">
        <v>349</v>
      </c>
      <c r="B694" s="5238" t="s">
        <v>3754</v>
      </c>
      <c r="C694" s="5239" t="s">
        <v>2466</v>
      </c>
      <c r="D694" s="5240"/>
      <c r="E694" s="5241"/>
      <c r="F694" s="5243">
        <f t="shared" si="60"/>
        <v>0</v>
      </c>
      <c r="G694" s="5241"/>
      <c r="H694" s="5241"/>
      <c r="I694" s="5243">
        <f t="shared" si="61"/>
        <v>0</v>
      </c>
      <c r="J694" s="5244">
        <f t="shared" si="65"/>
        <v>0</v>
      </c>
      <c r="K694" s="5245">
        <f t="shared" si="62"/>
        <v>0</v>
      </c>
      <c r="L694" s="5245">
        <f t="shared" si="63"/>
        <v>0</v>
      </c>
      <c r="M694" s="5245">
        <f t="shared" si="64"/>
        <v>0</v>
      </c>
    </row>
    <row r="695" spans="1:13" ht="14.85" customHeight="1">
      <c r="A695" s="5238">
        <v>350</v>
      </c>
      <c r="B695" s="5238" t="s">
        <v>3755</v>
      </c>
      <c r="C695" s="5239" t="s">
        <v>2467</v>
      </c>
      <c r="D695" s="5240"/>
      <c r="E695" s="5241"/>
      <c r="F695" s="5243">
        <f t="shared" si="60"/>
        <v>0</v>
      </c>
      <c r="G695" s="5241"/>
      <c r="H695" s="5241"/>
      <c r="I695" s="5243">
        <f t="shared" si="61"/>
        <v>0</v>
      </c>
      <c r="J695" s="5244">
        <f t="shared" si="65"/>
        <v>0</v>
      </c>
      <c r="K695" s="5245">
        <f t="shared" si="62"/>
        <v>0</v>
      </c>
      <c r="L695" s="5245">
        <f t="shared" si="63"/>
        <v>0</v>
      </c>
      <c r="M695" s="5245">
        <f t="shared" si="64"/>
        <v>0</v>
      </c>
    </row>
    <row r="696" spans="1:13" ht="14.85" customHeight="1">
      <c r="A696" s="5238">
        <v>350</v>
      </c>
      <c r="B696" s="5238" t="s">
        <v>3756</v>
      </c>
      <c r="C696" s="5239" t="s">
        <v>2468</v>
      </c>
      <c r="D696" s="5240"/>
      <c r="E696" s="5241"/>
      <c r="F696" s="5243">
        <f t="shared" si="60"/>
        <v>0</v>
      </c>
      <c r="G696" s="5241"/>
      <c r="H696" s="5241"/>
      <c r="I696" s="5243">
        <f t="shared" si="61"/>
        <v>0</v>
      </c>
      <c r="J696" s="5244">
        <f t="shared" si="65"/>
        <v>0</v>
      </c>
      <c r="K696" s="5245">
        <f t="shared" si="62"/>
        <v>0</v>
      </c>
      <c r="L696" s="5245">
        <f t="shared" si="63"/>
        <v>0</v>
      </c>
      <c r="M696" s="5245">
        <f t="shared" si="64"/>
        <v>0</v>
      </c>
    </row>
    <row r="697" spans="1:13" ht="14.85" customHeight="1">
      <c r="A697" s="5238">
        <v>351</v>
      </c>
      <c r="B697" s="5238" t="s">
        <v>3757</v>
      </c>
      <c r="C697" s="5239" t="s">
        <v>2469</v>
      </c>
      <c r="D697" s="5240"/>
      <c r="E697" s="5241"/>
      <c r="F697" s="5243">
        <f t="shared" si="60"/>
        <v>0</v>
      </c>
      <c r="G697" s="5241"/>
      <c r="H697" s="5241"/>
      <c r="I697" s="5243">
        <f t="shared" si="61"/>
        <v>0</v>
      </c>
      <c r="J697" s="5244">
        <f t="shared" si="65"/>
        <v>0</v>
      </c>
      <c r="K697" s="5245">
        <f t="shared" si="62"/>
        <v>0</v>
      </c>
      <c r="L697" s="5245">
        <f t="shared" si="63"/>
        <v>0</v>
      </c>
      <c r="M697" s="5245">
        <f t="shared" si="64"/>
        <v>0</v>
      </c>
    </row>
    <row r="698" spans="1:13" ht="14.85" customHeight="1">
      <c r="A698" s="5238">
        <v>351</v>
      </c>
      <c r="B698" s="5238" t="s">
        <v>3758</v>
      </c>
      <c r="C698" s="5239" t="s">
        <v>2470</v>
      </c>
      <c r="D698" s="5240"/>
      <c r="E698" s="5241"/>
      <c r="F698" s="5243">
        <f t="shared" si="60"/>
        <v>0</v>
      </c>
      <c r="G698" s="5241"/>
      <c r="H698" s="5241"/>
      <c r="I698" s="5243">
        <f t="shared" si="61"/>
        <v>0</v>
      </c>
      <c r="J698" s="5244">
        <f t="shared" si="65"/>
        <v>0</v>
      </c>
      <c r="K698" s="5245">
        <f t="shared" si="62"/>
        <v>0</v>
      </c>
      <c r="L698" s="5245">
        <f t="shared" si="63"/>
        <v>0</v>
      </c>
      <c r="M698" s="5245">
        <f t="shared" si="64"/>
        <v>0</v>
      </c>
    </row>
    <row r="699" spans="1:13" ht="14.85" customHeight="1">
      <c r="A699" s="5238">
        <v>352</v>
      </c>
      <c r="B699" s="5238" t="s">
        <v>3759</v>
      </c>
      <c r="C699" s="5239" t="s">
        <v>2471</v>
      </c>
      <c r="D699" s="5240"/>
      <c r="E699" s="5241"/>
      <c r="F699" s="5243">
        <f t="shared" si="60"/>
        <v>0</v>
      </c>
      <c r="G699" s="5241"/>
      <c r="H699" s="5241"/>
      <c r="I699" s="5243">
        <f t="shared" si="61"/>
        <v>0</v>
      </c>
      <c r="J699" s="5244">
        <f t="shared" si="65"/>
        <v>0</v>
      </c>
      <c r="K699" s="5245">
        <f t="shared" si="62"/>
        <v>0</v>
      </c>
      <c r="L699" s="5245">
        <f t="shared" si="63"/>
        <v>0</v>
      </c>
      <c r="M699" s="5245">
        <f t="shared" si="64"/>
        <v>0</v>
      </c>
    </row>
    <row r="700" spans="1:13" ht="14.85" customHeight="1">
      <c r="A700" s="5238">
        <v>352</v>
      </c>
      <c r="B700" s="5238" t="s">
        <v>3760</v>
      </c>
      <c r="C700" s="5239" t="s">
        <v>2472</v>
      </c>
      <c r="D700" s="5240"/>
      <c r="E700" s="5241"/>
      <c r="F700" s="5243">
        <f t="shared" si="60"/>
        <v>0</v>
      </c>
      <c r="G700" s="5241"/>
      <c r="H700" s="5241"/>
      <c r="I700" s="5243">
        <f t="shared" si="61"/>
        <v>0</v>
      </c>
      <c r="J700" s="5244">
        <f t="shared" si="65"/>
        <v>0</v>
      </c>
      <c r="K700" s="5245">
        <f t="shared" si="62"/>
        <v>0</v>
      </c>
      <c r="L700" s="5245">
        <f t="shared" si="63"/>
        <v>0</v>
      </c>
      <c r="M700" s="5245">
        <f t="shared" si="64"/>
        <v>0</v>
      </c>
    </row>
    <row r="701" spans="1:13" ht="14.85" customHeight="1">
      <c r="A701" s="5238">
        <v>352</v>
      </c>
      <c r="B701" s="5238" t="s">
        <v>3761</v>
      </c>
      <c r="C701" s="5239" t="s">
        <v>2473</v>
      </c>
      <c r="D701" s="5240"/>
      <c r="E701" s="5241"/>
      <c r="F701" s="5243">
        <f t="shared" si="60"/>
        <v>0</v>
      </c>
      <c r="G701" s="5241"/>
      <c r="H701" s="5241"/>
      <c r="I701" s="5243">
        <f t="shared" si="61"/>
        <v>0</v>
      </c>
      <c r="J701" s="5244">
        <f t="shared" si="65"/>
        <v>0</v>
      </c>
      <c r="K701" s="5245">
        <f t="shared" si="62"/>
        <v>0</v>
      </c>
      <c r="L701" s="5245">
        <f t="shared" si="63"/>
        <v>0</v>
      </c>
      <c r="M701" s="5245">
        <f t="shared" si="64"/>
        <v>0</v>
      </c>
    </row>
    <row r="702" spans="1:13" ht="14.85" customHeight="1">
      <c r="A702" s="5238">
        <v>353</v>
      </c>
      <c r="B702" s="5238" t="s">
        <v>3762</v>
      </c>
      <c r="C702" s="5239" t="s">
        <v>1919</v>
      </c>
      <c r="D702" s="5240"/>
      <c r="E702" s="5241"/>
      <c r="F702" s="5243">
        <f t="shared" si="60"/>
        <v>0</v>
      </c>
      <c r="G702" s="5241"/>
      <c r="H702" s="5241"/>
      <c r="I702" s="5243">
        <f t="shared" si="61"/>
        <v>0</v>
      </c>
      <c r="J702" s="5244">
        <f t="shared" si="65"/>
        <v>0</v>
      </c>
      <c r="K702" s="5245">
        <f t="shared" si="62"/>
        <v>0</v>
      </c>
      <c r="L702" s="5245">
        <f t="shared" si="63"/>
        <v>0</v>
      </c>
      <c r="M702" s="5245">
        <f t="shared" si="64"/>
        <v>0</v>
      </c>
    </row>
    <row r="703" spans="1:13" ht="14.85" customHeight="1">
      <c r="A703" s="5238">
        <v>353</v>
      </c>
      <c r="B703" s="5238" t="s">
        <v>3763</v>
      </c>
      <c r="C703" s="5239" t="s">
        <v>2474</v>
      </c>
      <c r="D703" s="5240"/>
      <c r="E703" s="5241"/>
      <c r="F703" s="5243">
        <f t="shared" si="60"/>
        <v>0</v>
      </c>
      <c r="G703" s="5241"/>
      <c r="H703" s="5241"/>
      <c r="I703" s="5243">
        <f t="shared" si="61"/>
        <v>0</v>
      </c>
      <c r="J703" s="5244">
        <f t="shared" si="65"/>
        <v>0</v>
      </c>
      <c r="K703" s="5245">
        <f t="shared" si="62"/>
        <v>0</v>
      </c>
      <c r="L703" s="5245">
        <f t="shared" si="63"/>
        <v>0</v>
      </c>
      <c r="M703" s="5245">
        <f t="shared" si="64"/>
        <v>0</v>
      </c>
    </row>
    <row r="704" spans="1:13" ht="14.85" customHeight="1">
      <c r="A704" s="5238">
        <v>353</v>
      </c>
      <c r="B704" s="5238" t="s">
        <v>3764</v>
      </c>
      <c r="C704" s="5239" t="s">
        <v>2141</v>
      </c>
      <c r="D704" s="5240"/>
      <c r="E704" s="5241"/>
      <c r="F704" s="5243">
        <f t="shared" si="60"/>
        <v>0</v>
      </c>
      <c r="G704" s="5241"/>
      <c r="H704" s="5241"/>
      <c r="I704" s="5243">
        <f t="shared" si="61"/>
        <v>0</v>
      </c>
      <c r="J704" s="5244">
        <f t="shared" si="65"/>
        <v>0</v>
      </c>
      <c r="K704" s="5245">
        <f t="shared" si="62"/>
        <v>0</v>
      </c>
      <c r="L704" s="5245">
        <f t="shared" si="63"/>
        <v>0</v>
      </c>
      <c r="M704" s="5245">
        <f t="shared" si="64"/>
        <v>0</v>
      </c>
    </row>
    <row r="705" spans="1:13" ht="14.85" customHeight="1">
      <c r="A705" s="5238">
        <v>353</v>
      </c>
      <c r="B705" s="5238" t="s">
        <v>3765</v>
      </c>
      <c r="C705" s="5239" t="s">
        <v>2045</v>
      </c>
      <c r="D705" s="5240"/>
      <c r="E705" s="5241"/>
      <c r="F705" s="5243">
        <f t="shared" si="60"/>
        <v>0</v>
      </c>
      <c r="G705" s="5241"/>
      <c r="H705" s="5241"/>
      <c r="I705" s="5243">
        <f t="shared" si="61"/>
        <v>0</v>
      </c>
      <c r="J705" s="5244">
        <f t="shared" si="65"/>
        <v>0</v>
      </c>
      <c r="K705" s="5245">
        <f t="shared" si="62"/>
        <v>0</v>
      </c>
      <c r="L705" s="5245">
        <f t="shared" si="63"/>
        <v>0</v>
      </c>
      <c r="M705" s="5245">
        <f t="shared" si="64"/>
        <v>0</v>
      </c>
    </row>
    <row r="706" spans="1:13" ht="14.85" customHeight="1">
      <c r="A706" s="5238">
        <v>353</v>
      </c>
      <c r="B706" s="5238" t="s">
        <v>3766</v>
      </c>
      <c r="C706" s="5239" t="s">
        <v>2475</v>
      </c>
      <c r="D706" s="5240"/>
      <c r="E706" s="5241"/>
      <c r="F706" s="5243">
        <f t="shared" si="60"/>
        <v>0</v>
      </c>
      <c r="G706" s="5241"/>
      <c r="H706" s="5241"/>
      <c r="I706" s="5243">
        <f t="shared" si="61"/>
        <v>0</v>
      </c>
      <c r="J706" s="5244">
        <f t="shared" si="65"/>
        <v>0</v>
      </c>
      <c r="K706" s="5245">
        <f t="shared" si="62"/>
        <v>0</v>
      </c>
      <c r="L706" s="5245">
        <f t="shared" si="63"/>
        <v>0</v>
      </c>
      <c r="M706" s="5245">
        <f t="shared" si="64"/>
        <v>0</v>
      </c>
    </row>
    <row r="707" spans="1:13" ht="14.85" customHeight="1">
      <c r="A707" s="5238">
        <v>353</v>
      </c>
      <c r="B707" s="5238" t="s">
        <v>3767</v>
      </c>
      <c r="C707" s="5239" t="s">
        <v>2476</v>
      </c>
      <c r="D707" s="5240"/>
      <c r="E707" s="5241"/>
      <c r="F707" s="5243">
        <f t="shared" si="60"/>
        <v>0</v>
      </c>
      <c r="G707" s="5241"/>
      <c r="H707" s="5241"/>
      <c r="I707" s="5243">
        <f t="shared" si="61"/>
        <v>0</v>
      </c>
      <c r="J707" s="5244">
        <f t="shared" si="65"/>
        <v>0</v>
      </c>
      <c r="K707" s="5245">
        <f t="shared" si="62"/>
        <v>0</v>
      </c>
      <c r="L707" s="5245">
        <f t="shared" si="63"/>
        <v>0</v>
      </c>
      <c r="M707" s="5245">
        <f t="shared" si="64"/>
        <v>0</v>
      </c>
    </row>
    <row r="708" spans="1:13" ht="14.85" customHeight="1">
      <c r="A708" s="5238">
        <v>355</v>
      </c>
      <c r="B708" s="5238" t="s">
        <v>3768</v>
      </c>
      <c r="C708" s="5239" t="s">
        <v>2477</v>
      </c>
      <c r="D708" s="5240"/>
      <c r="E708" s="5241"/>
      <c r="F708" s="5243">
        <f t="shared" si="60"/>
        <v>0</v>
      </c>
      <c r="G708" s="5241"/>
      <c r="H708" s="5241"/>
      <c r="I708" s="5243">
        <f t="shared" si="61"/>
        <v>0</v>
      </c>
      <c r="J708" s="5244">
        <f t="shared" si="65"/>
        <v>0</v>
      </c>
      <c r="K708" s="5245">
        <f t="shared" si="62"/>
        <v>0</v>
      </c>
      <c r="L708" s="5245">
        <f t="shared" si="63"/>
        <v>0</v>
      </c>
      <c r="M708" s="5245">
        <f t="shared" si="64"/>
        <v>0</v>
      </c>
    </row>
    <row r="709" spans="1:13" ht="14.85" customHeight="1">
      <c r="A709" s="5238">
        <v>355</v>
      </c>
      <c r="B709" s="5238" t="s">
        <v>3769</v>
      </c>
      <c r="C709" s="5239" t="s">
        <v>2478</v>
      </c>
      <c r="D709" s="5240"/>
      <c r="E709" s="5241"/>
      <c r="F709" s="5243">
        <f t="shared" si="60"/>
        <v>0</v>
      </c>
      <c r="G709" s="5241"/>
      <c r="H709" s="5241"/>
      <c r="I709" s="5243">
        <f t="shared" si="61"/>
        <v>0</v>
      </c>
      <c r="J709" s="5244">
        <f t="shared" si="65"/>
        <v>0</v>
      </c>
      <c r="K709" s="5245">
        <f t="shared" si="62"/>
        <v>0</v>
      </c>
      <c r="L709" s="5245">
        <f t="shared" si="63"/>
        <v>0</v>
      </c>
      <c r="M709" s="5245">
        <f t="shared" si="64"/>
        <v>0</v>
      </c>
    </row>
    <row r="710" spans="1:13" ht="14.85" customHeight="1">
      <c r="A710" s="5238">
        <v>355</v>
      </c>
      <c r="B710" s="5238" t="s">
        <v>3770</v>
      </c>
      <c r="C710" s="5239" t="s">
        <v>2479</v>
      </c>
      <c r="D710" s="5240"/>
      <c r="E710" s="5241"/>
      <c r="F710" s="5243">
        <f t="shared" si="60"/>
        <v>0</v>
      </c>
      <c r="G710" s="5241"/>
      <c r="H710" s="5241"/>
      <c r="I710" s="5243">
        <f t="shared" si="61"/>
        <v>0</v>
      </c>
      <c r="J710" s="5244">
        <f t="shared" si="65"/>
        <v>0</v>
      </c>
      <c r="K710" s="5245">
        <f t="shared" si="62"/>
        <v>0</v>
      </c>
      <c r="L710" s="5245">
        <f t="shared" si="63"/>
        <v>0</v>
      </c>
      <c r="M710" s="5245">
        <f t="shared" si="64"/>
        <v>0</v>
      </c>
    </row>
    <row r="711" spans="1:13" ht="14.85" customHeight="1">
      <c r="A711" s="5238">
        <v>356</v>
      </c>
      <c r="B711" s="5238" t="s">
        <v>3771</v>
      </c>
      <c r="C711" s="5239" t="s">
        <v>2480</v>
      </c>
      <c r="D711" s="5240"/>
      <c r="E711" s="5241"/>
      <c r="F711" s="5243">
        <f t="shared" si="60"/>
        <v>0</v>
      </c>
      <c r="G711" s="5241"/>
      <c r="H711" s="5241"/>
      <c r="I711" s="5243">
        <f t="shared" si="61"/>
        <v>0</v>
      </c>
      <c r="J711" s="5244">
        <f t="shared" si="65"/>
        <v>0</v>
      </c>
      <c r="K711" s="5245">
        <f t="shared" si="62"/>
        <v>0</v>
      </c>
      <c r="L711" s="5245">
        <f t="shared" si="63"/>
        <v>0</v>
      </c>
      <c r="M711" s="5245">
        <f t="shared" si="64"/>
        <v>0</v>
      </c>
    </row>
    <row r="712" spans="1:13" ht="14.85" customHeight="1">
      <c r="A712" s="5238">
        <v>356</v>
      </c>
      <c r="B712" s="5238" t="s">
        <v>3772</v>
      </c>
      <c r="C712" s="5239" t="s">
        <v>2481</v>
      </c>
      <c r="D712" s="5240"/>
      <c r="E712" s="5241"/>
      <c r="F712" s="5243">
        <f t="shared" si="60"/>
        <v>0</v>
      </c>
      <c r="G712" s="5241"/>
      <c r="H712" s="5241"/>
      <c r="I712" s="5243">
        <f t="shared" si="61"/>
        <v>0</v>
      </c>
      <c r="J712" s="5244">
        <f t="shared" si="65"/>
        <v>0</v>
      </c>
      <c r="K712" s="5245">
        <f t="shared" si="62"/>
        <v>0</v>
      </c>
      <c r="L712" s="5245">
        <f t="shared" si="63"/>
        <v>0</v>
      </c>
      <c r="M712" s="5245">
        <f t="shared" si="64"/>
        <v>0</v>
      </c>
    </row>
    <row r="713" spans="1:13" ht="14.85" customHeight="1">
      <c r="A713" s="5238">
        <v>356</v>
      </c>
      <c r="B713" s="5238" t="s">
        <v>3773</v>
      </c>
      <c r="C713" s="5239" t="s">
        <v>2482</v>
      </c>
      <c r="D713" s="5240"/>
      <c r="E713" s="5241"/>
      <c r="F713" s="5243">
        <f t="shared" si="60"/>
        <v>0</v>
      </c>
      <c r="G713" s="5241"/>
      <c r="H713" s="5241"/>
      <c r="I713" s="5243">
        <f t="shared" si="61"/>
        <v>0</v>
      </c>
      <c r="J713" s="5244">
        <f t="shared" si="65"/>
        <v>0</v>
      </c>
      <c r="K713" s="5245">
        <f t="shared" si="62"/>
        <v>0</v>
      </c>
      <c r="L713" s="5245">
        <f t="shared" si="63"/>
        <v>0</v>
      </c>
      <c r="M713" s="5245">
        <f t="shared" si="64"/>
        <v>0</v>
      </c>
    </row>
    <row r="714" spans="1:13" ht="14.85" customHeight="1">
      <c r="A714" s="5238">
        <v>357</v>
      </c>
      <c r="B714" s="5238" t="s">
        <v>3774</v>
      </c>
      <c r="C714" s="5239" t="s">
        <v>2483</v>
      </c>
      <c r="D714" s="5240"/>
      <c r="E714" s="5241"/>
      <c r="F714" s="5243">
        <f t="shared" si="60"/>
        <v>0</v>
      </c>
      <c r="G714" s="5241"/>
      <c r="H714" s="5241"/>
      <c r="I714" s="5243">
        <f t="shared" si="61"/>
        <v>0</v>
      </c>
      <c r="J714" s="5244">
        <f t="shared" si="65"/>
        <v>0</v>
      </c>
      <c r="K714" s="5245">
        <f t="shared" si="62"/>
        <v>0</v>
      </c>
      <c r="L714" s="5245">
        <f t="shared" si="63"/>
        <v>0</v>
      </c>
      <c r="M714" s="5245">
        <f t="shared" si="64"/>
        <v>0</v>
      </c>
    </row>
    <row r="715" spans="1:13" ht="14.85" customHeight="1">
      <c r="A715" s="5238">
        <v>357</v>
      </c>
      <c r="B715" s="5238" t="s">
        <v>3775</v>
      </c>
      <c r="C715" s="5239" t="s">
        <v>2484</v>
      </c>
      <c r="D715" s="5240"/>
      <c r="E715" s="5241"/>
      <c r="F715" s="5243">
        <f t="shared" si="60"/>
        <v>0</v>
      </c>
      <c r="G715" s="5241"/>
      <c r="H715" s="5241"/>
      <c r="I715" s="5243">
        <f t="shared" si="61"/>
        <v>0</v>
      </c>
      <c r="J715" s="5244">
        <f t="shared" si="65"/>
        <v>0</v>
      </c>
      <c r="K715" s="5245">
        <f t="shared" si="62"/>
        <v>0</v>
      </c>
      <c r="L715" s="5245">
        <f t="shared" si="63"/>
        <v>0</v>
      </c>
      <c r="M715" s="5245">
        <f t="shared" si="64"/>
        <v>0</v>
      </c>
    </row>
    <row r="716" spans="1:13" ht="14.85" customHeight="1">
      <c r="A716" s="5238">
        <v>357</v>
      </c>
      <c r="B716" s="5238" t="s">
        <v>3776</v>
      </c>
      <c r="C716" s="5239" t="s">
        <v>2485</v>
      </c>
      <c r="D716" s="5240"/>
      <c r="E716" s="5241"/>
      <c r="F716" s="5243">
        <f t="shared" si="60"/>
        <v>0</v>
      </c>
      <c r="G716" s="5241"/>
      <c r="H716" s="5241"/>
      <c r="I716" s="5243">
        <f t="shared" si="61"/>
        <v>0</v>
      </c>
      <c r="J716" s="5244">
        <f t="shared" si="65"/>
        <v>0</v>
      </c>
      <c r="K716" s="5245">
        <f t="shared" si="62"/>
        <v>0</v>
      </c>
      <c r="L716" s="5245">
        <f t="shared" si="63"/>
        <v>0</v>
      </c>
      <c r="M716" s="5245">
        <f t="shared" si="64"/>
        <v>0</v>
      </c>
    </row>
    <row r="717" spans="1:13" ht="14.85" customHeight="1">
      <c r="A717" s="5238">
        <v>358</v>
      </c>
      <c r="B717" s="5238" t="s">
        <v>3777</v>
      </c>
      <c r="C717" s="5239" t="s">
        <v>2486</v>
      </c>
      <c r="D717" s="5240"/>
      <c r="E717" s="5241"/>
      <c r="F717" s="5243">
        <f t="shared" si="60"/>
        <v>0</v>
      </c>
      <c r="G717" s="5241"/>
      <c r="H717" s="5241"/>
      <c r="I717" s="5243">
        <f t="shared" si="61"/>
        <v>0</v>
      </c>
      <c r="J717" s="5244">
        <f t="shared" si="65"/>
        <v>0</v>
      </c>
      <c r="K717" s="5245">
        <f t="shared" si="62"/>
        <v>0</v>
      </c>
      <c r="L717" s="5245">
        <f t="shared" si="63"/>
        <v>0</v>
      </c>
      <c r="M717" s="5245">
        <f t="shared" si="64"/>
        <v>0</v>
      </c>
    </row>
    <row r="718" spans="1:13" ht="14.85" customHeight="1">
      <c r="A718" s="5238">
        <v>358</v>
      </c>
      <c r="B718" s="5238" t="s">
        <v>3778</v>
      </c>
      <c r="C718" s="5239" t="s">
        <v>2487</v>
      </c>
      <c r="D718" s="5240"/>
      <c r="E718" s="5241"/>
      <c r="F718" s="5243">
        <f t="shared" si="60"/>
        <v>0</v>
      </c>
      <c r="G718" s="5241"/>
      <c r="H718" s="5241"/>
      <c r="I718" s="5243">
        <f t="shared" si="61"/>
        <v>0</v>
      </c>
      <c r="J718" s="5244">
        <f t="shared" si="65"/>
        <v>0</v>
      </c>
      <c r="K718" s="5245">
        <f t="shared" si="62"/>
        <v>0</v>
      </c>
      <c r="L718" s="5245">
        <f t="shared" si="63"/>
        <v>0</v>
      </c>
      <c r="M718" s="5245">
        <f t="shared" si="64"/>
        <v>0</v>
      </c>
    </row>
    <row r="719" spans="1:13" ht="14.85" customHeight="1">
      <c r="A719" s="5238">
        <v>359</v>
      </c>
      <c r="B719" s="5238" t="s">
        <v>3779</v>
      </c>
      <c r="C719" s="5239" t="s">
        <v>2488</v>
      </c>
      <c r="D719" s="5240"/>
      <c r="E719" s="5241"/>
      <c r="F719" s="5243">
        <f t="shared" si="60"/>
        <v>0</v>
      </c>
      <c r="G719" s="5241"/>
      <c r="H719" s="5241"/>
      <c r="I719" s="5243">
        <f t="shared" si="61"/>
        <v>0</v>
      </c>
      <c r="J719" s="5244">
        <f t="shared" si="65"/>
        <v>0</v>
      </c>
      <c r="K719" s="5245">
        <f t="shared" si="62"/>
        <v>0</v>
      </c>
      <c r="L719" s="5245">
        <f t="shared" si="63"/>
        <v>0</v>
      </c>
      <c r="M719" s="5245">
        <f t="shared" si="64"/>
        <v>0</v>
      </c>
    </row>
    <row r="720" spans="1:13" ht="14.85" customHeight="1">
      <c r="A720" s="5238">
        <v>359</v>
      </c>
      <c r="B720" s="5238" t="s">
        <v>3780</v>
      </c>
      <c r="C720" s="5239" t="s">
        <v>2489</v>
      </c>
      <c r="D720" s="5240"/>
      <c r="E720" s="5241"/>
      <c r="F720" s="5243">
        <f t="shared" si="60"/>
        <v>0</v>
      </c>
      <c r="G720" s="5241"/>
      <c r="H720" s="5241"/>
      <c r="I720" s="5243">
        <f t="shared" si="61"/>
        <v>0</v>
      </c>
      <c r="J720" s="5244">
        <f t="shared" si="65"/>
        <v>0</v>
      </c>
      <c r="K720" s="5245">
        <f t="shared" si="62"/>
        <v>0</v>
      </c>
      <c r="L720" s="5245">
        <f t="shared" si="63"/>
        <v>0</v>
      </c>
      <c r="M720" s="5245">
        <f t="shared" si="64"/>
        <v>0</v>
      </c>
    </row>
    <row r="721" spans="1:13" ht="14.85" customHeight="1">
      <c r="A721" s="5238">
        <v>360</v>
      </c>
      <c r="B721" s="5238" t="s">
        <v>3781</v>
      </c>
      <c r="C721" s="5239" t="s">
        <v>2157</v>
      </c>
      <c r="D721" s="5240"/>
      <c r="E721" s="5241"/>
      <c r="F721" s="5243">
        <f t="shared" si="60"/>
        <v>0</v>
      </c>
      <c r="G721" s="5241"/>
      <c r="H721" s="5241"/>
      <c r="I721" s="5243">
        <f t="shared" si="61"/>
        <v>0</v>
      </c>
      <c r="J721" s="5244">
        <f t="shared" si="65"/>
        <v>0</v>
      </c>
      <c r="K721" s="5245">
        <f t="shared" si="62"/>
        <v>0</v>
      </c>
      <c r="L721" s="5245">
        <f t="shared" si="63"/>
        <v>0</v>
      </c>
      <c r="M721" s="5245">
        <f t="shared" si="64"/>
        <v>0</v>
      </c>
    </row>
    <row r="722" spans="1:13" ht="14.85" customHeight="1">
      <c r="A722" s="5238">
        <v>360</v>
      </c>
      <c r="B722" s="5238" t="s">
        <v>3782</v>
      </c>
      <c r="C722" s="5239" t="s">
        <v>2490</v>
      </c>
      <c r="D722" s="5240"/>
      <c r="E722" s="5241"/>
      <c r="F722" s="5243">
        <f t="shared" si="60"/>
        <v>0</v>
      </c>
      <c r="G722" s="5241"/>
      <c r="H722" s="5241"/>
      <c r="I722" s="5243">
        <f t="shared" si="61"/>
        <v>0</v>
      </c>
      <c r="J722" s="5244">
        <f t="shared" si="65"/>
        <v>0</v>
      </c>
      <c r="K722" s="5245">
        <f t="shared" si="62"/>
        <v>0</v>
      </c>
      <c r="L722" s="5245">
        <f t="shared" si="63"/>
        <v>0</v>
      </c>
      <c r="M722" s="5245">
        <f t="shared" si="64"/>
        <v>0</v>
      </c>
    </row>
    <row r="723" spans="1:13" ht="14.85" customHeight="1">
      <c r="A723" s="5238">
        <v>361</v>
      </c>
      <c r="B723" s="5238" t="s">
        <v>3783</v>
      </c>
      <c r="C723" s="5239" t="s">
        <v>2491</v>
      </c>
      <c r="D723" s="5240"/>
      <c r="E723" s="5241"/>
      <c r="F723" s="5243">
        <f t="shared" si="60"/>
        <v>0</v>
      </c>
      <c r="G723" s="5241"/>
      <c r="H723" s="5241"/>
      <c r="I723" s="5243">
        <f t="shared" si="61"/>
        <v>0</v>
      </c>
      <c r="J723" s="5244">
        <f t="shared" si="65"/>
        <v>0</v>
      </c>
      <c r="K723" s="5245">
        <f t="shared" si="62"/>
        <v>0</v>
      </c>
      <c r="L723" s="5245">
        <f t="shared" si="63"/>
        <v>0</v>
      </c>
      <c r="M723" s="5245">
        <f t="shared" si="64"/>
        <v>0</v>
      </c>
    </row>
    <row r="724" spans="1:13" ht="14.85" customHeight="1">
      <c r="A724" s="5238">
        <v>361</v>
      </c>
      <c r="B724" s="5238" t="s">
        <v>3784</v>
      </c>
      <c r="C724" s="5239" t="s">
        <v>2492</v>
      </c>
      <c r="D724" s="5240"/>
      <c r="E724" s="5241"/>
      <c r="F724" s="5243">
        <f t="shared" si="60"/>
        <v>0</v>
      </c>
      <c r="G724" s="5241"/>
      <c r="H724" s="5241"/>
      <c r="I724" s="5243">
        <f t="shared" si="61"/>
        <v>0</v>
      </c>
      <c r="J724" s="5244">
        <f t="shared" si="65"/>
        <v>0</v>
      </c>
      <c r="K724" s="5245">
        <f t="shared" si="62"/>
        <v>0</v>
      </c>
      <c r="L724" s="5245">
        <f t="shared" si="63"/>
        <v>0</v>
      </c>
      <c r="M724" s="5245">
        <f t="shared" si="64"/>
        <v>0</v>
      </c>
    </row>
    <row r="725" spans="1:13" ht="14.85" customHeight="1">
      <c r="A725" s="5238">
        <v>361</v>
      </c>
      <c r="B725" s="5238" t="s">
        <v>3785</v>
      </c>
      <c r="C725" s="5239" t="s">
        <v>2493</v>
      </c>
      <c r="D725" s="5240"/>
      <c r="E725" s="5241"/>
      <c r="F725" s="5243">
        <f t="shared" si="60"/>
        <v>0</v>
      </c>
      <c r="G725" s="5241"/>
      <c r="H725" s="5241"/>
      <c r="I725" s="5243">
        <f t="shared" si="61"/>
        <v>0</v>
      </c>
      <c r="J725" s="5244">
        <f t="shared" si="65"/>
        <v>0</v>
      </c>
      <c r="K725" s="5245">
        <f t="shared" si="62"/>
        <v>0</v>
      </c>
      <c r="L725" s="5245">
        <f t="shared" si="63"/>
        <v>0</v>
      </c>
      <c r="M725" s="5245">
        <f t="shared" si="64"/>
        <v>0</v>
      </c>
    </row>
    <row r="726" spans="1:13" ht="14.85" customHeight="1">
      <c r="A726" s="5238">
        <v>362</v>
      </c>
      <c r="B726" s="5238" t="s">
        <v>3786</v>
      </c>
      <c r="C726" s="5239" t="s">
        <v>2494</v>
      </c>
      <c r="D726" s="5240"/>
      <c r="E726" s="5241"/>
      <c r="F726" s="5243">
        <f t="shared" si="60"/>
        <v>0</v>
      </c>
      <c r="G726" s="5241"/>
      <c r="H726" s="5241"/>
      <c r="I726" s="5243">
        <f t="shared" si="61"/>
        <v>0</v>
      </c>
      <c r="J726" s="5244">
        <f t="shared" si="65"/>
        <v>0</v>
      </c>
      <c r="K726" s="5245">
        <f t="shared" si="62"/>
        <v>0</v>
      </c>
      <c r="L726" s="5245">
        <f t="shared" si="63"/>
        <v>0</v>
      </c>
      <c r="M726" s="5245">
        <f t="shared" si="64"/>
        <v>0</v>
      </c>
    </row>
    <row r="727" spans="1:13" ht="14.85" customHeight="1">
      <c r="A727" s="5238">
        <v>362</v>
      </c>
      <c r="B727" s="5238" t="s">
        <v>3787</v>
      </c>
      <c r="C727" s="5239" t="s">
        <v>2495</v>
      </c>
      <c r="D727" s="5240"/>
      <c r="E727" s="5241"/>
      <c r="F727" s="5243">
        <f t="shared" si="60"/>
        <v>0</v>
      </c>
      <c r="G727" s="5241"/>
      <c r="H727" s="5241"/>
      <c r="I727" s="5243">
        <f t="shared" si="61"/>
        <v>0</v>
      </c>
      <c r="J727" s="5244">
        <f t="shared" si="65"/>
        <v>0</v>
      </c>
      <c r="K727" s="5245">
        <f t="shared" si="62"/>
        <v>0</v>
      </c>
      <c r="L727" s="5245">
        <f t="shared" si="63"/>
        <v>0</v>
      </c>
      <c r="M727" s="5245">
        <f t="shared" si="64"/>
        <v>0</v>
      </c>
    </row>
    <row r="728" spans="1:13" ht="14.85" customHeight="1">
      <c r="A728" s="5238">
        <v>362</v>
      </c>
      <c r="B728" s="5238" t="s">
        <v>3788</v>
      </c>
      <c r="C728" s="5239" t="s">
        <v>2496</v>
      </c>
      <c r="D728" s="5240"/>
      <c r="E728" s="5241"/>
      <c r="F728" s="5243">
        <f t="shared" si="60"/>
        <v>0</v>
      </c>
      <c r="G728" s="5241"/>
      <c r="H728" s="5241"/>
      <c r="I728" s="5243">
        <f t="shared" si="61"/>
        <v>0</v>
      </c>
      <c r="J728" s="5244">
        <f t="shared" si="65"/>
        <v>0</v>
      </c>
      <c r="K728" s="5245">
        <f t="shared" si="62"/>
        <v>0</v>
      </c>
      <c r="L728" s="5245">
        <f t="shared" si="63"/>
        <v>0</v>
      </c>
      <c r="M728" s="5245">
        <f t="shared" si="64"/>
        <v>0</v>
      </c>
    </row>
    <row r="729" spans="1:13" ht="14.85" customHeight="1">
      <c r="A729" s="5238">
        <v>362</v>
      </c>
      <c r="B729" s="5238" t="s">
        <v>3789</v>
      </c>
      <c r="C729" s="5239" t="s">
        <v>2497</v>
      </c>
      <c r="D729" s="5240"/>
      <c r="E729" s="5241"/>
      <c r="F729" s="5243">
        <f t="shared" si="60"/>
        <v>0</v>
      </c>
      <c r="G729" s="5241"/>
      <c r="H729" s="5241"/>
      <c r="I729" s="5243">
        <f t="shared" si="61"/>
        <v>0</v>
      </c>
      <c r="J729" s="5244">
        <f t="shared" si="65"/>
        <v>0</v>
      </c>
      <c r="K729" s="5245">
        <f t="shared" si="62"/>
        <v>0</v>
      </c>
      <c r="L729" s="5245">
        <f t="shared" si="63"/>
        <v>0</v>
      </c>
      <c r="M729" s="5245">
        <f t="shared" si="64"/>
        <v>0</v>
      </c>
    </row>
    <row r="730" spans="1:13" ht="14.85" customHeight="1">
      <c r="A730" s="5238">
        <v>363</v>
      </c>
      <c r="B730" s="5238" t="s">
        <v>3790</v>
      </c>
      <c r="C730" s="5239" t="s">
        <v>2498</v>
      </c>
      <c r="D730" s="5240"/>
      <c r="E730" s="5241"/>
      <c r="F730" s="5243">
        <f t="shared" si="60"/>
        <v>0</v>
      </c>
      <c r="G730" s="5241"/>
      <c r="H730" s="5241"/>
      <c r="I730" s="5243">
        <f t="shared" si="61"/>
        <v>0</v>
      </c>
      <c r="J730" s="5244">
        <f t="shared" si="65"/>
        <v>0</v>
      </c>
      <c r="K730" s="5245">
        <f t="shared" si="62"/>
        <v>0</v>
      </c>
      <c r="L730" s="5245">
        <f t="shared" si="63"/>
        <v>0</v>
      </c>
      <c r="M730" s="5245">
        <f t="shared" si="64"/>
        <v>0</v>
      </c>
    </row>
    <row r="731" spans="1:13" ht="14.85" customHeight="1">
      <c r="A731" s="5238">
        <v>363</v>
      </c>
      <c r="B731" s="5238" t="s">
        <v>3791</v>
      </c>
      <c r="C731" s="5239" t="s">
        <v>2499</v>
      </c>
      <c r="D731" s="5240"/>
      <c r="E731" s="5241"/>
      <c r="F731" s="5243">
        <f t="shared" si="60"/>
        <v>0</v>
      </c>
      <c r="G731" s="5241"/>
      <c r="H731" s="5241"/>
      <c r="I731" s="5243">
        <f t="shared" si="61"/>
        <v>0</v>
      </c>
      <c r="J731" s="5244">
        <f t="shared" si="65"/>
        <v>0</v>
      </c>
      <c r="K731" s="5245">
        <f t="shared" si="62"/>
        <v>0</v>
      </c>
      <c r="L731" s="5245">
        <f t="shared" si="63"/>
        <v>0</v>
      </c>
      <c r="M731" s="5245">
        <f t="shared" si="64"/>
        <v>0</v>
      </c>
    </row>
    <row r="732" spans="1:13" ht="14.85" customHeight="1">
      <c r="A732" s="5238">
        <v>363</v>
      </c>
      <c r="B732" s="5238" t="s">
        <v>3792</v>
      </c>
      <c r="C732" s="5239" t="s">
        <v>2500</v>
      </c>
      <c r="D732" s="5240"/>
      <c r="E732" s="5241"/>
      <c r="F732" s="5243">
        <f t="shared" si="60"/>
        <v>0</v>
      </c>
      <c r="G732" s="5241"/>
      <c r="H732" s="5241"/>
      <c r="I732" s="5243">
        <f t="shared" si="61"/>
        <v>0</v>
      </c>
      <c r="J732" s="5244">
        <f t="shared" si="65"/>
        <v>0</v>
      </c>
      <c r="K732" s="5245">
        <f t="shared" si="62"/>
        <v>0</v>
      </c>
      <c r="L732" s="5245">
        <f t="shared" si="63"/>
        <v>0</v>
      </c>
      <c r="M732" s="5245">
        <f t="shared" si="64"/>
        <v>0</v>
      </c>
    </row>
    <row r="733" spans="1:13" ht="14.85" customHeight="1">
      <c r="A733" s="5238">
        <v>363</v>
      </c>
      <c r="B733" s="5238" t="s">
        <v>3793</v>
      </c>
      <c r="C733" s="5239" t="s">
        <v>2501</v>
      </c>
      <c r="D733" s="5240"/>
      <c r="E733" s="5241"/>
      <c r="F733" s="5243">
        <f t="shared" si="60"/>
        <v>0</v>
      </c>
      <c r="G733" s="5241"/>
      <c r="H733" s="5241"/>
      <c r="I733" s="5243">
        <f t="shared" si="61"/>
        <v>0</v>
      </c>
      <c r="J733" s="5244">
        <f t="shared" si="65"/>
        <v>0</v>
      </c>
      <c r="K733" s="5245">
        <f t="shared" si="62"/>
        <v>0</v>
      </c>
      <c r="L733" s="5245">
        <f t="shared" si="63"/>
        <v>0</v>
      </c>
      <c r="M733" s="5245">
        <f t="shared" si="64"/>
        <v>0</v>
      </c>
    </row>
    <row r="734" spans="1:13" ht="14.85" customHeight="1">
      <c r="A734" s="5238">
        <v>364</v>
      </c>
      <c r="B734" s="5238" t="s">
        <v>3794</v>
      </c>
      <c r="C734" s="5239" t="s">
        <v>2502</v>
      </c>
      <c r="D734" s="5240"/>
      <c r="E734" s="5241"/>
      <c r="F734" s="5243">
        <f t="shared" si="60"/>
        <v>0</v>
      </c>
      <c r="G734" s="5241"/>
      <c r="H734" s="5241"/>
      <c r="I734" s="5243">
        <f t="shared" si="61"/>
        <v>0</v>
      </c>
      <c r="J734" s="5244">
        <f t="shared" si="65"/>
        <v>0</v>
      </c>
      <c r="K734" s="5245">
        <f t="shared" si="62"/>
        <v>0</v>
      </c>
      <c r="L734" s="5245">
        <f t="shared" si="63"/>
        <v>0</v>
      </c>
      <c r="M734" s="5245">
        <f t="shared" si="64"/>
        <v>0</v>
      </c>
    </row>
    <row r="735" spans="1:13" ht="14.85" customHeight="1">
      <c r="A735" s="5238">
        <v>364</v>
      </c>
      <c r="B735" s="5238" t="s">
        <v>3795</v>
      </c>
      <c r="C735" s="5239" t="s">
        <v>2503</v>
      </c>
      <c r="D735" s="5240"/>
      <c r="E735" s="5241"/>
      <c r="F735" s="5243">
        <f t="shared" si="60"/>
        <v>0</v>
      </c>
      <c r="G735" s="5241"/>
      <c r="H735" s="5241"/>
      <c r="I735" s="5243">
        <f t="shared" si="61"/>
        <v>0</v>
      </c>
      <c r="J735" s="5244">
        <f t="shared" si="65"/>
        <v>0</v>
      </c>
      <c r="K735" s="5245">
        <f t="shared" si="62"/>
        <v>0</v>
      </c>
      <c r="L735" s="5245">
        <f t="shared" si="63"/>
        <v>0</v>
      </c>
      <c r="M735" s="5245">
        <f t="shared" si="64"/>
        <v>0</v>
      </c>
    </row>
    <row r="736" spans="1:13" ht="14.85" customHeight="1">
      <c r="A736" s="5238">
        <v>365</v>
      </c>
      <c r="B736" s="5238" t="s">
        <v>3796</v>
      </c>
      <c r="C736" s="5239" t="s">
        <v>2504</v>
      </c>
      <c r="D736" s="5240"/>
      <c r="E736" s="5241"/>
      <c r="F736" s="5243">
        <f t="shared" si="60"/>
        <v>0</v>
      </c>
      <c r="G736" s="5241"/>
      <c r="H736" s="5241"/>
      <c r="I736" s="5243">
        <f t="shared" si="61"/>
        <v>0</v>
      </c>
      <c r="J736" s="5244">
        <f t="shared" si="65"/>
        <v>0</v>
      </c>
      <c r="K736" s="5245">
        <f t="shared" si="62"/>
        <v>0</v>
      </c>
      <c r="L736" s="5245">
        <f t="shared" si="63"/>
        <v>0</v>
      </c>
      <c r="M736" s="5245">
        <f t="shared" si="64"/>
        <v>0</v>
      </c>
    </row>
    <row r="737" spans="1:13" ht="14.85" customHeight="1">
      <c r="A737" s="5238">
        <v>365</v>
      </c>
      <c r="B737" s="5238" t="s">
        <v>3797</v>
      </c>
      <c r="C737" s="5239" t="s">
        <v>2505</v>
      </c>
      <c r="D737" s="5240"/>
      <c r="E737" s="5241"/>
      <c r="F737" s="5243">
        <f t="shared" ref="F737:F800" si="66">SUM(D737:E737)</f>
        <v>0</v>
      </c>
      <c r="G737" s="5241"/>
      <c r="H737" s="5241"/>
      <c r="I737" s="5243">
        <f t="shared" ref="I737:I800" si="67">SUM(G737:H737)</f>
        <v>0</v>
      </c>
      <c r="J737" s="5244">
        <f t="shared" si="65"/>
        <v>0</v>
      </c>
      <c r="K737" s="5245">
        <f t="shared" ref="K737:K800" si="68">IF(AND((J737-35%)&gt;0,J737&lt;50%),I737*(J737-35%)*0.7,0)</f>
        <v>0</v>
      </c>
      <c r="L737" s="5245">
        <f t="shared" ref="L737:L800" si="69">IF(J737&gt;=50%,I737*10.5%,0)</f>
        <v>0</v>
      </c>
      <c r="M737" s="5245">
        <f t="shared" ref="M737:M800" si="70">MAX(K737,L737)</f>
        <v>0</v>
      </c>
    </row>
    <row r="738" spans="1:13" ht="14.85" customHeight="1">
      <c r="A738" s="5238">
        <v>365</v>
      </c>
      <c r="B738" s="5238" t="s">
        <v>3798</v>
      </c>
      <c r="C738" s="5239" t="s">
        <v>2506</v>
      </c>
      <c r="D738" s="5240"/>
      <c r="E738" s="5241"/>
      <c r="F738" s="5243">
        <f t="shared" si="66"/>
        <v>0</v>
      </c>
      <c r="G738" s="5241"/>
      <c r="H738" s="5241"/>
      <c r="I738" s="5243">
        <f t="shared" si="67"/>
        <v>0</v>
      </c>
      <c r="J738" s="5244">
        <f t="shared" si="65"/>
        <v>0</v>
      </c>
      <c r="K738" s="5245">
        <f t="shared" si="68"/>
        <v>0</v>
      </c>
      <c r="L738" s="5245">
        <f t="shared" si="69"/>
        <v>0</v>
      </c>
      <c r="M738" s="5245">
        <f t="shared" si="70"/>
        <v>0</v>
      </c>
    </row>
    <row r="739" spans="1:13" ht="14.85" customHeight="1">
      <c r="A739" s="5238">
        <v>365</v>
      </c>
      <c r="B739" s="5238" t="s">
        <v>3799</v>
      </c>
      <c r="C739" s="5239" t="s">
        <v>2507</v>
      </c>
      <c r="D739" s="5240"/>
      <c r="E739" s="5241"/>
      <c r="F739" s="5243">
        <f t="shared" si="66"/>
        <v>0</v>
      </c>
      <c r="G739" s="5241"/>
      <c r="H739" s="5241"/>
      <c r="I739" s="5243">
        <f t="shared" si="67"/>
        <v>0</v>
      </c>
      <c r="J739" s="5244">
        <f t="shared" si="65"/>
        <v>0</v>
      </c>
      <c r="K739" s="5245">
        <f t="shared" si="68"/>
        <v>0</v>
      </c>
      <c r="L739" s="5245">
        <f t="shared" si="69"/>
        <v>0</v>
      </c>
      <c r="M739" s="5245">
        <f t="shared" si="70"/>
        <v>0</v>
      </c>
    </row>
    <row r="740" spans="1:13" ht="14.85" customHeight="1">
      <c r="A740" s="5238">
        <v>366</v>
      </c>
      <c r="B740" s="5238" t="s">
        <v>3800</v>
      </c>
      <c r="C740" s="5239" t="s">
        <v>2508</v>
      </c>
      <c r="D740" s="5240"/>
      <c r="E740" s="5241"/>
      <c r="F740" s="5243">
        <f t="shared" si="66"/>
        <v>0</v>
      </c>
      <c r="G740" s="5241"/>
      <c r="H740" s="5241"/>
      <c r="I740" s="5243">
        <f t="shared" si="67"/>
        <v>0</v>
      </c>
      <c r="J740" s="5244">
        <f t="shared" ref="J740:J803" si="71">IF(ISERROR(I740/F740),0,I740/F740)</f>
        <v>0</v>
      </c>
      <c r="K740" s="5245">
        <f t="shared" si="68"/>
        <v>0</v>
      </c>
      <c r="L740" s="5245">
        <f t="shared" si="69"/>
        <v>0</v>
      </c>
      <c r="M740" s="5245">
        <f t="shared" si="70"/>
        <v>0</v>
      </c>
    </row>
    <row r="741" spans="1:13" ht="14.85" customHeight="1">
      <c r="A741" s="5238">
        <v>366</v>
      </c>
      <c r="B741" s="5238" t="s">
        <v>3801</v>
      </c>
      <c r="C741" s="5239" t="s">
        <v>2509</v>
      </c>
      <c r="D741" s="5240"/>
      <c r="E741" s="5241"/>
      <c r="F741" s="5243">
        <f t="shared" si="66"/>
        <v>0</v>
      </c>
      <c r="G741" s="5241"/>
      <c r="H741" s="5241"/>
      <c r="I741" s="5243">
        <f t="shared" si="67"/>
        <v>0</v>
      </c>
      <c r="J741" s="5244">
        <f t="shared" si="71"/>
        <v>0</v>
      </c>
      <c r="K741" s="5245">
        <f t="shared" si="68"/>
        <v>0</v>
      </c>
      <c r="L741" s="5245">
        <f t="shared" si="69"/>
        <v>0</v>
      </c>
      <c r="M741" s="5245">
        <f t="shared" si="70"/>
        <v>0</v>
      </c>
    </row>
    <row r="742" spans="1:13" ht="14.85" customHeight="1">
      <c r="A742" s="5238">
        <v>367</v>
      </c>
      <c r="B742" s="5238" t="s">
        <v>3802</v>
      </c>
      <c r="C742" s="5239" t="s">
        <v>2510</v>
      </c>
      <c r="D742" s="5240"/>
      <c r="E742" s="5241"/>
      <c r="F742" s="5243">
        <f t="shared" si="66"/>
        <v>0</v>
      </c>
      <c r="G742" s="5241"/>
      <c r="H742" s="5241"/>
      <c r="I742" s="5243">
        <f t="shared" si="67"/>
        <v>0</v>
      </c>
      <c r="J742" s="5244">
        <f t="shared" si="71"/>
        <v>0</v>
      </c>
      <c r="K742" s="5245">
        <f t="shared" si="68"/>
        <v>0</v>
      </c>
      <c r="L742" s="5245">
        <f t="shared" si="69"/>
        <v>0</v>
      </c>
      <c r="M742" s="5245">
        <f t="shared" si="70"/>
        <v>0</v>
      </c>
    </row>
    <row r="743" spans="1:13" ht="14.85" customHeight="1">
      <c r="A743" s="5238">
        <v>367</v>
      </c>
      <c r="B743" s="5238" t="s">
        <v>3803</v>
      </c>
      <c r="C743" s="5239" t="s">
        <v>4524</v>
      </c>
      <c r="D743" s="5240"/>
      <c r="E743" s="5241"/>
      <c r="F743" s="5243">
        <f t="shared" si="66"/>
        <v>0</v>
      </c>
      <c r="G743" s="5241"/>
      <c r="H743" s="5241"/>
      <c r="I743" s="5243">
        <f t="shared" si="67"/>
        <v>0</v>
      </c>
      <c r="J743" s="5244">
        <f t="shared" si="71"/>
        <v>0</v>
      </c>
      <c r="K743" s="5245">
        <f t="shared" si="68"/>
        <v>0</v>
      </c>
      <c r="L743" s="5245">
        <f t="shared" si="69"/>
        <v>0</v>
      </c>
      <c r="M743" s="5245">
        <f t="shared" si="70"/>
        <v>0</v>
      </c>
    </row>
    <row r="744" spans="1:13" ht="14.85" customHeight="1">
      <c r="A744" s="5238">
        <v>367</v>
      </c>
      <c r="B744" s="5238" t="s">
        <v>3804</v>
      </c>
      <c r="C744" s="5239" t="s">
        <v>2511</v>
      </c>
      <c r="D744" s="5240"/>
      <c r="E744" s="5241"/>
      <c r="F744" s="5243">
        <f t="shared" si="66"/>
        <v>0</v>
      </c>
      <c r="G744" s="5241"/>
      <c r="H744" s="5241"/>
      <c r="I744" s="5243">
        <f t="shared" si="67"/>
        <v>0</v>
      </c>
      <c r="J744" s="5244">
        <f t="shared" si="71"/>
        <v>0</v>
      </c>
      <c r="K744" s="5245">
        <f t="shared" si="68"/>
        <v>0</v>
      </c>
      <c r="L744" s="5245">
        <f t="shared" si="69"/>
        <v>0</v>
      </c>
      <c r="M744" s="5245">
        <f t="shared" si="70"/>
        <v>0</v>
      </c>
    </row>
    <row r="745" spans="1:13" ht="14.85" customHeight="1">
      <c r="A745" s="5238">
        <v>367</v>
      </c>
      <c r="B745" s="5238" t="s">
        <v>3805</v>
      </c>
      <c r="C745" s="5239" t="s">
        <v>2512</v>
      </c>
      <c r="D745" s="5240"/>
      <c r="E745" s="5241"/>
      <c r="F745" s="5243">
        <f t="shared" si="66"/>
        <v>0</v>
      </c>
      <c r="G745" s="5241"/>
      <c r="H745" s="5241"/>
      <c r="I745" s="5243">
        <f t="shared" si="67"/>
        <v>0</v>
      </c>
      <c r="J745" s="5244">
        <f t="shared" si="71"/>
        <v>0</v>
      </c>
      <c r="K745" s="5245">
        <f t="shared" si="68"/>
        <v>0</v>
      </c>
      <c r="L745" s="5245">
        <f t="shared" si="69"/>
        <v>0</v>
      </c>
      <c r="M745" s="5245">
        <f t="shared" si="70"/>
        <v>0</v>
      </c>
    </row>
    <row r="746" spans="1:13" ht="14.85" customHeight="1">
      <c r="A746" s="5238">
        <v>368</v>
      </c>
      <c r="B746" s="5238" t="s">
        <v>3806</v>
      </c>
      <c r="C746" s="5239" t="s">
        <v>2513</v>
      </c>
      <c r="D746" s="5240"/>
      <c r="E746" s="5241"/>
      <c r="F746" s="5243">
        <f t="shared" si="66"/>
        <v>0</v>
      </c>
      <c r="G746" s="5241"/>
      <c r="H746" s="5241"/>
      <c r="I746" s="5243">
        <f t="shared" si="67"/>
        <v>0</v>
      </c>
      <c r="J746" s="5244">
        <f t="shared" si="71"/>
        <v>0</v>
      </c>
      <c r="K746" s="5245">
        <f t="shared" si="68"/>
        <v>0</v>
      </c>
      <c r="L746" s="5245">
        <f t="shared" si="69"/>
        <v>0</v>
      </c>
      <c r="M746" s="5245">
        <f t="shared" si="70"/>
        <v>0</v>
      </c>
    </row>
    <row r="747" spans="1:13" ht="14.85" customHeight="1">
      <c r="A747" s="5238">
        <v>368</v>
      </c>
      <c r="B747" s="5238" t="s">
        <v>3807</v>
      </c>
      <c r="C747" s="5239" t="s">
        <v>2514</v>
      </c>
      <c r="D747" s="5240"/>
      <c r="E747" s="5241"/>
      <c r="F747" s="5243">
        <f t="shared" si="66"/>
        <v>0</v>
      </c>
      <c r="G747" s="5241"/>
      <c r="H747" s="5241"/>
      <c r="I747" s="5243">
        <f t="shared" si="67"/>
        <v>0</v>
      </c>
      <c r="J747" s="5244">
        <f t="shared" si="71"/>
        <v>0</v>
      </c>
      <c r="K747" s="5245">
        <f t="shared" si="68"/>
        <v>0</v>
      </c>
      <c r="L747" s="5245">
        <f t="shared" si="69"/>
        <v>0</v>
      </c>
      <c r="M747" s="5245">
        <f t="shared" si="70"/>
        <v>0</v>
      </c>
    </row>
    <row r="748" spans="1:13" ht="14.85" customHeight="1">
      <c r="A748" s="5238">
        <v>368</v>
      </c>
      <c r="B748" s="5238" t="s">
        <v>3808</v>
      </c>
      <c r="C748" s="5239" t="s">
        <v>2515</v>
      </c>
      <c r="D748" s="5240"/>
      <c r="E748" s="5241"/>
      <c r="F748" s="5243">
        <f t="shared" si="66"/>
        <v>0</v>
      </c>
      <c r="G748" s="5241"/>
      <c r="H748" s="5241"/>
      <c r="I748" s="5243">
        <f t="shared" si="67"/>
        <v>0</v>
      </c>
      <c r="J748" s="5244">
        <f t="shared" si="71"/>
        <v>0</v>
      </c>
      <c r="K748" s="5245">
        <f t="shared" si="68"/>
        <v>0</v>
      </c>
      <c r="L748" s="5245">
        <f t="shared" si="69"/>
        <v>0</v>
      </c>
      <c r="M748" s="5245">
        <f t="shared" si="70"/>
        <v>0</v>
      </c>
    </row>
    <row r="749" spans="1:13" ht="14.85" customHeight="1">
      <c r="A749" s="5238">
        <v>368</v>
      </c>
      <c r="B749" s="5238" t="s">
        <v>3809</v>
      </c>
      <c r="C749" s="5239" t="s">
        <v>2516</v>
      </c>
      <c r="D749" s="5240"/>
      <c r="E749" s="5241"/>
      <c r="F749" s="5243">
        <f t="shared" si="66"/>
        <v>0</v>
      </c>
      <c r="G749" s="5241"/>
      <c r="H749" s="5241"/>
      <c r="I749" s="5243">
        <f t="shared" si="67"/>
        <v>0</v>
      </c>
      <c r="J749" s="5244">
        <f t="shared" si="71"/>
        <v>0</v>
      </c>
      <c r="K749" s="5245">
        <f t="shared" si="68"/>
        <v>0</v>
      </c>
      <c r="L749" s="5245">
        <f t="shared" si="69"/>
        <v>0</v>
      </c>
      <c r="M749" s="5245">
        <f t="shared" si="70"/>
        <v>0</v>
      </c>
    </row>
    <row r="750" spans="1:13" ht="14.85" customHeight="1">
      <c r="A750" s="5238">
        <v>369</v>
      </c>
      <c r="B750" s="5238" t="s">
        <v>3810</v>
      </c>
      <c r="C750" s="5239" t="s">
        <v>2517</v>
      </c>
      <c r="D750" s="5240"/>
      <c r="E750" s="5241"/>
      <c r="F750" s="5243">
        <f t="shared" si="66"/>
        <v>0</v>
      </c>
      <c r="G750" s="5241"/>
      <c r="H750" s="5241"/>
      <c r="I750" s="5243">
        <f t="shared" si="67"/>
        <v>0</v>
      </c>
      <c r="J750" s="5244">
        <f t="shared" si="71"/>
        <v>0</v>
      </c>
      <c r="K750" s="5245">
        <f t="shared" si="68"/>
        <v>0</v>
      </c>
      <c r="L750" s="5245">
        <f t="shared" si="69"/>
        <v>0</v>
      </c>
      <c r="M750" s="5245">
        <f t="shared" si="70"/>
        <v>0</v>
      </c>
    </row>
    <row r="751" spans="1:13" ht="14.85" customHeight="1">
      <c r="A751" s="5238">
        <v>369</v>
      </c>
      <c r="B751" s="5238" t="s">
        <v>3811</v>
      </c>
      <c r="C751" s="5239" t="s">
        <v>2518</v>
      </c>
      <c r="D751" s="5240"/>
      <c r="E751" s="5241"/>
      <c r="F751" s="5243">
        <f t="shared" si="66"/>
        <v>0</v>
      </c>
      <c r="G751" s="5241"/>
      <c r="H751" s="5241"/>
      <c r="I751" s="5243">
        <f t="shared" si="67"/>
        <v>0</v>
      </c>
      <c r="J751" s="5244">
        <f t="shared" si="71"/>
        <v>0</v>
      </c>
      <c r="K751" s="5245">
        <f t="shared" si="68"/>
        <v>0</v>
      </c>
      <c r="L751" s="5245">
        <f t="shared" si="69"/>
        <v>0</v>
      </c>
      <c r="M751" s="5245">
        <f t="shared" si="70"/>
        <v>0</v>
      </c>
    </row>
    <row r="752" spans="1:13" ht="14.85" customHeight="1">
      <c r="A752" s="5238">
        <v>371</v>
      </c>
      <c r="B752" s="5238" t="s">
        <v>3812</v>
      </c>
      <c r="C752" s="5239" t="s">
        <v>2519</v>
      </c>
      <c r="D752" s="5240"/>
      <c r="E752" s="5241"/>
      <c r="F752" s="5243">
        <f t="shared" si="66"/>
        <v>0</v>
      </c>
      <c r="G752" s="5241"/>
      <c r="H752" s="5241"/>
      <c r="I752" s="5243">
        <f t="shared" si="67"/>
        <v>0</v>
      </c>
      <c r="J752" s="5244">
        <f t="shared" si="71"/>
        <v>0</v>
      </c>
      <c r="K752" s="5245">
        <f t="shared" si="68"/>
        <v>0</v>
      </c>
      <c r="L752" s="5245">
        <f t="shared" si="69"/>
        <v>0</v>
      </c>
      <c r="M752" s="5245">
        <f t="shared" si="70"/>
        <v>0</v>
      </c>
    </row>
    <row r="753" spans="1:13" ht="14.85" customHeight="1">
      <c r="A753" s="5238">
        <v>371</v>
      </c>
      <c r="B753" s="5238" t="s">
        <v>3813</v>
      </c>
      <c r="C753" s="5239" t="s">
        <v>2520</v>
      </c>
      <c r="D753" s="5240"/>
      <c r="E753" s="5241"/>
      <c r="F753" s="5243">
        <f t="shared" si="66"/>
        <v>0</v>
      </c>
      <c r="G753" s="5241"/>
      <c r="H753" s="5241"/>
      <c r="I753" s="5243">
        <f t="shared" si="67"/>
        <v>0</v>
      </c>
      <c r="J753" s="5244">
        <f t="shared" si="71"/>
        <v>0</v>
      </c>
      <c r="K753" s="5245">
        <f t="shared" si="68"/>
        <v>0</v>
      </c>
      <c r="L753" s="5245">
        <f t="shared" si="69"/>
        <v>0</v>
      </c>
      <c r="M753" s="5245">
        <f t="shared" si="70"/>
        <v>0</v>
      </c>
    </row>
    <row r="754" spans="1:13" ht="14.85" customHeight="1">
      <c r="A754" s="5238">
        <v>372</v>
      </c>
      <c r="B754" s="5238" t="s">
        <v>3814</v>
      </c>
      <c r="C754" s="5239" t="s">
        <v>2521</v>
      </c>
      <c r="D754" s="5240"/>
      <c r="E754" s="5241"/>
      <c r="F754" s="5243">
        <f t="shared" si="66"/>
        <v>0</v>
      </c>
      <c r="G754" s="5241"/>
      <c r="H754" s="5241"/>
      <c r="I754" s="5243">
        <f t="shared" si="67"/>
        <v>0</v>
      </c>
      <c r="J754" s="5244">
        <f t="shared" si="71"/>
        <v>0</v>
      </c>
      <c r="K754" s="5245">
        <f t="shared" si="68"/>
        <v>0</v>
      </c>
      <c r="L754" s="5245">
        <f t="shared" si="69"/>
        <v>0</v>
      </c>
      <c r="M754" s="5245">
        <f t="shared" si="70"/>
        <v>0</v>
      </c>
    </row>
    <row r="755" spans="1:13" ht="14.85" customHeight="1">
      <c r="A755" s="5238">
        <v>372</v>
      </c>
      <c r="B755" s="5238" t="s">
        <v>3815</v>
      </c>
      <c r="C755" s="5239" t="s">
        <v>2522</v>
      </c>
      <c r="D755" s="5240"/>
      <c r="E755" s="5241"/>
      <c r="F755" s="5243">
        <f t="shared" si="66"/>
        <v>0</v>
      </c>
      <c r="G755" s="5241"/>
      <c r="H755" s="5241"/>
      <c r="I755" s="5243">
        <f t="shared" si="67"/>
        <v>0</v>
      </c>
      <c r="J755" s="5244">
        <f t="shared" si="71"/>
        <v>0</v>
      </c>
      <c r="K755" s="5245">
        <f t="shared" si="68"/>
        <v>0</v>
      </c>
      <c r="L755" s="5245">
        <f t="shared" si="69"/>
        <v>0</v>
      </c>
      <c r="M755" s="5245">
        <f t="shared" si="70"/>
        <v>0</v>
      </c>
    </row>
    <row r="756" spans="1:13" ht="14.85" customHeight="1">
      <c r="A756" s="5238">
        <v>373</v>
      </c>
      <c r="B756" s="5238" t="s">
        <v>3816</v>
      </c>
      <c r="C756" s="5239" t="s">
        <v>2523</v>
      </c>
      <c r="D756" s="5240"/>
      <c r="E756" s="5241"/>
      <c r="F756" s="5243">
        <f t="shared" si="66"/>
        <v>0</v>
      </c>
      <c r="G756" s="5241"/>
      <c r="H756" s="5241"/>
      <c r="I756" s="5243">
        <f t="shared" si="67"/>
        <v>0</v>
      </c>
      <c r="J756" s="5244">
        <f t="shared" si="71"/>
        <v>0</v>
      </c>
      <c r="K756" s="5245">
        <f t="shared" si="68"/>
        <v>0</v>
      </c>
      <c r="L756" s="5245">
        <f t="shared" si="69"/>
        <v>0</v>
      </c>
      <c r="M756" s="5245">
        <f t="shared" si="70"/>
        <v>0</v>
      </c>
    </row>
    <row r="757" spans="1:13" ht="14.85" customHeight="1">
      <c r="A757" s="5238">
        <v>373</v>
      </c>
      <c r="B757" s="5238" t="s">
        <v>3817</v>
      </c>
      <c r="C757" s="5239" t="s">
        <v>2524</v>
      </c>
      <c r="D757" s="5240"/>
      <c r="E757" s="5241"/>
      <c r="F757" s="5243">
        <f t="shared" si="66"/>
        <v>0</v>
      </c>
      <c r="G757" s="5241"/>
      <c r="H757" s="5241"/>
      <c r="I757" s="5243">
        <f t="shared" si="67"/>
        <v>0</v>
      </c>
      <c r="J757" s="5244">
        <f t="shared" si="71"/>
        <v>0</v>
      </c>
      <c r="K757" s="5245">
        <f t="shared" si="68"/>
        <v>0</v>
      </c>
      <c r="L757" s="5245">
        <f t="shared" si="69"/>
        <v>0</v>
      </c>
      <c r="M757" s="5245">
        <f t="shared" si="70"/>
        <v>0</v>
      </c>
    </row>
    <row r="758" spans="1:13" ht="14.85" customHeight="1">
      <c r="A758" s="5238">
        <v>373</v>
      </c>
      <c r="B758" s="5238" t="s">
        <v>3818</v>
      </c>
      <c r="C758" s="5239" t="s">
        <v>2525</v>
      </c>
      <c r="D758" s="5240"/>
      <c r="E758" s="5241"/>
      <c r="F758" s="5243">
        <f t="shared" si="66"/>
        <v>0</v>
      </c>
      <c r="G758" s="5241"/>
      <c r="H758" s="5241"/>
      <c r="I758" s="5243">
        <f t="shared" si="67"/>
        <v>0</v>
      </c>
      <c r="J758" s="5244">
        <f t="shared" si="71"/>
        <v>0</v>
      </c>
      <c r="K758" s="5245">
        <f t="shared" si="68"/>
        <v>0</v>
      </c>
      <c r="L758" s="5245">
        <f t="shared" si="69"/>
        <v>0</v>
      </c>
      <c r="M758" s="5245">
        <f t="shared" si="70"/>
        <v>0</v>
      </c>
    </row>
    <row r="759" spans="1:13" ht="14.85" customHeight="1">
      <c r="A759" s="5238">
        <v>373</v>
      </c>
      <c r="B759" s="5238" t="s">
        <v>3819</v>
      </c>
      <c r="C759" s="5239" t="s">
        <v>2526</v>
      </c>
      <c r="D759" s="5240"/>
      <c r="E759" s="5241"/>
      <c r="F759" s="5243">
        <f t="shared" si="66"/>
        <v>0</v>
      </c>
      <c r="G759" s="5241"/>
      <c r="H759" s="5241"/>
      <c r="I759" s="5243">
        <f t="shared" si="67"/>
        <v>0</v>
      </c>
      <c r="J759" s="5244">
        <f t="shared" si="71"/>
        <v>0</v>
      </c>
      <c r="K759" s="5245">
        <f t="shared" si="68"/>
        <v>0</v>
      </c>
      <c r="L759" s="5245">
        <f t="shared" si="69"/>
        <v>0</v>
      </c>
      <c r="M759" s="5245">
        <f t="shared" si="70"/>
        <v>0</v>
      </c>
    </row>
    <row r="760" spans="1:13" ht="14.85" customHeight="1">
      <c r="A760" s="5238">
        <v>373</v>
      </c>
      <c r="B760" s="5238" t="s">
        <v>3820</v>
      </c>
      <c r="C760" s="5239" t="s">
        <v>2527</v>
      </c>
      <c r="D760" s="5240"/>
      <c r="E760" s="5241"/>
      <c r="F760" s="5243">
        <f t="shared" si="66"/>
        <v>0</v>
      </c>
      <c r="G760" s="5241"/>
      <c r="H760" s="5241"/>
      <c r="I760" s="5243">
        <f t="shared" si="67"/>
        <v>0</v>
      </c>
      <c r="J760" s="5244">
        <f t="shared" si="71"/>
        <v>0</v>
      </c>
      <c r="K760" s="5245">
        <f t="shared" si="68"/>
        <v>0</v>
      </c>
      <c r="L760" s="5245">
        <f t="shared" si="69"/>
        <v>0</v>
      </c>
      <c r="M760" s="5245">
        <f t="shared" si="70"/>
        <v>0</v>
      </c>
    </row>
    <row r="761" spans="1:13" ht="14.85" customHeight="1">
      <c r="A761" s="5238">
        <v>373</v>
      </c>
      <c r="B761" s="5238" t="s">
        <v>3821</v>
      </c>
      <c r="C761" s="5239" t="s">
        <v>2528</v>
      </c>
      <c r="D761" s="5240"/>
      <c r="E761" s="5241"/>
      <c r="F761" s="5243">
        <f t="shared" si="66"/>
        <v>0</v>
      </c>
      <c r="G761" s="5241"/>
      <c r="H761" s="5241"/>
      <c r="I761" s="5243">
        <f t="shared" si="67"/>
        <v>0</v>
      </c>
      <c r="J761" s="5244">
        <f t="shared" si="71"/>
        <v>0</v>
      </c>
      <c r="K761" s="5245">
        <f t="shared" si="68"/>
        <v>0</v>
      </c>
      <c r="L761" s="5245">
        <f t="shared" si="69"/>
        <v>0</v>
      </c>
      <c r="M761" s="5245">
        <f t="shared" si="70"/>
        <v>0</v>
      </c>
    </row>
    <row r="762" spans="1:13" ht="14.85" customHeight="1">
      <c r="A762" s="5238">
        <v>373</v>
      </c>
      <c r="B762" s="5238" t="s">
        <v>3822</v>
      </c>
      <c r="C762" s="5239" t="s">
        <v>2529</v>
      </c>
      <c r="D762" s="5240"/>
      <c r="E762" s="5241"/>
      <c r="F762" s="5243">
        <f t="shared" si="66"/>
        <v>0</v>
      </c>
      <c r="G762" s="5241"/>
      <c r="H762" s="5241"/>
      <c r="I762" s="5243">
        <f t="shared" si="67"/>
        <v>0</v>
      </c>
      <c r="J762" s="5244">
        <f t="shared" si="71"/>
        <v>0</v>
      </c>
      <c r="K762" s="5245">
        <f t="shared" si="68"/>
        <v>0</v>
      </c>
      <c r="L762" s="5245">
        <f t="shared" si="69"/>
        <v>0</v>
      </c>
      <c r="M762" s="5245">
        <f t="shared" si="70"/>
        <v>0</v>
      </c>
    </row>
    <row r="763" spans="1:13" ht="14.85" customHeight="1">
      <c r="A763" s="5238">
        <v>373</v>
      </c>
      <c r="B763" s="5238" t="s">
        <v>3823</v>
      </c>
      <c r="C763" s="5239" t="s">
        <v>2530</v>
      </c>
      <c r="D763" s="5240"/>
      <c r="E763" s="5241"/>
      <c r="F763" s="5243">
        <f t="shared" si="66"/>
        <v>0</v>
      </c>
      <c r="G763" s="5241"/>
      <c r="H763" s="5241"/>
      <c r="I763" s="5243">
        <f t="shared" si="67"/>
        <v>0</v>
      </c>
      <c r="J763" s="5244">
        <f t="shared" si="71"/>
        <v>0</v>
      </c>
      <c r="K763" s="5245">
        <f t="shared" si="68"/>
        <v>0</v>
      </c>
      <c r="L763" s="5245">
        <f t="shared" si="69"/>
        <v>0</v>
      </c>
      <c r="M763" s="5245">
        <f t="shared" si="70"/>
        <v>0</v>
      </c>
    </row>
    <row r="764" spans="1:13" ht="14.85" customHeight="1">
      <c r="A764" s="5238">
        <v>373</v>
      </c>
      <c r="B764" s="5238" t="s">
        <v>4525</v>
      </c>
      <c r="C764" s="5239" t="s">
        <v>4526</v>
      </c>
      <c r="D764" s="5240"/>
      <c r="E764" s="5241"/>
      <c r="F764" s="5243">
        <f t="shared" si="66"/>
        <v>0</v>
      </c>
      <c r="G764" s="5241"/>
      <c r="H764" s="5241"/>
      <c r="I764" s="5243">
        <f t="shared" si="67"/>
        <v>0</v>
      </c>
      <c r="J764" s="5244">
        <f t="shared" si="71"/>
        <v>0</v>
      </c>
      <c r="K764" s="5245">
        <f t="shared" si="68"/>
        <v>0</v>
      </c>
      <c r="L764" s="5245">
        <f t="shared" si="69"/>
        <v>0</v>
      </c>
      <c r="M764" s="5245">
        <f t="shared" si="70"/>
        <v>0</v>
      </c>
    </row>
    <row r="765" spans="1:13" ht="14.85" customHeight="1">
      <c r="A765" s="5238">
        <v>374</v>
      </c>
      <c r="B765" s="5238" t="s">
        <v>3824</v>
      </c>
      <c r="C765" s="5239" t="s">
        <v>2531</v>
      </c>
      <c r="D765" s="5240"/>
      <c r="E765" s="5241"/>
      <c r="F765" s="5243">
        <f t="shared" si="66"/>
        <v>0</v>
      </c>
      <c r="G765" s="5241"/>
      <c r="H765" s="5241"/>
      <c r="I765" s="5243">
        <f t="shared" si="67"/>
        <v>0</v>
      </c>
      <c r="J765" s="5244">
        <f t="shared" si="71"/>
        <v>0</v>
      </c>
      <c r="K765" s="5245">
        <f t="shared" si="68"/>
        <v>0</v>
      </c>
      <c r="L765" s="5245">
        <f t="shared" si="69"/>
        <v>0</v>
      </c>
      <c r="M765" s="5245">
        <f t="shared" si="70"/>
        <v>0</v>
      </c>
    </row>
    <row r="766" spans="1:13" ht="14.85" customHeight="1">
      <c r="A766" s="5238">
        <v>374</v>
      </c>
      <c r="B766" s="5238" t="s">
        <v>3825</v>
      </c>
      <c r="C766" s="5239" t="s">
        <v>2532</v>
      </c>
      <c r="D766" s="5240"/>
      <c r="E766" s="5241"/>
      <c r="F766" s="5243">
        <f t="shared" si="66"/>
        <v>0</v>
      </c>
      <c r="G766" s="5241"/>
      <c r="H766" s="5241"/>
      <c r="I766" s="5243">
        <f t="shared" si="67"/>
        <v>0</v>
      </c>
      <c r="J766" s="5244">
        <f t="shared" si="71"/>
        <v>0</v>
      </c>
      <c r="K766" s="5245">
        <f t="shared" si="68"/>
        <v>0</v>
      </c>
      <c r="L766" s="5245">
        <f t="shared" si="69"/>
        <v>0</v>
      </c>
      <c r="M766" s="5245">
        <f t="shared" si="70"/>
        <v>0</v>
      </c>
    </row>
    <row r="767" spans="1:13" ht="14.85" customHeight="1">
      <c r="A767" s="5238">
        <v>374</v>
      </c>
      <c r="B767" s="5238" t="s">
        <v>3826</v>
      </c>
      <c r="C767" s="5239" t="s">
        <v>2533</v>
      </c>
      <c r="D767" s="5240"/>
      <c r="E767" s="5241"/>
      <c r="F767" s="5243">
        <f t="shared" si="66"/>
        <v>0</v>
      </c>
      <c r="G767" s="5241"/>
      <c r="H767" s="5241"/>
      <c r="I767" s="5243">
        <f t="shared" si="67"/>
        <v>0</v>
      </c>
      <c r="J767" s="5244">
        <f t="shared" si="71"/>
        <v>0</v>
      </c>
      <c r="K767" s="5245">
        <f t="shared" si="68"/>
        <v>0</v>
      </c>
      <c r="L767" s="5245">
        <f t="shared" si="69"/>
        <v>0</v>
      </c>
      <c r="M767" s="5245">
        <f t="shared" si="70"/>
        <v>0</v>
      </c>
    </row>
    <row r="768" spans="1:13" ht="14.85" customHeight="1">
      <c r="A768" s="5238">
        <v>375</v>
      </c>
      <c r="B768" s="5238" t="s">
        <v>3827</v>
      </c>
      <c r="C768" s="5239" t="s">
        <v>2534</v>
      </c>
      <c r="D768" s="5240"/>
      <c r="E768" s="5241"/>
      <c r="F768" s="5243">
        <f t="shared" si="66"/>
        <v>0</v>
      </c>
      <c r="G768" s="5241"/>
      <c r="H768" s="5241"/>
      <c r="I768" s="5243">
        <f t="shared" si="67"/>
        <v>0</v>
      </c>
      <c r="J768" s="5244">
        <f t="shared" si="71"/>
        <v>0</v>
      </c>
      <c r="K768" s="5245">
        <f t="shared" si="68"/>
        <v>0</v>
      </c>
      <c r="L768" s="5245">
        <f t="shared" si="69"/>
        <v>0</v>
      </c>
      <c r="M768" s="5245">
        <f t="shared" si="70"/>
        <v>0</v>
      </c>
    </row>
    <row r="769" spans="1:13" ht="14.85" customHeight="1">
      <c r="A769" s="5238">
        <v>375</v>
      </c>
      <c r="B769" s="5238" t="s">
        <v>3828</v>
      </c>
      <c r="C769" s="5239" t="s">
        <v>2535</v>
      </c>
      <c r="D769" s="5240"/>
      <c r="E769" s="5241"/>
      <c r="F769" s="5243">
        <f t="shared" si="66"/>
        <v>0</v>
      </c>
      <c r="G769" s="5241"/>
      <c r="H769" s="5241"/>
      <c r="I769" s="5243">
        <f t="shared" si="67"/>
        <v>0</v>
      </c>
      <c r="J769" s="5244">
        <f t="shared" si="71"/>
        <v>0</v>
      </c>
      <c r="K769" s="5245">
        <f t="shared" si="68"/>
        <v>0</v>
      </c>
      <c r="L769" s="5245">
        <f t="shared" si="69"/>
        <v>0</v>
      </c>
      <c r="M769" s="5245">
        <f t="shared" si="70"/>
        <v>0</v>
      </c>
    </row>
    <row r="770" spans="1:13" ht="14.85" customHeight="1">
      <c r="A770" s="5238">
        <v>375</v>
      </c>
      <c r="B770" s="5238" t="s">
        <v>3829</v>
      </c>
      <c r="C770" s="5239" t="s">
        <v>2536</v>
      </c>
      <c r="D770" s="5240"/>
      <c r="E770" s="5241"/>
      <c r="F770" s="5243">
        <f t="shared" si="66"/>
        <v>0</v>
      </c>
      <c r="G770" s="5241"/>
      <c r="H770" s="5241"/>
      <c r="I770" s="5243">
        <f t="shared" si="67"/>
        <v>0</v>
      </c>
      <c r="J770" s="5244">
        <f t="shared" si="71"/>
        <v>0</v>
      </c>
      <c r="K770" s="5245">
        <f t="shared" si="68"/>
        <v>0</v>
      </c>
      <c r="L770" s="5245">
        <f t="shared" si="69"/>
        <v>0</v>
      </c>
      <c r="M770" s="5245">
        <f t="shared" si="70"/>
        <v>0</v>
      </c>
    </row>
    <row r="771" spans="1:13" ht="14.85" customHeight="1">
      <c r="A771" s="5238">
        <v>375</v>
      </c>
      <c r="B771" s="5238" t="s">
        <v>3830</v>
      </c>
      <c r="C771" s="5239" t="s">
        <v>2537</v>
      </c>
      <c r="D771" s="5240"/>
      <c r="E771" s="5241"/>
      <c r="F771" s="5243">
        <f t="shared" si="66"/>
        <v>0</v>
      </c>
      <c r="G771" s="5241"/>
      <c r="H771" s="5241"/>
      <c r="I771" s="5243">
        <f t="shared" si="67"/>
        <v>0</v>
      </c>
      <c r="J771" s="5244">
        <f t="shared" si="71"/>
        <v>0</v>
      </c>
      <c r="K771" s="5245">
        <f t="shared" si="68"/>
        <v>0</v>
      </c>
      <c r="L771" s="5245">
        <f t="shared" si="69"/>
        <v>0</v>
      </c>
      <c r="M771" s="5245">
        <f t="shared" si="70"/>
        <v>0</v>
      </c>
    </row>
    <row r="772" spans="1:13" ht="14.85" customHeight="1">
      <c r="A772" s="5238">
        <v>375</v>
      </c>
      <c r="B772" s="5238" t="s">
        <v>3831</v>
      </c>
      <c r="C772" s="5239" t="s">
        <v>2538</v>
      </c>
      <c r="D772" s="5240"/>
      <c r="E772" s="5241"/>
      <c r="F772" s="5243">
        <f t="shared" si="66"/>
        <v>0</v>
      </c>
      <c r="G772" s="5241"/>
      <c r="H772" s="5241"/>
      <c r="I772" s="5243">
        <f t="shared" si="67"/>
        <v>0</v>
      </c>
      <c r="J772" s="5244">
        <f t="shared" si="71"/>
        <v>0</v>
      </c>
      <c r="K772" s="5245">
        <f t="shared" si="68"/>
        <v>0</v>
      </c>
      <c r="L772" s="5245">
        <f t="shared" si="69"/>
        <v>0</v>
      </c>
      <c r="M772" s="5245">
        <f t="shared" si="70"/>
        <v>0</v>
      </c>
    </row>
    <row r="773" spans="1:13" ht="14.85" customHeight="1">
      <c r="A773" s="5238">
        <v>375</v>
      </c>
      <c r="B773" s="5238" t="s">
        <v>3832</v>
      </c>
      <c r="C773" s="5239" t="s">
        <v>2539</v>
      </c>
      <c r="D773" s="5240"/>
      <c r="E773" s="5241"/>
      <c r="F773" s="5243">
        <f t="shared" si="66"/>
        <v>0</v>
      </c>
      <c r="G773" s="5241"/>
      <c r="H773" s="5241"/>
      <c r="I773" s="5243">
        <f t="shared" si="67"/>
        <v>0</v>
      </c>
      <c r="J773" s="5244">
        <f t="shared" si="71"/>
        <v>0</v>
      </c>
      <c r="K773" s="5245">
        <f t="shared" si="68"/>
        <v>0</v>
      </c>
      <c r="L773" s="5245">
        <f t="shared" si="69"/>
        <v>0</v>
      </c>
      <c r="M773" s="5245">
        <f t="shared" si="70"/>
        <v>0</v>
      </c>
    </row>
    <row r="774" spans="1:13" ht="14.85" customHeight="1">
      <c r="A774" s="5238">
        <v>376</v>
      </c>
      <c r="B774" s="5238" t="s">
        <v>3833</v>
      </c>
      <c r="C774" s="5239" t="s">
        <v>2540</v>
      </c>
      <c r="D774" s="5240"/>
      <c r="E774" s="5241"/>
      <c r="F774" s="5243">
        <f t="shared" si="66"/>
        <v>0</v>
      </c>
      <c r="G774" s="5241"/>
      <c r="H774" s="5241"/>
      <c r="I774" s="5243">
        <f t="shared" si="67"/>
        <v>0</v>
      </c>
      <c r="J774" s="5244">
        <f t="shared" si="71"/>
        <v>0</v>
      </c>
      <c r="K774" s="5245">
        <f t="shared" si="68"/>
        <v>0</v>
      </c>
      <c r="L774" s="5245">
        <f t="shared" si="69"/>
        <v>0</v>
      </c>
      <c r="M774" s="5245">
        <f t="shared" si="70"/>
        <v>0</v>
      </c>
    </row>
    <row r="775" spans="1:13" ht="14.85" customHeight="1">
      <c r="A775" s="5238">
        <v>376</v>
      </c>
      <c r="B775" s="5238" t="s">
        <v>3834</v>
      </c>
      <c r="C775" s="5239" t="s">
        <v>2541</v>
      </c>
      <c r="D775" s="5240"/>
      <c r="E775" s="5241"/>
      <c r="F775" s="5243">
        <f t="shared" si="66"/>
        <v>0</v>
      </c>
      <c r="G775" s="5241"/>
      <c r="H775" s="5241"/>
      <c r="I775" s="5243">
        <f t="shared" si="67"/>
        <v>0</v>
      </c>
      <c r="J775" s="5244">
        <f t="shared" si="71"/>
        <v>0</v>
      </c>
      <c r="K775" s="5245">
        <f t="shared" si="68"/>
        <v>0</v>
      </c>
      <c r="L775" s="5245">
        <f t="shared" si="69"/>
        <v>0</v>
      </c>
      <c r="M775" s="5245">
        <f t="shared" si="70"/>
        <v>0</v>
      </c>
    </row>
    <row r="776" spans="1:13" ht="14.85" customHeight="1">
      <c r="A776" s="5238">
        <v>377</v>
      </c>
      <c r="B776" s="5238" t="s">
        <v>3835</v>
      </c>
      <c r="C776" s="5239" t="s">
        <v>4527</v>
      </c>
      <c r="D776" s="5240"/>
      <c r="E776" s="5241"/>
      <c r="F776" s="5243">
        <f t="shared" si="66"/>
        <v>0</v>
      </c>
      <c r="G776" s="5241"/>
      <c r="H776" s="5241"/>
      <c r="I776" s="5243">
        <f t="shared" si="67"/>
        <v>0</v>
      </c>
      <c r="J776" s="5244">
        <f t="shared" si="71"/>
        <v>0</v>
      </c>
      <c r="K776" s="5245">
        <f t="shared" si="68"/>
        <v>0</v>
      </c>
      <c r="L776" s="5245">
        <f t="shared" si="69"/>
        <v>0</v>
      </c>
      <c r="M776" s="5245">
        <f t="shared" si="70"/>
        <v>0</v>
      </c>
    </row>
    <row r="777" spans="1:13" ht="14.85" customHeight="1">
      <c r="A777" s="5238">
        <v>377</v>
      </c>
      <c r="B777" s="5238" t="s">
        <v>3836</v>
      </c>
      <c r="C777" s="5239" t="s">
        <v>4528</v>
      </c>
      <c r="D777" s="5240"/>
      <c r="E777" s="5241"/>
      <c r="F777" s="5243">
        <f t="shared" si="66"/>
        <v>0</v>
      </c>
      <c r="G777" s="5241"/>
      <c r="H777" s="5241"/>
      <c r="I777" s="5243">
        <f t="shared" si="67"/>
        <v>0</v>
      </c>
      <c r="J777" s="5244">
        <f t="shared" si="71"/>
        <v>0</v>
      </c>
      <c r="K777" s="5245">
        <f t="shared" si="68"/>
        <v>0</v>
      </c>
      <c r="L777" s="5245">
        <f t="shared" si="69"/>
        <v>0</v>
      </c>
      <c r="M777" s="5245">
        <f t="shared" si="70"/>
        <v>0</v>
      </c>
    </row>
    <row r="778" spans="1:13" ht="14.85" customHeight="1">
      <c r="A778" s="5238">
        <v>378</v>
      </c>
      <c r="B778" s="5238" t="s">
        <v>3837</v>
      </c>
      <c r="C778" s="5239" t="s">
        <v>2542</v>
      </c>
      <c r="D778" s="5240"/>
      <c r="E778" s="5241"/>
      <c r="F778" s="5243">
        <f t="shared" si="66"/>
        <v>0</v>
      </c>
      <c r="G778" s="5241"/>
      <c r="H778" s="5241"/>
      <c r="I778" s="5243">
        <f t="shared" si="67"/>
        <v>0</v>
      </c>
      <c r="J778" s="5244">
        <f t="shared" si="71"/>
        <v>0</v>
      </c>
      <c r="K778" s="5245">
        <f t="shared" si="68"/>
        <v>0</v>
      </c>
      <c r="L778" s="5245">
        <f t="shared" si="69"/>
        <v>0</v>
      </c>
      <c r="M778" s="5245">
        <f t="shared" si="70"/>
        <v>0</v>
      </c>
    </row>
    <row r="779" spans="1:13" ht="14.85" customHeight="1">
      <c r="A779" s="5238">
        <v>378</v>
      </c>
      <c r="B779" s="5238" t="s">
        <v>3838</v>
      </c>
      <c r="C779" s="5239" t="s">
        <v>2543</v>
      </c>
      <c r="D779" s="5240"/>
      <c r="E779" s="5241"/>
      <c r="F779" s="5243">
        <f t="shared" si="66"/>
        <v>0</v>
      </c>
      <c r="G779" s="5241"/>
      <c r="H779" s="5241"/>
      <c r="I779" s="5243">
        <f t="shared" si="67"/>
        <v>0</v>
      </c>
      <c r="J779" s="5244">
        <f t="shared" si="71"/>
        <v>0</v>
      </c>
      <c r="K779" s="5245">
        <f t="shared" si="68"/>
        <v>0</v>
      </c>
      <c r="L779" s="5245">
        <f t="shared" si="69"/>
        <v>0</v>
      </c>
      <c r="M779" s="5245">
        <f t="shared" si="70"/>
        <v>0</v>
      </c>
    </row>
    <row r="780" spans="1:13" ht="14.85" customHeight="1">
      <c r="A780" s="5238">
        <v>379</v>
      </c>
      <c r="B780" s="5238" t="s">
        <v>3839</v>
      </c>
      <c r="C780" s="5239" t="s">
        <v>2318</v>
      </c>
      <c r="D780" s="5240"/>
      <c r="E780" s="5241"/>
      <c r="F780" s="5243">
        <f t="shared" si="66"/>
        <v>0</v>
      </c>
      <c r="G780" s="5241"/>
      <c r="H780" s="5241"/>
      <c r="I780" s="5243">
        <f t="shared" si="67"/>
        <v>0</v>
      </c>
      <c r="J780" s="5244">
        <f t="shared" si="71"/>
        <v>0</v>
      </c>
      <c r="K780" s="5245">
        <f t="shared" si="68"/>
        <v>0</v>
      </c>
      <c r="L780" s="5245">
        <f t="shared" si="69"/>
        <v>0</v>
      </c>
      <c r="M780" s="5245">
        <f t="shared" si="70"/>
        <v>0</v>
      </c>
    </row>
    <row r="781" spans="1:13" ht="14.85" customHeight="1">
      <c r="A781" s="5238">
        <v>379</v>
      </c>
      <c r="B781" s="5238" t="s">
        <v>3840</v>
      </c>
      <c r="C781" s="5239" t="s">
        <v>2141</v>
      </c>
      <c r="D781" s="5240"/>
      <c r="E781" s="5241"/>
      <c r="F781" s="5243">
        <f t="shared" si="66"/>
        <v>0</v>
      </c>
      <c r="G781" s="5241"/>
      <c r="H781" s="5241"/>
      <c r="I781" s="5243">
        <f t="shared" si="67"/>
        <v>0</v>
      </c>
      <c r="J781" s="5244">
        <f t="shared" si="71"/>
        <v>0</v>
      </c>
      <c r="K781" s="5245">
        <f t="shared" si="68"/>
        <v>0</v>
      </c>
      <c r="L781" s="5245">
        <f t="shared" si="69"/>
        <v>0</v>
      </c>
      <c r="M781" s="5245">
        <f t="shared" si="70"/>
        <v>0</v>
      </c>
    </row>
    <row r="782" spans="1:13" ht="14.85" customHeight="1">
      <c r="A782" s="5238">
        <v>379</v>
      </c>
      <c r="B782" s="5238" t="s">
        <v>3841</v>
      </c>
      <c r="C782" s="5239" t="s">
        <v>2544</v>
      </c>
      <c r="D782" s="5240"/>
      <c r="E782" s="5241"/>
      <c r="F782" s="5243">
        <f t="shared" si="66"/>
        <v>0</v>
      </c>
      <c r="G782" s="5241"/>
      <c r="H782" s="5241"/>
      <c r="I782" s="5243">
        <f t="shared" si="67"/>
        <v>0</v>
      </c>
      <c r="J782" s="5244">
        <f t="shared" si="71"/>
        <v>0</v>
      </c>
      <c r="K782" s="5245">
        <f t="shared" si="68"/>
        <v>0</v>
      </c>
      <c r="L782" s="5245">
        <f t="shared" si="69"/>
        <v>0</v>
      </c>
      <c r="M782" s="5245">
        <f t="shared" si="70"/>
        <v>0</v>
      </c>
    </row>
    <row r="783" spans="1:13" ht="14.85" customHeight="1">
      <c r="A783" s="5238">
        <v>379</v>
      </c>
      <c r="B783" s="5238" t="s">
        <v>3842</v>
      </c>
      <c r="C783" s="5239" t="s">
        <v>2545</v>
      </c>
      <c r="D783" s="5240"/>
      <c r="E783" s="5241"/>
      <c r="F783" s="5243">
        <f t="shared" si="66"/>
        <v>0</v>
      </c>
      <c r="G783" s="5241"/>
      <c r="H783" s="5241"/>
      <c r="I783" s="5243">
        <f t="shared" si="67"/>
        <v>0</v>
      </c>
      <c r="J783" s="5244">
        <f t="shared" si="71"/>
        <v>0</v>
      </c>
      <c r="K783" s="5245">
        <f t="shared" si="68"/>
        <v>0</v>
      </c>
      <c r="L783" s="5245">
        <f t="shared" si="69"/>
        <v>0</v>
      </c>
      <c r="M783" s="5245">
        <f t="shared" si="70"/>
        <v>0</v>
      </c>
    </row>
    <row r="784" spans="1:13" ht="14.85" customHeight="1">
      <c r="A784" s="5238">
        <v>379</v>
      </c>
      <c r="B784" s="5238" t="s">
        <v>3843</v>
      </c>
      <c r="C784" s="5239" t="s">
        <v>2546</v>
      </c>
      <c r="D784" s="5240"/>
      <c r="E784" s="5241"/>
      <c r="F784" s="5243">
        <f t="shared" si="66"/>
        <v>0</v>
      </c>
      <c r="G784" s="5241"/>
      <c r="H784" s="5241"/>
      <c r="I784" s="5243">
        <f t="shared" si="67"/>
        <v>0</v>
      </c>
      <c r="J784" s="5244">
        <f t="shared" si="71"/>
        <v>0</v>
      </c>
      <c r="K784" s="5245">
        <f t="shared" si="68"/>
        <v>0</v>
      </c>
      <c r="L784" s="5245">
        <f t="shared" si="69"/>
        <v>0</v>
      </c>
      <c r="M784" s="5245">
        <f t="shared" si="70"/>
        <v>0</v>
      </c>
    </row>
    <row r="785" spans="1:13" ht="14.85" customHeight="1">
      <c r="A785" s="5238">
        <v>379</v>
      </c>
      <c r="B785" s="5238" t="s">
        <v>3844</v>
      </c>
      <c r="C785" s="5239" t="s">
        <v>2547</v>
      </c>
      <c r="D785" s="5240"/>
      <c r="E785" s="5241"/>
      <c r="F785" s="5243">
        <f t="shared" si="66"/>
        <v>0</v>
      </c>
      <c r="G785" s="5241"/>
      <c r="H785" s="5241"/>
      <c r="I785" s="5243">
        <f t="shared" si="67"/>
        <v>0</v>
      </c>
      <c r="J785" s="5244">
        <f t="shared" si="71"/>
        <v>0</v>
      </c>
      <c r="K785" s="5245">
        <f t="shared" si="68"/>
        <v>0</v>
      </c>
      <c r="L785" s="5245">
        <f t="shared" si="69"/>
        <v>0</v>
      </c>
      <c r="M785" s="5245">
        <f t="shared" si="70"/>
        <v>0</v>
      </c>
    </row>
    <row r="786" spans="1:13" ht="14.85" customHeight="1">
      <c r="A786" s="5238">
        <v>380</v>
      </c>
      <c r="B786" s="5238" t="s">
        <v>3845</v>
      </c>
      <c r="C786" s="5239" t="s">
        <v>2548</v>
      </c>
      <c r="D786" s="5240"/>
      <c r="E786" s="5241"/>
      <c r="F786" s="5243">
        <f t="shared" si="66"/>
        <v>0</v>
      </c>
      <c r="G786" s="5241"/>
      <c r="H786" s="5241"/>
      <c r="I786" s="5243">
        <f t="shared" si="67"/>
        <v>0</v>
      </c>
      <c r="J786" s="5244">
        <f t="shared" si="71"/>
        <v>0</v>
      </c>
      <c r="K786" s="5245">
        <f t="shared" si="68"/>
        <v>0</v>
      </c>
      <c r="L786" s="5245">
        <f t="shared" si="69"/>
        <v>0</v>
      </c>
      <c r="M786" s="5245">
        <f t="shared" si="70"/>
        <v>0</v>
      </c>
    </row>
    <row r="787" spans="1:13" ht="14.85" customHeight="1">
      <c r="A787" s="5238">
        <v>380</v>
      </c>
      <c r="B787" s="5238" t="s">
        <v>3846</v>
      </c>
      <c r="C787" s="5239" t="s">
        <v>2549</v>
      </c>
      <c r="D787" s="5240"/>
      <c r="E787" s="5241"/>
      <c r="F787" s="5243">
        <f t="shared" si="66"/>
        <v>0</v>
      </c>
      <c r="G787" s="5241"/>
      <c r="H787" s="5241"/>
      <c r="I787" s="5243">
        <f t="shared" si="67"/>
        <v>0</v>
      </c>
      <c r="J787" s="5244">
        <f t="shared" si="71"/>
        <v>0</v>
      </c>
      <c r="K787" s="5245">
        <f t="shared" si="68"/>
        <v>0</v>
      </c>
      <c r="L787" s="5245">
        <f t="shared" si="69"/>
        <v>0</v>
      </c>
      <c r="M787" s="5245">
        <f t="shared" si="70"/>
        <v>0</v>
      </c>
    </row>
    <row r="788" spans="1:13" ht="14.85" customHeight="1">
      <c r="A788" s="5238">
        <v>380</v>
      </c>
      <c r="B788" s="5238" t="s">
        <v>3847</v>
      </c>
      <c r="C788" s="5239" t="s">
        <v>2550</v>
      </c>
      <c r="D788" s="5240"/>
      <c r="E788" s="5241"/>
      <c r="F788" s="5243">
        <f t="shared" si="66"/>
        <v>0</v>
      </c>
      <c r="G788" s="5241"/>
      <c r="H788" s="5241"/>
      <c r="I788" s="5243">
        <f t="shared" si="67"/>
        <v>0</v>
      </c>
      <c r="J788" s="5244">
        <f t="shared" si="71"/>
        <v>0</v>
      </c>
      <c r="K788" s="5245">
        <f t="shared" si="68"/>
        <v>0</v>
      </c>
      <c r="L788" s="5245">
        <f t="shared" si="69"/>
        <v>0</v>
      </c>
      <c r="M788" s="5245">
        <f t="shared" si="70"/>
        <v>0</v>
      </c>
    </row>
    <row r="789" spans="1:13" ht="14.85" customHeight="1">
      <c r="A789" s="5238">
        <v>380</v>
      </c>
      <c r="B789" s="5238" t="s">
        <v>3848</v>
      </c>
      <c r="C789" s="5239" t="s">
        <v>2551</v>
      </c>
      <c r="D789" s="5240"/>
      <c r="E789" s="5241"/>
      <c r="F789" s="5243">
        <f t="shared" si="66"/>
        <v>0</v>
      </c>
      <c r="G789" s="5241"/>
      <c r="H789" s="5241"/>
      <c r="I789" s="5243">
        <f t="shared" si="67"/>
        <v>0</v>
      </c>
      <c r="J789" s="5244">
        <f t="shared" si="71"/>
        <v>0</v>
      </c>
      <c r="K789" s="5245">
        <f t="shared" si="68"/>
        <v>0</v>
      </c>
      <c r="L789" s="5245">
        <f t="shared" si="69"/>
        <v>0</v>
      </c>
      <c r="M789" s="5245">
        <f t="shared" si="70"/>
        <v>0</v>
      </c>
    </row>
    <row r="790" spans="1:13" ht="14.85" customHeight="1">
      <c r="A790" s="5238">
        <v>381</v>
      </c>
      <c r="B790" s="5238" t="s">
        <v>3849</v>
      </c>
      <c r="C790" s="5239" t="s">
        <v>2552</v>
      </c>
      <c r="D790" s="5240"/>
      <c r="E790" s="5241"/>
      <c r="F790" s="5243">
        <f t="shared" si="66"/>
        <v>0</v>
      </c>
      <c r="G790" s="5241"/>
      <c r="H790" s="5241"/>
      <c r="I790" s="5243">
        <f t="shared" si="67"/>
        <v>0</v>
      </c>
      <c r="J790" s="5244">
        <f t="shared" si="71"/>
        <v>0</v>
      </c>
      <c r="K790" s="5245">
        <f t="shared" si="68"/>
        <v>0</v>
      </c>
      <c r="L790" s="5245">
        <f t="shared" si="69"/>
        <v>0</v>
      </c>
      <c r="M790" s="5245">
        <f t="shared" si="70"/>
        <v>0</v>
      </c>
    </row>
    <row r="791" spans="1:13" ht="14.85" customHeight="1">
      <c r="A791" s="5238">
        <v>381</v>
      </c>
      <c r="B791" s="5238" t="s">
        <v>3850</v>
      </c>
      <c r="C791" s="5239" t="s">
        <v>2553</v>
      </c>
      <c r="D791" s="5240"/>
      <c r="E791" s="5241"/>
      <c r="F791" s="5243">
        <f t="shared" si="66"/>
        <v>0</v>
      </c>
      <c r="G791" s="5241"/>
      <c r="H791" s="5241"/>
      <c r="I791" s="5243">
        <f t="shared" si="67"/>
        <v>0</v>
      </c>
      <c r="J791" s="5244">
        <f t="shared" si="71"/>
        <v>0</v>
      </c>
      <c r="K791" s="5245">
        <f t="shared" si="68"/>
        <v>0</v>
      </c>
      <c r="L791" s="5245">
        <f t="shared" si="69"/>
        <v>0</v>
      </c>
      <c r="M791" s="5245">
        <f t="shared" si="70"/>
        <v>0</v>
      </c>
    </row>
    <row r="792" spans="1:13" ht="14.85" customHeight="1">
      <c r="A792" s="5238">
        <v>382</v>
      </c>
      <c r="B792" s="5238" t="s">
        <v>3851</v>
      </c>
      <c r="C792" s="5239" t="s">
        <v>2554</v>
      </c>
      <c r="D792" s="5240"/>
      <c r="E792" s="5241"/>
      <c r="F792" s="5243">
        <f t="shared" si="66"/>
        <v>0</v>
      </c>
      <c r="G792" s="5241"/>
      <c r="H792" s="5241"/>
      <c r="I792" s="5243">
        <f t="shared" si="67"/>
        <v>0</v>
      </c>
      <c r="J792" s="5244">
        <f t="shared" si="71"/>
        <v>0</v>
      </c>
      <c r="K792" s="5245">
        <f t="shared" si="68"/>
        <v>0</v>
      </c>
      <c r="L792" s="5245">
        <f t="shared" si="69"/>
        <v>0</v>
      </c>
      <c r="M792" s="5245">
        <f t="shared" si="70"/>
        <v>0</v>
      </c>
    </row>
    <row r="793" spans="1:13" ht="14.85" customHeight="1">
      <c r="A793" s="5238">
        <v>382</v>
      </c>
      <c r="B793" s="5238" t="s">
        <v>3852</v>
      </c>
      <c r="C793" s="5239" t="s">
        <v>2555</v>
      </c>
      <c r="D793" s="5240"/>
      <c r="E793" s="5241"/>
      <c r="F793" s="5243">
        <f t="shared" si="66"/>
        <v>0</v>
      </c>
      <c r="G793" s="5241"/>
      <c r="H793" s="5241"/>
      <c r="I793" s="5243">
        <f t="shared" si="67"/>
        <v>0</v>
      </c>
      <c r="J793" s="5244">
        <f t="shared" si="71"/>
        <v>0</v>
      </c>
      <c r="K793" s="5245">
        <f t="shared" si="68"/>
        <v>0</v>
      </c>
      <c r="L793" s="5245">
        <f t="shared" si="69"/>
        <v>0</v>
      </c>
      <c r="M793" s="5245">
        <f t="shared" si="70"/>
        <v>0</v>
      </c>
    </row>
    <row r="794" spans="1:13" ht="14.85" customHeight="1">
      <c r="A794" s="5238">
        <v>382</v>
      </c>
      <c r="B794" s="5238" t="s">
        <v>3853</v>
      </c>
      <c r="C794" s="5239" t="s">
        <v>2556</v>
      </c>
      <c r="D794" s="5240"/>
      <c r="E794" s="5241"/>
      <c r="F794" s="5243">
        <f t="shared" si="66"/>
        <v>0</v>
      </c>
      <c r="G794" s="5241"/>
      <c r="H794" s="5241"/>
      <c r="I794" s="5243">
        <f t="shared" si="67"/>
        <v>0</v>
      </c>
      <c r="J794" s="5244">
        <f t="shared" si="71"/>
        <v>0</v>
      </c>
      <c r="K794" s="5245">
        <f t="shared" si="68"/>
        <v>0</v>
      </c>
      <c r="L794" s="5245">
        <f t="shared" si="69"/>
        <v>0</v>
      </c>
      <c r="M794" s="5245">
        <f t="shared" si="70"/>
        <v>0</v>
      </c>
    </row>
    <row r="795" spans="1:13" ht="14.85" customHeight="1">
      <c r="A795" s="5238">
        <v>383</v>
      </c>
      <c r="B795" s="5238" t="s">
        <v>3854</v>
      </c>
      <c r="C795" s="5239" t="s">
        <v>2557</v>
      </c>
      <c r="D795" s="5240"/>
      <c r="E795" s="5241"/>
      <c r="F795" s="5243">
        <f t="shared" si="66"/>
        <v>0</v>
      </c>
      <c r="G795" s="5241"/>
      <c r="H795" s="5241"/>
      <c r="I795" s="5243">
        <f t="shared" si="67"/>
        <v>0</v>
      </c>
      <c r="J795" s="5244">
        <f t="shared" si="71"/>
        <v>0</v>
      </c>
      <c r="K795" s="5245">
        <f t="shared" si="68"/>
        <v>0</v>
      </c>
      <c r="L795" s="5245">
        <f t="shared" si="69"/>
        <v>0</v>
      </c>
      <c r="M795" s="5245">
        <f t="shared" si="70"/>
        <v>0</v>
      </c>
    </row>
    <row r="796" spans="1:13" ht="14.85" customHeight="1">
      <c r="A796" s="5238">
        <v>383</v>
      </c>
      <c r="B796" s="5238" t="s">
        <v>3855</v>
      </c>
      <c r="C796" s="5239" t="s">
        <v>2558</v>
      </c>
      <c r="D796" s="5240"/>
      <c r="E796" s="5241"/>
      <c r="F796" s="5243">
        <f t="shared" si="66"/>
        <v>0</v>
      </c>
      <c r="G796" s="5241"/>
      <c r="H796" s="5241"/>
      <c r="I796" s="5243">
        <f t="shared" si="67"/>
        <v>0</v>
      </c>
      <c r="J796" s="5244">
        <f t="shared" si="71"/>
        <v>0</v>
      </c>
      <c r="K796" s="5245">
        <f t="shared" si="68"/>
        <v>0</v>
      </c>
      <c r="L796" s="5245">
        <f t="shared" si="69"/>
        <v>0</v>
      </c>
      <c r="M796" s="5245">
        <f t="shared" si="70"/>
        <v>0</v>
      </c>
    </row>
    <row r="797" spans="1:13" ht="14.85" customHeight="1">
      <c r="A797" s="5238">
        <v>383</v>
      </c>
      <c r="B797" s="5238" t="s">
        <v>3856</v>
      </c>
      <c r="C797" s="5239" t="s">
        <v>2559</v>
      </c>
      <c r="D797" s="5240"/>
      <c r="E797" s="5241"/>
      <c r="F797" s="5243">
        <f t="shared" si="66"/>
        <v>0</v>
      </c>
      <c r="G797" s="5241"/>
      <c r="H797" s="5241"/>
      <c r="I797" s="5243">
        <f t="shared" si="67"/>
        <v>0</v>
      </c>
      <c r="J797" s="5244">
        <f t="shared" si="71"/>
        <v>0</v>
      </c>
      <c r="K797" s="5245">
        <f t="shared" si="68"/>
        <v>0</v>
      </c>
      <c r="L797" s="5245">
        <f t="shared" si="69"/>
        <v>0</v>
      </c>
      <c r="M797" s="5245">
        <f t="shared" si="70"/>
        <v>0</v>
      </c>
    </row>
    <row r="798" spans="1:13" ht="14.85" customHeight="1">
      <c r="A798" s="5238">
        <v>383</v>
      </c>
      <c r="B798" s="5238" t="s">
        <v>3857</v>
      </c>
      <c r="C798" s="5239" t="s">
        <v>2560</v>
      </c>
      <c r="D798" s="5240"/>
      <c r="E798" s="5241"/>
      <c r="F798" s="5243">
        <f t="shared" si="66"/>
        <v>0</v>
      </c>
      <c r="G798" s="5241"/>
      <c r="H798" s="5241"/>
      <c r="I798" s="5243">
        <f t="shared" si="67"/>
        <v>0</v>
      </c>
      <c r="J798" s="5244">
        <f t="shared" si="71"/>
        <v>0</v>
      </c>
      <c r="K798" s="5245">
        <f t="shared" si="68"/>
        <v>0</v>
      </c>
      <c r="L798" s="5245">
        <f t="shared" si="69"/>
        <v>0</v>
      </c>
      <c r="M798" s="5245">
        <f t="shared" si="70"/>
        <v>0</v>
      </c>
    </row>
    <row r="799" spans="1:13" ht="14.85" customHeight="1">
      <c r="A799" s="5238">
        <v>383</v>
      </c>
      <c r="B799" s="5238" t="s">
        <v>3858</v>
      </c>
      <c r="C799" s="5239" t="s">
        <v>2561</v>
      </c>
      <c r="D799" s="5240"/>
      <c r="E799" s="5241"/>
      <c r="F799" s="5243">
        <f t="shared" si="66"/>
        <v>0</v>
      </c>
      <c r="G799" s="5241"/>
      <c r="H799" s="5241"/>
      <c r="I799" s="5243">
        <f t="shared" si="67"/>
        <v>0</v>
      </c>
      <c r="J799" s="5244">
        <f t="shared" si="71"/>
        <v>0</v>
      </c>
      <c r="K799" s="5245">
        <f t="shared" si="68"/>
        <v>0</v>
      </c>
      <c r="L799" s="5245">
        <f t="shared" si="69"/>
        <v>0</v>
      </c>
      <c r="M799" s="5245">
        <f t="shared" si="70"/>
        <v>0</v>
      </c>
    </row>
    <row r="800" spans="1:13" ht="14.85" customHeight="1">
      <c r="A800" s="5238">
        <v>383</v>
      </c>
      <c r="B800" s="5238" t="s">
        <v>3859</v>
      </c>
      <c r="C800" s="5239" t="s">
        <v>2055</v>
      </c>
      <c r="D800" s="5240"/>
      <c r="E800" s="5241"/>
      <c r="F800" s="5243">
        <f t="shared" si="66"/>
        <v>0</v>
      </c>
      <c r="G800" s="5241"/>
      <c r="H800" s="5241"/>
      <c r="I800" s="5243">
        <f t="shared" si="67"/>
        <v>0</v>
      </c>
      <c r="J800" s="5244">
        <f t="shared" si="71"/>
        <v>0</v>
      </c>
      <c r="K800" s="5245">
        <f t="shared" si="68"/>
        <v>0</v>
      </c>
      <c r="L800" s="5245">
        <f t="shared" si="69"/>
        <v>0</v>
      </c>
      <c r="M800" s="5245">
        <f t="shared" si="70"/>
        <v>0</v>
      </c>
    </row>
    <row r="801" spans="1:13" ht="14.85" customHeight="1">
      <c r="A801" s="5238">
        <v>383</v>
      </c>
      <c r="B801" s="5238" t="s">
        <v>3860</v>
      </c>
      <c r="C801" s="5239" t="s">
        <v>2562</v>
      </c>
      <c r="D801" s="5240"/>
      <c r="E801" s="5241"/>
      <c r="F801" s="5243">
        <f t="shared" ref="F801:F864" si="72">SUM(D801:E801)</f>
        <v>0</v>
      </c>
      <c r="G801" s="5241"/>
      <c r="H801" s="5241"/>
      <c r="I801" s="5243">
        <f t="shared" ref="I801:I864" si="73">SUM(G801:H801)</f>
        <v>0</v>
      </c>
      <c r="J801" s="5244">
        <f t="shared" si="71"/>
        <v>0</v>
      </c>
      <c r="K801" s="5245">
        <f t="shared" ref="K801:K864" si="74">IF(AND((J801-35%)&gt;0,J801&lt;50%),I801*(J801-35%)*0.7,0)</f>
        <v>0</v>
      </c>
      <c r="L801" s="5245">
        <f t="shared" ref="L801:L864" si="75">IF(J801&gt;=50%,I801*10.5%,0)</f>
        <v>0</v>
      </c>
      <c r="M801" s="5245">
        <f t="shared" ref="M801:M864" si="76">MAX(K801,L801)</f>
        <v>0</v>
      </c>
    </row>
    <row r="802" spans="1:13" ht="14.85" customHeight="1">
      <c r="A802" s="5238">
        <v>383</v>
      </c>
      <c r="B802" s="5238" t="s">
        <v>3861</v>
      </c>
      <c r="C802" s="5239" t="s">
        <v>2563</v>
      </c>
      <c r="D802" s="5240"/>
      <c r="E802" s="5241"/>
      <c r="F802" s="5243">
        <f t="shared" si="72"/>
        <v>0</v>
      </c>
      <c r="G802" s="5241"/>
      <c r="H802" s="5241"/>
      <c r="I802" s="5243">
        <f t="shared" si="73"/>
        <v>0</v>
      </c>
      <c r="J802" s="5244">
        <f t="shared" si="71"/>
        <v>0</v>
      </c>
      <c r="K802" s="5245">
        <f t="shared" si="74"/>
        <v>0</v>
      </c>
      <c r="L802" s="5245">
        <f t="shared" si="75"/>
        <v>0</v>
      </c>
      <c r="M802" s="5245">
        <f t="shared" si="76"/>
        <v>0</v>
      </c>
    </row>
    <row r="803" spans="1:13" ht="14.85" customHeight="1">
      <c r="A803" s="5238">
        <v>383</v>
      </c>
      <c r="B803" s="5238" t="s">
        <v>3862</v>
      </c>
      <c r="C803" s="5239" t="s">
        <v>2564</v>
      </c>
      <c r="D803" s="5240"/>
      <c r="E803" s="5241"/>
      <c r="F803" s="5243">
        <f t="shared" si="72"/>
        <v>0</v>
      </c>
      <c r="G803" s="5241"/>
      <c r="H803" s="5241"/>
      <c r="I803" s="5243">
        <f t="shared" si="73"/>
        <v>0</v>
      </c>
      <c r="J803" s="5244">
        <f t="shared" si="71"/>
        <v>0</v>
      </c>
      <c r="K803" s="5245">
        <f t="shared" si="74"/>
        <v>0</v>
      </c>
      <c r="L803" s="5245">
        <f t="shared" si="75"/>
        <v>0</v>
      </c>
      <c r="M803" s="5245">
        <f t="shared" si="76"/>
        <v>0</v>
      </c>
    </row>
    <row r="804" spans="1:13" ht="14.85" customHeight="1">
      <c r="A804" s="5238">
        <v>383</v>
      </c>
      <c r="B804" s="5238" t="s">
        <v>3863</v>
      </c>
      <c r="C804" s="5239" t="s">
        <v>2565</v>
      </c>
      <c r="D804" s="5240"/>
      <c r="E804" s="5241"/>
      <c r="F804" s="5243">
        <f t="shared" si="72"/>
        <v>0</v>
      </c>
      <c r="G804" s="5241"/>
      <c r="H804" s="5241"/>
      <c r="I804" s="5243">
        <f t="shared" si="73"/>
        <v>0</v>
      </c>
      <c r="J804" s="5244">
        <f t="shared" ref="J804:J867" si="77">IF(ISERROR(I804/F804),0,I804/F804)</f>
        <v>0</v>
      </c>
      <c r="K804" s="5245">
        <f t="shared" si="74"/>
        <v>0</v>
      </c>
      <c r="L804" s="5245">
        <f t="shared" si="75"/>
        <v>0</v>
      </c>
      <c r="M804" s="5245">
        <f t="shared" si="76"/>
        <v>0</v>
      </c>
    </row>
    <row r="805" spans="1:13" ht="14.85" customHeight="1">
      <c r="A805" s="5238">
        <v>383</v>
      </c>
      <c r="B805" s="5238" t="s">
        <v>3864</v>
      </c>
      <c r="C805" s="5239" t="s">
        <v>4529</v>
      </c>
      <c r="D805" s="5240"/>
      <c r="E805" s="5241"/>
      <c r="F805" s="5243">
        <f t="shared" si="72"/>
        <v>0</v>
      </c>
      <c r="G805" s="5241"/>
      <c r="H805" s="5241"/>
      <c r="I805" s="5243">
        <f t="shared" si="73"/>
        <v>0</v>
      </c>
      <c r="J805" s="5244">
        <f t="shared" si="77"/>
        <v>0</v>
      </c>
      <c r="K805" s="5245">
        <f t="shared" si="74"/>
        <v>0</v>
      </c>
      <c r="L805" s="5245">
        <f t="shared" si="75"/>
        <v>0</v>
      </c>
      <c r="M805" s="5245">
        <f t="shared" si="76"/>
        <v>0</v>
      </c>
    </row>
    <row r="806" spans="1:13" ht="14.85" customHeight="1">
      <c r="A806" s="5238">
        <v>383</v>
      </c>
      <c r="B806" s="5238" t="s">
        <v>3865</v>
      </c>
      <c r="C806" s="5239" t="s">
        <v>2566</v>
      </c>
      <c r="D806" s="5240"/>
      <c r="E806" s="5241"/>
      <c r="F806" s="5243">
        <f t="shared" si="72"/>
        <v>0</v>
      </c>
      <c r="G806" s="5241"/>
      <c r="H806" s="5241"/>
      <c r="I806" s="5243">
        <f t="shared" si="73"/>
        <v>0</v>
      </c>
      <c r="J806" s="5244">
        <f t="shared" si="77"/>
        <v>0</v>
      </c>
      <c r="K806" s="5245">
        <f t="shared" si="74"/>
        <v>0</v>
      </c>
      <c r="L806" s="5245">
        <f t="shared" si="75"/>
        <v>0</v>
      </c>
      <c r="M806" s="5245">
        <f t="shared" si="76"/>
        <v>0</v>
      </c>
    </row>
    <row r="807" spans="1:13" ht="14.85" customHeight="1">
      <c r="A807" s="5238">
        <v>384</v>
      </c>
      <c r="B807" s="5238" t="s">
        <v>3866</v>
      </c>
      <c r="C807" s="5239" t="s">
        <v>2567</v>
      </c>
      <c r="D807" s="5240"/>
      <c r="E807" s="5241"/>
      <c r="F807" s="5243">
        <f t="shared" si="72"/>
        <v>0</v>
      </c>
      <c r="G807" s="5241"/>
      <c r="H807" s="5241"/>
      <c r="I807" s="5243">
        <f t="shared" si="73"/>
        <v>0</v>
      </c>
      <c r="J807" s="5244">
        <f t="shared" si="77"/>
        <v>0</v>
      </c>
      <c r="K807" s="5245">
        <f t="shared" si="74"/>
        <v>0</v>
      </c>
      <c r="L807" s="5245">
        <f t="shared" si="75"/>
        <v>0</v>
      </c>
      <c r="M807" s="5245">
        <f t="shared" si="76"/>
        <v>0</v>
      </c>
    </row>
    <row r="808" spans="1:13" ht="14.85" customHeight="1">
      <c r="A808" s="5238">
        <v>384</v>
      </c>
      <c r="B808" s="5238" t="s">
        <v>3867</v>
      </c>
      <c r="C808" s="5239" t="s">
        <v>2568</v>
      </c>
      <c r="D808" s="5240"/>
      <c r="E808" s="5241"/>
      <c r="F808" s="5243">
        <f t="shared" si="72"/>
        <v>0</v>
      </c>
      <c r="G808" s="5241"/>
      <c r="H808" s="5241"/>
      <c r="I808" s="5243">
        <f t="shared" si="73"/>
        <v>0</v>
      </c>
      <c r="J808" s="5244">
        <f t="shared" si="77"/>
        <v>0</v>
      </c>
      <c r="K808" s="5245">
        <f t="shared" si="74"/>
        <v>0</v>
      </c>
      <c r="L808" s="5245">
        <f t="shared" si="75"/>
        <v>0</v>
      </c>
      <c r="M808" s="5245">
        <f t="shared" si="76"/>
        <v>0</v>
      </c>
    </row>
    <row r="809" spans="1:13" ht="14.85" customHeight="1">
      <c r="A809" s="5238">
        <v>384</v>
      </c>
      <c r="B809" s="5238" t="s">
        <v>3868</v>
      </c>
      <c r="C809" s="5239" t="s">
        <v>1977</v>
      </c>
      <c r="D809" s="5240"/>
      <c r="E809" s="5241"/>
      <c r="F809" s="5243">
        <f t="shared" si="72"/>
        <v>0</v>
      </c>
      <c r="G809" s="5241"/>
      <c r="H809" s="5241"/>
      <c r="I809" s="5243">
        <f t="shared" si="73"/>
        <v>0</v>
      </c>
      <c r="J809" s="5244">
        <f t="shared" si="77"/>
        <v>0</v>
      </c>
      <c r="K809" s="5245">
        <f t="shared" si="74"/>
        <v>0</v>
      </c>
      <c r="L809" s="5245">
        <f t="shared" si="75"/>
        <v>0</v>
      </c>
      <c r="M809" s="5245">
        <f t="shared" si="76"/>
        <v>0</v>
      </c>
    </row>
    <row r="810" spans="1:13" ht="14.85" customHeight="1">
      <c r="A810" s="5238">
        <v>385</v>
      </c>
      <c r="B810" s="5238" t="s">
        <v>3869</v>
      </c>
      <c r="C810" s="5239" t="s">
        <v>2569</v>
      </c>
      <c r="D810" s="5240"/>
      <c r="E810" s="5241"/>
      <c r="F810" s="5243">
        <f t="shared" si="72"/>
        <v>0</v>
      </c>
      <c r="G810" s="5241"/>
      <c r="H810" s="5241"/>
      <c r="I810" s="5243">
        <f t="shared" si="73"/>
        <v>0</v>
      </c>
      <c r="J810" s="5244">
        <f t="shared" si="77"/>
        <v>0</v>
      </c>
      <c r="K810" s="5245">
        <f t="shared" si="74"/>
        <v>0</v>
      </c>
      <c r="L810" s="5245">
        <f t="shared" si="75"/>
        <v>0</v>
      </c>
      <c r="M810" s="5245">
        <f t="shared" si="76"/>
        <v>0</v>
      </c>
    </row>
    <row r="811" spans="1:13" ht="14.85" customHeight="1">
      <c r="A811" s="5238">
        <v>385</v>
      </c>
      <c r="B811" s="5238" t="s">
        <v>3870</v>
      </c>
      <c r="C811" s="5239" t="s">
        <v>2570</v>
      </c>
      <c r="D811" s="5240"/>
      <c r="E811" s="5241"/>
      <c r="F811" s="5243">
        <f t="shared" si="72"/>
        <v>0</v>
      </c>
      <c r="G811" s="5241"/>
      <c r="H811" s="5241"/>
      <c r="I811" s="5243">
        <f t="shared" si="73"/>
        <v>0</v>
      </c>
      <c r="J811" s="5244">
        <f t="shared" si="77"/>
        <v>0</v>
      </c>
      <c r="K811" s="5245">
        <f t="shared" si="74"/>
        <v>0</v>
      </c>
      <c r="L811" s="5245">
        <f t="shared" si="75"/>
        <v>0</v>
      </c>
      <c r="M811" s="5245">
        <f t="shared" si="76"/>
        <v>0</v>
      </c>
    </row>
    <row r="812" spans="1:13" ht="14.85" customHeight="1">
      <c r="A812" s="5238">
        <v>385</v>
      </c>
      <c r="B812" s="5238" t="s">
        <v>3871</v>
      </c>
      <c r="C812" s="5239" t="s">
        <v>2571</v>
      </c>
      <c r="D812" s="5240"/>
      <c r="E812" s="5241"/>
      <c r="F812" s="5243">
        <f t="shared" si="72"/>
        <v>0</v>
      </c>
      <c r="G812" s="5241"/>
      <c r="H812" s="5241"/>
      <c r="I812" s="5243">
        <f t="shared" si="73"/>
        <v>0</v>
      </c>
      <c r="J812" s="5244">
        <f t="shared" si="77"/>
        <v>0</v>
      </c>
      <c r="K812" s="5245">
        <f t="shared" si="74"/>
        <v>0</v>
      </c>
      <c r="L812" s="5245">
        <f t="shared" si="75"/>
        <v>0</v>
      </c>
      <c r="M812" s="5245">
        <f t="shared" si="76"/>
        <v>0</v>
      </c>
    </row>
    <row r="813" spans="1:13" ht="14.85" customHeight="1">
      <c r="A813" s="5238">
        <v>385</v>
      </c>
      <c r="B813" s="5238" t="s">
        <v>3872</v>
      </c>
      <c r="C813" s="5239" t="s">
        <v>2572</v>
      </c>
      <c r="D813" s="5240"/>
      <c r="E813" s="5241"/>
      <c r="F813" s="5243">
        <f t="shared" si="72"/>
        <v>0</v>
      </c>
      <c r="G813" s="5241"/>
      <c r="H813" s="5241"/>
      <c r="I813" s="5243">
        <f t="shared" si="73"/>
        <v>0</v>
      </c>
      <c r="J813" s="5244">
        <f t="shared" si="77"/>
        <v>0</v>
      </c>
      <c r="K813" s="5245">
        <f t="shared" si="74"/>
        <v>0</v>
      </c>
      <c r="L813" s="5245">
        <f t="shared" si="75"/>
        <v>0</v>
      </c>
      <c r="M813" s="5245">
        <f t="shared" si="76"/>
        <v>0</v>
      </c>
    </row>
    <row r="814" spans="1:13" ht="14.85" customHeight="1">
      <c r="A814" s="5238">
        <v>385</v>
      </c>
      <c r="B814" s="5238" t="s">
        <v>3873</v>
      </c>
      <c r="C814" s="5239" t="s">
        <v>2117</v>
      </c>
      <c r="D814" s="5240"/>
      <c r="E814" s="5241"/>
      <c r="F814" s="5243">
        <f t="shared" si="72"/>
        <v>0</v>
      </c>
      <c r="G814" s="5241"/>
      <c r="H814" s="5241"/>
      <c r="I814" s="5243">
        <f t="shared" si="73"/>
        <v>0</v>
      </c>
      <c r="J814" s="5244">
        <f t="shared" si="77"/>
        <v>0</v>
      </c>
      <c r="K814" s="5245">
        <f t="shared" si="74"/>
        <v>0</v>
      </c>
      <c r="L814" s="5245">
        <f t="shared" si="75"/>
        <v>0</v>
      </c>
      <c r="M814" s="5245">
        <f t="shared" si="76"/>
        <v>0</v>
      </c>
    </row>
    <row r="815" spans="1:13" ht="14.85" customHeight="1">
      <c r="A815" s="5238">
        <v>385</v>
      </c>
      <c r="B815" s="5238" t="s">
        <v>3874</v>
      </c>
      <c r="C815" s="5239" t="s">
        <v>2006</v>
      </c>
      <c r="D815" s="5240"/>
      <c r="E815" s="5241"/>
      <c r="F815" s="5243">
        <f t="shared" si="72"/>
        <v>0</v>
      </c>
      <c r="G815" s="5241"/>
      <c r="H815" s="5241"/>
      <c r="I815" s="5243">
        <f t="shared" si="73"/>
        <v>0</v>
      </c>
      <c r="J815" s="5244">
        <f t="shared" si="77"/>
        <v>0</v>
      </c>
      <c r="K815" s="5245">
        <f t="shared" si="74"/>
        <v>0</v>
      </c>
      <c r="L815" s="5245">
        <f t="shared" si="75"/>
        <v>0</v>
      </c>
      <c r="M815" s="5245">
        <f t="shared" si="76"/>
        <v>0</v>
      </c>
    </row>
    <row r="816" spans="1:13" ht="14.85" customHeight="1">
      <c r="A816" s="5238">
        <v>385</v>
      </c>
      <c r="B816" s="5238" t="s">
        <v>3875</v>
      </c>
      <c r="C816" s="5239" t="s">
        <v>2573</v>
      </c>
      <c r="D816" s="5240"/>
      <c r="E816" s="5241"/>
      <c r="F816" s="5243">
        <f t="shared" si="72"/>
        <v>0</v>
      </c>
      <c r="G816" s="5241"/>
      <c r="H816" s="5241"/>
      <c r="I816" s="5243">
        <f t="shared" si="73"/>
        <v>0</v>
      </c>
      <c r="J816" s="5244">
        <f t="shared" si="77"/>
        <v>0</v>
      </c>
      <c r="K816" s="5245">
        <f t="shared" si="74"/>
        <v>0</v>
      </c>
      <c r="L816" s="5245">
        <f t="shared" si="75"/>
        <v>0</v>
      </c>
      <c r="M816" s="5245">
        <f t="shared" si="76"/>
        <v>0</v>
      </c>
    </row>
    <row r="817" spans="1:13" ht="14.85" customHeight="1">
      <c r="A817" s="5238">
        <v>385</v>
      </c>
      <c r="B817" s="5238" t="s">
        <v>3876</v>
      </c>
      <c r="C817" s="5239" t="s">
        <v>2574</v>
      </c>
      <c r="D817" s="5240"/>
      <c r="E817" s="5241"/>
      <c r="F817" s="5243">
        <f t="shared" si="72"/>
        <v>0</v>
      </c>
      <c r="G817" s="5241"/>
      <c r="H817" s="5241"/>
      <c r="I817" s="5243">
        <f t="shared" si="73"/>
        <v>0</v>
      </c>
      <c r="J817" s="5244">
        <f t="shared" si="77"/>
        <v>0</v>
      </c>
      <c r="K817" s="5245">
        <f t="shared" si="74"/>
        <v>0</v>
      </c>
      <c r="L817" s="5245">
        <f t="shared" si="75"/>
        <v>0</v>
      </c>
      <c r="M817" s="5245">
        <f t="shared" si="76"/>
        <v>0</v>
      </c>
    </row>
    <row r="818" spans="1:13" ht="14.85" customHeight="1">
      <c r="A818" s="5238">
        <v>385</v>
      </c>
      <c r="B818" s="5238" t="s">
        <v>3877</v>
      </c>
      <c r="C818" s="5239" t="s">
        <v>2575</v>
      </c>
      <c r="D818" s="5240"/>
      <c r="E818" s="5241"/>
      <c r="F818" s="5243">
        <f t="shared" si="72"/>
        <v>0</v>
      </c>
      <c r="G818" s="5241"/>
      <c r="H818" s="5241"/>
      <c r="I818" s="5243">
        <f t="shared" si="73"/>
        <v>0</v>
      </c>
      <c r="J818" s="5244">
        <f t="shared" si="77"/>
        <v>0</v>
      </c>
      <c r="K818" s="5245">
        <f t="shared" si="74"/>
        <v>0</v>
      </c>
      <c r="L818" s="5245">
        <f t="shared" si="75"/>
        <v>0</v>
      </c>
      <c r="M818" s="5245">
        <f t="shared" si="76"/>
        <v>0</v>
      </c>
    </row>
    <row r="819" spans="1:13" ht="14.85" customHeight="1">
      <c r="A819" s="5238">
        <v>385</v>
      </c>
      <c r="B819" s="5238" t="s">
        <v>3878</v>
      </c>
      <c r="C819" s="5239" t="s">
        <v>2576</v>
      </c>
      <c r="D819" s="5240"/>
      <c r="E819" s="5241"/>
      <c r="F819" s="5243">
        <f t="shared" si="72"/>
        <v>0</v>
      </c>
      <c r="G819" s="5241"/>
      <c r="H819" s="5241"/>
      <c r="I819" s="5243">
        <f t="shared" si="73"/>
        <v>0</v>
      </c>
      <c r="J819" s="5244">
        <f t="shared" si="77"/>
        <v>0</v>
      </c>
      <c r="K819" s="5245">
        <f t="shared" si="74"/>
        <v>0</v>
      </c>
      <c r="L819" s="5245">
        <f t="shared" si="75"/>
        <v>0</v>
      </c>
      <c r="M819" s="5245">
        <f t="shared" si="76"/>
        <v>0</v>
      </c>
    </row>
    <row r="820" spans="1:13" ht="14.85" customHeight="1">
      <c r="A820" s="5238">
        <v>385</v>
      </c>
      <c r="B820" s="5238" t="s">
        <v>3879</v>
      </c>
      <c r="C820" s="5239" t="s">
        <v>2577</v>
      </c>
      <c r="D820" s="5240"/>
      <c r="E820" s="5241"/>
      <c r="F820" s="5243">
        <f t="shared" si="72"/>
        <v>0</v>
      </c>
      <c r="G820" s="5241"/>
      <c r="H820" s="5241"/>
      <c r="I820" s="5243">
        <f t="shared" si="73"/>
        <v>0</v>
      </c>
      <c r="J820" s="5244">
        <f t="shared" si="77"/>
        <v>0</v>
      </c>
      <c r="K820" s="5245">
        <f t="shared" si="74"/>
        <v>0</v>
      </c>
      <c r="L820" s="5245">
        <f t="shared" si="75"/>
        <v>0</v>
      </c>
      <c r="M820" s="5245">
        <f t="shared" si="76"/>
        <v>0</v>
      </c>
    </row>
    <row r="821" spans="1:13" ht="14.85" customHeight="1">
      <c r="A821" s="5238">
        <v>386</v>
      </c>
      <c r="B821" s="5238" t="s">
        <v>3880</v>
      </c>
      <c r="C821" s="5239" t="s">
        <v>2578</v>
      </c>
      <c r="D821" s="5240"/>
      <c r="E821" s="5241"/>
      <c r="F821" s="5243">
        <f t="shared" si="72"/>
        <v>0</v>
      </c>
      <c r="G821" s="5241"/>
      <c r="H821" s="5241"/>
      <c r="I821" s="5243">
        <f t="shared" si="73"/>
        <v>0</v>
      </c>
      <c r="J821" s="5244">
        <f t="shared" si="77"/>
        <v>0</v>
      </c>
      <c r="K821" s="5245">
        <f t="shared" si="74"/>
        <v>0</v>
      </c>
      <c r="L821" s="5245">
        <f t="shared" si="75"/>
        <v>0</v>
      </c>
      <c r="M821" s="5245">
        <f t="shared" si="76"/>
        <v>0</v>
      </c>
    </row>
    <row r="822" spans="1:13" ht="14.85" customHeight="1">
      <c r="A822" s="5238">
        <v>386</v>
      </c>
      <c r="B822" s="5238" t="s">
        <v>3881</v>
      </c>
      <c r="C822" s="5239" t="s">
        <v>2579</v>
      </c>
      <c r="D822" s="5240"/>
      <c r="E822" s="5241"/>
      <c r="F822" s="5243">
        <f t="shared" si="72"/>
        <v>0</v>
      </c>
      <c r="G822" s="5241"/>
      <c r="H822" s="5241"/>
      <c r="I822" s="5243">
        <f t="shared" si="73"/>
        <v>0</v>
      </c>
      <c r="J822" s="5244">
        <f t="shared" si="77"/>
        <v>0</v>
      </c>
      <c r="K822" s="5245">
        <f t="shared" si="74"/>
        <v>0</v>
      </c>
      <c r="L822" s="5245">
        <f t="shared" si="75"/>
        <v>0</v>
      </c>
      <c r="M822" s="5245">
        <f t="shared" si="76"/>
        <v>0</v>
      </c>
    </row>
    <row r="823" spans="1:13" ht="14.85" customHeight="1">
      <c r="A823" s="5238">
        <v>387</v>
      </c>
      <c r="B823" s="5238" t="s">
        <v>3882</v>
      </c>
      <c r="C823" s="5239" t="s">
        <v>2580</v>
      </c>
      <c r="D823" s="5240"/>
      <c r="E823" s="5241"/>
      <c r="F823" s="5243">
        <f t="shared" si="72"/>
        <v>0</v>
      </c>
      <c r="G823" s="5241"/>
      <c r="H823" s="5241"/>
      <c r="I823" s="5243">
        <f t="shared" si="73"/>
        <v>0</v>
      </c>
      <c r="J823" s="5244">
        <f t="shared" si="77"/>
        <v>0</v>
      </c>
      <c r="K823" s="5245">
        <f t="shared" si="74"/>
        <v>0</v>
      </c>
      <c r="L823" s="5245">
        <f t="shared" si="75"/>
        <v>0</v>
      </c>
      <c r="M823" s="5245">
        <f t="shared" si="76"/>
        <v>0</v>
      </c>
    </row>
    <row r="824" spans="1:13" ht="14.85" customHeight="1">
      <c r="A824" s="5238">
        <v>387</v>
      </c>
      <c r="B824" s="5238" t="s">
        <v>3883</v>
      </c>
      <c r="C824" s="5239" t="s">
        <v>4530</v>
      </c>
      <c r="D824" s="5240"/>
      <c r="E824" s="5241"/>
      <c r="F824" s="5243">
        <f t="shared" si="72"/>
        <v>0</v>
      </c>
      <c r="G824" s="5241"/>
      <c r="H824" s="5241"/>
      <c r="I824" s="5243">
        <f t="shared" si="73"/>
        <v>0</v>
      </c>
      <c r="J824" s="5244">
        <f t="shared" si="77"/>
        <v>0</v>
      </c>
      <c r="K824" s="5245">
        <f t="shared" si="74"/>
        <v>0</v>
      </c>
      <c r="L824" s="5245">
        <f t="shared" si="75"/>
        <v>0</v>
      </c>
      <c r="M824" s="5245">
        <f t="shared" si="76"/>
        <v>0</v>
      </c>
    </row>
    <row r="825" spans="1:13" ht="14.85" customHeight="1">
      <c r="A825" s="5238">
        <v>388</v>
      </c>
      <c r="B825" s="5238" t="s">
        <v>3884</v>
      </c>
      <c r="C825" s="5239" t="s">
        <v>2045</v>
      </c>
      <c r="D825" s="5240"/>
      <c r="E825" s="5241"/>
      <c r="F825" s="5243">
        <f t="shared" si="72"/>
        <v>0</v>
      </c>
      <c r="G825" s="5241"/>
      <c r="H825" s="5241"/>
      <c r="I825" s="5243">
        <f t="shared" si="73"/>
        <v>0</v>
      </c>
      <c r="J825" s="5244">
        <f t="shared" si="77"/>
        <v>0</v>
      </c>
      <c r="K825" s="5245">
        <f t="shared" si="74"/>
        <v>0</v>
      </c>
      <c r="L825" s="5245">
        <f t="shared" si="75"/>
        <v>0</v>
      </c>
      <c r="M825" s="5245">
        <f t="shared" si="76"/>
        <v>0</v>
      </c>
    </row>
    <row r="826" spans="1:13" ht="14.85" customHeight="1">
      <c r="A826" s="5238">
        <v>388</v>
      </c>
      <c r="B826" s="5238" t="s">
        <v>3885</v>
      </c>
      <c r="C826" s="5239" t="s">
        <v>2581</v>
      </c>
      <c r="D826" s="5240"/>
      <c r="E826" s="5241"/>
      <c r="F826" s="5243">
        <f t="shared" si="72"/>
        <v>0</v>
      </c>
      <c r="G826" s="5241"/>
      <c r="H826" s="5241"/>
      <c r="I826" s="5243">
        <f t="shared" si="73"/>
        <v>0</v>
      </c>
      <c r="J826" s="5244">
        <f t="shared" si="77"/>
        <v>0</v>
      </c>
      <c r="K826" s="5245">
        <f t="shared" si="74"/>
        <v>0</v>
      </c>
      <c r="L826" s="5245">
        <f t="shared" si="75"/>
        <v>0</v>
      </c>
      <c r="M826" s="5245">
        <f t="shared" si="76"/>
        <v>0</v>
      </c>
    </row>
    <row r="827" spans="1:13" ht="14.85" customHeight="1">
      <c r="A827" s="5238">
        <v>389</v>
      </c>
      <c r="B827" s="5238" t="s">
        <v>3886</v>
      </c>
      <c r="C827" s="5239" t="s">
        <v>2582</v>
      </c>
      <c r="D827" s="5240"/>
      <c r="E827" s="5241"/>
      <c r="F827" s="5243">
        <f t="shared" si="72"/>
        <v>0</v>
      </c>
      <c r="G827" s="5241"/>
      <c r="H827" s="5241"/>
      <c r="I827" s="5243">
        <f t="shared" si="73"/>
        <v>0</v>
      </c>
      <c r="J827" s="5244">
        <f t="shared" si="77"/>
        <v>0</v>
      </c>
      <c r="K827" s="5245">
        <f t="shared" si="74"/>
        <v>0</v>
      </c>
      <c r="L827" s="5245">
        <f t="shared" si="75"/>
        <v>0</v>
      </c>
      <c r="M827" s="5245">
        <f t="shared" si="76"/>
        <v>0</v>
      </c>
    </row>
    <row r="828" spans="1:13" ht="14.85" customHeight="1">
      <c r="A828" s="5238">
        <v>389</v>
      </c>
      <c r="B828" s="5238" t="s">
        <v>3887</v>
      </c>
      <c r="C828" s="5239" t="s">
        <v>2583</v>
      </c>
      <c r="D828" s="5240"/>
      <c r="E828" s="5241"/>
      <c r="F828" s="5243">
        <f t="shared" si="72"/>
        <v>0</v>
      </c>
      <c r="G828" s="5241"/>
      <c r="H828" s="5241"/>
      <c r="I828" s="5243">
        <f t="shared" si="73"/>
        <v>0</v>
      </c>
      <c r="J828" s="5244">
        <f t="shared" si="77"/>
        <v>0</v>
      </c>
      <c r="K828" s="5245">
        <f t="shared" si="74"/>
        <v>0</v>
      </c>
      <c r="L828" s="5245">
        <f t="shared" si="75"/>
        <v>0</v>
      </c>
      <c r="M828" s="5245">
        <f t="shared" si="76"/>
        <v>0</v>
      </c>
    </row>
    <row r="829" spans="1:13" ht="14.85" customHeight="1">
      <c r="A829" s="5238">
        <v>390</v>
      </c>
      <c r="B829" s="5238" t="s">
        <v>3888</v>
      </c>
      <c r="C829" s="5239" t="s">
        <v>2584</v>
      </c>
      <c r="D829" s="5240"/>
      <c r="E829" s="5241"/>
      <c r="F829" s="5243">
        <f t="shared" si="72"/>
        <v>0</v>
      </c>
      <c r="G829" s="5241"/>
      <c r="H829" s="5241"/>
      <c r="I829" s="5243">
        <f t="shared" si="73"/>
        <v>0</v>
      </c>
      <c r="J829" s="5244">
        <f t="shared" si="77"/>
        <v>0</v>
      </c>
      <c r="K829" s="5245">
        <f t="shared" si="74"/>
        <v>0</v>
      </c>
      <c r="L829" s="5245">
        <f t="shared" si="75"/>
        <v>0</v>
      </c>
      <c r="M829" s="5245">
        <f t="shared" si="76"/>
        <v>0</v>
      </c>
    </row>
    <row r="830" spans="1:13" ht="14.85" customHeight="1">
      <c r="A830" s="5238">
        <v>390</v>
      </c>
      <c r="B830" s="5238" t="s">
        <v>3889</v>
      </c>
      <c r="C830" s="5239" t="s">
        <v>2585</v>
      </c>
      <c r="D830" s="5240"/>
      <c r="E830" s="5241"/>
      <c r="F830" s="5243">
        <f t="shared" si="72"/>
        <v>0</v>
      </c>
      <c r="G830" s="5241"/>
      <c r="H830" s="5241"/>
      <c r="I830" s="5243">
        <f t="shared" si="73"/>
        <v>0</v>
      </c>
      <c r="J830" s="5244">
        <f t="shared" si="77"/>
        <v>0</v>
      </c>
      <c r="K830" s="5245">
        <f t="shared" si="74"/>
        <v>0</v>
      </c>
      <c r="L830" s="5245">
        <f t="shared" si="75"/>
        <v>0</v>
      </c>
      <c r="M830" s="5245">
        <f t="shared" si="76"/>
        <v>0</v>
      </c>
    </row>
    <row r="831" spans="1:13" ht="14.85" customHeight="1">
      <c r="A831" s="5238">
        <v>392</v>
      </c>
      <c r="B831" s="5238" t="s">
        <v>3890</v>
      </c>
      <c r="C831" s="5239" t="s">
        <v>2586</v>
      </c>
      <c r="D831" s="5240"/>
      <c r="E831" s="5241"/>
      <c r="F831" s="5243">
        <f t="shared" si="72"/>
        <v>0</v>
      </c>
      <c r="G831" s="5241"/>
      <c r="H831" s="5241"/>
      <c r="I831" s="5243">
        <f t="shared" si="73"/>
        <v>0</v>
      </c>
      <c r="J831" s="5244">
        <f t="shared" si="77"/>
        <v>0</v>
      </c>
      <c r="K831" s="5245">
        <f t="shared" si="74"/>
        <v>0</v>
      </c>
      <c r="L831" s="5245">
        <f t="shared" si="75"/>
        <v>0</v>
      </c>
      <c r="M831" s="5245">
        <f t="shared" si="76"/>
        <v>0</v>
      </c>
    </row>
    <row r="832" spans="1:13" ht="14.85" customHeight="1">
      <c r="A832" s="5238">
        <v>392</v>
      </c>
      <c r="B832" s="5238" t="s">
        <v>3891</v>
      </c>
      <c r="C832" s="5239" t="s">
        <v>2587</v>
      </c>
      <c r="D832" s="5240"/>
      <c r="E832" s="5241"/>
      <c r="F832" s="5243">
        <f t="shared" si="72"/>
        <v>0</v>
      </c>
      <c r="G832" s="5241"/>
      <c r="H832" s="5241"/>
      <c r="I832" s="5243">
        <f t="shared" si="73"/>
        <v>0</v>
      </c>
      <c r="J832" s="5244">
        <f t="shared" si="77"/>
        <v>0</v>
      </c>
      <c r="K832" s="5245">
        <f t="shared" si="74"/>
        <v>0</v>
      </c>
      <c r="L832" s="5245">
        <f t="shared" si="75"/>
        <v>0</v>
      </c>
      <c r="M832" s="5245">
        <f t="shared" si="76"/>
        <v>0</v>
      </c>
    </row>
    <row r="833" spans="1:13" ht="14.85" customHeight="1">
      <c r="A833" s="5238">
        <v>393</v>
      </c>
      <c r="B833" s="5238" t="s">
        <v>3892</v>
      </c>
      <c r="C833" s="5239" t="s">
        <v>2588</v>
      </c>
      <c r="D833" s="5240"/>
      <c r="E833" s="5241"/>
      <c r="F833" s="5243">
        <f t="shared" si="72"/>
        <v>0</v>
      </c>
      <c r="G833" s="5241"/>
      <c r="H833" s="5241"/>
      <c r="I833" s="5243">
        <f t="shared" si="73"/>
        <v>0</v>
      </c>
      <c r="J833" s="5244">
        <f t="shared" si="77"/>
        <v>0</v>
      </c>
      <c r="K833" s="5245">
        <f t="shared" si="74"/>
        <v>0</v>
      </c>
      <c r="L833" s="5245">
        <f t="shared" si="75"/>
        <v>0</v>
      </c>
      <c r="M833" s="5245">
        <f t="shared" si="76"/>
        <v>0</v>
      </c>
    </row>
    <row r="834" spans="1:13" ht="14.85" customHeight="1">
      <c r="A834" s="5238">
        <v>393</v>
      </c>
      <c r="B834" s="5238" t="s">
        <v>3893</v>
      </c>
      <c r="C834" s="5239" t="s">
        <v>2589</v>
      </c>
      <c r="D834" s="5240"/>
      <c r="E834" s="5241"/>
      <c r="F834" s="5243">
        <f t="shared" si="72"/>
        <v>0</v>
      </c>
      <c r="G834" s="5241"/>
      <c r="H834" s="5241"/>
      <c r="I834" s="5243">
        <f t="shared" si="73"/>
        <v>0</v>
      </c>
      <c r="J834" s="5244">
        <f t="shared" si="77"/>
        <v>0</v>
      </c>
      <c r="K834" s="5245">
        <f t="shared" si="74"/>
        <v>0</v>
      </c>
      <c r="L834" s="5245">
        <f t="shared" si="75"/>
        <v>0</v>
      </c>
      <c r="M834" s="5245">
        <f t="shared" si="76"/>
        <v>0</v>
      </c>
    </row>
    <row r="835" spans="1:13" ht="14.85" customHeight="1">
      <c r="A835" s="5238">
        <v>394</v>
      </c>
      <c r="B835" s="5238" t="s">
        <v>3894</v>
      </c>
      <c r="C835" s="5239" t="s">
        <v>2590</v>
      </c>
      <c r="D835" s="5240"/>
      <c r="E835" s="5241"/>
      <c r="F835" s="5243">
        <f t="shared" si="72"/>
        <v>0</v>
      </c>
      <c r="G835" s="5241"/>
      <c r="H835" s="5241"/>
      <c r="I835" s="5243">
        <f t="shared" si="73"/>
        <v>0</v>
      </c>
      <c r="J835" s="5244">
        <f t="shared" si="77"/>
        <v>0</v>
      </c>
      <c r="K835" s="5245">
        <f t="shared" si="74"/>
        <v>0</v>
      </c>
      <c r="L835" s="5245">
        <f t="shared" si="75"/>
        <v>0</v>
      </c>
      <c r="M835" s="5245">
        <f t="shared" si="76"/>
        <v>0</v>
      </c>
    </row>
    <row r="836" spans="1:13" ht="14.85" customHeight="1">
      <c r="A836" s="5238">
        <v>394</v>
      </c>
      <c r="B836" s="5238" t="s">
        <v>3895</v>
      </c>
      <c r="C836" s="5239" t="s">
        <v>2591</v>
      </c>
      <c r="D836" s="5240"/>
      <c r="E836" s="5241"/>
      <c r="F836" s="5243">
        <f t="shared" si="72"/>
        <v>0</v>
      </c>
      <c r="G836" s="5241"/>
      <c r="H836" s="5241"/>
      <c r="I836" s="5243">
        <f t="shared" si="73"/>
        <v>0</v>
      </c>
      <c r="J836" s="5244">
        <f t="shared" si="77"/>
        <v>0</v>
      </c>
      <c r="K836" s="5245">
        <f t="shared" si="74"/>
        <v>0</v>
      </c>
      <c r="L836" s="5245">
        <f t="shared" si="75"/>
        <v>0</v>
      </c>
      <c r="M836" s="5245">
        <f t="shared" si="76"/>
        <v>0</v>
      </c>
    </row>
    <row r="837" spans="1:13" ht="14.85" customHeight="1">
      <c r="A837" s="5238">
        <v>394</v>
      </c>
      <c r="B837" s="5238" t="s">
        <v>3896</v>
      </c>
      <c r="C837" s="5239" t="s">
        <v>2592</v>
      </c>
      <c r="D837" s="5240"/>
      <c r="E837" s="5241"/>
      <c r="F837" s="5243">
        <f t="shared" si="72"/>
        <v>0</v>
      </c>
      <c r="G837" s="5241"/>
      <c r="H837" s="5241"/>
      <c r="I837" s="5243">
        <f t="shared" si="73"/>
        <v>0</v>
      </c>
      <c r="J837" s="5244">
        <f t="shared" si="77"/>
        <v>0</v>
      </c>
      <c r="K837" s="5245">
        <f t="shared" si="74"/>
        <v>0</v>
      </c>
      <c r="L837" s="5245">
        <f t="shared" si="75"/>
        <v>0</v>
      </c>
      <c r="M837" s="5245">
        <f t="shared" si="76"/>
        <v>0</v>
      </c>
    </row>
    <row r="838" spans="1:13" ht="14.85" customHeight="1">
      <c r="A838" s="5238">
        <v>394</v>
      </c>
      <c r="B838" s="5238" t="s">
        <v>3897</v>
      </c>
      <c r="C838" s="5239" t="s">
        <v>2593</v>
      </c>
      <c r="D838" s="5240"/>
      <c r="E838" s="5241"/>
      <c r="F838" s="5243">
        <f t="shared" si="72"/>
        <v>0</v>
      </c>
      <c r="G838" s="5241"/>
      <c r="H838" s="5241"/>
      <c r="I838" s="5243">
        <f t="shared" si="73"/>
        <v>0</v>
      </c>
      <c r="J838" s="5244">
        <f t="shared" si="77"/>
        <v>0</v>
      </c>
      <c r="K838" s="5245">
        <f t="shared" si="74"/>
        <v>0</v>
      </c>
      <c r="L838" s="5245">
        <f t="shared" si="75"/>
        <v>0</v>
      </c>
      <c r="M838" s="5245">
        <f t="shared" si="76"/>
        <v>0</v>
      </c>
    </row>
    <row r="839" spans="1:13" ht="14.85" customHeight="1">
      <c r="A839" s="5238">
        <v>395</v>
      </c>
      <c r="B839" s="5238" t="s">
        <v>3898</v>
      </c>
      <c r="C839" s="5239" t="s">
        <v>2594</v>
      </c>
      <c r="D839" s="5240"/>
      <c r="E839" s="5241"/>
      <c r="F839" s="5243">
        <f t="shared" si="72"/>
        <v>0</v>
      </c>
      <c r="G839" s="5241"/>
      <c r="H839" s="5241"/>
      <c r="I839" s="5243">
        <f t="shared" si="73"/>
        <v>0</v>
      </c>
      <c r="J839" s="5244">
        <f t="shared" si="77"/>
        <v>0</v>
      </c>
      <c r="K839" s="5245">
        <f t="shared" si="74"/>
        <v>0</v>
      </c>
      <c r="L839" s="5245">
        <f t="shared" si="75"/>
        <v>0</v>
      </c>
      <c r="M839" s="5245">
        <f t="shared" si="76"/>
        <v>0</v>
      </c>
    </row>
    <row r="840" spans="1:13" ht="14.85" customHeight="1">
      <c r="A840" s="5238">
        <v>395</v>
      </c>
      <c r="B840" s="5238" t="s">
        <v>3899</v>
      </c>
      <c r="C840" s="5239" t="s">
        <v>2595</v>
      </c>
      <c r="D840" s="5240"/>
      <c r="E840" s="5241"/>
      <c r="F840" s="5243">
        <f t="shared" si="72"/>
        <v>0</v>
      </c>
      <c r="G840" s="5241"/>
      <c r="H840" s="5241"/>
      <c r="I840" s="5243">
        <f t="shared" si="73"/>
        <v>0</v>
      </c>
      <c r="J840" s="5244">
        <f t="shared" si="77"/>
        <v>0</v>
      </c>
      <c r="K840" s="5245">
        <f t="shared" si="74"/>
        <v>0</v>
      </c>
      <c r="L840" s="5245">
        <f t="shared" si="75"/>
        <v>0</v>
      </c>
      <c r="M840" s="5245">
        <f t="shared" si="76"/>
        <v>0</v>
      </c>
    </row>
    <row r="841" spans="1:13" ht="14.85" customHeight="1">
      <c r="A841" s="5238">
        <v>395</v>
      </c>
      <c r="B841" s="5238" t="s">
        <v>3900</v>
      </c>
      <c r="C841" s="5239" t="s">
        <v>2596</v>
      </c>
      <c r="D841" s="5240"/>
      <c r="E841" s="5241"/>
      <c r="F841" s="5243">
        <f t="shared" si="72"/>
        <v>0</v>
      </c>
      <c r="G841" s="5241"/>
      <c r="H841" s="5241"/>
      <c r="I841" s="5243">
        <f t="shared" si="73"/>
        <v>0</v>
      </c>
      <c r="J841" s="5244">
        <f t="shared" si="77"/>
        <v>0</v>
      </c>
      <c r="K841" s="5245">
        <f t="shared" si="74"/>
        <v>0</v>
      </c>
      <c r="L841" s="5245">
        <f t="shared" si="75"/>
        <v>0</v>
      </c>
      <c r="M841" s="5245">
        <f t="shared" si="76"/>
        <v>0</v>
      </c>
    </row>
    <row r="842" spans="1:13" ht="14.85" customHeight="1">
      <c r="A842" s="5238">
        <v>396</v>
      </c>
      <c r="B842" s="5238" t="s">
        <v>3901</v>
      </c>
      <c r="C842" s="5239" t="s">
        <v>2597</v>
      </c>
      <c r="D842" s="5240"/>
      <c r="E842" s="5241"/>
      <c r="F842" s="5243">
        <f t="shared" si="72"/>
        <v>0</v>
      </c>
      <c r="G842" s="5241"/>
      <c r="H842" s="5241"/>
      <c r="I842" s="5243">
        <f t="shared" si="73"/>
        <v>0</v>
      </c>
      <c r="J842" s="5244">
        <f t="shared" si="77"/>
        <v>0</v>
      </c>
      <c r="K842" s="5245">
        <f t="shared" si="74"/>
        <v>0</v>
      </c>
      <c r="L842" s="5245">
        <f t="shared" si="75"/>
        <v>0</v>
      </c>
      <c r="M842" s="5245">
        <f t="shared" si="76"/>
        <v>0</v>
      </c>
    </row>
    <row r="843" spans="1:13" ht="14.85" customHeight="1">
      <c r="A843" s="5238">
        <v>396</v>
      </c>
      <c r="B843" s="5238" t="s">
        <v>3902</v>
      </c>
      <c r="C843" s="5239" t="s">
        <v>2598</v>
      </c>
      <c r="D843" s="5240"/>
      <c r="E843" s="5241"/>
      <c r="F843" s="5243">
        <f t="shared" si="72"/>
        <v>0</v>
      </c>
      <c r="G843" s="5241"/>
      <c r="H843" s="5241"/>
      <c r="I843" s="5243">
        <f t="shared" si="73"/>
        <v>0</v>
      </c>
      <c r="J843" s="5244">
        <f t="shared" si="77"/>
        <v>0</v>
      </c>
      <c r="K843" s="5245">
        <f t="shared" si="74"/>
        <v>0</v>
      </c>
      <c r="L843" s="5245">
        <f t="shared" si="75"/>
        <v>0</v>
      </c>
      <c r="M843" s="5245">
        <f t="shared" si="76"/>
        <v>0</v>
      </c>
    </row>
    <row r="844" spans="1:13" ht="14.85" customHeight="1">
      <c r="A844" s="5238">
        <v>396</v>
      </c>
      <c r="B844" s="5238" t="s">
        <v>3903</v>
      </c>
      <c r="C844" s="5239" t="s">
        <v>2599</v>
      </c>
      <c r="D844" s="5240"/>
      <c r="E844" s="5241"/>
      <c r="F844" s="5243">
        <f t="shared" si="72"/>
        <v>0</v>
      </c>
      <c r="G844" s="5241"/>
      <c r="H844" s="5241"/>
      <c r="I844" s="5243">
        <f t="shared" si="73"/>
        <v>0</v>
      </c>
      <c r="J844" s="5244">
        <f t="shared" si="77"/>
        <v>0</v>
      </c>
      <c r="K844" s="5245">
        <f t="shared" si="74"/>
        <v>0</v>
      </c>
      <c r="L844" s="5245">
        <f t="shared" si="75"/>
        <v>0</v>
      </c>
      <c r="M844" s="5245">
        <f t="shared" si="76"/>
        <v>0</v>
      </c>
    </row>
    <row r="845" spans="1:13" ht="14.85" customHeight="1">
      <c r="A845" s="5238">
        <v>397</v>
      </c>
      <c r="B845" s="5238" t="s">
        <v>3904</v>
      </c>
      <c r="C845" s="5239" t="s">
        <v>2600</v>
      </c>
      <c r="D845" s="5240"/>
      <c r="E845" s="5241"/>
      <c r="F845" s="5243">
        <f t="shared" si="72"/>
        <v>0</v>
      </c>
      <c r="G845" s="5241"/>
      <c r="H845" s="5241"/>
      <c r="I845" s="5243">
        <f t="shared" si="73"/>
        <v>0</v>
      </c>
      <c r="J845" s="5244">
        <f t="shared" si="77"/>
        <v>0</v>
      </c>
      <c r="K845" s="5245">
        <f t="shared" si="74"/>
        <v>0</v>
      </c>
      <c r="L845" s="5245">
        <f t="shared" si="75"/>
        <v>0</v>
      </c>
      <c r="M845" s="5245">
        <f t="shared" si="76"/>
        <v>0</v>
      </c>
    </row>
    <row r="846" spans="1:13" ht="14.85" customHeight="1">
      <c r="A846" s="5238">
        <v>398</v>
      </c>
      <c r="B846" s="5238" t="s">
        <v>3905</v>
      </c>
      <c r="C846" s="5239" t="s">
        <v>2601</v>
      </c>
      <c r="D846" s="5240"/>
      <c r="E846" s="5241"/>
      <c r="F846" s="5243">
        <f t="shared" si="72"/>
        <v>0</v>
      </c>
      <c r="G846" s="5241"/>
      <c r="H846" s="5241"/>
      <c r="I846" s="5243">
        <f t="shared" si="73"/>
        <v>0</v>
      </c>
      <c r="J846" s="5244">
        <f t="shared" si="77"/>
        <v>0</v>
      </c>
      <c r="K846" s="5245">
        <f t="shared" si="74"/>
        <v>0</v>
      </c>
      <c r="L846" s="5245">
        <f t="shared" si="75"/>
        <v>0</v>
      </c>
      <c r="M846" s="5245">
        <f t="shared" si="76"/>
        <v>0</v>
      </c>
    </row>
    <row r="847" spans="1:13" ht="14.85" customHeight="1">
      <c r="A847" s="5238">
        <v>398</v>
      </c>
      <c r="B847" s="5238" t="s">
        <v>3906</v>
      </c>
      <c r="C847" s="5239" t="s">
        <v>2602</v>
      </c>
      <c r="D847" s="5240"/>
      <c r="E847" s="5241"/>
      <c r="F847" s="5243">
        <f t="shared" si="72"/>
        <v>0</v>
      </c>
      <c r="G847" s="5241"/>
      <c r="H847" s="5241"/>
      <c r="I847" s="5243">
        <f t="shared" si="73"/>
        <v>0</v>
      </c>
      <c r="J847" s="5244">
        <f t="shared" si="77"/>
        <v>0</v>
      </c>
      <c r="K847" s="5245">
        <f t="shared" si="74"/>
        <v>0</v>
      </c>
      <c r="L847" s="5245">
        <f t="shared" si="75"/>
        <v>0</v>
      </c>
      <c r="M847" s="5245">
        <f t="shared" si="76"/>
        <v>0</v>
      </c>
    </row>
    <row r="848" spans="1:13" ht="14.85" customHeight="1">
      <c r="A848" s="5238">
        <v>399</v>
      </c>
      <c r="B848" s="5238" t="s">
        <v>3907</v>
      </c>
      <c r="C848" s="5239" t="s">
        <v>2603</v>
      </c>
      <c r="D848" s="5240"/>
      <c r="E848" s="5241"/>
      <c r="F848" s="5243">
        <f t="shared" si="72"/>
        <v>0</v>
      </c>
      <c r="G848" s="5241"/>
      <c r="H848" s="5241"/>
      <c r="I848" s="5243">
        <f t="shared" si="73"/>
        <v>0</v>
      </c>
      <c r="J848" s="5244">
        <f t="shared" si="77"/>
        <v>0</v>
      </c>
      <c r="K848" s="5245">
        <f t="shared" si="74"/>
        <v>0</v>
      </c>
      <c r="L848" s="5245">
        <f t="shared" si="75"/>
        <v>0</v>
      </c>
      <c r="M848" s="5245">
        <f t="shared" si="76"/>
        <v>0</v>
      </c>
    </row>
    <row r="849" spans="1:13" ht="14.85" customHeight="1">
      <c r="A849" s="5238">
        <v>399</v>
      </c>
      <c r="B849" s="5238" t="s">
        <v>3908</v>
      </c>
      <c r="C849" s="5239" t="s">
        <v>4585</v>
      </c>
      <c r="D849" s="5240"/>
      <c r="E849" s="5241"/>
      <c r="F849" s="5243">
        <f t="shared" si="72"/>
        <v>0</v>
      </c>
      <c r="G849" s="5241"/>
      <c r="H849" s="5241"/>
      <c r="I849" s="5243">
        <f t="shared" si="73"/>
        <v>0</v>
      </c>
      <c r="J849" s="5244">
        <f t="shared" si="77"/>
        <v>0</v>
      </c>
      <c r="K849" s="5245">
        <f t="shared" si="74"/>
        <v>0</v>
      </c>
      <c r="L849" s="5245">
        <f t="shared" si="75"/>
        <v>0</v>
      </c>
      <c r="M849" s="5245">
        <f t="shared" si="76"/>
        <v>0</v>
      </c>
    </row>
    <row r="850" spans="1:13" ht="14.85" customHeight="1">
      <c r="A850" s="5238">
        <v>400</v>
      </c>
      <c r="B850" s="5238" t="s">
        <v>3909</v>
      </c>
      <c r="C850" s="5239" t="s">
        <v>2604</v>
      </c>
      <c r="D850" s="5240"/>
      <c r="E850" s="5241"/>
      <c r="F850" s="5243">
        <f t="shared" si="72"/>
        <v>0</v>
      </c>
      <c r="G850" s="5241"/>
      <c r="H850" s="5241"/>
      <c r="I850" s="5243">
        <f t="shared" si="73"/>
        <v>0</v>
      </c>
      <c r="J850" s="5244">
        <f t="shared" si="77"/>
        <v>0</v>
      </c>
      <c r="K850" s="5245">
        <f t="shared" si="74"/>
        <v>0</v>
      </c>
      <c r="L850" s="5245">
        <f t="shared" si="75"/>
        <v>0</v>
      </c>
      <c r="M850" s="5245">
        <f t="shared" si="76"/>
        <v>0</v>
      </c>
    </row>
    <row r="851" spans="1:13" ht="14.85" customHeight="1">
      <c r="A851" s="5238">
        <v>400</v>
      </c>
      <c r="B851" s="5238" t="s">
        <v>3910</v>
      </c>
      <c r="C851" s="5239" t="s">
        <v>2605</v>
      </c>
      <c r="D851" s="5240"/>
      <c r="E851" s="5241"/>
      <c r="F851" s="5243">
        <f t="shared" si="72"/>
        <v>0</v>
      </c>
      <c r="G851" s="5241"/>
      <c r="H851" s="5241"/>
      <c r="I851" s="5243">
        <f t="shared" si="73"/>
        <v>0</v>
      </c>
      <c r="J851" s="5244">
        <f t="shared" si="77"/>
        <v>0</v>
      </c>
      <c r="K851" s="5245">
        <f t="shared" si="74"/>
        <v>0</v>
      </c>
      <c r="L851" s="5245">
        <f t="shared" si="75"/>
        <v>0</v>
      </c>
      <c r="M851" s="5245">
        <f t="shared" si="76"/>
        <v>0</v>
      </c>
    </row>
    <row r="852" spans="1:13" ht="14.85" customHeight="1">
      <c r="A852" s="5238">
        <v>400</v>
      </c>
      <c r="B852" s="5238" t="s">
        <v>3911</v>
      </c>
      <c r="C852" s="5239" t="s">
        <v>2606</v>
      </c>
      <c r="D852" s="5240"/>
      <c r="E852" s="5241"/>
      <c r="F852" s="5243">
        <f t="shared" si="72"/>
        <v>0</v>
      </c>
      <c r="G852" s="5241"/>
      <c r="H852" s="5241"/>
      <c r="I852" s="5243">
        <f t="shared" si="73"/>
        <v>0</v>
      </c>
      <c r="J852" s="5244">
        <f t="shared" si="77"/>
        <v>0</v>
      </c>
      <c r="K852" s="5245">
        <f t="shared" si="74"/>
        <v>0</v>
      </c>
      <c r="L852" s="5245">
        <f t="shared" si="75"/>
        <v>0</v>
      </c>
      <c r="M852" s="5245">
        <f t="shared" si="76"/>
        <v>0</v>
      </c>
    </row>
    <row r="853" spans="1:13" ht="14.85" customHeight="1">
      <c r="A853" s="5238">
        <v>400</v>
      </c>
      <c r="B853" s="5238" t="s">
        <v>3912</v>
      </c>
      <c r="C853" s="5239" t="s">
        <v>2607</v>
      </c>
      <c r="D853" s="5240"/>
      <c r="E853" s="5241"/>
      <c r="F853" s="5243">
        <f t="shared" si="72"/>
        <v>0</v>
      </c>
      <c r="G853" s="5241"/>
      <c r="H853" s="5241"/>
      <c r="I853" s="5243">
        <f t="shared" si="73"/>
        <v>0</v>
      </c>
      <c r="J853" s="5244">
        <f t="shared" si="77"/>
        <v>0</v>
      </c>
      <c r="K853" s="5245">
        <f t="shared" si="74"/>
        <v>0</v>
      </c>
      <c r="L853" s="5245">
        <f t="shared" si="75"/>
        <v>0</v>
      </c>
      <c r="M853" s="5245">
        <f t="shared" si="76"/>
        <v>0</v>
      </c>
    </row>
    <row r="854" spans="1:13" ht="14.85" customHeight="1">
      <c r="A854" s="5238">
        <v>401</v>
      </c>
      <c r="B854" s="5238" t="s">
        <v>3913</v>
      </c>
      <c r="C854" s="5239" t="s">
        <v>2608</v>
      </c>
      <c r="D854" s="5240"/>
      <c r="E854" s="5241"/>
      <c r="F854" s="5243">
        <f t="shared" si="72"/>
        <v>0</v>
      </c>
      <c r="G854" s="5241"/>
      <c r="H854" s="5241"/>
      <c r="I854" s="5243">
        <f t="shared" si="73"/>
        <v>0</v>
      </c>
      <c r="J854" s="5244">
        <f t="shared" si="77"/>
        <v>0</v>
      </c>
      <c r="K854" s="5245">
        <f t="shared" si="74"/>
        <v>0</v>
      </c>
      <c r="L854" s="5245">
        <f t="shared" si="75"/>
        <v>0</v>
      </c>
      <c r="M854" s="5245">
        <f t="shared" si="76"/>
        <v>0</v>
      </c>
    </row>
    <row r="855" spans="1:13" ht="14.85" customHeight="1">
      <c r="A855" s="5238">
        <v>401</v>
      </c>
      <c r="B855" s="5238" t="s">
        <v>3914</v>
      </c>
      <c r="C855" s="5239" t="s">
        <v>2609</v>
      </c>
      <c r="D855" s="5240"/>
      <c r="E855" s="5241"/>
      <c r="F855" s="5243">
        <f t="shared" si="72"/>
        <v>0</v>
      </c>
      <c r="G855" s="5241"/>
      <c r="H855" s="5241"/>
      <c r="I855" s="5243">
        <f t="shared" si="73"/>
        <v>0</v>
      </c>
      <c r="J855" s="5244">
        <f t="shared" si="77"/>
        <v>0</v>
      </c>
      <c r="K855" s="5245">
        <f t="shared" si="74"/>
        <v>0</v>
      </c>
      <c r="L855" s="5245">
        <f t="shared" si="75"/>
        <v>0</v>
      </c>
      <c r="M855" s="5245">
        <f t="shared" si="76"/>
        <v>0</v>
      </c>
    </row>
    <row r="856" spans="1:13" ht="14.85" customHeight="1">
      <c r="A856" s="5238">
        <v>401</v>
      </c>
      <c r="B856" s="5238" t="s">
        <v>3915</v>
      </c>
      <c r="C856" s="5239" t="s">
        <v>2610</v>
      </c>
      <c r="D856" s="5240"/>
      <c r="E856" s="5241"/>
      <c r="F856" s="5243">
        <f t="shared" si="72"/>
        <v>0</v>
      </c>
      <c r="G856" s="5241"/>
      <c r="H856" s="5241"/>
      <c r="I856" s="5243">
        <f t="shared" si="73"/>
        <v>0</v>
      </c>
      <c r="J856" s="5244">
        <f t="shared" si="77"/>
        <v>0</v>
      </c>
      <c r="K856" s="5245">
        <f t="shared" si="74"/>
        <v>0</v>
      </c>
      <c r="L856" s="5245">
        <f t="shared" si="75"/>
        <v>0</v>
      </c>
      <c r="M856" s="5245">
        <f t="shared" si="76"/>
        <v>0</v>
      </c>
    </row>
    <row r="857" spans="1:13" ht="14.85" customHeight="1">
      <c r="A857" s="5238">
        <v>402</v>
      </c>
      <c r="B857" s="5238" t="s">
        <v>3916</v>
      </c>
      <c r="C857" s="5239" t="s">
        <v>2318</v>
      </c>
      <c r="D857" s="5240"/>
      <c r="E857" s="5241"/>
      <c r="F857" s="5243">
        <f t="shared" si="72"/>
        <v>0</v>
      </c>
      <c r="G857" s="5241"/>
      <c r="H857" s="5241"/>
      <c r="I857" s="5243">
        <f t="shared" si="73"/>
        <v>0</v>
      </c>
      <c r="J857" s="5244">
        <f t="shared" si="77"/>
        <v>0</v>
      </c>
      <c r="K857" s="5245">
        <f t="shared" si="74"/>
        <v>0</v>
      </c>
      <c r="L857" s="5245">
        <f t="shared" si="75"/>
        <v>0</v>
      </c>
      <c r="M857" s="5245">
        <f t="shared" si="76"/>
        <v>0</v>
      </c>
    </row>
    <row r="858" spans="1:13" ht="14.85" customHeight="1">
      <c r="A858" s="5238">
        <v>402</v>
      </c>
      <c r="B858" s="5238" t="s">
        <v>3917</v>
      </c>
      <c r="C858" s="5239" t="s">
        <v>2611</v>
      </c>
      <c r="D858" s="5240"/>
      <c r="E858" s="5241"/>
      <c r="F858" s="5243">
        <f t="shared" si="72"/>
        <v>0</v>
      </c>
      <c r="G858" s="5241"/>
      <c r="H858" s="5241"/>
      <c r="I858" s="5243">
        <f t="shared" si="73"/>
        <v>0</v>
      </c>
      <c r="J858" s="5244">
        <f t="shared" si="77"/>
        <v>0</v>
      </c>
      <c r="K858" s="5245">
        <f t="shared" si="74"/>
        <v>0</v>
      </c>
      <c r="L858" s="5245">
        <f t="shared" si="75"/>
        <v>0</v>
      </c>
      <c r="M858" s="5245">
        <f t="shared" si="76"/>
        <v>0</v>
      </c>
    </row>
    <row r="859" spans="1:13" ht="14.85" customHeight="1">
      <c r="A859" s="5238">
        <v>402</v>
      </c>
      <c r="B859" s="5238" t="s">
        <v>3918</v>
      </c>
      <c r="C859" s="5239" t="s">
        <v>2141</v>
      </c>
      <c r="D859" s="5240"/>
      <c r="E859" s="5241"/>
      <c r="F859" s="5243">
        <f t="shared" si="72"/>
        <v>0</v>
      </c>
      <c r="G859" s="5241"/>
      <c r="H859" s="5241"/>
      <c r="I859" s="5243">
        <f t="shared" si="73"/>
        <v>0</v>
      </c>
      <c r="J859" s="5244">
        <f t="shared" si="77"/>
        <v>0</v>
      </c>
      <c r="K859" s="5245">
        <f t="shared" si="74"/>
        <v>0</v>
      </c>
      <c r="L859" s="5245">
        <f t="shared" si="75"/>
        <v>0</v>
      </c>
      <c r="M859" s="5245">
        <f t="shared" si="76"/>
        <v>0</v>
      </c>
    </row>
    <row r="860" spans="1:13" ht="14.85" customHeight="1">
      <c r="A860" s="5238">
        <v>402</v>
      </c>
      <c r="B860" s="5238" t="s">
        <v>3919</v>
      </c>
      <c r="C860" s="5239" t="s">
        <v>2612</v>
      </c>
      <c r="D860" s="5240"/>
      <c r="E860" s="5241"/>
      <c r="F860" s="5243">
        <f t="shared" si="72"/>
        <v>0</v>
      </c>
      <c r="G860" s="5241"/>
      <c r="H860" s="5241"/>
      <c r="I860" s="5243">
        <f t="shared" si="73"/>
        <v>0</v>
      </c>
      <c r="J860" s="5244">
        <f t="shared" si="77"/>
        <v>0</v>
      </c>
      <c r="K860" s="5245">
        <f t="shared" si="74"/>
        <v>0</v>
      </c>
      <c r="L860" s="5245">
        <f t="shared" si="75"/>
        <v>0</v>
      </c>
      <c r="M860" s="5245">
        <f t="shared" si="76"/>
        <v>0</v>
      </c>
    </row>
    <row r="861" spans="1:13" ht="14.85" customHeight="1">
      <c r="A861" s="5238">
        <v>402</v>
      </c>
      <c r="B861" s="5238" t="s">
        <v>3920</v>
      </c>
      <c r="C861" s="5239" t="s">
        <v>2613</v>
      </c>
      <c r="D861" s="5240"/>
      <c r="E861" s="5241"/>
      <c r="F861" s="5243">
        <f t="shared" si="72"/>
        <v>0</v>
      </c>
      <c r="G861" s="5241"/>
      <c r="H861" s="5241"/>
      <c r="I861" s="5243">
        <f t="shared" si="73"/>
        <v>0</v>
      </c>
      <c r="J861" s="5244">
        <f t="shared" si="77"/>
        <v>0</v>
      </c>
      <c r="K861" s="5245">
        <f t="shared" si="74"/>
        <v>0</v>
      </c>
      <c r="L861" s="5245">
        <f t="shared" si="75"/>
        <v>0</v>
      </c>
      <c r="M861" s="5245">
        <f t="shared" si="76"/>
        <v>0</v>
      </c>
    </row>
    <row r="862" spans="1:13" ht="14.85" customHeight="1">
      <c r="A862" s="5238">
        <v>402</v>
      </c>
      <c r="B862" s="5238" t="s">
        <v>3921</v>
      </c>
      <c r="C862" s="5239" t="s">
        <v>2614</v>
      </c>
      <c r="D862" s="5240"/>
      <c r="E862" s="5241"/>
      <c r="F862" s="5243">
        <f t="shared" si="72"/>
        <v>0</v>
      </c>
      <c r="G862" s="5241"/>
      <c r="H862" s="5241"/>
      <c r="I862" s="5243">
        <f t="shared" si="73"/>
        <v>0</v>
      </c>
      <c r="J862" s="5244">
        <f t="shared" si="77"/>
        <v>0</v>
      </c>
      <c r="K862" s="5245">
        <f t="shared" si="74"/>
        <v>0</v>
      </c>
      <c r="L862" s="5245">
        <f t="shared" si="75"/>
        <v>0</v>
      </c>
      <c r="M862" s="5245">
        <f t="shared" si="76"/>
        <v>0</v>
      </c>
    </row>
    <row r="863" spans="1:13" ht="14.85" customHeight="1">
      <c r="A863" s="5238">
        <v>403</v>
      </c>
      <c r="B863" s="5238" t="s">
        <v>3922</v>
      </c>
      <c r="C863" s="5239" t="s">
        <v>2615</v>
      </c>
      <c r="D863" s="5240"/>
      <c r="E863" s="5241"/>
      <c r="F863" s="5243">
        <f t="shared" si="72"/>
        <v>0</v>
      </c>
      <c r="G863" s="5241"/>
      <c r="H863" s="5241"/>
      <c r="I863" s="5243">
        <f t="shared" si="73"/>
        <v>0</v>
      </c>
      <c r="J863" s="5244">
        <f t="shared" si="77"/>
        <v>0</v>
      </c>
      <c r="K863" s="5245">
        <f t="shared" si="74"/>
        <v>0</v>
      </c>
      <c r="L863" s="5245">
        <f t="shared" si="75"/>
        <v>0</v>
      </c>
      <c r="M863" s="5245">
        <f t="shared" si="76"/>
        <v>0</v>
      </c>
    </row>
    <row r="864" spans="1:13" ht="14.85" customHeight="1">
      <c r="A864" s="5238">
        <v>403</v>
      </c>
      <c r="B864" s="5238" t="s">
        <v>3923</v>
      </c>
      <c r="C864" s="5239" t="s">
        <v>2616</v>
      </c>
      <c r="D864" s="5240"/>
      <c r="E864" s="5241"/>
      <c r="F864" s="5243">
        <f t="shared" si="72"/>
        <v>0</v>
      </c>
      <c r="G864" s="5241"/>
      <c r="H864" s="5241"/>
      <c r="I864" s="5243">
        <f t="shared" si="73"/>
        <v>0</v>
      </c>
      <c r="J864" s="5244">
        <f t="shared" si="77"/>
        <v>0</v>
      </c>
      <c r="K864" s="5245">
        <f t="shared" si="74"/>
        <v>0</v>
      </c>
      <c r="L864" s="5245">
        <f t="shared" si="75"/>
        <v>0</v>
      </c>
      <c r="M864" s="5245">
        <f t="shared" si="76"/>
        <v>0</v>
      </c>
    </row>
    <row r="865" spans="1:13" ht="14.85" customHeight="1">
      <c r="A865" s="5238">
        <v>403</v>
      </c>
      <c r="B865" s="5238" t="s">
        <v>3924</v>
      </c>
      <c r="C865" s="5239" t="s">
        <v>4531</v>
      </c>
      <c r="D865" s="5240"/>
      <c r="E865" s="5241"/>
      <c r="F865" s="5243">
        <f t="shared" ref="F865:F928" si="78">SUM(D865:E865)</f>
        <v>0</v>
      </c>
      <c r="G865" s="5241"/>
      <c r="H865" s="5241"/>
      <c r="I865" s="5243">
        <f t="shared" ref="I865:I928" si="79">SUM(G865:H865)</f>
        <v>0</v>
      </c>
      <c r="J865" s="5244">
        <f t="shared" si="77"/>
        <v>0</v>
      </c>
      <c r="K865" s="5245">
        <f t="shared" ref="K865:K928" si="80">IF(AND((J865-35%)&gt;0,J865&lt;50%),I865*(J865-35%)*0.7,0)</f>
        <v>0</v>
      </c>
      <c r="L865" s="5245">
        <f t="shared" ref="L865:L928" si="81">IF(J865&gt;=50%,I865*10.5%,0)</f>
        <v>0</v>
      </c>
      <c r="M865" s="5245">
        <f t="shared" ref="M865:M928" si="82">MAX(K865,L865)</f>
        <v>0</v>
      </c>
    </row>
    <row r="866" spans="1:13" ht="14.85" customHeight="1">
      <c r="A866" s="5238">
        <v>404</v>
      </c>
      <c r="B866" s="5238" t="s">
        <v>3925</v>
      </c>
      <c r="C866" s="5239" t="s">
        <v>2617</v>
      </c>
      <c r="D866" s="5240"/>
      <c r="E866" s="5241"/>
      <c r="F866" s="5243">
        <f t="shared" si="78"/>
        <v>0</v>
      </c>
      <c r="G866" s="5241"/>
      <c r="H866" s="5241"/>
      <c r="I866" s="5243">
        <f t="shared" si="79"/>
        <v>0</v>
      </c>
      <c r="J866" s="5244">
        <f t="shared" si="77"/>
        <v>0</v>
      </c>
      <c r="K866" s="5245">
        <f t="shared" si="80"/>
        <v>0</v>
      </c>
      <c r="L866" s="5245">
        <f t="shared" si="81"/>
        <v>0</v>
      </c>
      <c r="M866" s="5245">
        <f t="shared" si="82"/>
        <v>0</v>
      </c>
    </row>
    <row r="867" spans="1:13" ht="14.85" customHeight="1">
      <c r="A867" s="5238">
        <v>404</v>
      </c>
      <c r="B867" s="5238" t="s">
        <v>3926</v>
      </c>
      <c r="C867" s="5239" t="s">
        <v>2618</v>
      </c>
      <c r="D867" s="5240"/>
      <c r="E867" s="5241"/>
      <c r="F867" s="5243">
        <f t="shared" si="78"/>
        <v>0</v>
      </c>
      <c r="G867" s="5241"/>
      <c r="H867" s="5241"/>
      <c r="I867" s="5243">
        <f t="shared" si="79"/>
        <v>0</v>
      </c>
      <c r="J867" s="5244">
        <f t="shared" si="77"/>
        <v>0</v>
      </c>
      <c r="K867" s="5245">
        <f t="shared" si="80"/>
        <v>0</v>
      </c>
      <c r="L867" s="5245">
        <f t="shared" si="81"/>
        <v>0</v>
      </c>
      <c r="M867" s="5245">
        <f t="shared" si="82"/>
        <v>0</v>
      </c>
    </row>
    <row r="868" spans="1:13" ht="14.85" customHeight="1">
      <c r="A868" s="5238">
        <v>404</v>
      </c>
      <c r="B868" s="5238" t="s">
        <v>3927</v>
      </c>
      <c r="C868" s="5239" t="s">
        <v>2619</v>
      </c>
      <c r="D868" s="5240"/>
      <c r="E868" s="5241"/>
      <c r="F868" s="5243">
        <f t="shared" si="78"/>
        <v>0</v>
      </c>
      <c r="G868" s="5241"/>
      <c r="H868" s="5241"/>
      <c r="I868" s="5243">
        <f t="shared" si="79"/>
        <v>0</v>
      </c>
      <c r="J868" s="5244">
        <f t="shared" ref="J868:J931" si="83">IF(ISERROR(I868/F868),0,I868/F868)</f>
        <v>0</v>
      </c>
      <c r="K868" s="5245">
        <f t="shared" si="80"/>
        <v>0</v>
      </c>
      <c r="L868" s="5245">
        <f t="shared" si="81"/>
        <v>0</v>
      </c>
      <c r="M868" s="5245">
        <f t="shared" si="82"/>
        <v>0</v>
      </c>
    </row>
    <row r="869" spans="1:13" ht="14.85" customHeight="1">
      <c r="A869" s="5238">
        <v>405</v>
      </c>
      <c r="B869" s="5238" t="s">
        <v>3928</v>
      </c>
      <c r="C869" s="5239" t="s">
        <v>2620</v>
      </c>
      <c r="D869" s="5240"/>
      <c r="E869" s="5241"/>
      <c r="F869" s="5243">
        <f t="shared" si="78"/>
        <v>0</v>
      </c>
      <c r="G869" s="5241"/>
      <c r="H869" s="5241"/>
      <c r="I869" s="5243">
        <f t="shared" si="79"/>
        <v>0</v>
      </c>
      <c r="J869" s="5244">
        <f t="shared" si="83"/>
        <v>0</v>
      </c>
      <c r="K869" s="5245">
        <f t="shared" si="80"/>
        <v>0</v>
      </c>
      <c r="L869" s="5245">
        <f t="shared" si="81"/>
        <v>0</v>
      </c>
      <c r="M869" s="5245">
        <f t="shared" si="82"/>
        <v>0</v>
      </c>
    </row>
    <row r="870" spans="1:13" ht="14.85" customHeight="1">
      <c r="A870" s="5238">
        <v>405</v>
      </c>
      <c r="B870" s="5238" t="s">
        <v>3929</v>
      </c>
      <c r="C870" s="5239" t="s">
        <v>2621</v>
      </c>
      <c r="D870" s="5240"/>
      <c r="E870" s="5241"/>
      <c r="F870" s="5243">
        <f t="shared" si="78"/>
        <v>0</v>
      </c>
      <c r="G870" s="5241"/>
      <c r="H870" s="5241"/>
      <c r="I870" s="5243">
        <f t="shared" si="79"/>
        <v>0</v>
      </c>
      <c r="J870" s="5244">
        <f t="shared" si="83"/>
        <v>0</v>
      </c>
      <c r="K870" s="5245">
        <f t="shared" si="80"/>
        <v>0</v>
      </c>
      <c r="L870" s="5245">
        <f t="shared" si="81"/>
        <v>0</v>
      </c>
      <c r="M870" s="5245">
        <f t="shared" si="82"/>
        <v>0</v>
      </c>
    </row>
    <row r="871" spans="1:13" ht="14.85" customHeight="1">
      <c r="A871" s="5238">
        <v>405</v>
      </c>
      <c r="B871" s="5238" t="s">
        <v>3930</v>
      </c>
      <c r="C871" s="5239" t="s">
        <v>2622</v>
      </c>
      <c r="D871" s="5240"/>
      <c r="E871" s="5241"/>
      <c r="F871" s="5243">
        <f t="shared" si="78"/>
        <v>0</v>
      </c>
      <c r="G871" s="5241"/>
      <c r="H871" s="5241"/>
      <c r="I871" s="5243">
        <f t="shared" si="79"/>
        <v>0</v>
      </c>
      <c r="J871" s="5244">
        <f t="shared" si="83"/>
        <v>0</v>
      </c>
      <c r="K871" s="5245">
        <f t="shared" si="80"/>
        <v>0</v>
      </c>
      <c r="L871" s="5245">
        <f t="shared" si="81"/>
        <v>0</v>
      </c>
      <c r="M871" s="5245">
        <f t="shared" si="82"/>
        <v>0</v>
      </c>
    </row>
    <row r="872" spans="1:13" ht="14.85" customHeight="1">
      <c r="A872" s="5238">
        <v>405</v>
      </c>
      <c r="B872" s="5238" t="s">
        <v>3931</v>
      </c>
      <c r="C872" s="5239" t="s">
        <v>2623</v>
      </c>
      <c r="D872" s="5240"/>
      <c r="E872" s="5241"/>
      <c r="F872" s="5243">
        <f t="shared" si="78"/>
        <v>0</v>
      </c>
      <c r="G872" s="5241"/>
      <c r="H872" s="5241"/>
      <c r="I872" s="5243">
        <f t="shared" si="79"/>
        <v>0</v>
      </c>
      <c r="J872" s="5244">
        <f t="shared" si="83"/>
        <v>0</v>
      </c>
      <c r="K872" s="5245">
        <f t="shared" si="80"/>
        <v>0</v>
      </c>
      <c r="L872" s="5245">
        <f t="shared" si="81"/>
        <v>0</v>
      </c>
      <c r="M872" s="5245">
        <f t="shared" si="82"/>
        <v>0</v>
      </c>
    </row>
    <row r="873" spans="1:13" ht="14.85" customHeight="1">
      <c r="A873" s="5238">
        <v>407</v>
      </c>
      <c r="B873" s="5238" t="s">
        <v>3932</v>
      </c>
      <c r="C873" s="5239" t="s">
        <v>2624</v>
      </c>
      <c r="D873" s="5240"/>
      <c r="E873" s="5241"/>
      <c r="F873" s="5243">
        <f t="shared" si="78"/>
        <v>0</v>
      </c>
      <c r="G873" s="5241"/>
      <c r="H873" s="5241"/>
      <c r="I873" s="5243">
        <f t="shared" si="79"/>
        <v>0</v>
      </c>
      <c r="J873" s="5244">
        <f t="shared" si="83"/>
        <v>0</v>
      </c>
      <c r="K873" s="5245">
        <f t="shared" si="80"/>
        <v>0</v>
      </c>
      <c r="L873" s="5245">
        <f t="shared" si="81"/>
        <v>0</v>
      </c>
      <c r="M873" s="5245">
        <f t="shared" si="82"/>
        <v>0</v>
      </c>
    </row>
    <row r="874" spans="1:13" ht="14.85" customHeight="1">
      <c r="A874" s="5238">
        <v>407</v>
      </c>
      <c r="B874" s="5238" t="s">
        <v>3933</v>
      </c>
      <c r="C874" s="5239" t="s">
        <v>2625</v>
      </c>
      <c r="D874" s="5240"/>
      <c r="E874" s="5241"/>
      <c r="F874" s="5243">
        <f t="shared" si="78"/>
        <v>0</v>
      </c>
      <c r="G874" s="5241"/>
      <c r="H874" s="5241"/>
      <c r="I874" s="5243">
        <f t="shared" si="79"/>
        <v>0</v>
      </c>
      <c r="J874" s="5244">
        <f t="shared" si="83"/>
        <v>0</v>
      </c>
      <c r="K874" s="5245">
        <f t="shared" si="80"/>
        <v>0</v>
      </c>
      <c r="L874" s="5245">
        <f t="shared" si="81"/>
        <v>0</v>
      </c>
      <c r="M874" s="5245">
        <f t="shared" si="82"/>
        <v>0</v>
      </c>
    </row>
    <row r="875" spans="1:13" ht="14.85" customHeight="1">
      <c r="A875" s="5238">
        <v>407</v>
      </c>
      <c r="B875" s="5238" t="s">
        <v>3934</v>
      </c>
      <c r="C875" s="5239" t="s">
        <v>2626</v>
      </c>
      <c r="D875" s="5240"/>
      <c r="E875" s="5241"/>
      <c r="F875" s="5243">
        <f t="shared" si="78"/>
        <v>0</v>
      </c>
      <c r="G875" s="5241"/>
      <c r="H875" s="5241"/>
      <c r="I875" s="5243">
        <f t="shared" si="79"/>
        <v>0</v>
      </c>
      <c r="J875" s="5244">
        <f t="shared" si="83"/>
        <v>0</v>
      </c>
      <c r="K875" s="5245">
        <f t="shared" si="80"/>
        <v>0</v>
      </c>
      <c r="L875" s="5245">
        <f t="shared" si="81"/>
        <v>0</v>
      </c>
      <c r="M875" s="5245">
        <f t="shared" si="82"/>
        <v>0</v>
      </c>
    </row>
    <row r="876" spans="1:13" ht="14.85" customHeight="1">
      <c r="A876" s="5238">
        <v>407</v>
      </c>
      <c r="B876" s="5238" t="s">
        <v>3935</v>
      </c>
      <c r="C876" s="5239" t="s">
        <v>2627</v>
      </c>
      <c r="D876" s="5240"/>
      <c r="E876" s="5241"/>
      <c r="F876" s="5243">
        <f t="shared" si="78"/>
        <v>0</v>
      </c>
      <c r="G876" s="5241"/>
      <c r="H876" s="5241"/>
      <c r="I876" s="5243">
        <f t="shared" si="79"/>
        <v>0</v>
      </c>
      <c r="J876" s="5244">
        <f t="shared" si="83"/>
        <v>0</v>
      </c>
      <c r="K876" s="5245">
        <f t="shared" si="80"/>
        <v>0</v>
      </c>
      <c r="L876" s="5245">
        <f t="shared" si="81"/>
        <v>0</v>
      </c>
      <c r="M876" s="5245">
        <f t="shared" si="82"/>
        <v>0</v>
      </c>
    </row>
    <row r="877" spans="1:13" ht="14.85" customHeight="1">
      <c r="A877" s="5238">
        <v>408</v>
      </c>
      <c r="B877" s="5238" t="s">
        <v>3936</v>
      </c>
      <c r="C877" s="5239" t="s">
        <v>2628</v>
      </c>
      <c r="D877" s="5240"/>
      <c r="E877" s="5241"/>
      <c r="F877" s="5243">
        <f t="shared" si="78"/>
        <v>0</v>
      </c>
      <c r="G877" s="5241"/>
      <c r="H877" s="5241"/>
      <c r="I877" s="5243">
        <f t="shared" si="79"/>
        <v>0</v>
      </c>
      <c r="J877" s="5244">
        <f t="shared" si="83"/>
        <v>0</v>
      </c>
      <c r="K877" s="5245">
        <f t="shared" si="80"/>
        <v>0</v>
      </c>
      <c r="L877" s="5245">
        <f t="shared" si="81"/>
        <v>0</v>
      </c>
      <c r="M877" s="5245">
        <f t="shared" si="82"/>
        <v>0</v>
      </c>
    </row>
    <row r="878" spans="1:13" ht="14.85" customHeight="1">
      <c r="A878" s="5238">
        <v>408</v>
      </c>
      <c r="B878" s="5238" t="s">
        <v>3937</v>
      </c>
      <c r="C878" s="5239" t="s">
        <v>2629</v>
      </c>
      <c r="D878" s="5240"/>
      <c r="E878" s="5241"/>
      <c r="F878" s="5243">
        <f t="shared" si="78"/>
        <v>0</v>
      </c>
      <c r="G878" s="5241"/>
      <c r="H878" s="5241"/>
      <c r="I878" s="5243">
        <f t="shared" si="79"/>
        <v>0</v>
      </c>
      <c r="J878" s="5244">
        <f t="shared" si="83"/>
        <v>0</v>
      </c>
      <c r="K878" s="5245">
        <f t="shared" si="80"/>
        <v>0</v>
      </c>
      <c r="L878" s="5245">
        <f t="shared" si="81"/>
        <v>0</v>
      </c>
      <c r="M878" s="5245">
        <f t="shared" si="82"/>
        <v>0</v>
      </c>
    </row>
    <row r="879" spans="1:13" ht="14.85" customHeight="1">
      <c r="A879" s="5238">
        <v>408</v>
      </c>
      <c r="B879" s="5238" t="s">
        <v>3938</v>
      </c>
      <c r="C879" s="5239" t="s">
        <v>2630</v>
      </c>
      <c r="D879" s="5240"/>
      <c r="E879" s="5241"/>
      <c r="F879" s="5243">
        <f t="shared" si="78"/>
        <v>0</v>
      </c>
      <c r="G879" s="5241"/>
      <c r="H879" s="5241"/>
      <c r="I879" s="5243">
        <f t="shared" si="79"/>
        <v>0</v>
      </c>
      <c r="J879" s="5244">
        <f t="shared" si="83"/>
        <v>0</v>
      </c>
      <c r="K879" s="5245">
        <f t="shared" si="80"/>
        <v>0</v>
      </c>
      <c r="L879" s="5245">
        <f t="shared" si="81"/>
        <v>0</v>
      </c>
      <c r="M879" s="5245">
        <f t="shared" si="82"/>
        <v>0</v>
      </c>
    </row>
    <row r="880" spans="1:13" ht="14.85" customHeight="1">
      <c r="A880" s="5238">
        <v>409</v>
      </c>
      <c r="B880" s="5238" t="s">
        <v>3939</v>
      </c>
      <c r="C880" s="5239" t="s">
        <v>2631</v>
      </c>
      <c r="D880" s="5240"/>
      <c r="E880" s="5241"/>
      <c r="F880" s="5243">
        <f t="shared" si="78"/>
        <v>0</v>
      </c>
      <c r="G880" s="5241"/>
      <c r="H880" s="5241"/>
      <c r="I880" s="5243">
        <f t="shared" si="79"/>
        <v>0</v>
      </c>
      <c r="J880" s="5244">
        <f t="shared" si="83"/>
        <v>0</v>
      </c>
      <c r="K880" s="5245">
        <f t="shared" si="80"/>
        <v>0</v>
      </c>
      <c r="L880" s="5245">
        <f t="shared" si="81"/>
        <v>0</v>
      </c>
      <c r="M880" s="5245">
        <f t="shared" si="82"/>
        <v>0</v>
      </c>
    </row>
    <row r="881" spans="1:13" ht="14.85" customHeight="1">
      <c r="A881" s="5238">
        <v>409</v>
      </c>
      <c r="B881" s="5238" t="s">
        <v>3940</v>
      </c>
      <c r="C881" s="5239" t="s">
        <v>2632</v>
      </c>
      <c r="D881" s="5240"/>
      <c r="E881" s="5241"/>
      <c r="F881" s="5243">
        <f t="shared" si="78"/>
        <v>0</v>
      </c>
      <c r="G881" s="5241"/>
      <c r="H881" s="5241"/>
      <c r="I881" s="5243">
        <f t="shared" si="79"/>
        <v>0</v>
      </c>
      <c r="J881" s="5244">
        <f t="shared" si="83"/>
        <v>0</v>
      </c>
      <c r="K881" s="5245">
        <f t="shared" si="80"/>
        <v>0</v>
      </c>
      <c r="L881" s="5245">
        <f t="shared" si="81"/>
        <v>0</v>
      </c>
      <c r="M881" s="5245">
        <f t="shared" si="82"/>
        <v>0</v>
      </c>
    </row>
    <row r="882" spans="1:13" ht="14.85" customHeight="1">
      <c r="A882" s="5238">
        <v>409</v>
      </c>
      <c r="B882" s="5238" t="s">
        <v>3941</v>
      </c>
      <c r="C882" s="5239" t="s">
        <v>2633</v>
      </c>
      <c r="D882" s="5240"/>
      <c r="E882" s="5241"/>
      <c r="F882" s="5243">
        <f t="shared" si="78"/>
        <v>0</v>
      </c>
      <c r="G882" s="5241"/>
      <c r="H882" s="5241"/>
      <c r="I882" s="5243">
        <f t="shared" si="79"/>
        <v>0</v>
      </c>
      <c r="J882" s="5244">
        <f t="shared" si="83"/>
        <v>0</v>
      </c>
      <c r="K882" s="5245">
        <f t="shared" si="80"/>
        <v>0</v>
      </c>
      <c r="L882" s="5245">
        <f t="shared" si="81"/>
        <v>0</v>
      </c>
      <c r="M882" s="5245">
        <f t="shared" si="82"/>
        <v>0</v>
      </c>
    </row>
    <row r="883" spans="1:13" ht="14.85" customHeight="1">
      <c r="A883" s="5238">
        <v>409</v>
      </c>
      <c r="B883" s="5238" t="s">
        <v>3942</v>
      </c>
      <c r="C883" s="5239" t="s">
        <v>2634</v>
      </c>
      <c r="D883" s="5240"/>
      <c r="E883" s="5241"/>
      <c r="F883" s="5243">
        <f t="shared" si="78"/>
        <v>0</v>
      </c>
      <c r="G883" s="5241"/>
      <c r="H883" s="5241"/>
      <c r="I883" s="5243">
        <f t="shared" si="79"/>
        <v>0</v>
      </c>
      <c r="J883" s="5244">
        <f t="shared" si="83"/>
        <v>0</v>
      </c>
      <c r="K883" s="5245">
        <f t="shared" si="80"/>
        <v>0</v>
      </c>
      <c r="L883" s="5245">
        <f t="shared" si="81"/>
        <v>0</v>
      </c>
      <c r="M883" s="5245">
        <f t="shared" si="82"/>
        <v>0</v>
      </c>
    </row>
    <row r="884" spans="1:13" ht="14.85" customHeight="1">
      <c r="A884" s="5238">
        <v>410</v>
      </c>
      <c r="B884" s="5238" t="s">
        <v>3943</v>
      </c>
      <c r="C884" s="5239" t="s">
        <v>2635</v>
      </c>
      <c r="D884" s="5240"/>
      <c r="E884" s="5241"/>
      <c r="F884" s="5243">
        <f t="shared" si="78"/>
        <v>0</v>
      </c>
      <c r="G884" s="5241"/>
      <c r="H884" s="5241"/>
      <c r="I884" s="5243">
        <f t="shared" si="79"/>
        <v>0</v>
      </c>
      <c r="J884" s="5244">
        <f t="shared" si="83"/>
        <v>0</v>
      </c>
      <c r="K884" s="5245">
        <f t="shared" si="80"/>
        <v>0</v>
      </c>
      <c r="L884" s="5245">
        <f t="shared" si="81"/>
        <v>0</v>
      </c>
      <c r="M884" s="5245">
        <f t="shared" si="82"/>
        <v>0</v>
      </c>
    </row>
    <row r="885" spans="1:13" ht="14.85" customHeight="1">
      <c r="A885" s="5238">
        <v>410</v>
      </c>
      <c r="B885" s="5238" t="s">
        <v>3944</v>
      </c>
      <c r="C885" s="5239" t="s">
        <v>2636</v>
      </c>
      <c r="D885" s="5240"/>
      <c r="E885" s="5241"/>
      <c r="F885" s="5243">
        <f t="shared" si="78"/>
        <v>0</v>
      </c>
      <c r="G885" s="5241"/>
      <c r="H885" s="5241"/>
      <c r="I885" s="5243">
        <f t="shared" si="79"/>
        <v>0</v>
      </c>
      <c r="J885" s="5244">
        <f t="shared" si="83"/>
        <v>0</v>
      </c>
      <c r="K885" s="5245">
        <f t="shared" si="80"/>
        <v>0</v>
      </c>
      <c r="L885" s="5245">
        <f t="shared" si="81"/>
        <v>0</v>
      </c>
      <c r="M885" s="5245">
        <f t="shared" si="82"/>
        <v>0</v>
      </c>
    </row>
    <row r="886" spans="1:13" ht="14.85" customHeight="1">
      <c r="A886" s="5238">
        <v>411</v>
      </c>
      <c r="B886" s="5238" t="s">
        <v>3945</v>
      </c>
      <c r="C886" s="5239" t="s">
        <v>2637</v>
      </c>
      <c r="D886" s="5240"/>
      <c r="E886" s="5241"/>
      <c r="F886" s="5243">
        <f t="shared" si="78"/>
        <v>0</v>
      </c>
      <c r="G886" s="5241"/>
      <c r="H886" s="5241"/>
      <c r="I886" s="5243">
        <f t="shared" si="79"/>
        <v>0</v>
      </c>
      <c r="J886" s="5244">
        <f t="shared" si="83"/>
        <v>0</v>
      </c>
      <c r="K886" s="5245">
        <f t="shared" si="80"/>
        <v>0</v>
      </c>
      <c r="L886" s="5245">
        <f t="shared" si="81"/>
        <v>0</v>
      </c>
      <c r="M886" s="5245">
        <f t="shared" si="82"/>
        <v>0</v>
      </c>
    </row>
    <row r="887" spans="1:13" ht="14.85" customHeight="1">
      <c r="A887" s="5238">
        <v>411</v>
      </c>
      <c r="B887" s="5238" t="s">
        <v>3946</v>
      </c>
      <c r="C887" s="5239" t="s">
        <v>2638</v>
      </c>
      <c r="D887" s="5240"/>
      <c r="E887" s="5241"/>
      <c r="F887" s="5243">
        <f t="shared" si="78"/>
        <v>0</v>
      </c>
      <c r="G887" s="5241"/>
      <c r="H887" s="5241"/>
      <c r="I887" s="5243">
        <f t="shared" si="79"/>
        <v>0</v>
      </c>
      <c r="J887" s="5244">
        <f t="shared" si="83"/>
        <v>0</v>
      </c>
      <c r="K887" s="5245">
        <f t="shared" si="80"/>
        <v>0</v>
      </c>
      <c r="L887" s="5245">
        <f t="shared" si="81"/>
        <v>0</v>
      </c>
      <c r="M887" s="5245">
        <f t="shared" si="82"/>
        <v>0</v>
      </c>
    </row>
    <row r="888" spans="1:13" ht="14.85" customHeight="1">
      <c r="A888" s="5238">
        <v>412</v>
      </c>
      <c r="B888" s="5238" t="s">
        <v>3947</v>
      </c>
      <c r="C888" s="5239" t="s">
        <v>2639</v>
      </c>
      <c r="D888" s="5240"/>
      <c r="E888" s="5241"/>
      <c r="F888" s="5243">
        <f t="shared" si="78"/>
        <v>0</v>
      </c>
      <c r="G888" s="5241"/>
      <c r="H888" s="5241"/>
      <c r="I888" s="5243">
        <f t="shared" si="79"/>
        <v>0</v>
      </c>
      <c r="J888" s="5244">
        <f t="shared" si="83"/>
        <v>0</v>
      </c>
      <c r="K888" s="5245">
        <f t="shared" si="80"/>
        <v>0</v>
      </c>
      <c r="L888" s="5245">
        <f t="shared" si="81"/>
        <v>0</v>
      </c>
      <c r="M888" s="5245">
        <f t="shared" si="82"/>
        <v>0</v>
      </c>
    </row>
    <row r="889" spans="1:13" ht="14.85" customHeight="1">
      <c r="A889" s="5238">
        <v>412</v>
      </c>
      <c r="B889" s="5238" t="s">
        <v>3948</v>
      </c>
      <c r="C889" s="5239" t="s">
        <v>2640</v>
      </c>
      <c r="D889" s="5240"/>
      <c r="E889" s="5241"/>
      <c r="F889" s="5243">
        <f t="shared" si="78"/>
        <v>0</v>
      </c>
      <c r="G889" s="5241"/>
      <c r="H889" s="5241"/>
      <c r="I889" s="5243">
        <f t="shared" si="79"/>
        <v>0</v>
      </c>
      <c r="J889" s="5244">
        <f t="shared" si="83"/>
        <v>0</v>
      </c>
      <c r="K889" s="5245">
        <f t="shared" si="80"/>
        <v>0</v>
      </c>
      <c r="L889" s="5245">
        <f t="shared" si="81"/>
        <v>0</v>
      </c>
      <c r="M889" s="5245">
        <f t="shared" si="82"/>
        <v>0</v>
      </c>
    </row>
    <row r="890" spans="1:13" ht="14.85" customHeight="1">
      <c r="A890" s="5238">
        <v>413</v>
      </c>
      <c r="B890" s="5238" t="s">
        <v>3949</v>
      </c>
      <c r="C890" s="5239" t="s">
        <v>2641</v>
      </c>
      <c r="D890" s="5240"/>
      <c r="E890" s="5241"/>
      <c r="F890" s="5243">
        <f t="shared" si="78"/>
        <v>0</v>
      </c>
      <c r="G890" s="5241"/>
      <c r="H890" s="5241"/>
      <c r="I890" s="5243">
        <f t="shared" si="79"/>
        <v>0</v>
      </c>
      <c r="J890" s="5244">
        <f t="shared" si="83"/>
        <v>0</v>
      </c>
      <c r="K890" s="5245">
        <f t="shared" si="80"/>
        <v>0</v>
      </c>
      <c r="L890" s="5245">
        <f t="shared" si="81"/>
        <v>0</v>
      </c>
      <c r="M890" s="5245">
        <f t="shared" si="82"/>
        <v>0</v>
      </c>
    </row>
    <row r="891" spans="1:13" ht="14.85" customHeight="1">
      <c r="A891" s="5238">
        <v>413</v>
      </c>
      <c r="B891" s="5238" t="s">
        <v>3950</v>
      </c>
      <c r="C891" s="5239" t="s">
        <v>2642</v>
      </c>
      <c r="D891" s="5240"/>
      <c r="E891" s="5241"/>
      <c r="F891" s="5243">
        <f t="shared" si="78"/>
        <v>0</v>
      </c>
      <c r="G891" s="5241"/>
      <c r="H891" s="5241"/>
      <c r="I891" s="5243">
        <f t="shared" si="79"/>
        <v>0</v>
      </c>
      <c r="J891" s="5244">
        <f t="shared" si="83"/>
        <v>0</v>
      </c>
      <c r="K891" s="5245">
        <f t="shared" si="80"/>
        <v>0</v>
      </c>
      <c r="L891" s="5245">
        <f t="shared" si="81"/>
        <v>0</v>
      </c>
      <c r="M891" s="5245">
        <f t="shared" si="82"/>
        <v>0</v>
      </c>
    </row>
    <row r="892" spans="1:13" ht="14.85" customHeight="1">
      <c r="A892" s="5238">
        <v>413</v>
      </c>
      <c r="B892" s="5238" t="s">
        <v>3951</v>
      </c>
      <c r="C892" s="5239" t="s">
        <v>2643</v>
      </c>
      <c r="D892" s="5240"/>
      <c r="E892" s="5241"/>
      <c r="F892" s="5243">
        <f t="shared" si="78"/>
        <v>0</v>
      </c>
      <c r="G892" s="5241"/>
      <c r="H892" s="5241"/>
      <c r="I892" s="5243">
        <f t="shared" si="79"/>
        <v>0</v>
      </c>
      <c r="J892" s="5244">
        <f t="shared" si="83"/>
        <v>0</v>
      </c>
      <c r="K892" s="5245">
        <f t="shared" si="80"/>
        <v>0</v>
      </c>
      <c r="L892" s="5245">
        <f t="shared" si="81"/>
        <v>0</v>
      </c>
      <c r="M892" s="5245">
        <f t="shared" si="82"/>
        <v>0</v>
      </c>
    </row>
    <row r="893" spans="1:13" ht="14.85" customHeight="1">
      <c r="A893" s="5238">
        <v>415</v>
      </c>
      <c r="B893" s="5238" t="s">
        <v>3952</v>
      </c>
      <c r="C893" s="5239" t="s">
        <v>2644</v>
      </c>
      <c r="D893" s="5240"/>
      <c r="E893" s="5241"/>
      <c r="F893" s="5243">
        <f t="shared" si="78"/>
        <v>0</v>
      </c>
      <c r="G893" s="5241"/>
      <c r="H893" s="5241"/>
      <c r="I893" s="5243">
        <f t="shared" si="79"/>
        <v>0</v>
      </c>
      <c r="J893" s="5244">
        <f t="shared" si="83"/>
        <v>0</v>
      </c>
      <c r="K893" s="5245">
        <f t="shared" si="80"/>
        <v>0</v>
      </c>
      <c r="L893" s="5245">
        <f t="shared" si="81"/>
        <v>0</v>
      </c>
      <c r="M893" s="5245">
        <f t="shared" si="82"/>
        <v>0</v>
      </c>
    </row>
    <row r="894" spans="1:13" ht="14.85" customHeight="1">
      <c r="A894" s="5238">
        <v>415</v>
      </c>
      <c r="B894" s="5238" t="s">
        <v>3953</v>
      </c>
      <c r="C894" s="5239" t="s">
        <v>2645</v>
      </c>
      <c r="D894" s="5240"/>
      <c r="E894" s="5241"/>
      <c r="F894" s="5243">
        <f t="shared" si="78"/>
        <v>0</v>
      </c>
      <c r="G894" s="5241"/>
      <c r="H894" s="5241"/>
      <c r="I894" s="5243">
        <f t="shared" si="79"/>
        <v>0</v>
      </c>
      <c r="J894" s="5244">
        <f t="shared" si="83"/>
        <v>0</v>
      </c>
      <c r="K894" s="5245">
        <f t="shared" si="80"/>
        <v>0</v>
      </c>
      <c r="L894" s="5245">
        <f t="shared" si="81"/>
        <v>0</v>
      </c>
      <c r="M894" s="5245">
        <f t="shared" si="82"/>
        <v>0</v>
      </c>
    </row>
    <row r="895" spans="1:13" ht="14.85" customHeight="1">
      <c r="A895" s="5238">
        <v>415</v>
      </c>
      <c r="B895" s="5238" t="s">
        <v>3954</v>
      </c>
      <c r="C895" s="5239" t="s">
        <v>2646</v>
      </c>
      <c r="D895" s="5240"/>
      <c r="E895" s="5241"/>
      <c r="F895" s="5243">
        <f t="shared" si="78"/>
        <v>0</v>
      </c>
      <c r="G895" s="5241"/>
      <c r="H895" s="5241"/>
      <c r="I895" s="5243">
        <f t="shared" si="79"/>
        <v>0</v>
      </c>
      <c r="J895" s="5244">
        <f t="shared" si="83"/>
        <v>0</v>
      </c>
      <c r="K895" s="5245">
        <f t="shared" si="80"/>
        <v>0</v>
      </c>
      <c r="L895" s="5245">
        <f t="shared" si="81"/>
        <v>0</v>
      </c>
      <c r="M895" s="5245">
        <f t="shared" si="82"/>
        <v>0</v>
      </c>
    </row>
    <row r="896" spans="1:13" ht="14.85" customHeight="1">
      <c r="A896" s="5238">
        <v>416</v>
      </c>
      <c r="B896" s="5238" t="s">
        <v>3955</v>
      </c>
      <c r="C896" s="5239" t="s">
        <v>2647</v>
      </c>
      <c r="D896" s="5240"/>
      <c r="E896" s="5241"/>
      <c r="F896" s="5243">
        <f t="shared" si="78"/>
        <v>0</v>
      </c>
      <c r="G896" s="5241"/>
      <c r="H896" s="5241"/>
      <c r="I896" s="5243">
        <f t="shared" si="79"/>
        <v>0</v>
      </c>
      <c r="J896" s="5244">
        <f t="shared" si="83"/>
        <v>0</v>
      </c>
      <c r="K896" s="5245">
        <f t="shared" si="80"/>
        <v>0</v>
      </c>
      <c r="L896" s="5245">
        <f t="shared" si="81"/>
        <v>0</v>
      </c>
      <c r="M896" s="5245">
        <f t="shared" si="82"/>
        <v>0</v>
      </c>
    </row>
    <row r="897" spans="1:13" ht="14.85" customHeight="1">
      <c r="A897" s="5238">
        <v>416</v>
      </c>
      <c r="B897" s="5238" t="s">
        <v>3956</v>
      </c>
      <c r="C897" s="5239" t="s">
        <v>2648</v>
      </c>
      <c r="D897" s="5240"/>
      <c r="E897" s="5241"/>
      <c r="F897" s="5243">
        <f t="shared" si="78"/>
        <v>0</v>
      </c>
      <c r="G897" s="5241"/>
      <c r="H897" s="5241"/>
      <c r="I897" s="5243">
        <f t="shared" si="79"/>
        <v>0</v>
      </c>
      <c r="J897" s="5244">
        <f t="shared" si="83"/>
        <v>0</v>
      </c>
      <c r="K897" s="5245">
        <f t="shared" si="80"/>
        <v>0</v>
      </c>
      <c r="L897" s="5245">
        <f t="shared" si="81"/>
        <v>0</v>
      </c>
      <c r="M897" s="5245">
        <f t="shared" si="82"/>
        <v>0</v>
      </c>
    </row>
    <row r="898" spans="1:13" ht="14.85" customHeight="1">
      <c r="A898" s="5238">
        <v>416</v>
      </c>
      <c r="B898" s="5238" t="s">
        <v>3957</v>
      </c>
      <c r="C898" s="5239" t="s">
        <v>2649</v>
      </c>
      <c r="D898" s="5240"/>
      <c r="E898" s="5241"/>
      <c r="F898" s="5243">
        <f t="shared" si="78"/>
        <v>0</v>
      </c>
      <c r="G898" s="5241"/>
      <c r="H898" s="5241"/>
      <c r="I898" s="5243">
        <f t="shared" si="79"/>
        <v>0</v>
      </c>
      <c r="J898" s="5244">
        <f t="shared" si="83"/>
        <v>0</v>
      </c>
      <c r="K898" s="5245">
        <f t="shared" si="80"/>
        <v>0</v>
      </c>
      <c r="L898" s="5245">
        <f t="shared" si="81"/>
        <v>0</v>
      </c>
      <c r="M898" s="5245">
        <f t="shared" si="82"/>
        <v>0</v>
      </c>
    </row>
    <row r="899" spans="1:13" ht="14.85" customHeight="1">
      <c r="A899" s="5238">
        <v>416</v>
      </c>
      <c r="B899" s="5238" t="s">
        <v>3958</v>
      </c>
      <c r="C899" s="5239" t="s">
        <v>2650</v>
      </c>
      <c r="D899" s="5240"/>
      <c r="E899" s="5241"/>
      <c r="F899" s="5243">
        <f t="shared" si="78"/>
        <v>0</v>
      </c>
      <c r="G899" s="5241"/>
      <c r="H899" s="5241"/>
      <c r="I899" s="5243">
        <f t="shared" si="79"/>
        <v>0</v>
      </c>
      <c r="J899" s="5244">
        <f t="shared" si="83"/>
        <v>0</v>
      </c>
      <c r="K899" s="5245">
        <f t="shared" si="80"/>
        <v>0</v>
      </c>
      <c r="L899" s="5245">
        <f t="shared" si="81"/>
        <v>0</v>
      </c>
      <c r="M899" s="5245">
        <f t="shared" si="82"/>
        <v>0</v>
      </c>
    </row>
    <row r="900" spans="1:13" ht="14.85" customHeight="1">
      <c r="A900" s="5238">
        <v>417</v>
      </c>
      <c r="B900" s="5238" t="s">
        <v>3959</v>
      </c>
      <c r="C900" s="5239" t="s">
        <v>2651</v>
      </c>
      <c r="D900" s="5240"/>
      <c r="E900" s="5241"/>
      <c r="F900" s="5243">
        <f t="shared" si="78"/>
        <v>0</v>
      </c>
      <c r="G900" s="5241"/>
      <c r="H900" s="5241"/>
      <c r="I900" s="5243">
        <f t="shared" si="79"/>
        <v>0</v>
      </c>
      <c r="J900" s="5244">
        <f t="shared" si="83"/>
        <v>0</v>
      </c>
      <c r="K900" s="5245">
        <f t="shared" si="80"/>
        <v>0</v>
      </c>
      <c r="L900" s="5245">
        <f t="shared" si="81"/>
        <v>0</v>
      </c>
      <c r="M900" s="5245">
        <f t="shared" si="82"/>
        <v>0</v>
      </c>
    </row>
    <row r="901" spans="1:13" ht="14.85" customHeight="1">
      <c r="A901" s="5238">
        <v>417</v>
      </c>
      <c r="B901" s="5238" t="s">
        <v>3960</v>
      </c>
      <c r="C901" s="5239" t="s">
        <v>2652</v>
      </c>
      <c r="D901" s="5240"/>
      <c r="E901" s="5241"/>
      <c r="F901" s="5243">
        <f t="shared" si="78"/>
        <v>0</v>
      </c>
      <c r="G901" s="5241"/>
      <c r="H901" s="5241"/>
      <c r="I901" s="5243">
        <f t="shared" si="79"/>
        <v>0</v>
      </c>
      <c r="J901" s="5244">
        <f t="shared" si="83"/>
        <v>0</v>
      </c>
      <c r="K901" s="5245">
        <f t="shared" si="80"/>
        <v>0</v>
      </c>
      <c r="L901" s="5245">
        <f t="shared" si="81"/>
        <v>0</v>
      </c>
      <c r="M901" s="5245">
        <f t="shared" si="82"/>
        <v>0</v>
      </c>
    </row>
    <row r="902" spans="1:13" ht="14.85" customHeight="1">
      <c r="A902" s="5238">
        <v>417</v>
      </c>
      <c r="B902" s="5238" t="s">
        <v>3961</v>
      </c>
      <c r="C902" s="5239" t="s">
        <v>4532</v>
      </c>
      <c r="D902" s="5240"/>
      <c r="E902" s="5241"/>
      <c r="F902" s="5243">
        <f t="shared" si="78"/>
        <v>0</v>
      </c>
      <c r="G902" s="5241"/>
      <c r="H902" s="5241"/>
      <c r="I902" s="5243">
        <f t="shared" si="79"/>
        <v>0</v>
      </c>
      <c r="J902" s="5244">
        <f t="shared" si="83"/>
        <v>0</v>
      </c>
      <c r="K902" s="5245">
        <f t="shared" si="80"/>
        <v>0</v>
      </c>
      <c r="L902" s="5245">
        <f t="shared" si="81"/>
        <v>0</v>
      </c>
      <c r="M902" s="5245">
        <f t="shared" si="82"/>
        <v>0</v>
      </c>
    </row>
    <row r="903" spans="1:13" ht="14.85" customHeight="1">
      <c r="A903" s="5238">
        <v>418</v>
      </c>
      <c r="B903" s="5238" t="s">
        <v>3962</v>
      </c>
      <c r="C903" s="5239" t="s">
        <v>2653</v>
      </c>
      <c r="D903" s="5240"/>
      <c r="E903" s="5241"/>
      <c r="F903" s="5243">
        <f t="shared" si="78"/>
        <v>0</v>
      </c>
      <c r="G903" s="5241"/>
      <c r="H903" s="5241"/>
      <c r="I903" s="5243">
        <f t="shared" si="79"/>
        <v>0</v>
      </c>
      <c r="J903" s="5244">
        <f t="shared" si="83"/>
        <v>0</v>
      </c>
      <c r="K903" s="5245">
        <f t="shared" si="80"/>
        <v>0</v>
      </c>
      <c r="L903" s="5245">
        <f t="shared" si="81"/>
        <v>0</v>
      </c>
      <c r="M903" s="5245">
        <f t="shared" si="82"/>
        <v>0</v>
      </c>
    </row>
    <row r="904" spans="1:13" ht="14.85" customHeight="1">
      <c r="A904" s="5238">
        <v>418</v>
      </c>
      <c r="B904" s="5238" t="s">
        <v>3963</v>
      </c>
      <c r="C904" s="5239" t="s">
        <v>2141</v>
      </c>
      <c r="D904" s="5240"/>
      <c r="E904" s="5241"/>
      <c r="F904" s="5243">
        <f t="shared" si="78"/>
        <v>0</v>
      </c>
      <c r="G904" s="5241"/>
      <c r="H904" s="5241"/>
      <c r="I904" s="5243">
        <f t="shared" si="79"/>
        <v>0</v>
      </c>
      <c r="J904" s="5244">
        <f t="shared" si="83"/>
        <v>0</v>
      </c>
      <c r="K904" s="5245">
        <f t="shared" si="80"/>
        <v>0</v>
      </c>
      <c r="L904" s="5245">
        <f t="shared" si="81"/>
        <v>0</v>
      </c>
      <c r="M904" s="5245">
        <f t="shared" si="82"/>
        <v>0</v>
      </c>
    </row>
    <row r="905" spans="1:13" ht="14.85" customHeight="1">
      <c r="A905" s="5238">
        <v>418</v>
      </c>
      <c r="B905" s="5238" t="s">
        <v>3964</v>
      </c>
      <c r="C905" s="5239" t="s">
        <v>2654</v>
      </c>
      <c r="D905" s="5240"/>
      <c r="E905" s="5241"/>
      <c r="F905" s="5243">
        <f t="shared" si="78"/>
        <v>0</v>
      </c>
      <c r="G905" s="5241"/>
      <c r="H905" s="5241"/>
      <c r="I905" s="5243">
        <f t="shared" si="79"/>
        <v>0</v>
      </c>
      <c r="J905" s="5244">
        <f t="shared" si="83"/>
        <v>0</v>
      </c>
      <c r="K905" s="5245">
        <f t="shared" si="80"/>
        <v>0</v>
      </c>
      <c r="L905" s="5245">
        <f t="shared" si="81"/>
        <v>0</v>
      </c>
      <c r="M905" s="5245">
        <f t="shared" si="82"/>
        <v>0</v>
      </c>
    </row>
    <row r="906" spans="1:13" ht="14.85" customHeight="1">
      <c r="A906" s="5238">
        <v>418</v>
      </c>
      <c r="B906" s="5238" t="s">
        <v>3965</v>
      </c>
      <c r="C906" s="5239" t="s">
        <v>2045</v>
      </c>
      <c r="D906" s="5240"/>
      <c r="E906" s="5241"/>
      <c r="F906" s="5243">
        <f t="shared" si="78"/>
        <v>0</v>
      </c>
      <c r="G906" s="5241"/>
      <c r="H906" s="5241"/>
      <c r="I906" s="5243">
        <f t="shared" si="79"/>
        <v>0</v>
      </c>
      <c r="J906" s="5244">
        <f t="shared" si="83"/>
        <v>0</v>
      </c>
      <c r="K906" s="5245">
        <f t="shared" si="80"/>
        <v>0</v>
      </c>
      <c r="L906" s="5245">
        <f t="shared" si="81"/>
        <v>0</v>
      </c>
      <c r="M906" s="5245">
        <f t="shared" si="82"/>
        <v>0</v>
      </c>
    </row>
    <row r="907" spans="1:13" ht="14.85" customHeight="1">
      <c r="A907" s="5238">
        <v>418</v>
      </c>
      <c r="B907" s="5238" t="s">
        <v>3966</v>
      </c>
      <c r="C907" s="5239" t="s">
        <v>2655</v>
      </c>
      <c r="D907" s="5240"/>
      <c r="E907" s="5241"/>
      <c r="F907" s="5243">
        <f t="shared" si="78"/>
        <v>0</v>
      </c>
      <c r="G907" s="5241"/>
      <c r="H907" s="5241"/>
      <c r="I907" s="5243">
        <f t="shared" si="79"/>
        <v>0</v>
      </c>
      <c r="J907" s="5244">
        <f t="shared" si="83"/>
        <v>0</v>
      </c>
      <c r="K907" s="5245">
        <f t="shared" si="80"/>
        <v>0</v>
      </c>
      <c r="L907" s="5245">
        <f t="shared" si="81"/>
        <v>0</v>
      </c>
      <c r="M907" s="5245">
        <f t="shared" si="82"/>
        <v>0</v>
      </c>
    </row>
    <row r="908" spans="1:13" ht="14.85" customHeight="1">
      <c r="A908" s="5238">
        <v>418</v>
      </c>
      <c r="B908" s="5238" t="s">
        <v>3967</v>
      </c>
      <c r="C908" s="5239" t="s">
        <v>2656</v>
      </c>
      <c r="D908" s="5240"/>
      <c r="E908" s="5241"/>
      <c r="F908" s="5243">
        <f t="shared" si="78"/>
        <v>0</v>
      </c>
      <c r="G908" s="5241"/>
      <c r="H908" s="5241"/>
      <c r="I908" s="5243">
        <f t="shared" si="79"/>
        <v>0</v>
      </c>
      <c r="J908" s="5244">
        <f t="shared" si="83"/>
        <v>0</v>
      </c>
      <c r="K908" s="5245">
        <f t="shared" si="80"/>
        <v>0</v>
      </c>
      <c r="L908" s="5245">
        <f t="shared" si="81"/>
        <v>0</v>
      </c>
      <c r="M908" s="5245">
        <f t="shared" si="82"/>
        <v>0</v>
      </c>
    </row>
    <row r="909" spans="1:13" ht="14.85" customHeight="1">
      <c r="A909" s="5238">
        <v>419</v>
      </c>
      <c r="B909" s="5238" t="s">
        <v>3968</v>
      </c>
      <c r="C909" s="5239" t="s">
        <v>2657</v>
      </c>
      <c r="D909" s="5240"/>
      <c r="E909" s="5241"/>
      <c r="F909" s="5243">
        <f t="shared" si="78"/>
        <v>0</v>
      </c>
      <c r="G909" s="5241"/>
      <c r="H909" s="5241"/>
      <c r="I909" s="5243">
        <f t="shared" si="79"/>
        <v>0</v>
      </c>
      <c r="J909" s="5244">
        <f t="shared" si="83"/>
        <v>0</v>
      </c>
      <c r="K909" s="5245">
        <f t="shared" si="80"/>
        <v>0</v>
      </c>
      <c r="L909" s="5245">
        <f t="shared" si="81"/>
        <v>0</v>
      </c>
      <c r="M909" s="5245">
        <f t="shared" si="82"/>
        <v>0</v>
      </c>
    </row>
    <row r="910" spans="1:13" ht="14.85" customHeight="1">
      <c r="A910" s="5238">
        <v>419</v>
      </c>
      <c r="B910" s="5238" t="s">
        <v>3969</v>
      </c>
      <c r="C910" s="5239" t="s">
        <v>2658</v>
      </c>
      <c r="D910" s="5240"/>
      <c r="E910" s="5241"/>
      <c r="F910" s="5243">
        <f t="shared" si="78"/>
        <v>0</v>
      </c>
      <c r="G910" s="5241"/>
      <c r="H910" s="5241"/>
      <c r="I910" s="5243">
        <f t="shared" si="79"/>
        <v>0</v>
      </c>
      <c r="J910" s="5244">
        <f t="shared" si="83"/>
        <v>0</v>
      </c>
      <c r="K910" s="5245">
        <f t="shared" si="80"/>
        <v>0</v>
      </c>
      <c r="L910" s="5245">
        <f t="shared" si="81"/>
        <v>0</v>
      </c>
      <c r="M910" s="5245">
        <f t="shared" si="82"/>
        <v>0</v>
      </c>
    </row>
    <row r="911" spans="1:13" ht="14.85" customHeight="1">
      <c r="A911" s="5238">
        <v>420</v>
      </c>
      <c r="B911" s="5238" t="s">
        <v>3970</v>
      </c>
      <c r="C911" s="5239" t="s">
        <v>2659</v>
      </c>
      <c r="D911" s="5240"/>
      <c r="E911" s="5241"/>
      <c r="F911" s="5243">
        <f t="shared" si="78"/>
        <v>0</v>
      </c>
      <c r="G911" s="5241"/>
      <c r="H911" s="5241"/>
      <c r="I911" s="5243">
        <f t="shared" si="79"/>
        <v>0</v>
      </c>
      <c r="J911" s="5244">
        <f t="shared" si="83"/>
        <v>0</v>
      </c>
      <c r="K911" s="5245">
        <f t="shared" si="80"/>
        <v>0</v>
      </c>
      <c r="L911" s="5245">
        <f t="shared" si="81"/>
        <v>0</v>
      </c>
      <c r="M911" s="5245">
        <f t="shared" si="82"/>
        <v>0</v>
      </c>
    </row>
    <row r="912" spans="1:13" ht="14.85" customHeight="1">
      <c r="A912" s="5238">
        <v>420</v>
      </c>
      <c r="B912" s="5238" t="s">
        <v>3971</v>
      </c>
      <c r="C912" s="5239" t="s">
        <v>2660</v>
      </c>
      <c r="D912" s="5240"/>
      <c r="E912" s="5241"/>
      <c r="F912" s="5243">
        <f t="shared" si="78"/>
        <v>0</v>
      </c>
      <c r="G912" s="5241"/>
      <c r="H912" s="5241"/>
      <c r="I912" s="5243">
        <f t="shared" si="79"/>
        <v>0</v>
      </c>
      <c r="J912" s="5244">
        <f t="shared" si="83"/>
        <v>0</v>
      </c>
      <c r="K912" s="5245">
        <f t="shared" si="80"/>
        <v>0</v>
      </c>
      <c r="L912" s="5245">
        <f t="shared" si="81"/>
        <v>0</v>
      </c>
      <c r="M912" s="5245">
        <f t="shared" si="82"/>
        <v>0</v>
      </c>
    </row>
    <row r="913" spans="1:13" ht="14.85" customHeight="1">
      <c r="A913" s="5238">
        <v>420</v>
      </c>
      <c r="B913" s="5238" t="s">
        <v>3972</v>
      </c>
      <c r="C913" s="5239" t="s">
        <v>2661</v>
      </c>
      <c r="D913" s="5240"/>
      <c r="E913" s="5241"/>
      <c r="F913" s="5243">
        <f t="shared" si="78"/>
        <v>0</v>
      </c>
      <c r="G913" s="5241"/>
      <c r="H913" s="5241"/>
      <c r="I913" s="5243">
        <f t="shared" si="79"/>
        <v>0</v>
      </c>
      <c r="J913" s="5244">
        <f t="shared" si="83"/>
        <v>0</v>
      </c>
      <c r="K913" s="5245">
        <f t="shared" si="80"/>
        <v>0</v>
      </c>
      <c r="L913" s="5245">
        <f t="shared" si="81"/>
        <v>0</v>
      </c>
      <c r="M913" s="5245">
        <f t="shared" si="82"/>
        <v>0</v>
      </c>
    </row>
    <row r="914" spans="1:13" ht="14.85" customHeight="1">
      <c r="A914" s="5238">
        <v>421</v>
      </c>
      <c r="B914" s="5238" t="s">
        <v>3973</v>
      </c>
      <c r="C914" s="5239" t="s">
        <v>2662</v>
      </c>
      <c r="D914" s="5240"/>
      <c r="E914" s="5241"/>
      <c r="F914" s="5243">
        <f t="shared" si="78"/>
        <v>0</v>
      </c>
      <c r="G914" s="5241"/>
      <c r="H914" s="5241"/>
      <c r="I914" s="5243">
        <f t="shared" si="79"/>
        <v>0</v>
      </c>
      <c r="J914" s="5244">
        <f t="shared" si="83"/>
        <v>0</v>
      </c>
      <c r="K914" s="5245">
        <f t="shared" si="80"/>
        <v>0</v>
      </c>
      <c r="L914" s="5245">
        <f t="shared" si="81"/>
        <v>0</v>
      </c>
      <c r="M914" s="5245">
        <f t="shared" si="82"/>
        <v>0</v>
      </c>
    </row>
    <row r="915" spans="1:13" ht="14.85" customHeight="1">
      <c r="A915" s="5238">
        <v>421</v>
      </c>
      <c r="B915" s="5238" t="s">
        <v>3974</v>
      </c>
      <c r="C915" s="5239" t="s">
        <v>2663</v>
      </c>
      <c r="D915" s="5240"/>
      <c r="E915" s="5241"/>
      <c r="F915" s="5243">
        <f t="shared" si="78"/>
        <v>0</v>
      </c>
      <c r="G915" s="5241"/>
      <c r="H915" s="5241"/>
      <c r="I915" s="5243">
        <f t="shared" si="79"/>
        <v>0</v>
      </c>
      <c r="J915" s="5244">
        <f t="shared" si="83"/>
        <v>0</v>
      </c>
      <c r="K915" s="5245">
        <f t="shared" si="80"/>
        <v>0</v>
      </c>
      <c r="L915" s="5245">
        <f t="shared" si="81"/>
        <v>0</v>
      </c>
      <c r="M915" s="5245">
        <f t="shared" si="82"/>
        <v>0</v>
      </c>
    </row>
    <row r="916" spans="1:13" ht="14.85" customHeight="1">
      <c r="A916" s="5238">
        <v>422</v>
      </c>
      <c r="B916" s="5238" t="s">
        <v>3975</v>
      </c>
      <c r="C916" s="5239" t="s">
        <v>2664</v>
      </c>
      <c r="D916" s="5240"/>
      <c r="E916" s="5241"/>
      <c r="F916" s="5243">
        <f t="shared" si="78"/>
        <v>0</v>
      </c>
      <c r="G916" s="5241"/>
      <c r="H916" s="5241"/>
      <c r="I916" s="5243">
        <f t="shared" si="79"/>
        <v>0</v>
      </c>
      <c r="J916" s="5244">
        <f t="shared" si="83"/>
        <v>0</v>
      </c>
      <c r="K916" s="5245">
        <f t="shared" si="80"/>
        <v>0</v>
      </c>
      <c r="L916" s="5245">
        <f t="shared" si="81"/>
        <v>0</v>
      </c>
      <c r="M916" s="5245">
        <f t="shared" si="82"/>
        <v>0</v>
      </c>
    </row>
    <row r="917" spans="1:13" ht="14.85" customHeight="1">
      <c r="A917" s="5238">
        <v>422</v>
      </c>
      <c r="B917" s="5238" t="s">
        <v>3976</v>
      </c>
      <c r="C917" s="5239" t="s">
        <v>4533</v>
      </c>
      <c r="D917" s="5240"/>
      <c r="E917" s="5241"/>
      <c r="F917" s="5243">
        <f t="shared" si="78"/>
        <v>0</v>
      </c>
      <c r="G917" s="5241"/>
      <c r="H917" s="5241"/>
      <c r="I917" s="5243">
        <f t="shared" si="79"/>
        <v>0</v>
      </c>
      <c r="J917" s="5244">
        <f t="shared" si="83"/>
        <v>0</v>
      </c>
      <c r="K917" s="5245">
        <f t="shared" si="80"/>
        <v>0</v>
      </c>
      <c r="L917" s="5245">
        <f t="shared" si="81"/>
        <v>0</v>
      </c>
      <c r="M917" s="5245">
        <f t="shared" si="82"/>
        <v>0</v>
      </c>
    </row>
    <row r="918" spans="1:13" ht="14.85" customHeight="1">
      <c r="A918" s="5238">
        <v>422</v>
      </c>
      <c r="B918" s="5238" t="s">
        <v>3977</v>
      </c>
      <c r="C918" s="5239" t="s">
        <v>2665</v>
      </c>
      <c r="D918" s="5240"/>
      <c r="E918" s="5241"/>
      <c r="F918" s="5243">
        <f t="shared" si="78"/>
        <v>0</v>
      </c>
      <c r="G918" s="5241"/>
      <c r="H918" s="5241"/>
      <c r="I918" s="5243">
        <f t="shared" si="79"/>
        <v>0</v>
      </c>
      <c r="J918" s="5244">
        <f t="shared" si="83"/>
        <v>0</v>
      </c>
      <c r="K918" s="5245">
        <f t="shared" si="80"/>
        <v>0</v>
      </c>
      <c r="L918" s="5245">
        <f t="shared" si="81"/>
        <v>0</v>
      </c>
      <c r="M918" s="5245">
        <f t="shared" si="82"/>
        <v>0</v>
      </c>
    </row>
    <row r="919" spans="1:13" ht="14.85" customHeight="1">
      <c r="A919" s="5238">
        <v>423</v>
      </c>
      <c r="B919" s="5238" t="s">
        <v>3978</v>
      </c>
      <c r="C919" s="5239" t="s">
        <v>2666</v>
      </c>
      <c r="D919" s="5240"/>
      <c r="E919" s="5241"/>
      <c r="F919" s="5243">
        <f t="shared" si="78"/>
        <v>0</v>
      </c>
      <c r="G919" s="5241"/>
      <c r="H919" s="5241"/>
      <c r="I919" s="5243">
        <f t="shared" si="79"/>
        <v>0</v>
      </c>
      <c r="J919" s="5244">
        <f t="shared" si="83"/>
        <v>0</v>
      </c>
      <c r="K919" s="5245">
        <f t="shared" si="80"/>
        <v>0</v>
      </c>
      <c r="L919" s="5245">
        <f t="shared" si="81"/>
        <v>0</v>
      </c>
      <c r="M919" s="5245">
        <f t="shared" si="82"/>
        <v>0</v>
      </c>
    </row>
    <row r="920" spans="1:13" ht="14.85" customHeight="1">
      <c r="A920" s="5238">
        <v>423</v>
      </c>
      <c r="B920" s="5238" t="s">
        <v>3979</v>
      </c>
      <c r="C920" s="5239" t="s">
        <v>2667</v>
      </c>
      <c r="D920" s="5240"/>
      <c r="E920" s="5241"/>
      <c r="F920" s="5243">
        <f t="shared" si="78"/>
        <v>0</v>
      </c>
      <c r="G920" s="5241"/>
      <c r="H920" s="5241"/>
      <c r="I920" s="5243">
        <f t="shared" si="79"/>
        <v>0</v>
      </c>
      <c r="J920" s="5244">
        <f t="shared" si="83"/>
        <v>0</v>
      </c>
      <c r="K920" s="5245">
        <f t="shared" si="80"/>
        <v>0</v>
      </c>
      <c r="L920" s="5245">
        <f t="shared" si="81"/>
        <v>0</v>
      </c>
      <c r="M920" s="5245">
        <f t="shared" si="82"/>
        <v>0</v>
      </c>
    </row>
    <row r="921" spans="1:13" ht="14.85" customHeight="1">
      <c r="A921" s="5238">
        <v>423</v>
      </c>
      <c r="B921" s="5238" t="s">
        <v>3980</v>
      </c>
      <c r="C921" s="5239" t="s">
        <v>2668</v>
      </c>
      <c r="D921" s="5240"/>
      <c r="E921" s="5241"/>
      <c r="F921" s="5243">
        <f t="shared" si="78"/>
        <v>0</v>
      </c>
      <c r="G921" s="5241"/>
      <c r="H921" s="5241"/>
      <c r="I921" s="5243">
        <f t="shared" si="79"/>
        <v>0</v>
      </c>
      <c r="J921" s="5244">
        <f t="shared" si="83"/>
        <v>0</v>
      </c>
      <c r="K921" s="5245">
        <f t="shared" si="80"/>
        <v>0</v>
      </c>
      <c r="L921" s="5245">
        <f t="shared" si="81"/>
        <v>0</v>
      </c>
      <c r="M921" s="5245">
        <f t="shared" si="82"/>
        <v>0</v>
      </c>
    </row>
    <row r="922" spans="1:13" ht="14.85" customHeight="1">
      <c r="A922" s="5238">
        <v>426</v>
      </c>
      <c r="B922" s="5238" t="s">
        <v>3981</v>
      </c>
      <c r="C922" s="5239" t="s">
        <v>2669</v>
      </c>
      <c r="D922" s="5240"/>
      <c r="E922" s="5241"/>
      <c r="F922" s="5243">
        <f t="shared" si="78"/>
        <v>0</v>
      </c>
      <c r="G922" s="5241"/>
      <c r="H922" s="5241"/>
      <c r="I922" s="5243">
        <f t="shared" si="79"/>
        <v>0</v>
      </c>
      <c r="J922" s="5244">
        <f t="shared" si="83"/>
        <v>0</v>
      </c>
      <c r="K922" s="5245">
        <f t="shared" si="80"/>
        <v>0</v>
      </c>
      <c r="L922" s="5245">
        <f t="shared" si="81"/>
        <v>0</v>
      </c>
      <c r="M922" s="5245">
        <f t="shared" si="82"/>
        <v>0</v>
      </c>
    </row>
    <row r="923" spans="1:13" ht="14.85" customHeight="1">
      <c r="A923" s="5238">
        <v>426</v>
      </c>
      <c r="B923" s="5238" t="s">
        <v>3982</v>
      </c>
      <c r="C923" s="5239" t="s">
        <v>2670</v>
      </c>
      <c r="D923" s="5240"/>
      <c r="E923" s="5241"/>
      <c r="F923" s="5243">
        <f t="shared" si="78"/>
        <v>0</v>
      </c>
      <c r="G923" s="5241"/>
      <c r="H923" s="5241"/>
      <c r="I923" s="5243">
        <f t="shared" si="79"/>
        <v>0</v>
      </c>
      <c r="J923" s="5244">
        <f t="shared" si="83"/>
        <v>0</v>
      </c>
      <c r="K923" s="5245">
        <f t="shared" si="80"/>
        <v>0</v>
      </c>
      <c r="L923" s="5245">
        <f t="shared" si="81"/>
        <v>0</v>
      </c>
      <c r="M923" s="5245">
        <f t="shared" si="82"/>
        <v>0</v>
      </c>
    </row>
    <row r="924" spans="1:13" ht="14.85" customHeight="1">
      <c r="A924" s="5238">
        <v>426</v>
      </c>
      <c r="B924" s="5238" t="s">
        <v>3983</v>
      </c>
      <c r="C924" s="5239" t="s">
        <v>2671</v>
      </c>
      <c r="D924" s="5240"/>
      <c r="E924" s="5241"/>
      <c r="F924" s="5243">
        <f t="shared" si="78"/>
        <v>0</v>
      </c>
      <c r="G924" s="5241"/>
      <c r="H924" s="5241"/>
      <c r="I924" s="5243">
        <f t="shared" si="79"/>
        <v>0</v>
      </c>
      <c r="J924" s="5244">
        <f t="shared" si="83"/>
        <v>0</v>
      </c>
      <c r="K924" s="5245">
        <f t="shared" si="80"/>
        <v>0</v>
      </c>
      <c r="L924" s="5245">
        <f t="shared" si="81"/>
        <v>0</v>
      </c>
      <c r="M924" s="5245">
        <f t="shared" si="82"/>
        <v>0</v>
      </c>
    </row>
    <row r="925" spans="1:13" ht="14.85" customHeight="1">
      <c r="A925" s="5238">
        <v>428</v>
      </c>
      <c r="B925" s="5238" t="s">
        <v>3984</v>
      </c>
      <c r="C925" s="5239" t="s">
        <v>1919</v>
      </c>
      <c r="D925" s="5240"/>
      <c r="E925" s="5241"/>
      <c r="F925" s="5243">
        <f t="shared" si="78"/>
        <v>0</v>
      </c>
      <c r="G925" s="5241"/>
      <c r="H925" s="5241"/>
      <c r="I925" s="5243">
        <f t="shared" si="79"/>
        <v>0</v>
      </c>
      <c r="J925" s="5244">
        <f t="shared" si="83"/>
        <v>0</v>
      </c>
      <c r="K925" s="5245">
        <f t="shared" si="80"/>
        <v>0</v>
      </c>
      <c r="L925" s="5245">
        <f t="shared" si="81"/>
        <v>0</v>
      </c>
      <c r="M925" s="5245">
        <f t="shared" si="82"/>
        <v>0</v>
      </c>
    </row>
    <row r="926" spans="1:13" ht="14.85" customHeight="1">
      <c r="A926" s="5238">
        <v>428</v>
      </c>
      <c r="B926" s="5238" t="s">
        <v>3985</v>
      </c>
      <c r="C926" s="5239" t="s">
        <v>2140</v>
      </c>
      <c r="D926" s="5240"/>
      <c r="E926" s="5241"/>
      <c r="F926" s="5243">
        <f t="shared" si="78"/>
        <v>0</v>
      </c>
      <c r="G926" s="5241"/>
      <c r="H926" s="5241"/>
      <c r="I926" s="5243">
        <f t="shared" si="79"/>
        <v>0</v>
      </c>
      <c r="J926" s="5244">
        <f t="shared" si="83"/>
        <v>0</v>
      </c>
      <c r="K926" s="5245">
        <f t="shared" si="80"/>
        <v>0</v>
      </c>
      <c r="L926" s="5245">
        <f t="shared" si="81"/>
        <v>0</v>
      </c>
      <c r="M926" s="5245">
        <f t="shared" si="82"/>
        <v>0</v>
      </c>
    </row>
    <row r="927" spans="1:13" ht="14.85" customHeight="1">
      <c r="A927" s="5238">
        <v>428</v>
      </c>
      <c r="B927" s="5238" t="s">
        <v>3986</v>
      </c>
      <c r="C927" s="5239" t="s">
        <v>2141</v>
      </c>
      <c r="D927" s="5240"/>
      <c r="E927" s="5241"/>
      <c r="F927" s="5243">
        <f t="shared" si="78"/>
        <v>0</v>
      </c>
      <c r="G927" s="5241"/>
      <c r="H927" s="5241"/>
      <c r="I927" s="5243">
        <f t="shared" si="79"/>
        <v>0</v>
      </c>
      <c r="J927" s="5244">
        <f t="shared" si="83"/>
        <v>0</v>
      </c>
      <c r="K927" s="5245">
        <f t="shared" si="80"/>
        <v>0</v>
      </c>
      <c r="L927" s="5245">
        <f t="shared" si="81"/>
        <v>0</v>
      </c>
      <c r="M927" s="5245">
        <f t="shared" si="82"/>
        <v>0</v>
      </c>
    </row>
    <row r="928" spans="1:13" ht="14.85" customHeight="1">
      <c r="A928" s="5238">
        <v>428</v>
      </c>
      <c r="B928" s="5238" t="s">
        <v>3987</v>
      </c>
      <c r="C928" s="5239" t="s">
        <v>2672</v>
      </c>
      <c r="D928" s="5240"/>
      <c r="E928" s="5241"/>
      <c r="F928" s="5243">
        <f t="shared" si="78"/>
        <v>0</v>
      </c>
      <c r="G928" s="5241"/>
      <c r="H928" s="5241"/>
      <c r="I928" s="5243">
        <f t="shared" si="79"/>
        <v>0</v>
      </c>
      <c r="J928" s="5244">
        <f t="shared" si="83"/>
        <v>0</v>
      </c>
      <c r="K928" s="5245">
        <f t="shared" si="80"/>
        <v>0</v>
      </c>
      <c r="L928" s="5245">
        <f t="shared" si="81"/>
        <v>0</v>
      </c>
      <c r="M928" s="5245">
        <f t="shared" si="82"/>
        <v>0</v>
      </c>
    </row>
    <row r="929" spans="1:13" ht="14.85" customHeight="1">
      <c r="A929" s="5238">
        <v>428</v>
      </c>
      <c r="B929" s="5238" t="s">
        <v>3988</v>
      </c>
      <c r="C929" s="5239" t="s">
        <v>2673</v>
      </c>
      <c r="D929" s="5240"/>
      <c r="E929" s="5241"/>
      <c r="F929" s="5243">
        <f t="shared" ref="F929:F992" si="84">SUM(D929:E929)</f>
        <v>0</v>
      </c>
      <c r="G929" s="5241"/>
      <c r="H929" s="5241"/>
      <c r="I929" s="5243">
        <f t="shared" ref="I929:I992" si="85">SUM(G929:H929)</f>
        <v>0</v>
      </c>
      <c r="J929" s="5244">
        <f t="shared" si="83"/>
        <v>0</v>
      </c>
      <c r="K929" s="5245">
        <f t="shared" ref="K929:K992" si="86">IF(AND((J929-35%)&gt;0,J929&lt;50%),I929*(J929-35%)*0.7,0)</f>
        <v>0</v>
      </c>
      <c r="L929" s="5245">
        <f t="shared" ref="L929:L992" si="87">IF(J929&gt;=50%,I929*10.5%,0)</f>
        <v>0</v>
      </c>
      <c r="M929" s="5245">
        <f t="shared" ref="M929:M992" si="88">MAX(K929,L929)</f>
        <v>0</v>
      </c>
    </row>
    <row r="930" spans="1:13" ht="14.85" customHeight="1">
      <c r="A930" s="5238">
        <v>428</v>
      </c>
      <c r="B930" s="5238" t="s">
        <v>3989</v>
      </c>
      <c r="C930" s="5239" t="s">
        <v>2674</v>
      </c>
      <c r="D930" s="5240"/>
      <c r="E930" s="5241"/>
      <c r="F930" s="5243">
        <f t="shared" si="84"/>
        <v>0</v>
      </c>
      <c r="G930" s="5241"/>
      <c r="H930" s="5241"/>
      <c r="I930" s="5243">
        <f t="shared" si="85"/>
        <v>0</v>
      </c>
      <c r="J930" s="5244">
        <f t="shared" si="83"/>
        <v>0</v>
      </c>
      <c r="K930" s="5245">
        <f t="shared" si="86"/>
        <v>0</v>
      </c>
      <c r="L930" s="5245">
        <f t="shared" si="87"/>
        <v>0</v>
      </c>
      <c r="M930" s="5245">
        <f t="shared" si="88"/>
        <v>0</v>
      </c>
    </row>
    <row r="931" spans="1:13" ht="14.85" customHeight="1">
      <c r="A931" s="5238">
        <v>428</v>
      </c>
      <c r="B931" s="5238" t="s">
        <v>3990</v>
      </c>
      <c r="C931" s="5239" t="s">
        <v>2675</v>
      </c>
      <c r="D931" s="5240"/>
      <c r="E931" s="5241"/>
      <c r="F931" s="5243">
        <f t="shared" si="84"/>
        <v>0</v>
      </c>
      <c r="G931" s="5241"/>
      <c r="H931" s="5241"/>
      <c r="I931" s="5243">
        <f t="shared" si="85"/>
        <v>0</v>
      </c>
      <c r="J931" s="5244">
        <f t="shared" si="83"/>
        <v>0</v>
      </c>
      <c r="K931" s="5245">
        <f t="shared" si="86"/>
        <v>0</v>
      </c>
      <c r="L931" s="5245">
        <f t="shared" si="87"/>
        <v>0</v>
      </c>
      <c r="M931" s="5245">
        <f t="shared" si="88"/>
        <v>0</v>
      </c>
    </row>
    <row r="932" spans="1:13" ht="14.85" customHeight="1">
      <c r="A932" s="5238">
        <v>429</v>
      </c>
      <c r="B932" s="5238" t="s">
        <v>3991</v>
      </c>
      <c r="C932" s="5239" t="s">
        <v>2676</v>
      </c>
      <c r="D932" s="5240"/>
      <c r="E932" s="5241"/>
      <c r="F932" s="5243">
        <f t="shared" si="84"/>
        <v>0</v>
      </c>
      <c r="G932" s="5241"/>
      <c r="H932" s="5241"/>
      <c r="I932" s="5243">
        <f t="shared" si="85"/>
        <v>0</v>
      </c>
      <c r="J932" s="5244">
        <f t="shared" ref="J932:J995" si="89">IF(ISERROR(I932/F932),0,I932/F932)</f>
        <v>0</v>
      </c>
      <c r="K932" s="5245">
        <f t="shared" si="86"/>
        <v>0</v>
      </c>
      <c r="L932" s="5245">
        <f t="shared" si="87"/>
        <v>0</v>
      </c>
      <c r="M932" s="5245">
        <f t="shared" si="88"/>
        <v>0</v>
      </c>
    </row>
    <row r="933" spans="1:13" ht="14.85" customHeight="1">
      <c r="A933" s="5238">
        <v>429</v>
      </c>
      <c r="B933" s="5238" t="s">
        <v>3992</v>
      </c>
      <c r="C933" s="5239" t="s">
        <v>2677</v>
      </c>
      <c r="D933" s="5240"/>
      <c r="E933" s="5241"/>
      <c r="F933" s="5243">
        <f t="shared" si="84"/>
        <v>0</v>
      </c>
      <c r="G933" s="5241"/>
      <c r="H933" s="5241"/>
      <c r="I933" s="5243">
        <f t="shared" si="85"/>
        <v>0</v>
      </c>
      <c r="J933" s="5244">
        <f t="shared" si="89"/>
        <v>0</v>
      </c>
      <c r="K933" s="5245">
        <f t="shared" si="86"/>
        <v>0</v>
      </c>
      <c r="L933" s="5245">
        <f t="shared" si="87"/>
        <v>0</v>
      </c>
      <c r="M933" s="5245">
        <f t="shared" si="88"/>
        <v>0</v>
      </c>
    </row>
    <row r="934" spans="1:13" ht="14.85" customHeight="1">
      <c r="A934" s="5238">
        <v>430</v>
      </c>
      <c r="B934" s="5238" t="s">
        <v>3993</v>
      </c>
      <c r="C934" s="5239" t="s">
        <v>2678</v>
      </c>
      <c r="D934" s="5240"/>
      <c r="E934" s="5241"/>
      <c r="F934" s="5243">
        <f t="shared" si="84"/>
        <v>0</v>
      </c>
      <c r="G934" s="5241"/>
      <c r="H934" s="5241"/>
      <c r="I934" s="5243">
        <f t="shared" si="85"/>
        <v>0</v>
      </c>
      <c r="J934" s="5244">
        <f t="shared" si="89"/>
        <v>0</v>
      </c>
      <c r="K934" s="5245">
        <f t="shared" si="86"/>
        <v>0</v>
      </c>
      <c r="L934" s="5245">
        <f t="shared" si="87"/>
        <v>0</v>
      </c>
      <c r="M934" s="5245">
        <f t="shared" si="88"/>
        <v>0</v>
      </c>
    </row>
    <row r="935" spans="1:13" ht="14.85" customHeight="1">
      <c r="A935" s="5238">
        <v>430</v>
      </c>
      <c r="B935" s="5238" t="s">
        <v>3994</v>
      </c>
      <c r="C935" s="5239" t="s">
        <v>2679</v>
      </c>
      <c r="D935" s="5240"/>
      <c r="E935" s="5241"/>
      <c r="F935" s="5243">
        <f t="shared" si="84"/>
        <v>0</v>
      </c>
      <c r="G935" s="5241"/>
      <c r="H935" s="5241"/>
      <c r="I935" s="5243">
        <f t="shared" si="85"/>
        <v>0</v>
      </c>
      <c r="J935" s="5244">
        <f t="shared" si="89"/>
        <v>0</v>
      </c>
      <c r="K935" s="5245">
        <f t="shared" si="86"/>
        <v>0</v>
      </c>
      <c r="L935" s="5245">
        <f t="shared" si="87"/>
        <v>0</v>
      </c>
      <c r="M935" s="5245">
        <f t="shared" si="88"/>
        <v>0</v>
      </c>
    </row>
    <row r="936" spans="1:13" ht="14.85" customHeight="1">
      <c r="A936" s="5238">
        <v>430</v>
      </c>
      <c r="B936" s="5238" t="s">
        <v>3995</v>
      </c>
      <c r="C936" s="5239" t="s">
        <v>2680</v>
      </c>
      <c r="D936" s="5240"/>
      <c r="E936" s="5241"/>
      <c r="F936" s="5243">
        <f t="shared" si="84"/>
        <v>0</v>
      </c>
      <c r="G936" s="5241"/>
      <c r="H936" s="5241"/>
      <c r="I936" s="5243">
        <f t="shared" si="85"/>
        <v>0</v>
      </c>
      <c r="J936" s="5244">
        <f t="shared" si="89"/>
        <v>0</v>
      </c>
      <c r="K936" s="5245">
        <f t="shared" si="86"/>
        <v>0</v>
      </c>
      <c r="L936" s="5245">
        <f t="shared" si="87"/>
        <v>0</v>
      </c>
      <c r="M936" s="5245">
        <f t="shared" si="88"/>
        <v>0</v>
      </c>
    </row>
    <row r="937" spans="1:13" ht="14.85" customHeight="1">
      <c r="A937" s="5238">
        <v>431</v>
      </c>
      <c r="B937" s="5238" t="s">
        <v>3996</v>
      </c>
      <c r="C937" s="5239" t="s">
        <v>2681</v>
      </c>
      <c r="D937" s="5240"/>
      <c r="E937" s="5241"/>
      <c r="F937" s="5243">
        <f t="shared" si="84"/>
        <v>0</v>
      </c>
      <c r="G937" s="5241"/>
      <c r="H937" s="5241"/>
      <c r="I937" s="5243">
        <f t="shared" si="85"/>
        <v>0</v>
      </c>
      <c r="J937" s="5244">
        <f t="shared" si="89"/>
        <v>0</v>
      </c>
      <c r="K937" s="5245">
        <f t="shared" si="86"/>
        <v>0</v>
      </c>
      <c r="L937" s="5245">
        <f t="shared" si="87"/>
        <v>0</v>
      </c>
      <c r="M937" s="5245">
        <f t="shared" si="88"/>
        <v>0</v>
      </c>
    </row>
    <row r="938" spans="1:13" ht="14.85" customHeight="1">
      <c r="A938" s="5238">
        <v>431</v>
      </c>
      <c r="B938" s="5238" t="s">
        <v>3997</v>
      </c>
      <c r="C938" s="5239" t="s">
        <v>2682</v>
      </c>
      <c r="D938" s="5240"/>
      <c r="E938" s="5241"/>
      <c r="F938" s="5243">
        <f t="shared" si="84"/>
        <v>0</v>
      </c>
      <c r="G938" s="5241"/>
      <c r="H938" s="5241"/>
      <c r="I938" s="5243">
        <f t="shared" si="85"/>
        <v>0</v>
      </c>
      <c r="J938" s="5244">
        <f t="shared" si="89"/>
        <v>0</v>
      </c>
      <c r="K938" s="5245">
        <f t="shared" si="86"/>
        <v>0</v>
      </c>
      <c r="L938" s="5245">
        <f t="shared" si="87"/>
        <v>0</v>
      </c>
      <c r="M938" s="5245">
        <f t="shared" si="88"/>
        <v>0</v>
      </c>
    </row>
    <row r="939" spans="1:13" ht="14.85" customHeight="1">
      <c r="A939" s="5238">
        <v>431</v>
      </c>
      <c r="B939" s="5238" t="s">
        <v>3998</v>
      </c>
      <c r="C939" s="5239" t="s">
        <v>2683</v>
      </c>
      <c r="D939" s="5240"/>
      <c r="E939" s="5241"/>
      <c r="F939" s="5243">
        <f t="shared" si="84"/>
        <v>0</v>
      </c>
      <c r="G939" s="5241"/>
      <c r="H939" s="5241"/>
      <c r="I939" s="5243">
        <f t="shared" si="85"/>
        <v>0</v>
      </c>
      <c r="J939" s="5244">
        <f t="shared" si="89"/>
        <v>0</v>
      </c>
      <c r="K939" s="5245">
        <f t="shared" si="86"/>
        <v>0</v>
      </c>
      <c r="L939" s="5245">
        <f t="shared" si="87"/>
        <v>0</v>
      </c>
      <c r="M939" s="5245">
        <f t="shared" si="88"/>
        <v>0</v>
      </c>
    </row>
    <row r="940" spans="1:13" ht="14.85" customHeight="1">
      <c r="A940" s="5238">
        <v>431</v>
      </c>
      <c r="B940" s="5238" t="s">
        <v>3999</v>
      </c>
      <c r="C940" s="5239" t="s">
        <v>2684</v>
      </c>
      <c r="D940" s="5240"/>
      <c r="E940" s="5241"/>
      <c r="F940" s="5243">
        <f t="shared" si="84"/>
        <v>0</v>
      </c>
      <c r="G940" s="5241"/>
      <c r="H940" s="5241"/>
      <c r="I940" s="5243">
        <f t="shared" si="85"/>
        <v>0</v>
      </c>
      <c r="J940" s="5244">
        <f t="shared" si="89"/>
        <v>0</v>
      </c>
      <c r="K940" s="5245">
        <f t="shared" si="86"/>
        <v>0</v>
      </c>
      <c r="L940" s="5245">
        <f t="shared" si="87"/>
        <v>0</v>
      </c>
      <c r="M940" s="5245">
        <f t="shared" si="88"/>
        <v>0</v>
      </c>
    </row>
    <row r="941" spans="1:13" ht="14.85" customHeight="1">
      <c r="A941" s="5238">
        <v>432</v>
      </c>
      <c r="B941" s="5238" t="s">
        <v>4000</v>
      </c>
      <c r="C941" s="5239" t="s">
        <v>2685</v>
      </c>
      <c r="D941" s="5240"/>
      <c r="E941" s="5241"/>
      <c r="F941" s="5243">
        <f t="shared" si="84"/>
        <v>0</v>
      </c>
      <c r="G941" s="5241"/>
      <c r="H941" s="5241"/>
      <c r="I941" s="5243">
        <f t="shared" si="85"/>
        <v>0</v>
      </c>
      <c r="J941" s="5244">
        <f t="shared" si="89"/>
        <v>0</v>
      </c>
      <c r="K941" s="5245">
        <f t="shared" si="86"/>
        <v>0</v>
      </c>
      <c r="L941" s="5245">
        <f t="shared" si="87"/>
        <v>0</v>
      </c>
      <c r="M941" s="5245">
        <f t="shared" si="88"/>
        <v>0</v>
      </c>
    </row>
    <row r="942" spans="1:13" ht="14.85" customHeight="1">
      <c r="A942" s="5238">
        <v>432</v>
      </c>
      <c r="B942" s="5238" t="s">
        <v>4001</v>
      </c>
      <c r="C942" s="5239" t="s">
        <v>2686</v>
      </c>
      <c r="D942" s="5240"/>
      <c r="E942" s="5241"/>
      <c r="F942" s="5243">
        <f t="shared" si="84"/>
        <v>0</v>
      </c>
      <c r="G942" s="5241"/>
      <c r="H942" s="5241"/>
      <c r="I942" s="5243">
        <f t="shared" si="85"/>
        <v>0</v>
      </c>
      <c r="J942" s="5244">
        <f t="shared" si="89"/>
        <v>0</v>
      </c>
      <c r="K942" s="5245">
        <f t="shared" si="86"/>
        <v>0</v>
      </c>
      <c r="L942" s="5245">
        <f t="shared" si="87"/>
        <v>0</v>
      </c>
      <c r="M942" s="5245">
        <f t="shared" si="88"/>
        <v>0</v>
      </c>
    </row>
    <row r="943" spans="1:13" ht="14.85" customHeight="1">
      <c r="A943" s="5238">
        <v>434</v>
      </c>
      <c r="B943" s="5238" t="s">
        <v>4002</v>
      </c>
      <c r="C943" s="5239" t="s">
        <v>2687</v>
      </c>
      <c r="D943" s="5240"/>
      <c r="E943" s="5241"/>
      <c r="F943" s="5243">
        <f t="shared" si="84"/>
        <v>0</v>
      </c>
      <c r="G943" s="5241"/>
      <c r="H943" s="5241"/>
      <c r="I943" s="5243">
        <f t="shared" si="85"/>
        <v>0</v>
      </c>
      <c r="J943" s="5244">
        <f t="shared" si="89"/>
        <v>0</v>
      </c>
      <c r="K943" s="5245">
        <f t="shared" si="86"/>
        <v>0</v>
      </c>
      <c r="L943" s="5245">
        <f t="shared" si="87"/>
        <v>0</v>
      </c>
      <c r="M943" s="5245">
        <f t="shared" si="88"/>
        <v>0</v>
      </c>
    </row>
    <row r="944" spans="1:13" ht="14.85" customHeight="1">
      <c r="A944" s="5238">
        <v>434</v>
      </c>
      <c r="B944" s="5238" t="s">
        <v>4003</v>
      </c>
      <c r="C944" s="5239" t="s">
        <v>2688</v>
      </c>
      <c r="D944" s="5240"/>
      <c r="E944" s="5241"/>
      <c r="F944" s="5243">
        <f t="shared" si="84"/>
        <v>0</v>
      </c>
      <c r="G944" s="5241"/>
      <c r="H944" s="5241"/>
      <c r="I944" s="5243">
        <f t="shared" si="85"/>
        <v>0</v>
      </c>
      <c r="J944" s="5244">
        <f t="shared" si="89"/>
        <v>0</v>
      </c>
      <c r="K944" s="5245">
        <f t="shared" si="86"/>
        <v>0</v>
      </c>
      <c r="L944" s="5245">
        <f t="shared" si="87"/>
        <v>0</v>
      </c>
      <c r="M944" s="5245">
        <f t="shared" si="88"/>
        <v>0</v>
      </c>
    </row>
    <row r="945" spans="1:13" ht="14.85" customHeight="1">
      <c r="A945" s="5238">
        <v>434</v>
      </c>
      <c r="B945" s="5238" t="s">
        <v>4004</v>
      </c>
      <c r="C945" s="5239" t="s">
        <v>2689</v>
      </c>
      <c r="D945" s="5240"/>
      <c r="E945" s="5241"/>
      <c r="F945" s="5243">
        <f t="shared" si="84"/>
        <v>0</v>
      </c>
      <c r="G945" s="5241"/>
      <c r="H945" s="5241"/>
      <c r="I945" s="5243">
        <f t="shared" si="85"/>
        <v>0</v>
      </c>
      <c r="J945" s="5244">
        <f t="shared" si="89"/>
        <v>0</v>
      </c>
      <c r="K945" s="5245">
        <f t="shared" si="86"/>
        <v>0</v>
      </c>
      <c r="L945" s="5245">
        <f t="shared" si="87"/>
        <v>0</v>
      </c>
      <c r="M945" s="5245">
        <f t="shared" si="88"/>
        <v>0</v>
      </c>
    </row>
    <row r="946" spans="1:13" ht="14.85" customHeight="1">
      <c r="A946" s="5238">
        <v>435</v>
      </c>
      <c r="B946" s="5238" t="s">
        <v>4005</v>
      </c>
      <c r="C946" s="5239" t="s">
        <v>2690</v>
      </c>
      <c r="D946" s="5240"/>
      <c r="E946" s="5241"/>
      <c r="F946" s="5243">
        <f t="shared" si="84"/>
        <v>0</v>
      </c>
      <c r="G946" s="5241"/>
      <c r="H946" s="5241"/>
      <c r="I946" s="5243">
        <f t="shared" si="85"/>
        <v>0</v>
      </c>
      <c r="J946" s="5244">
        <f t="shared" si="89"/>
        <v>0</v>
      </c>
      <c r="K946" s="5245">
        <f t="shared" si="86"/>
        <v>0</v>
      </c>
      <c r="L946" s="5245">
        <f t="shared" si="87"/>
        <v>0</v>
      </c>
      <c r="M946" s="5245">
        <f t="shared" si="88"/>
        <v>0</v>
      </c>
    </row>
    <row r="947" spans="1:13" ht="14.85" customHeight="1">
      <c r="A947" s="5238">
        <v>435</v>
      </c>
      <c r="B947" s="5238" t="s">
        <v>4006</v>
      </c>
      <c r="C947" s="5239" t="s">
        <v>2474</v>
      </c>
      <c r="D947" s="5240"/>
      <c r="E947" s="5241"/>
      <c r="F947" s="5243">
        <f t="shared" si="84"/>
        <v>0</v>
      </c>
      <c r="G947" s="5241"/>
      <c r="H947" s="5241"/>
      <c r="I947" s="5243">
        <f t="shared" si="85"/>
        <v>0</v>
      </c>
      <c r="J947" s="5244">
        <f t="shared" si="89"/>
        <v>0</v>
      </c>
      <c r="K947" s="5245">
        <f t="shared" si="86"/>
        <v>0</v>
      </c>
      <c r="L947" s="5245">
        <f t="shared" si="87"/>
        <v>0</v>
      </c>
      <c r="M947" s="5245">
        <f t="shared" si="88"/>
        <v>0</v>
      </c>
    </row>
    <row r="948" spans="1:13" ht="14.85" customHeight="1">
      <c r="A948" s="5238">
        <v>435</v>
      </c>
      <c r="B948" s="5238" t="s">
        <v>4007</v>
      </c>
      <c r="C948" s="5239" t="s">
        <v>2142</v>
      </c>
      <c r="D948" s="5240"/>
      <c r="E948" s="5241"/>
      <c r="F948" s="5243">
        <f t="shared" si="84"/>
        <v>0</v>
      </c>
      <c r="G948" s="5241"/>
      <c r="H948" s="5241"/>
      <c r="I948" s="5243">
        <f t="shared" si="85"/>
        <v>0</v>
      </c>
      <c r="J948" s="5244">
        <f t="shared" si="89"/>
        <v>0</v>
      </c>
      <c r="K948" s="5245">
        <f t="shared" si="86"/>
        <v>0</v>
      </c>
      <c r="L948" s="5245">
        <f t="shared" si="87"/>
        <v>0</v>
      </c>
      <c r="M948" s="5245">
        <f t="shared" si="88"/>
        <v>0</v>
      </c>
    </row>
    <row r="949" spans="1:13" ht="14.85" customHeight="1">
      <c r="A949" s="5238">
        <v>435</v>
      </c>
      <c r="B949" s="5238" t="s">
        <v>4008</v>
      </c>
      <c r="C949" s="5239" t="s">
        <v>2691</v>
      </c>
      <c r="D949" s="5240"/>
      <c r="E949" s="5241"/>
      <c r="F949" s="5243">
        <f t="shared" si="84"/>
        <v>0</v>
      </c>
      <c r="G949" s="5241"/>
      <c r="H949" s="5241"/>
      <c r="I949" s="5243">
        <f t="shared" si="85"/>
        <v>0</v>
      </c>
      <c r="J949" s="5244">
        <f t="shared" si="89"/>
        <v>0</v>
      </c>
      <c r="K949" s="5245">
        <f t="shared" si="86"/>
        <v>0</v>
      </c>
      <c r="L949" s="5245">
        <f t="shared" si="87"/>
        <v>0</v>
      </c>
      <c r="M949" s="5245">
        <f t="shared" si="88"/>
        <v>0</v>
      </c>
    </row>
    <row r="950" spans="1:13" ht="14.85" customHeight="1">
      <c r="A950" s="5238">
        <v>435</v>
      </c>
      <c r="B950" s="5238" t="s">
        <v>4009</v>
      </c>
      <c r="C950" s="5239" t="s">
        <v>2692</v>
      </c>
      <c r="D950" s="5240"/>
      <c r="E950" s="5241"/>
      <c r="F950" s="5243">
        <f t="shared" si="84"/>
        <v>0</v>
      </c>
      <c r="G950" s="5241"/>
      <c r="H950" s="5241"/>
      <c r="I950" s="5243">
        <f t="shared" si="85"/>
        <v>0</v>
      </c>
      <c r="J950" s="5244">
        <f t="shared" si="89"/>
        <v>0</v>
      </c>
      <c r="K950" s="5245">
        <f t="shared" si="86"/>
        <v>0</v>
      </c>
      <c r="L950" s="5245">
        <f t="shared" si="87"/>
        <v>0</v>
      </c>
      <c r="M950" s="5245">
        <f t="shared" si="88"/>
        <v>0</v>
      </c>
    </row>
    <row r="951" spans="1:13" ht="14.85" customHeight="1">
      <c r="A951" s="5238">
        <v>436</v>
      </c>
      <c r="B951" s="5238" t="s">
        <v>4010</v>
      </c>
      <c r="C951" s="5239" t="s">
        <v>2693</v>
      </c>
      <c r="D951" s="5240"/>
      <c r="E951" s="5241"/>
      <c r="F951" s="5243">
        <f t="shared" si="84"/>
        <v>0</v>
      </c>
      <c r="G951" s="5241"/>
      <c r="H951" s="5241"/>
      <c r="I951" s="5243">
        <f t="shared" si="85"/>
        <v>0</v>
      </c>
      <c r="J951" s="5244">
        <f t="shared" si="89"/>
        <v>0</v>
      </c>
      <c r="K951" s="5245">
        <f t="shared" si="86"/>
        <v>0</v>
      </c>
      <c r="L951" s="5245">
        <f t="shared" si="87"/>
        <v>0</v>
      </c>
      <c r="M951" s="5245">
        <f t="shared" si="88"/>
        <v>0</v>
      </c>
    </row>
    <row r="952" spans="1:13" ht="14.85" customHeight="1">
      <c r="A952" s="5238">
        <v>436</v>
      </c>
      <c r="B952" s="5238" t="s">
        <v>4011</v>
      </c>
      <c r="C952" s="5239" t="s">
        <v>2694</v>
      </c>
      <c r="D952" s="5240"/>
      <c r="E952" s="5241"/>
      <c r="F952" s="5243">
        <f t="shared" si="84"/>
        <v>0</v>
      </c>
      <c r="G952" s="5241"/>
      <c r="H952" s="5241"/>
      <c r="I952" s="5243">
        <f t="shared" si="85"/>
        <v>0</v>
      </c>
      <c r="J952" s="5244">
        <f t="shared" si="89"/>
        <v>0</v>
      </c>
      <c r="K952" s="5245">
        <f t="shared" si="86"/>
        <v>0</v>
      </c>
      <c r="L952" s="5245">
        <f t="shared" si="87"/>
        <v>0</v>
      </c>
      <c r="M952" s="5245">
        <f t="shared" si="88"/>
        <v>0</v>
      </c>
    </row>
    <row r="953" spans="1:13" ht="14.85" customHeight="1">
      <c r="A953" s="5238">
        <v>436</v>
      </c>
      <c r="B953" s="5238" t="s">
        <v>4012</v>
      </c>
      <c r="C953" s="5239" t="s">
        <v>2695</v>
      </c>
      <c r="D953" s="5240"/>
      <c r="E953" s="5241"/>
      <c r="F953" s="5243">
        <f t="shared" si="84"/>
        <v>0</v>
      </c>
      <c r="G953" s="5241"/>
      <c r="H953" s="5241"/>
      <c r="I953" s="5243">
        <f t="shared" si="85"/>
        <v>0</v>
      </c>
      <c r="J953" s="5244">
        <f t="shared" si="89"/>
        <v>0</v>
      </c>
      <c r="K953" s="5245">
        <f t="shared" si="86"/>
        <v>0</v>
      </c>
      <c r="L953" s="5245">
        <f t="shared" si="87"/>
        <v>0</v>
      </c>
      <c r="M953" s="5245">
        <f t="shared" si="88"/>
        <v>0</v>
      </c>
    </row>
    <row r="954" spans="1:13" ht="14.85" customHeight="1">
      <c r="A954" s="5238">
        <v>437</v>
      </c>
      <c r="B954" s="5238" t="s">
        <v>4013</v>
      </c>
      <c r="C954" s="5239" t="s">
        <v>2696</v>
      </c>
      <c r="D954" s="5240"/>
      <c r="E954" s="5241"/>
      <c r="F954" s="5243">
        <f t="shared" si="84"/>
        <v>0</v>
      </c>
      <c r="G954" s="5241"/>
      <c r="H954" s="5241"/>
      <c r="I954" s="5243">
        <f t="shared" si="85"/>
        <v>0</v>
      </c>
      <c r="J954" s="5244">
        <f t="shared" si="89"/>
        <v>0</v>
      </c>
      <c r="K954" s="5245">
        <f t="shared" si="86"/>
        <v>0</v>
      </c>
      <c r="L954" s="5245">
        <f t="shared" si="87"/>
        <v>0</v>
      </c>
      <c r="M954" s="5245">
        <f t="shared" si="88"/>
        <v>0</v>
      </c>
    </row>
    <row r="955" spans="1:13" ht="14.85" customHeight="1">
      <c r="A955" s="5238">
        <v>437</v>
      </c>
      <c r="B955" s="5238" t="s">
        <v>4014</v>
      </c>
      <c r="C955" s="5239" t="s">
        <v>2697</v>
      </c>
      <c r="D955" s="5240"/>
      <c r="E955" s="5241"/>
      <c r="F955" s="5243">
        <f t="shared" si="84"/>
        <v>0</v>
      </c>
      <c r="G955" s="5241"/>
      <c r="H955" s="5241"/>
      <c r="I955" s="5243">
        <f t="shared" si="85"/>
        <v>0</v>
      </c>
      <c r="J955" s="5244">
        <f t="shared" si="89"/>
        <v>0</v>
      </c>
      <c r="K955" s="5245">
        <f t="shared" si="86"/>
        <v>0</v>
      </c>
      <c r="L955" s="5245">
        <f t="shared" si="87"/>
        <v>0</v>
      </c>
      <c r="M955" s="5245">
        <f t="shared" si="88"/>
        <v>0</v>
      </c>
    </row>
    <row r="956" spans="1:13" ht="14.85" customHeight="1">
      <c r="A956" s="5238">
        <v>437</v>
      </c>
      <c r="B956" s="5238" t="s">
        <v>4015</v>
      </c>
      <c r="C956" s="5239" t="s">
        <v>2698</v>
      </c>
      <c r="D956" s="5240"/>
      <c r="E956" s="5241"/>
      <c r="F956" s="5243">
        <f t="shared" si="84"/>
        <v>0</v>
      </c>
      <c r="G956" s="5241"/>
      <c r="H956" s="5241"/>
      <c r="I956" s="5243">
        <f t="shared" si="85"/>
        <v>0</v>
      </c>
      <c r="J956" s="5244">
        <f t="shared" si="89"/>
        <v>0</v>
      </c>
      <c r="K956" s="5245">
        <f t="shared" si="86"/>
        <v>0</v>
      </c>
      <c r="L956" s="5245">
        <f t="shared" si="87"/>
        <v>0</v>
      </c>
      <c r="M956" s="5245">
        <f t="shared" si="88"/>
        <v>0</v>
      </c>
    </row>
    <row r="957" spans="1:13" ht="14.85" customHeight="1">
      <c r="A957" s="5238">
        <v>437</v>
      </c>
      <c r="B957" s="5238" t="s">
        <v>4016</v>
      </c>
      <c r="C957" s="5239" t="s">
        <v>2699</v>
      </c>
      <c r="D957" s="5240"/>
      <c r="E957" s="5241"/>
      <c r="F957" s="5243">
        <f t="shared" si="84"/>
        <v>0</v>
      </c>
      <c r="G957" s="5241"/>
      <c r="H957" s="5241"/>
      <c r="I957" s="5243">
        <f t="shared" si="85"/>
        <v>0</v>
      </c>
      <c r="J957" s="5244">
        <f t="shared" si="89"/>
        <v>0</v>
      </c>
      <c r="K957" s="5245">
        <f t="shared" si="86"/>
        <v>0</v>
      </c>
      <c r="L957" s="5245">
        <f t="shared" si="87"/>
        <v>0</v>
      </c>
      <c r="M957" s="5245">
        <f t="shared" si="88"/>
        <v>0</v>
      </c>
    </row>
    <row r="958" spans="1:13" ht="14.85" customHeight="1">
      <c r="A958" s="5238">
        <v>437</v>
      </c>
      <c r="B958" s="5238" t="s">
        <v>4017</v>
      </c>
      <c r="C958" s="5239" t="s">
        <v>2700</v>
      </c>
      <c r="D958" s="5240"/>
      <c r="E958" s="5241"/>
      <c r="F958" s="5243">
        <f t="shared" si="84"/>
        <v>0</v>
      </c>
      <c r="G958" s="5241"/>
      <c r="H958" s="5241"/>
      <c r="I958" s="5243">
        <f t="shared" si="85"/>
        <v>0</v>
      </c>
      <c r="J958" s="5244">
        <f t="shared" si="89"/>
        <v>0</v>
      </c>
      <c r="K958" s="5245">
        <f t="shared" si="86"/>
        <v>0</v>
      </c>
      <c r="L958" s="5245">
        <f t="shared" si="87"/>
        <v>0</v>
      </c>
      <c r="M958" s="5245">
        <f t="shared" si="88"/>
        <v>0</v>
      </c>
    </row>
    <row r="959" spans="1:13" ht="14.85" customHeight="1">
      <c r="A959" s="5238">
        <v>437</v>
      </c>
      <c r="B959" s="5238" t="s">
        <v>4018</v>
      </c>
      <c r="C959" s="5239" t="s">
        <v>2701</v>
      </c>
      <c r="D959" s="5240"/>
      <c r="E959" s="5241"/>
      <c r="F959" s="5243">
        <f t="shared" si="84"/>
        <v>0</v>
      </c>
      <c r="G959" s="5241"/>
      <c r="H959" s="5241"/>
      <c r="I959" s="5243">
        <f t="shared" si="85"/>
        <v>0</v>
      </c>
      <c r="J959" s="5244">
        <f t="shared" si="89"/>
        <v>0</v>
      </c>
      <c r="K959" s="5245">
        <f t="shared" si="86"/>
        <v>0</v>
      </c>
      <c r="L959" s="5245">
        <f t="shared" si="87"/>
        <v>0</v>
      </c>
      <c r="M959" s="5245">
        <f t="shared" si="88"/>
        <v>0</v>
      </c>
    </row>
    <row r="960" spans="1:13" ht="14.85" customHeight="1">
      <c r="A960" s="5238">
        <v>437</v>
      </c>
      <c r="B960" s="5238" t="s">
        <v>4019</v>
      </c>
      <c r="C960" s="5239" t="s">
        <v>2702</v>
      </c>
      <c r="D960" s="5240"/>
      <c r="E960" s="5241"/>
      <c r="F960" s="5243">
        <f t="shared" si="84"/>
        <v>0</v>
      </c>
      <c r="G960" s="5241"/>
      <c r="H960" s="5241"/>
      <c r="I960" s="5243">
        <f t="shared" si="85"/>
        <v>0</v>
      </c>
      <c r="J960" s="5244">
        <f t="shared" si="89"/>
        <v>0</v>
      </c>
      <c r="K960" s="5245">
        <f t="shared" si="86"/>
        <v>0</v>
      </c>
      <c r="L960" s="5245">
        <f t="shared" si="87"/>
        <v>0</v>
      </c>
      <c r="M960" s="5245">
        <f t="shared" si="88"/>
        <v>0</v>
      </c>
    </row>
    <row r="961" spans="1:13" ht="14.85" customHeight="1">
      <c r="A961" s="5238">
        <v>437</v>
      </c>
      <c r="B961" s="5238" t="s">
        <v>4020</v>
      </c>
      <c r="C961" s="5239" t="s">
        <v>2703</v>
      </c>
      <c r="D961" s="5240"/>
      <c r="E961" s="5241"/>
      <c r="F961" s="5243">
        <f t="shared" si="84"/>
        <v>0</v>
      </c>
      <c r="G961" s="5241"/>
      <c r="H961" s="5241"/>
      <c r="I961" s="5243">
        <f t="shared" si="85"/>
        <v>0</v>
      </c>
      <c r="J961" s="5244">
        <f t="shared" si="89"/>
        <v>0</v>
      </c>
      <c r="K961" s="5245">
        <f t="shared" si="86"/>
        <v>0</v>
      </c>
      <c r="L961" s="5245">
        <f t="shared" si="87"/>
        <v>0</v>
      </c>
      <c r="M961" s="5245">
        <f t="shared" si="88"/>
        <v>0</v>
      </c>
    </row>
    <row r="962" spans="1:13" ht="14.85" customHeight="1">
      <c r="A962" s="5238">
        <v>437</v>
      </c>
      <c r="B962" s="5238" t="s">
        <v>4021</v>
      </c>
      <c r="C962" s="5239" t="s">
        <v>2704</v>
      </c>
      <c r="D962" s="5240"/>
      <c r="E962" s="5241"/>
      <c r="F962" s="5243">
        <f t="shared" si="84"/>
        <v>0</v>
      </c>
      <c r="G962" s="5241"/>
      <c r="H962" s="5241"/>
      <c r="I962" s="5243">
        <f t="shared" si="85"/>
        <v>0</v>
      </c>
      <c r="J962" s="5244">
        <f t="shared" si="89"/>
        <v>0</v>
      </c>
      <c r="K962" s="5245">
        <f t="shared" si="86"/>
        <v>0</v>
      </c>
      <c r="L962" s="5245">
        <f t="shared" si="87"/>
        <v>0</v>
      </c>
      <c r="M962" s="5245">
        <f t="shared" si="88"/>
        <v>0</v>
      </c>
    </row>
    <row r="963" spans="1:13" ht="14.85" customHeight="1">
      <c r="A963" s="5238">
        <v>438</v>
      </c>
      <c r="B963" s="5238" t="s">
        <v>4022</v>
      </c>
      <c r="C963" s="5239" t="s">
        <v>2705</v>
      </c>
      <c r="D963" s="5240"/>
      <c r="E963" s="5241"/>
      <c r="F963" s="5243">
        <f t="shared" si="84"/>
        <v>0</v>
      </c>
      <c r="G963" s="5241"/>
      <c r="H963" s="5241"/>
      <c r="I963" s="5243">
        <f t="shared" si="85"/>
        <v>0</v>
      </c>
      <c r="J963" s="5244">
        <f t="shared" si="89"/>
        <v>0</v>
      </c>
      <c r="K963" s="5245">
        <f t="shared" si="86"/>
        <v>0</v>
      </c>
      <c r="L963" s="5245">
        <f t="shared" si="87"/>
        <v>0</v>
      </c>
      <c r="M963" s="5245">
        <f t="shared" si="88"/>
        <v>0</v>
      </c>
    </row>
    <row r="964" spans="1:13" ht="14.85" customHeight="1">
      <c r="A964" s="5238">
        <v>438</v>
      </c>
      <c r="B964" s="5238" t="s">
        <v>4023</v>
      </c>
      <c r="C964" s="5239" t="s">
        <v>2706</v>
      </c>
      <c r="D964" s="5240"/>
      <c r="E964" s="5241"/>
      <c r="F964" s="5243">
        <f t="shared" si="84"/>
        <v>0</v>
      </c>
      <c r="G964" s="5241"/>
      <c r="H964" s="5241"/>
      <c r="I964" s="5243">
        <f t="shared" si="85"/>
        <v>0</v>
      </c>
      <c r="J964" s="5244">
        <f t="shared" si="89"/>
        <v>0</v>
      </c>
      <c r="K964" s="5245">
        <f t="shared" si="86"/>
        <v>0</v>
      </c>
      <c r="L964" s="5245">
        <f t="shared" si="87"/>
        <v>0</v>
      </c>
      <c r="M964" s="5245">
        <f t="shared" si="88"/>
        <v>0</v>
      </c>
    </row>
    <row r="965" spans="1:13" ht="14.85" customHeight="1">
      <c r="A965" s="5238">
        <v>439</v>
      </c>
      <c r="B965" s="5238" t="s">
        <v>4024</v>
      </c>
      <c r="C965" s="5239" t="s">
        <v>2707</v>
      </c>
      <c r="D965" s="5240"/>
      <c r="E965" s="5241"/>
      <c r="F965" s="5243">
        <f t="shared" si="84"/>
        <v>0</v>
      </c>
      <c r="G965" s="5241"/>
      <c r="H965" s="5241"/>
      <c r="I965" s="5243">
        <f t="shared" si="85"/>
        <v>0</v>
      </c>
      <c r="J965" s="5244">
        <f t="shared" si="89"/>
        <v>0</v>
      </c>
      <c r="K965" s="5245">
        <f t="shared" si="86"/>
        <v>0</v>
      </c>
      <c r="L965" s="5245">
        <f t="shared" si="87"/>
        <v>0</v>
      </c>
      <c r="M965" s="5245">
        <f t="shared" si="88"/>
        <v>0</v>
      </c>
    </row>
    <row r="966" spans="1:13" ht="14.85" customHeight="1">
      <c r="A966" s="5238">
        <v>439</v>
      </c>
      <c r="B966" s="5238" t="s">
        <v>4025</v>
      </c>
      <c r="C966" s="5239" t="s">
        <v>2708</v>
      </c>
      <c r="D966" s="5240"/>
      <c r="E966" s="5241"/>
      <c r="F966" s="5243">
        <f t="shared" si="84"/>
        <v>0</v>
      </c>
      <c r="G966" s="5241"/>
      <c r="H966" s="5241"/>
      <c r="I966" s="5243">
        <f t="shared" si="85"/>
        <v>0</v>
      </c>
      <c r="J966" s="5244">
        <f t="shared" si="89"/>
        <v>0</v>
      </c>
      <c r="K966" s="5245">
        <f t="shared" si="86"/>
        <v>0</v>
      </c>
      <c r="L966" s="5245">
        <f t="shared" si="87"/>
        <v>0</v>
      </c>
      <c r="M966" s="5245">
        <f t="shared" si="88"/>
        <v>0</v>
      </c>
    </row>
    <row r="967" spans="1:13" ht="14.85" customHeight="1">
      <c r="A967" s="5238">
        <v>440</v>
      </c>
      <c r="B967" s="5238" t="s">
        <v>4026</v>
      </c>
      <c r="C967" s="5239" t="s">
        <v>2709</v>
      </c>
      <c r="D967" s="5240"/>
      <c r="E967" s="5241"/>
      <c r="F967" s="5243">
        <f t="shared" si="84"/>
        <v>0</v>
      </c>
      <c r="G967" s="5241"/>
      <c r="H967" s="5241"/>
      <c r="I967" s="5243">
        <f t="shared" si="85"/>
        <v>0</v>
      </c>
      <c r="J967" s="5244">
        <f t="shared" si="89"/>
        <v>0</v>
      </c>
      <c r="K967" s="5245">
        <f t="shared" si="86"/>
        <v>0</v>
      </c>
      <c r="L967" s="5245">
        <f t="shared" si="87"/>
        <v>0</v>
      </c>
      <c r="M967" s="5245">
        <f t="shared" si="88"/>
        <v>0</v>
      </c>
    </row>
    <row r="968" spans="1:13" ht="14.85" customHeight="1">
      <c r="A968" s="5238">
        <v>440</v>
      </c>
      <c r="B968" s="5238" t="s">
        <v>4027</v>
      </c>
      <c r="C968" s="5239" t="s">
        <v>2710</v>
      </c>
      <c r="D968" s="5240"/>
      <c r="E968" s="5241"/>
      <c r="F968" s="5243">
        <f t="shared" si="84"/>
        <v>0</v>
      </c>
      <c r="G968" s="5241"/>
      <c r="H968" s="5241"/>
      <c r="I968" s="5243">
        <f t="shared" si="85"/>
        <v>0</v>
      </c>
      <c r="J968" s="5244">
        <f t="shared" si="89"/>
        <v>0</v>
      </c>
      <c r="K968" s="5245">
        <f t="shared" si="86"/>
        <v>0</v>
      </c>
      <c r="L968" s="5245">
        <f t="shared" si="87"/>
        <v>0</v>
      </c>
      <c r="M968" s="5245">
        <f t="shared" si="88"/>
        <v>0</v>
      </c>
    </row>
    <row r="969" spans="1:13" ht="14.85" customHeight="1">
      <c r="A969" s="5238">
        <v>440</v>
      </c>
      <c r="B969" s="5238" t="s">
        <v>4028</v>
      </c>
      <c r="C969" s="5239" t="s">
        <v>2711</v>
      </c>
      <c r="D969" s="5240"/>
      <c r="E969" s="5241"/>
      <c r="F969" s="5243">
        <f t="shared" si="84"/>
        <v>0</v>
      </c>
      <c r="G969" s="5241"/>
      <c r="H969" s="5241"/>
      <c r="I969" s="5243">
        <f t="shared" si="85"/>
        <v>0</v>
      </c>
      <c r="J969" s="5244">
        <f t="shared" si="89"/>
        <v>0</v>
      </c>
      <c r="K969" s="5245">
        <f t="shared" si="86"/>
        <v>0</v>
      </c>
      <c r="L969" s="5245">
        <f t="shared" si="87"/>
        <v>0</v>
      </c>
      <c r="M969" s="5245">
        <f t="shared" si="88"/>
        <v>0</v>
      </c>
    </row>
    <row r="970" spans="1:13" ht="14.85" customHeight="1">
      <c r="A970" s="5238">
        <v>443</v>
      </c>
      <c r="B970" s="5238" t="s">
        <v>4029</v>
      </c>
      <c r="C970" s="5239" t="s">
        <v>2037</v>
      </c>
      <c r="D970" s="5240"/>
      <c r="E970" s="5241"/>
      <c r="F970" s="5243">
        <f t="shared" si="84"/>
        <v>0</v>
      </c>
      <c r="G970" s="5241"/>
      <c r="H970" s="5241"/>
      <c r="I970" s="5243">
        <f t="shared" si="85"/>
        <v>0</v>
      </c>
      <c r="J970" s="5244">
        <f t="shared" si="89"/>
        <v>0</v>
      </c>
      <c r="K970" s="5245">
        <f t="shared" si="86"/>
        <v>0</v>
      </c>
      <c r="L970" s="5245">
        <f t="shared" si="87"/>
        <v>0</v>
      </c>
      <c r="M970" s="5245">
        <f t="shared" si="88"/>
        <v>0</v>
      </c>
    </row>
    <row r="971" spans="1:13" ht="14.85" customHeight="1">
      <c r="A971" s="5238">
        <v>443</v>
      </c>
      <c r="B971" s="5238" t="s">
        <v>4030</v>
      </c>
      <c r="C971" s="5239" t="s">
        <v>2712</v>
      </c>
      <c r="D971" s="5240"/>
      <c r="E971" s="5241"/>
      <c r="F971" s="5243">
        <f t="shared" si="84"/>
        <v>0</v>
      </c>
      <c r="G971" s="5241"/>
      <c r="H971" s="5241"/>
      <c r="I971" s="5243">
        <f t="shared" si="85"/>
        <v>0</v>
      </c>
      <c r="J971" s="5244">
        <f t="shared" si="89"/>
        <v>0</v>
      </c>
      <c r="K971" s="5245">
        <f t="shared" si="86"/>
        <v>0</v>
      </c>
      <c r="L971" s="5245">
        <f t="shared" si="87"/>
        <v>0</v>
      </c>
      <c r="M971" s="5245">
        <f t="shared" si="88"/>
        <v>0</v>
      </c>
    </row>
    <row r="972" spans="1:13" ht="14.85" customHeight="1">
      <c r="A972" s="5238">
        <v>443</v>
      </c>
      <c r="B972" s="5238" t="s">
        <v>4031</v>
      </c>
      <c r="C972" s="5239" t="s">
        <v>2713</v>
      </c>
      <c r="D972" s="5240"/>
      <c r="E972" s="5241"/>
      <c r="F972" s="5243">
        <f t="shared" si="84"/>
        <v>0</v>
      </c>
      <c r="G972" s="5241"/>
      <c r="H972" s="5241"/>
      <c r="I972" s="5243">
        <f t="shared" si="85"/>
        <v>0</v>
      </c>
      <c r="J972" s="5244">
        <f t="shared" si="89"/>
        <v>0</v>
      </c>
      <c r="K972" s="5245">
        <f t="shared" si="86"/>
        <v>0</v>
      </c>
      <c r="L972" s="5245">
        <f t="shared" si="87"/>
        <v>0</v>
      </c>
      <c r="M972" s="5245">
        <f t="shared" si="88"/>
        <v>0</v>
      </c>
    </row>
    <row r="973" spans="1:13" ht="14.85" customHeight="1">
      <c r="A973" s="5238">
        <v>443</v>
      </c>
      <c r="B973" s="5238" t="s">
        <v>4032</v>
      </c>
      <c r="C973" s="5239" t="s">
        <v>2714</v>
      </c>
      <c r="D973" s="5240"/>
      <c r="E973" s="5241"/>
      <c r="F973" s="5243">
        <f t="shared" si="84"/>
        <v>0</v>
      </c>
      <c r="G973" s="5241"/>
      <c r="H973" s="5241"/>
      <c r="I973" s="5243">
        <f t="shared" si="85"/>
        <v>0</v>
      </c>
      <c r="J973" s="5244">
        <f t="shared" si="89"/>
        <v>0</v>
      </c>
      <c r="K973" s="5245">
        <f t="shared" si="86"/>
        <v>0</v>
      </c>
      <c r="L973" s="5245">
        <f t="shared" si="87"/>
        <v>0</v>
      </c>
      <c r="M973" s="5245">
        <f t="shared" si="88"/>
        <v>0</v>
      </c>
    </row>
    <row r="974" spans="1:13" ht="14.85" customHeight="1">
      <c r="A974" s="5238">
        <v>443</v>
      </c>
      <c r="B974" s="5238" t="s">
        <v>4033</v>
      </c>
      <c r="C974" s="5239" t="s">
        <v>2715</v>
      </c>
      <c r="D974" s="5240"/>
      <c r="E974" s="5241"/>
      <c r="F974" s="5243">
        <f t="shared" si="84"/>
        <v>0</v>
      </c>
      <c r="G974" s="5241"/>
      <c r="H974" s="5241"/>
      <c r="I974" s="5243">
        <f t="shared" si="85"/>
        <v>0</v>
      </c>
      <c r="J974" s="5244">
        <f t="shared" si="89"/>
        <v>0</v>
      </c>
      <c r="K974" s="5245">
        <f t="shared" si="86"/>
        <v>0</v>
      </c>
      <c r="L974" s="5245">
        <f t="shared" si="87"/>
        <v>0</v>
      </c>
      <c r="M974" s="5245">
        <f t="shared" si="88"/>
        <v>0</v>
      </c>
    </row>
    <row r="975" spans="1:13" ht="14.85" customHeight="1">
      <c r="A975" s="5238">
        <v>443</v>
      </c>
      <c r="B975" s="5238" t="s">
        <v>4034</v>
      </c>
      <c r="C975" s="5239" t="s">
        <v>2716</v>
      </c>
      <c r="D975" s="5240"/>
      <c r="E975" s="5241"/>
      <c r="F975" s="5243">
        <f t="shared" si="84"/>
        <v>0</v>
      </c>
      <c r="G975" s="5241"/>
      <c r="H975" s="5241"/>
      <c r="I975" s="5243">
        <f t="shared" si="85"/>
        <v>0</v>
      </c>
      <c r="J975" s="5244">
        <f t="shared" si="89"/>
        <v>0</v>
      </c>
      <c r="K975" s="5245">
        <f t="shared" si="86"/>
        <v>0</v>
      </c>
      <c r="L975" s="5245">
        <f t="shared" si="87"/>
        <v>0</v>
      </c>
      <c r="M975" s="5245">
        <f t="shared" si="88"/>
        <v>0</v>
      </c>
    </row>
    <row r="976" spans="1:13" ht="14.85" customHeight="1">
      <c r="A976" s="5238">
        <v>443</v>
      </c>
      <c r="B976" s="5238" t="s">
        <v>4035</v>
      </c>
      <c r="C976" s="5239" t="s">
        <v>2717</v>
      </c>
      <c r="D976" s="5240"/>
      <c r="E976" s="5241"/>
      <c r="F976" s="5243">
        <f t="shared" si="84"/>
        <v>0</v>
      </c>
      <c r="G976" s="5241"/>
      <c r="H976" s="5241"/>
      <c r="I976" s="5243">
        <f t="shared" si="85"/>
        <v>0</v>
      </c>
      <c r="J976" s="5244">
        <f t="shared" si="89"/>
        <v>0</v>
      </c>
      <c r="K976" s="5245">
        <f t="shared" si="86"/>
        <v>0</v>
      </c>
      <c r="L976" s="5245">
        <f t="shared" si="87"/>
        <v>0</v>
      </c>
      <c r="M976" s="5245">
        <f t="shared" si="88"/>
        <v>0</v>
      </c>
    </row>
    <row r="977" spans="1:13" ht="14.85" customHeight="1">
      <c r="A977" s="5238">
        <v>443</v>
      </c>
      <c r="B977" s="5238" t="s">
        <v>4036</v>
      </c>
      <c r="C977" s="5239" t="s">
        <v>2718</v>
      </c>
      <c r="D977" s="5240"/>
      <c r="E977" s="5241"/>
      <c r="F977" s="5243">
        <f t="shared" si="84"/>
        <v>0</v>
      </c>
      <c r="G977" s="5241"/>
      <c r="H977" s="5241"/>
      <c r="I977" s="5243">
        <f t="shared" si="85"/>
        <v>0</v>
      </c>
      <c r="J977" s="5244">
        <f t="shared" si="89"/>
        <v>0</v>
      </c>
      <c r="K977" s="5245">
        <f t="shared" si="86"/>
        <v>0</v>
      </c>
      <c r="L977" s="5245">
        <f t="shared" si="87"/>
        <v>0</v>
      </c>
      <c r="M977" s="5245">
        <f t="shared" si="88"/>
        <v>0</v>
      </c>
    </row>
    <row r="978" spans="1:13" ht="14.85" customHeight="1">
      <c r="A978" s="5238">
        <v>443</v>
      </c>
      <c r="B978" s="5238" t="s">
        <v>4037</v>
      </c>
      <c r="C978" s="5239" t="s">
        <v>2719</v>
      </c>
      <c r="D978" s="5240"/>
      <c r="E978" s="5241"/>
      <c r="F978" s="5243">
        <f t="shared" si="84"/>
        <v>0</v>
      </c>
      <c r="G978" s="5241"/>
      <c r="H978" s="5241"/>
      <c r="I978" s="5243">
        <f t="shared" si="85"/>
        <v>0</v>
      </c>
      <c r="J978" s="5244">
        <f t="shared" si="89"/>
        <v>0</v>
      </c>
      <c r="K978" s="5245">
        <f t="shared" si="86"/>
        <v>0</v>
      </c>
      <c r="L978" s="5245">
        <f t="shared" si="87"/>
        <v>0</v>
      </c>
      <c r="M978" s="5245">
        <f t="shared" si="88"/>
        <v>0</v>
      </c>
    </row>
    <row r="979" spans="1:13" ht="14.85" customHeight="1">
      <c r="A979" s="5238">
        <v>443</v>
      </c>
      <c r="B979" s="5238" t="s">
        <v>4038</v>
      </c>
      <c r="C979" s="5239" t="s">
        <v>2720</v>
      </c>
      <c r="D979" s="5240"/>
      <c r="E979" s="5241"/>
      <c r="F979" s="5243">
        <f t="shared" si="84"/>
        <v>0</v>
      </c>
      <c r="G979" s="5241"/>
      <c r="H979" s="5241"/>
      <c r="I979" s="5243">
        <f t="shared" si="85"/>
        <v>0</v>
      </c>
      <c r="J979" s="5244">
        <f t="shared" si="89"/>
        <v>0</v>
      </c>
      <c r="K979" s="5245">
        <f t="shared" si="86"/>
        <v>0</v>
      </c>
      <c r="L979" s="5245">
        <f t="shared" si="87"/>
        <v>0</v>
      </c>
      <c r="M979" s="5245">
        <f t="shared" si="88"/>
        <v>0</v>
      </c>
    </row>
    <row r="980" spans="1:13" ht="14.85" customHeight="1">
      <c r="A980" s="5238">
        <v>443</v>
      </c>
      <c r="B980" s="5238" t="s">
        <v>4039</v>
      </c>
      <c r="C980" s="5239" t="s">
        <v>2721</v>
      </c>
      <c r="D980" s="5240"/>
      <c r="E980" s="5241"/>
      <c r="F980" s="5243">
        <f t="shared" si="84"/>
        <v>0</v>
      </c>
      <c r="G980" s="5241"/>
      <c r="H980" s="5241"/>
      <c r="I980" s="5243">
        <f t="shared" si="85"/>
        <v>0</v>
      </c>
      <c r="J980" s="5244">
        <f t="shared" si="89"/>
        <v>0</v>
      </c>
      <c r="K980" s="5245">
        <f t="shared" si="86"/>
        <v>0</v>
      </c>
      <c r="L980" s="5245">
        <f t="shared" si="87"/>
        <v>0</v>
      </c>
      <c r="M980" s="5245">
        <f t="shared" si="88"/>
        <v>0</v>
      </c>
    </row>
    <row r="981" spans="1:13" ht="14.85" customHeight="1">
      <c r="A981" s="5238">
        <v>443</v>
      </c>
      <c r="B981" s="5238" t="s">
        <v>4040</v>
      </c>
      <c r="C981" s="5239" t="s">
        <v>2722</v>
      </c>
      <c r="D981" s="5240"/>
      <c r="E981" s="5241"/>
      <c r="F981" s="5243">
        <f t="shared" si="84"/>
        <v>0</v>
      </c>
      <c r="G981" s="5241"/>
      <c r="H981" s="5241"/>
      <c r="I981" s="5243">
        <f t="shared" si="85"/>
        <v>0</v>
      </c>
      <c r="J981" s="5244">
        <f t="shared" si="89"/>
        <v>0</v>
      </c>
      <c r="K981" s="5245">
        <f t="shared" si="86"/>
        <v>0</v>
      </c>
      <c r="L981" s="5245">
        <f t="shared" si="87"/>
        <v>0</v>
      </c>
      <c r="M981" s="5245">
        <f t="shared" si="88"/>
        <v>0</v>
      </c>
    </row>
    <row r="982" spans="1:13" ht="14.85" customHeight="1">
      <c r="A982" s="5238">
        <v>444</v>
      </c>
      <c r="B982" s="5238" t="s">
        <v>4041</v>
      </c>
      <c r="C982" s="5239" t="s">
        <v>2723</v>
      </c>
      <c r="D982" s="5240"/>
      <c r="E982" s="5241"/>
      <c r="F982" s="5243">
        <f t="shared" si="84"/>
        <v>0</v>
      </c>
      <c r="G982" s="5241"/>
      <c r="H982" s="5241"/>
      <c r="I982" s="5243">
        <f t="shared" si="85"/>
        <v>0</v>
      </c>
      <c r="J982" s="5244">
        <f t="shared" si="89"/>
        <v>0</v>
      </c>
      <c r="K982" s="5245">
        <f t="shared" si="86"/>
        <v>0</v>
      </c>
      <c r="L982" s="5245">
        <f t="shared" si="87"/>
        <v>0</v>
      </c>
      <c r="M982" s="5245">
        <f t="shared" si="88"/>
        <v>0</v>
      </c>
    </row>
    <row r="983" spans="1:13" ht="14.85" customHeight="1">
      <c r="A983" s="5238">
        <v>444</v>
      </c>
      <c r="B983" s="5238" t="s">
        <v>4042</v>
      </c>
      <c r="C983" s="5239" t="s">
        <v>2724</v>
      </c>
      <c r="D983" s="5240"/>
      <c r="E983" s="5241"/>
      <c r="F983" s="5243">
        <f t="shared" si="84"/>
        <v>0</v>
      </c>
      <c r="G983" s="5241"/>
      <c r="H983" s="5241"/>
      <c r="I983" s="5243">
        <f t="shared" si="85"/>
        <v>0</v>
      </c>
      <c r="J983" s="5244">
        <f t="shared" si="89"/>
        <v>0</v>
      </c>
      <c r="K983" s="5245">
        <f t="shared" si="86"/>
        <v>0</v>
      </c>
      <c r="L983" s="5245">
        <f t="shared" si="87"/>
        <v>0</v>
      </c>
      <c r="M983" s="5245">
        <f t="shared" si="88"/>
        <v>0</v>
      </c>
    </row>
    <row r="984" spans="1:13" ht="14.85" customHeight="1">
      <c r="A984" s="5238">
        <v>444</v>
      </c>
      <c r="B984" s="5238" t="s">
        <v>4043</v>
      </c>
      <c r="C984" s="5239" t="s">
        <v>2725</v>
      </c>
      <c r="D984" s="5240"/>
      <c r="E984" s="5241"/>
      <c r="F984" s="5243">
        <f t="shared" si="84"/>
        <v>0</v>
      </c>
      <c r="G984" s="5241"/>
      <c r="H984" s="5241"/>
      <c r="I984" s="5243">
        <f t="shared" si="85"/>
        <v>0</v>
      </c>
      <c r="J984" s="5244">
        <f t="shared" si="89"/>
        <v>0</v>
      </c>
      <c r="K984" s="5245">
        <f t="shared" si="86"/>
        <v>0</v>
      </c>
      <c r="L984" s="5245">
        <f t="shared" si="87"/>
        <v>0</v>
      </c>
      <c r="M984" s="5245">
        <f t="shared" si="88"/>
        <v>0</v>
      </c>
    </row>
    <row r="985" spans="1:13" ht="14.85" customHeight="1">
      <c r="A985" s="5238">
        <v>445</v>
      </c>
      <c r="B985" s="5238" t="s">
        <v>4044</v>
      </c>
      <c r="C985" s="5239" t="s">
        <v>2726</v>
      </c>
      <c r="D985" s="5240"/>
      <c r="E985" s="5241"/>
      <c r="F985" s="5243">
        <f t="shared" si="84"/>
        <v>0</v>
      </c>
      <c r="G985" s="5241"/>
      <c r="H985" s="5241"/>
      <c r="I985" s="5243">
        <f t="shared" si="85"/>
        <v>0</v>
      </c>
      <c r="J985" s="5244">
        <f t="shared" si="89"/>
        <v>0</v>
      </c>
      <c r="K985" s="5245">
        <f t="shared" si="86"/>
        <v>0</v>
      </c>
      <c r="L985" s="5245">
        <f t="shared" si="87"/>
        <v>0</v>
      </c>
      <c r="M985" s="5245">
        <f t="shared" si="88"/>
        <v>0</v>
      </c>
    </row>
    <row r="986" spans="1:13" ht="14.85" customHeight="1">
      <c r="A986" s="5238">
        <v>445</v>
      </c>
      <c r="B986" s="5238" t="s">
        <v>4045</v>
      </c>
      <c r="C986" s="5239" t="s">
        <v>2727</v>
      </c>
      <c r="D986" s="5240"/>
      <c r="E986" s="5241"/>
      <c r="F986" s="5243">
        <f t="shared" si="84"/>
        <v>0</v>
      </c>
      <c r="G986" s="5241"/>
      <c r="H986" s="5241"/>
      <c r="I986" s="5243">
        <f t="shared" si="85"/>
        <v>0</v>
      </c>
      <c r="J986" s="5244">
        <f t="shared" si="89"/>
        <v>0</v>
      </c>
      <c r="K986" s="5245">
        <f t="shared" si="86"/>
        <v>0</v>
      </c>
      <c r="L986" s="5245">
        <f t="shared" si="87"/>
        <v>0</v>
      </c>
      <c r="M986" s="5245">
        <f t="shared" si="88"/>
        <v>0</v>
      </c>
    </row>
    <row r="987" spans="1:13" ht="14.85" customHeight="1">
      <c r="A987" s="5238">
        <v>445</v>
      </c>
      <c r="B987" s="5238" t="s">
        <v>4046</v>
      </c>
      <c r="C987" s="5239" t="s">
        <v>2728</v>
      </c>
      <c r="D987" s="5240"/>
      <c r="E987" s="5241"/>
      <c r="F987" s="5243">
        <f t="shared" si="84"/>
        <v>0</v>
      </c>
      <c r="G987" s="5241"/>
      <c r="H987" s="5241"/>
      <c r="I987" s="5243">
        <f t="shared" si="85"/>
        <v>0</v>
      </c>
      <c r="J987" s="5244">
        <f t="shared" si="89"/>
        <v>0</v>
      </c>
      <c r="K987" s="5245">
        <f t="shared" si="86"/>
        <v>0</v>
      </c>
      <c r="L987" s="5245">
        <f t="shared" si="87"/>
        <v>0</v>
      </c>
      <c r="M987" s="5245">
        <f t="shared" si="88"/>
        <v>0</v>
      </c>
    </row>
    <row r="988" spans="1:13" ht="14.85" customHeight="1">
      <c r="A988" s="5238">
        <v>446</v>
      </c>
      <c r="B988" s="5238" t="s">
        <v>4047</v>
      </c>
      <c r="C988" s="5239" t="s">
        <v>1919</v>
      </c>
      <c r="D988" s="5240"/>
      <c r="E988" s="5241"/>
      <c r="F988" s="5243">
        <f t="shared" si="84"/>
        <v>0</v>
      </c>
      <c r="G988" s="5241"/>
      <c r="H988" s="5241"/>
      <c r="I988" s="5243">
        <f t="shared" si="85"/>
        <v>0</v>
      </c>
      <c r="J988" s="5244">
        <f t="shared" si="89"/>
        <v>0</v>
      </c>
      <c r="K988" s="5245">
        <f t="shared" si="86"/>
        <v>0</v>
      </c>
      <c r="L988" s="5245">
        <f t="shared" si="87"/>
        <v>0</v>
      </c>
      <c r="M988" s="5245">
        <f t="shared" si="88"/>
        <v>0</v>
      </c>
    </row>
    <row r="989" spans="1:13" ht="14.85" customHeight="1">
      <c r="A989" s="5238">
        <v>446</v>
      </c>
      <c r="B989" s="5238" t="s">
        <v>4048</v>
      </c>
      <c r="C989" s="5239" t="s">
        <v>2729</v>
      </c>
      <c r="D989" s="5240"/>
      <c r="E989" s="5241"/>
      <c r="F989" s="5243">
        <f t="shared" si="84"/>
        <v>0</v>
      </c>
      <c r="G989" s="5241"/>
      <c r="H989" s="5241"/>
      <c r="I989" s="5243">
        <f t="shared" si="85"/>
        <v>0</v>
      </c>
      <c r="J989" s="5244">
        <f t="shared" si="89"/>
        <v>0</v>
      </c>
      <c r="K989" s="5245">
        <f t="shared" si="86"/>
        <v>0</v>
      </c>
      <c r="L989" s="5245">
        <f t="shared" si="87"/>
        <v>0</v>
      </c>
      <c r="M989" s="5245">
        <f t="shared" si="88"/>
        <v>0</v>
      </c>
    </row>
    <row r="990" spans="1:13" ht="14.85" customHeight="1">
      <c r="A990" s="5238">
        <v>446</v>
      </c>
      <c r="B990" s="5238" t="s">
        <v>4049</v>
      </c>
      <c r="C990" s="5239" t="s">
        <v>2730</v>
      </c>
      <c r="D990" s="5240"/>
      <c r="E990" s="5241"/>
      <c r="F990" s="5243">
        <f t="shared" si="84"/>
        <v>0</v>
      </c>
      <c r="G990" s="5241"/>
      <c r="H990" s="5241"/>
      <c r="I990" s="5243">
        <f t="shared" si="85"/>
        <v>0</v>
      </c>
      <c r="J990" s="5244">
        <f t="shared" si="89"/>
        <v>0</v>
      </c>
      <c r="K990" s="5245">
        <f t="shared" si="86"/>
        <v>0</v>
      </c>
      <c r="L990" s="5245">
        <f t="shared" si="87"/>
        <v>0</v>
      </c>
      <c r="M990" s="5245">
        <f t="shared" si="88"/>
        <v>0</v>
      </c>
    </row>
    <row r="991" spans="1:13" ht="14.85" customHeight="1">
      <c r="A991" s="5238">
        <v>446</v>
      </c>
      <c r="B991" s="5238" t="s">
        <v>4050</v>
      </c>
      <c r="C991" s="5239" t="s">
        <v>2731</v>
      </c>
      <c r="D991" s="5240"/>
      <c r="E991" s="5241"/>
      <c r="F991" s="5243">
        <f t="shared" si="84"/>
        <v>0</v>
      </c>
      <c r="G991" s="5241"/>
      <c r="H991" s="5241"/>
      <c r="I991" s="5243">
        <f t="shared" si="85"/>
        <v>0</v>
      </c>
      <c r="J991" s="5244">
        <f t="shared" si="89"/>
        <v>0</v>
      </c>
      <c r="K991" s="5245">
        <f t="shared" si="86"/>
        <v>0</v>
      </c>
      <c r="L991" s="5245">
        <f t="shared" si="87"/>
        <v>0</v>
      </c>
      <c r="M991" s="5245">
        <f t="shared" si="88"/>
        <v>0</v>
      </c>
    </row>
    <row r="992" spans="1:13" ht="14.85" customHeight="1">
      <c r="A992" s="5238">
        <v>447</v>
      </c>
      <c r="B992" s="5238" t="s">
        <v>4051</v>
      </c>
      <c r="C992" s="5239" t="s">
        <v>2732</v>
      </c>
      <c r="D992" s="5240"/>
      <c r="E992" s="5241"/>
      <c r="F992" s="5243">
        <f t="shared" si="84"/>
        <v>0</v>
      </c>
      <c r="G992" s="5241"/>
      <c r="H992" s="5241"/>
      <c r="I992" s="5243">
        <f t="shared" si="85"/>
        <v>0</v>
      </c>
      <c r="J992" s="5244">
        <f t="shared" si="89"/>
        <v>0</v>
      </c>
      <c r="K992" s="5245">
        <f t="shared" si="86"/>
        <v>0</v>
      </c>
      <c r="L992" s="5245">
        <f t="shared" si="87"/>
        <v>0</v>
      </c>
      <c r="M992" s="5245">
        <f t="shared" si="88"/>
        <v>0</v>
      </c>
    </row>
    <row r="993" spans="1:13" ht="14.85" customHeight="1">
      <c r="A993" s="5238">
        <v>447</v>
      </c>
      <c r="B993" s="5238" t="s">
        <v>4052</v>
      </c>
      <c r="C993" s="5239" t="s">
        <v>2733</v>
      </c>
      <c r="D993" s="5240"/>
      <c r="E993" s="5241"/>
      <c r="F993" s="5243">
        <f t="shared" ref="F993:F1056" si="90">SUM(D993:E993)</f>
        <v>0</v>
      </c>
      <c r="G993" s="5241"/>
      <c r="H993" s="5241"/>
      <c r="I993" s="5243">
        <f t="shared" ref="I993:I1056" si="91">SUM(G993:H993)</f>
        <v>0</v>
      </c>
      <c r="J993" s="5244">
        <f t="shared" si="89"/>
        <v>0</v>
      </c>
      <c r="K993" s="5245">
        <f t="shared" ref="K993:K1056" si="92">IF(AND((J993-35%)&gt;0,J993&lt;50%),I993*(J993-35%)*0.7,0)</f>
        <v>0</v>
      </c>
      <c r="L993" s="5245">
        <f t="shared" ref="L993:L1056" si="93">IF(J993&gt;=50%,I993*10.5%,0)</f>
        <v>0</v>
      </c>
      <c r="M993" s="5245">
        <f t="shared" ref="M993:M1056" si="94">MAX(K993,L993)</f>
        <v>0</v>
      </c>
    </row>
    <row r="994" spans="1:13" ht="14.85" customHeight="1">
      <c r="A994" s="5238">
        <v>447</v>
      </c>
      <c r="B994" s="5238" t="s">
        <v>4053</v>
      </c>
      <c r="C994" s="5239" t="s">
        <v>2734</v>
      </c>
      <c r="D994" s="5240"/>
      <c r="E994" s="5241"/>
      <c r="F994" s="5243">
        <f t="shared" si="90"/>
        <v>0</v>
      </c>
      <c r="G994" s="5241"/>
      <c r="H994" s="5241"/>
      <c r="I994" s="5243">
        <f t="shared" si="91"/>
        <v>0</v>
      </c>
      <c r="J994" s="5244">
        <f t="shared" si="89"/>
        <v>0</v>
      </c>
      <c r="K994" s="5245">
        <f t="shared" si="92"/>
        <v>0</v>
      </c>
      <c r="L994" s="5245">
        <f t="shared" si="93"/>
        <v>0</v>
      </c>
      <c r="M994" s="5245">
        <f t="shared" si="94"/>
        <v>0</v>
      </c>
    </row>
    <row r="995" spans="1:13" ht="14.85" customHeight="1">
      <c r="A995" s="5238">
        <v>448</v>
      </c>
      <c r="B995" s="5238" t="s">
        <v>4054</v>
      </c>
      <c r="C995" s="5239" t="s">
        <v>2735</v>
      </c>
      <c r="D995" s="5240"/>
      <c r="E995" s="5241"/>
      <c r="F995" s="5243">
        <f t="shared" si="90"/>
        <v>0</v>
      </c>
      <c r="G995" s="5241"/>
      <c r="H995" s="5241"/>
      <c r="I995" s="5243">
        <f t="shared" si="91"/>
        <v>0</v>
      </c>
      <c r="J995" s="5244">
        <f t="shared" si="89"/>
        <v>0</v>
      </c>
      <c r="K995" s="5245">
        <f t="shared" si="92"/>
        <v>0</v>
      </c>
      <c r="L995" s="5245">
        <f t="shared" si="93"/>
        <v>0</v>
      </c>
      <c r="M995" s="5245">
        <f t="shared" si="94"/>
        <v>0</v>
      </c>
    </row>
    <row r="996" spans="1:13" ht="14.85" customHeight="1">
      <c r="A996" s="5238">
        <v>448</v>
      </c>
      <c r="B996" s="5238" t="s">
        <v>4055</v>
      </c>
      <c r="C996" s="5239" t="s">
        <v>2736</v>
      </c>
      <c r="D996" s="5240"/>
      <c r="E996" s="5241"/>
      <c r="F996" s="5243">
        <f t="shared" si="90"/>
        <v>0</v>
      </c>
      <c r="G996" s="5241"/>
      <c r="H996" s="5241"/>
      <c r="I996" s="5243">
        <f t="shared" si="91"/>
        <v>0</v>
      </c>
      <c r="J996" s="5244">
        <f t="shared" ref="J996:J1059" si="95">IF(ISERROR(I996/F996),0,I996/F996)</f>
        <v>0</v>
      </c>
      <c r="K996" s="5245">
        <f t="shared" si="92"/>
        <v>0</v>
      </c>
      <c r="L996" s="5245">
        <f t="shared" si="93"/>
        <v>0</v>
      </c>
      <c r="M996" s="5245">
        <f t="shared" si="94"/>
        <v>0</v>
      </c>
    </row>
    <row r="997" spans="1:13" ht="14.85" customHeight="1">
      <c r="A997" s="5238">
        <v>449</v>
      </c>
      <c r="B997" s="5238" t="s">
        <v>4056</v>
      </c>
      <c r="C997" s="5239" t="s">
        <v>2000</v>
      </c>
      <c r="D997" s="5240"/>
      <c r="E997" s="5241"/>
      <c r="F997" s="5243">
        <f t="shared" si="90"/>
        <v>0</v>
      </c>
      <c r="G997" s="5241"/>
      <c r="H997" s="5241"/>
      <c r="I997" s="5243">
        <f t="shared" si="91"/>
        <v>0</v>
      </c>
      <c r="J997" s="5244">
        <f t="shared" si="95"/>
        <v>0</v>
      </c>
      <c r="K997" s="5245">
        <f t="shared" si="92"/>
        <v>0</v>
      </c>
      <c r="L997" s="5245">
        <f t="shared" si="93"/>
        <v>0</v>
      </c>
      <c r="M997" s="5245">
        <f t="shared" si="94"/>
        <v>0</v>
      </c>
    </row>
    <row r="998" spans="1:13" ht="14.85" customHeight="1">
      <c r="A998" s="5238">
        <v>449</v>
      </c>
      <c r="B998" s="5238" t="s">
        <v>4057</v>
      </c>
      <c r="C998" s="5239" t="s">
        <v>2737</v>
      </c>
      <c r="D998" s="5240"/>
      <c r="E998" s="5241"/>
      <c r="F998" s="5243">
        <f t="shared" si="90"/>
        <v>0</v>
      </c>
      <c r="G998" s="5241"/>
      <c r="H998" s="5241"/>
      <c r="I998" s="5243">
        <f t="shared" si="91"/>
        <v>0</v>
      </c>
      <c r="J998" s="5244">
        <f t="shared" si="95"/>
        <v>0</v>
      </c>
      <c r="K998" s="5245">
        <f t="shared" si="92"/>
        <v>0</v>
      </c>
      <c r="L998" s="5245">
        <f t="shared" si="93"/>
        <v>0</v>
      </c>
      <c r="M998" s="5245">
        <f t="shared" si="94"/>
        <v>0</v>
      </c>
    </row>
    <row r="999" spans="1:13" ht="14.85" customHeight="1">
      <c r="A999" s="5238">
        <v>449</v>
      </c>
      <c r="B999" s="5238" t="s">
        <v>4058</v>
      </c>
      <c r="C999" s="5239" t="s">
        <v>2738</v>
      </c>
      <c r="D999" s="5240"/>
      <c r="E999" s="5241"/>
      <c r="F999" s="5243">
        <f t="shared" si="90"/>
        <v>0</v>
      </c>
      <c r="G999" s="5241"/>
      <c r="H999" s="5241"/>
      <c r="I999" s="5243">
        <f t="shared" si="91"/>
        <v>0</v>
      </c>
      <c r="J999" s="5244">
        <f t="shared" si="95"/>
        <v>0</v>
      </c>
      <c r="K999" s="5245">
        <f t="shared" si="92"/>
        <v>0</v>
      </c>
      <c r="L999" s="5245">
        <f t="shared" si="93"/>
        <v>0</v>
      </c>
      <c r="M999" s="5245">
        <f t="shared" si="94"/>
        <v>0</v>
      </c>
    </row>
    <row r="1000" spans="1:13" ht="14.85" customHeight="1">
      <c r="A1000" s="5238">
        <v>450</v>
      </c>
      <c r="B1000" s="5238" t="s">
        <v>4059</v>
      </c>
      <c r="C1000" s="5239" t="s">
        <v>2739</v>
      </c>
      <c r="D1000" s="5240"/>
      <c r="E1000" s="5241"/>
      <c r="F1000" s="5243">
        <f t="shared" si="90"/>
        <v>0</v>
      </c>
      <c r="G1000" s="5241"/>
      <c r="H1000" s="5241"/>
      <c r="I1000" s="5243">
        <f t="shared" si="91"/>
        <v>0</v>
      </c>
      <c r="J1000" s="5244">
        <f t="shared" si="95"/>
        <v>0</v>
      </c>
      <c r="K1000" s="5245">
        <f t="shared" si="92"/>
        <v>0</v>
      </c>
      <c r="L1000" s="5245">
        <f t="shared" si="93"/>
        <v>0</v>
      </c>
      <c r="M1000" s="5245">
        <f t="shared" si="94"/>
        <v>0</v>
      </c>
    </row>
    <row r="1001" spans="1:13" ht="14.85" customHeight="1">
      <c r="A1001" s="5238">
        <v>450</v>
      </c>
      <c r="B1001" s="5238" t="s">
        <v>4060</v>
      </c>
      <c r="C1001" s="5239" t="s">
        <v>2740</v>
      </c>
      <c r="D1001" s="5240"/>
      <c r="E1001" s="5241"/>
      <c r="F1001" s="5243">
        <f t="shared" si="90"/>
        <v>0</v>
      </c>
      <c r="G1001" s="5241"/>
      <c r="H1001" s="5241"/>
      <c r="I1001" s="5243">
        <f t="shared" si="91"/>
        <v>0</v>
      </c>
      <c r="J1001" s="5244">
        <f t="shared" si="95"/>
        <v>0</v>
      </c>
      <c r="K1001" s="5245">
        <f t="shared" si="92"/>
        <v>0</v>
      </c>
      <c r="L1001" s="5245">
        <f t="shared" si="93"/>
        <v>0</v>
      </c>
      <c r="M1001" s="5245">
        <f t="shared" si="94"/>
        <v>0</v>
      </c>
    </row>
    <row r="1002" spans="1:13" ht="14.85" customHeight="1">
      <c r="A1002" s="5238">
        <v>450</v>
      </c>
      <c r="B1002" s="5238" t="s">
        <v>4061</v>
      </c>
      <c r="C1002" s="5239" t="s">
        <v>2741</v>
      </c>
      <c r="D1002" s="5240"/>
      <c r="E1002" s="5241"/>
      <c r="F1002" s="5243">
        <f t="shared" si="90"/>
        <v>0</v>
      </c>
      <c r="G1002" s="5241"/>
      <c r="H1002" s="5241"/>
      <c r="I1002" s="5243">
        <f t="shared" si="91"/>
        <v>0</v>
      </c>
      <c r="J1002" s="5244">
        <f t="shared" si="95"/>
        <v>0</v>
      </c>
      <c r="K1002" s="5245">
        <f t="shared" si="92"/>
        <v>0</v>
      </c>
      <c r="L1002" s="5245">
        <f t="shared" si="93"/>
        <v>0</v>
      </c>
      <c r="M1002" s="5245">
        <f t="shared" si="94"/>
        <v>0</v>
      </c>
    </row>
    <row r="1003" spans="1:13" ht="14.85" customHeight="1">
      <c r="A1003" s="5238">
        <v>450</v>
      </c>
      <c r="B1003" s="5238" t="s">
        <v>4062</v>
      </c>
      <c r="C1003" s="5239" t="s">
        <v>2742</v>
      </c>
      <c r="D1003" s="5240"/>
      <c r="E1003" s="5241"/>
      <c r="F1003" s="5243">
        <f t="shared" si="90"/>
        <v>0</v>
      </c>
      <c r="G1003" s="5241"/>
      <c r="H1003" s="5241"/>
      <c r="I1003" s="5243">
        <f t="shared" si="91"/>
        <v>0</v>
      </c>
      <c r="J1003" s="5244">
        <f t="shared" si="95"/>
        <v>0</v>
      </c>
      <c r="K1003" s="5245">
        <f t="shared" si="92"/>
        <v>0</v>
      </c>
      <c r="L1003" s="5245">
        <f t="shared" si="93"/>
        <v>0</v>
      </c>
      <c r="M1003" s="5245">
        <f t="shared" si="94"/>
        <v>0</v>
      </c>
    </row>
    <row r="1004" spans="1:13" ht="14.85" customHeight="1">
      <c r="A1004" s="5238">
        <v>450</v>
      </c>
      <c r="B1004" s="5238" t="s">
        <v>4063</v>
      </c>
      <c r="C1004" s="5239" t="s">
        <v>2743</v>
      </c>
      <c r="D1004" s="5240"/>
      <c r="E1004" s="5241"/>
      <c r="F1004" s="5243">
        <f t="shared" si="90"/>
        <v>0</v>
      </c>
      <c r="G1004" s="5241"/>
      <c r="H1004" s="5241"/>
      <c r="I1004" s="5243">
        <f t="shared" si="91"/>
        <v>0</v>
      </c>
      <c r="J1004" s="5244">
        <f t="shared" si="95"/>
        <v>0</v>
      </c>
      <c r="K1004" s="5245">
        <f t="shared" si="92"/>
        <v>0</v>
      </c>
      <c r="L1004" s="5245">
        <f t="shared" si="93"/>
        <v>0</v>
      </c>
      <c r="M1004" s="5245">
        <f t="shared" si="94"/>
        <v>0</v>
      </c>
    </row>
    <row r="1005" spans="1:13" ht="14.85" customHeight="1">
      <c r="A1005" s="5238">
        <v>450</v>
      </c>
      <c r="B1005" s="5238" t="s">
        <v>4064</v>
      </c>
      <c r="C1005" s="5239" t="s">
        <v>2744</v>
      </c>
      <c r="D1005" s="5240"/>
      <c r="E1005" s="5241"/>
      <c r="F1005" s="5243">
        <f t="shared" si="90"/>
        <v>0</v>
      </c>
      <c r="G1005" s="5241"/>
      <c r="H1005" s="5241"/>
      <c r="I1005" s="5243">
        <f t="shared" si="91"/>
        <v>0</v>
      </c>
      <c r="J1005" s="5244">
        <f t="shared" si="95"/>
        <v>0</v>
      </c>
      <c r="K1005" s="5245">
        <f t="shared" si="92"/>
        <v>0</v>
      </c>
      <c r="L1005" s="5245">
        <f t="shared" si="93"/>
        <v>0</v>
      </c>
      <c r="M1005" s="5245">
        <f t="shared" si="94"/>
        <v>0</v>
      </c>
    </row>
    <row r="1006" spans="1:13" ht="14.85" customHeight="1">
      <c r="A1006" s="5238">
        <v>452</v>
      </c>
      <c r="B1006" s="5238" t="s">
        <v>4065</v>
      </c>
      <c r="C1006" s="5239" t="s">
        <v>2745</v>
      </c>
      <c r="D1006" s="5240"/>
      <c r="E1006" s="5241"/>
      <c r="F1006" s="5243">
        <f t="shared" si="90"/>
        <v>0</v>
      </c>
      <c r="G1006" s="5241"/>
      <c r="H1006" s="5241"/>
      <c r="I1006" s="5243">
        <f t="shared" si="91"/>
        <v>0</v>
      </c>
      <c r="J1006" s="5244">
        <f t="shared" si="95"/>
        <v>0</v>
      </c>
      <c r="K1006" s="5245">
        <f t="shared" si="92"/>
        <v>0</v>
      </c>
      <c r="L1006" s="5245">
        <f t="shared" si="93"/>
        <v>0</v>
      </c>
      <c r="M1006" s="5245">
        <f t="shared" si="94"/>
        <v>0</v>
      </c>
    </row>
    <row r="1007" spans="1:13" ht="14.85" customHeight="1">
      <c r="A1007" s="5238">
        <v>452</v>
      </c>
      <c r="B1007" s="5238" t="s">
        <v>4066</v>
      </c>
      <c r="C1007" s="5239" t="s">
        <v>2746</v>
      </c>
      <c r="D1007" s="5240"/>
      <c r="E1007" s="5241"/>
      <c r="F1007" s="5243">
        <f t="shared" si="90"/>
        <v>0</v>
      </c>
      <c r="G1007" s="5241"/>
      <c r="H1007" s="5241"/>
      <c r="I1007" s="5243">
        <f t="shared" si="91"/>
        <v>0</v>
      </c>
      <c r="J1007" s="5244">
        <f t="shared" si="95"/>
        <v>0</v>
      </c>
      <c r="K1007" s="5245">
        <f t="shared" si="92"/>
        <v>0</v>
      </c>
      <c r="L1007" s="5245">
        <f t="shared" si="93"/>
        <v>0</v>
      </c>
      <c r="M1007" s="5245">
        <f t="shared" si="94"/>
        <v>0</v>
      </c>
    </row>
    <row r="1008" spans="1:13" ht="14.85" customHeight="1">
      <c r="A1008" s="5238">
        <v>453</v>
      </c>
      <c r="B1008" s="5238" t="s">
        <v>4067</v>
      </c>
      <c r="C1008" s="5239" t="s">
        <v>2747</v>
      </c>
      <c r="D1008" s="5240"/>
      <c r="E1008" s="5241"/>
      <c r="F1008" s="5243">
        <f t="shared" si="90"/>
        <v>0</v>
      </c>
      <c r="G1008" s="5241"/>
      <c r="H1008" s="5241"/>
      <c r="I1008" s="5243">
        <f t="shared" si="91"/>
        <v>0</v>
      </c>
      <c r="J1008" s="5244">
        <f t="shared" si="95"/>
        <v>0</v>
      </c>
      <c r="K1008" s="5245">
        <f t="shared" si="92"/>
        <v>0</v>
      </c>
      <c r="L1008" s="5245">
        <f t="shared" si="93"/>
        <v>0</v>
      </c>
      <c r="M1008" s="5245">
        <f t="shared" si="94"/>
        <v>0</v>
      </c>
    </row>
    <row r="1009" spans="1:13" ht="14.85" customHeight="1">
      <c r="A1009" s="5238">
        <v>453</v>
      </c>
      <c r="B1009" s="5238" t="s">
        <v>4068</v>
      </c>
      <c r="C1009" s="5239" t="s">
        <v>2748</v>
      </c>
      <c r="D1009" s="5240"/>
      <c r="E1009" s="5241"/>
      <c r="F1009" s="5243">
        <f t="shared" si="90"/>
        <v>0</v>
      </c>
      <c r="G1009" s="5241"/>
      <c r="H1009" s="5241"/>
      <c r="I1009" s="5243">
        <f t="shared" si="91"/>
        <v>0</v>
      </c>
      <c r="J1009" s="5244">
        <f t="shared" si="95"/>
        <v>0</v>
      </c>
      <c r="K1009" s="5245">
        <f t="shared" si="92"/>
        <v>0</v>
      </c>
      <c r="L1009" s="5245">
        <f t="shared" si="93"/>
        <v>0</v>
      </c>
      <c r="M1009" s="5245">
        <f t="shared" si="94"/>
        <v>0</v>
      </c>
    </row>
    <row r="1010" spans="1:13" ht="14.85" customHeight="1">
      <c r="A1010" s="5238">
        <v>453</v>
      </c>
      <c r="B1010" s="5238" t="s">
        <v>4069</v>
      </c>
      <c r="C1010" s="5239" t="s">
        <v>2749</v>
      </c>
      <c r="D1010" s="5240"/>
      <c r="E1010" s="5241"/>
      <c r="F1010" s="5243">
        <f t="shared" si="90"/>
        <v>0</v>
      </c>
      <c r="G1010" s="5241"/>
      <c r="H1010" s="5241"/>
      <c r="I1010" s="5243">
        <f t="shared" si="91"/>
        <v>0</v>
      </c>
      <c r="J1010" s="5244">
        <f t="shared" si="95"/>
        <v>0</v>
      </c>
      <c r="K1010" s="5245">
        <f t="shared" si="92"/>
        <v>0</v>
      </c>
      <c r="L1010" s="5245">
        <f t="shared" si="93"/>
        <v>0</v>
      </c>
      <c r="M1010" s="5245">
        <f t="shared" si="94"/>
        <v>0</v>
      </c>
    </row>
    <row r="1011" spans="1:13" ht="14.85" customHeight="1">
      <c r="A1011" s="5238">
        <v>453</v>
      </c>
      <c r="B1011" s="5238" t="s">
        <v>4070</v>
      </c>
      <c r="C1011" s="5239" t="s">
        <v>2750</v>
      </c>
      <c r="D1011" s="5240"/>
      <c r="E1011" s="5241"/>
      <c r="F1011" s="5243">
        <f t="shared" si="90"/>
        <v>0</v>
      </c>
      <c r="G1011" s="5241"/>
      <c r="H1011" s="5241"/>
      <c r="I1011" s="5243">
        <f t="shared" si="91"/>
        <v>0</v>
      </c>
      <c r="J1011" s="5244">
        <f t="shared" si="95"/>
        <v>0</v>
      </c>
      <c r="K1011" s="5245">
        <f t="shared" si="92"/>
        <v>0</v>
      </c>
      <c r="L1011" s="5245">
        <f t="shared" si="93"/>
        <v>0</v>
      </c>
      <c r="M1011" s="5245">
        <f t="shared" si="94"/>
        <v>0</v>
      </c>
    </row>
    <row r="1012" spans="1:13" ht="14.85" customHeight="1">
      <c r="A1012" s="5238">
        <v>453</v>
      </c>
      <c r="B1012" s="5238" t="s">
        <v>4071</v>
      </c>
      <c r="C1012" s="5239" t="s">
        <v>2751</v>
      </c>
      <c r="D1012" s="5240"/>
      <c r="E1012" s="5241"/>
      <c r="F1012" s="5243">
        <f t="shared" si="90"/>
        <v>0</v>
      </c>
      <c r="G1012" s="5241"/>
      <c r="H1012" s="5241"/>
      <c r="I1012" s="5243">
        <f t="shared" si="91"/>
        <v>0</v>
      </c>
      <c r="J1012" s="5244">
        <f t="shared" si="95"/>
        <v>0</v>
      </c>
      <c r="K1012" s="5245">
        <f t="shared" si="92"/>
        <v>0</v>
      </c>
      <c r="L1012" s="5245">
        <f t="shared" si="93"/>
        <v>0</v>
      </c>
      <c r="M1012" s="5245">
        <f t="shared" si="94"/>
        <v>0</v>
      </c>
    </row>
    <row r="1013" spans="1:13" ht="14.85" customHeight="1">
      <c r="A1013" s="5238">
        <v>453</v>
      </c>
      <c r="B1013" s="5238" t="s">
        <v>4072</v>
      </c>
      <c r="C1013" s="5239" t="s">
        <v>2752</v>
      </c>
      <c r="D1013" s="5240"/>
      <c r="E1013" s="5241"/>
      <c r="F1013" s="5243">
        <f t="shared" si="90"/>
        <v>0</v>
      </c>
      <c r="G1013" s="5241"/>
      <c r="H1013" s="5241"/>
      <c r="I1013" s="5243">
        <f t="shared" si="91"/>
        <v>0</v>
      </c>
      <c r="J1013" s="5244">
        <f t="shared" si="95"/>
        <v>0</v>
      </c>
      <c r="K1013" s="5245">
        <f t="shared" si="92"/>
        <v>0</v>
      </c>
      <c r="L1013" s="5245">
        <f t="shared" si="93"/>
        <v>0</v>
      </c>
      <c r="M1013" s="5245">
        <f t="shared" si="94"/>
        <v>0</v>
      </c>
    </row>
    <row r="1014" spans="1:13" ht="14.85" customHeight="1">
      <c r="A1014" s="5238">
        <v>453</v>
      </c>
      <c r="B1014" s="5238" t="s">
        <v>4965</v>
      </c>
      <c r="C1014" s="5239" t="s">
        <v>4966</v>
      </c>
      <c r="D1014" s="5240"/>
      <c r="E1014" s="5241"/>
      <c r="F1014" s="5243">
        <f t="shared" si="90"/>
        <v>0</v>
      </c>
      <c r="G1014" s="5241"/>
      <c r="H1014" s="5241"/>
      <c r="I1014" s="5243">
        <f t="shared" si="91"/>
        <v>0</v>
      </c>
      <c r="J1014" s="5244">
        <f t="shared" si="95"/>
        <v>0</v>
      </c>
      <c r="K1014" s="5245">
        <f t="shared" si="92"/>
        <v>0</v>
      </c>
      <c r="L1014" s="5245">
        <f t="shared" si="93"/>
        <v>0</v>
      </c>
      <c r="M1014" s="5245">
        <f t="shared" si="94"/>
        <v>0</v>
      </c>
    </row>
    <row r="1015" spans="1:13" ht="14.85" customHeight="1">
      <c r="A1015" s="5238">
        <v>454</v>
      </c>
      <c r="B1015" s="5238" t="s">
        <v>4073</v>
      </c>
      <c r="C1015" s="5239" t="s">
        <v>2753</v>
      </c>
      <c r="D1015" s="5240"/>
      <c r="E1015" s="5241"/>
      <c r="F1015" s="5243">
        <f t="shared" si="90"/>
        <v>0</v>
      </c>
      <c r="G1015" s="5241"/>
      <c r="H1015" s="5241"/>
      <c r="I1015" s="5243">
        <f t="shared" si="91"/>
        <v>0</v>
      </c>
      <c r="J1015" s="5244">
        <f t="shared" si="95"/>
        <v>0</v>
      </c>
      <c r="K1015" s="5245">
        <f t="shared" si="92"/>
        <v>0</v>
      </c>
      <c r="L1015" s="5245">
        <f t="shared" si="93"/>
        <v>0</v>
      </c>
      <c r="M1015" s="5245">
        <f t="shared" si="94"/>
        <v>0</v>
      </c>
    </row>
    <row r="1016" spans="1:13" ht="14.85" customHeight="1">
      <c r="A1016" s="5238">
        <v>454</v>
      </c>
      <c r="B1016" s="5238" t="s">
        <v>4074</v>
      </c>
      <c r="C1016" s="5239" t="s">
        <v>2754</v>
      </c>
      <c r="D1016" s="5240"/>
      <c r="E1016" s="5241"/>
      <c r="F1016" s="5243">
        <f t="shared" si="90"/>
        <v>0</v>
      </c>
      <c r="G1016" s="5241"/>
      <c r="H1016" s="5241"/>
      <c r="I1016" s="5243">
        <f t="shared" si="91"/>
        <v>0</v>
      </c>
      <c r="J1016" s="5244">
        <f t="shared" si="95"/>
        <v>0</v>
      </c>
      <c r="K1016" s="5245">
        <f t="shared" si="92"/>
        <v>0</v>
      </c>
      <c r="L1016" s="5245">
        <f t="shared" si="93"/>
        <v>0</v>
      </c>
      <c r="M1016" s="5245">
        <f t="shared" si="94"/>
        <v>0</v>
      </c>
    </row>
    <row r="1017" spans="1:13" ht="14.85" customHeight="1">
      <c r="A1017" s="5238">
        <v>456</v>
      </c>
      <c r="B1017" s="5238" t="s">
        <v>4075</v>
      </c>
      <c r="C1017" s="5239" t="s">
        <v>2755</v>
      </c>
      <c r="D1017" s="5240"/>
      <c r="E1017" s="5241"/>
      <c r="F1017" s="5243">
        <f t="shared" si="90"/>
        <v>0</v>
      </c>
      <c r="G1017" s="5241"/>
      <c r="H1017" s="5241"/>
      <c r="I1017" s="5243">
        <f t="shared" si="91"/>
        <v>0</v>
      </c>
      <c r="J1017" s="5244">
        <f t="shared" si="95"/>
        <v>0</v>
      </c>
      <c r="K1017" s="5245">
        <f t="shared" si="92"/>
        <v>0</v>
      </c>
      <c r="L1017" s="5245">
        <f t="shared" si="93"/>
        <v>0</v>
      </c>
      <c r="M1017" s="5245">
        <f t="shared" si="94"/>
        <v>0</v>
      </c>
    </row>
    <row r="1018" spans="1:13" ht="14.85" customHeight="1">
      <c r="A1018" s="5238">
        <v>456</v>
      </c>
      <c r="B1018" s="5238" t="s">
        <v>4076</v>
      </c>
      <c r="C1018" s="5239" t="s">
        <v>2756</v>
      </c>
      <c r="D1018" s="5240"/>
      <c r="E1018" s="5241"/>
      <c r="F1018" s="5243">
        <f t="shared" si="90"/>
        <v>0</v>
      </c>
      <c r="G1018" s="5241"/>
      <c r="H1018" s="5241"/>
      <c r="I1018" s="5243">
        <f t="shared" si="91"/>
        <v>0</v>
      </c>
      <c r="J1018" s="5244">
        <f t="shared" si="95"/>
        <v>0</v>
      </c>
      <c r="K1018" s="5245">
        <f t="shared" si="92"/>
        <v>0</v>
      </c>
      <c r="L1018" s="5245">
        <f t="shared" si="93"/>
        <v>0</v>
      </c>
      <c r="M1018" s="5245">
        <f t="shared" si="94"/>
        <v>0</v>
      </c>
    </row>
    <row r="1019" spans="1:13" ht="14.85" customHeight="1">
      <c r="A1019" s="5238">
        <v>456</v>
      </c>
      <c r="B1019" s="5238" t="s">
        <v>4077</v>
      </c>
      <c r="C1019" s="5239" t="s">
        <v>2757</v>
      </c>
      <c r="D1019" s="5240"/>
      <c r="E1019" s="5241"/>
      <c r="F1019" s="5243">
        <f t="shared" si="90"/>
        <v>0</v>
      </c>
      <c r="G1019" s="5241"/>
      <c r="H1019" s="5241"/>
      <c r="I1019" s="5243">
        <f t="shared" si="91"/>
        <v>0</v>
      </c>
      <c r="J1019" s="5244">
        <f t="shared" si="95"/>
        <v>0</v>
      </c>
      <c r="K1019" s="5245">
        <f t="shared" si="92"/>
        <v>0</v>
      </c>
      <c r="L1019" s="5245">
        <f t="shared" si="93"/>
        <v>0</v>
      </c>
      <c r="M1019" s="5245">
        <f t="shared" si="94"/>
        <v>0</v>
      </c>
    </row>
    <row r="1020" spans="1:13" ht="14.85" customHeight="1">
      <c r="A1020" s="5238">
        <v>457</v>
      </c>
      <c r="B1020" s="5238" t="s">
        <v>4078</v>
      </c>
      <c r="C1020" s="5239" t="s">
        <v>2758</v>
      </c>
      <c r="D1020" s="5240"/>
      <c r="E1020" s="5241"/>
      <c r="F1020" s="5243">
        <f t="shared" si="90"/>
        <v>0</v>
      </c>
      <c r="G1020" s="5241"/>
      <c r="H1020" s="5241"/>
      <c r="I1020" s="5243">
        <f t="shared" si="91"/>
        <v>0</v>
      </c>
      <c r="J1020" s="5244">
        <f t="shared" si="95"/>
        <v>0</v>
      </c>
      <c r="K1020" s="5245">
        <f t="shared" si="92"/>
        <v>0</v>
      </c>
      <c r="L1020" s="5245">
        <f t="shared" si="93"/>
        <v>0</v>
      </c>
      <c r="M1020" s="5245">
        <f t="shared" si="94"/>
        <v>0</v>
      </c>
    </row>
    <row r="1021" spans="1:13" ht="14.85" customHeight="1">
      <c r="A1021" s="5238">
        <v>457</v>
      </c>
      <c r="B1021" s="5238" t="s">
        <v>4079</v>
      </c>
      <c r="C1021" s="5239" t="s">
        <v>2759</v>
      </c>
      <c r="D1021" s="5240"/>
      <c r="E1021" s="5241"/>
      <c r="F1021" s="5243">
        <f t="shared" si="90"/>
        <v>0</v>
      </c>
      <c r="G1021" s="5241"/>
      <c r="H1021" s="5241"/>
      <c r="I1021" s="5243">
        <f t="shared" si="91"/>
        <v>0</v>
      </c>
      <c r="J1021" s="5244">
        <f t="shared" si="95"/>
        <v>0</v>
      </c>
      <c r="K1021" s="5245">
        <f t="shared" si="92"/>
        <v>0</v>
      </c>
      <c r="L1021" s="5245">
        <f t="shared" si="93"/>
        <v>0</v>
      </c>
      <c r="M1021" s="5245">
        <f t="shared" si="94"/>
        <v>0</v>
      </c>
    </row>
    <row r="1022" spans="1:13" ht="14.85" customHeight="1">
      <c r="A1022" s="5238">
        <v>457</v>
      </c>
      <c r="B1022" s="5238" t="s">
        <v>4080</v>
      </c>
      <c r="C1022" s="5239" t="s">
        <v>2760</v>
      </c>
      <c r="D1022" s="5240"/>
      <c r="E1022" s="5241"/>
      <c r="F1022" s="5243">
        <f t="shared" si="90"/>
        <v>0</v>
      </c>
      <c r="G1022" s="5241"/>
      <c r="H1022" s="5241"/>
      <c r="I1022" s="5243">
        <f t="shared" si="91"/>
        <v>0</v>
      </c>
      <c r="J1022" s="5244">
        <f t="shared" si="95"/>
        <v>0</v>
      </c>
      <c r="K1022" s="5245">
        <f t="shared" si="92"/>
        <v>0</v>
      </c>
      <c r="L1022" s="5245">
        <f t="shared" si="93"/>
        <v>0</v>
      </c>
      <c r="M1022" s="5245">
        <f t="shared" si="94"/>
        <v>0</v>
      </c>
    </row>
    <row r="1023" spans="1:13" ht="14.85" customHeight="1">
      <c r="A1023" s="5238">
        <v>457</v>
      </c>
      <c r="B1023" s="5238" t="s">
        <v>4081</v>
      </c>
      <c r="C1023" s="5239" t="s">
        <v>2761</v>
      </c>
      <c r="D1023" s="5240"/>
      <c r="E1023" s="5241"/>
      <c r="F1023" s="5243">
        <f t="shared" si="90"/>
        <v>0</v>
      </c>
      <c r="G1023" s="5241"/>
      <c r="H1023" s="5241"/>
      <c r="I1023" s="5243">
        <f t="shared" si="91"/>
        <v>0</v>
      </c>
      <c r="J1023" s="5244">
        <f t="shared" si="95"/>
        <v>0</v>
      </c>
      <c r="K1023" s="5245">
        <f t="shared" si="92"/>
        <v>0</v>
      </c>
      <c r="L1023" s="5245">
        <f t="shared" si="93"/>
        <v>0</v>
      </c>
      <c r="M1023" s="5245">
        <f t="shared" si="94"/>
        <v>0</v>
      </c>
    </row>
    <row r="1024" spans="1:13" ht="14.85" customHeight="1">
      <c r="A1024" s="5238">
        <v>457</v>
      </c>
      <c r="B1024" s="5238" t="s">
        <v>4082</v>
      </c>
      <c r="C1024" s="5239" t="s">
        <v>2762</v>
      </c>
      <c r="D1024" s="5240"/>
      <c r="E1024" s="5241"/>
      <c r="F1024" s="5243">
        <f t="shared" si="90"/>
        <v>0</v>
      </c>
      <c r="G1024" s="5241"/>
      <c r="H1024" s="5241"/>
      <c r="I1024" s="5243">
        <f t="shared" si="91"/>
        <v>0</v>
      </c>
      <c r="J1024" s="5244">
        <f t="shared" si="95"/>
        <v>0</v>
      </c>
      <c r="K1024" s="5245">
        <f t="shared" si="92"/>
        <v>0</v>
      </c>
      <c r="L1024" s="5245">
        <f t="shared" si="93"/>
        <v>0</v>
      </c>
      <c r="M1024" s="5245">
        <f t="shared" si="94"/>
        <v>0</v>
      </c>
    </row>
    <row r="1025" spans="1:13" ht="14.85" customHeight="1">
      <c r="A1025" s="5238">
        <v>457</v>
      </c>
      <c r="B1025" s="5238" t="s">
        <v>4083</v>
      </c>
      <c r="C1025" s="5239" t="s">
        <v>2763</v>
      </c>
      <c r="D1025" s="5240"/>
      <c r="E1025" s="5241"/>
      <c r="F1025" s="5243">
        <f t="shared" si="90"/>
        <v>0</v>
      </c>
      <c r="G1025" s="5241"/>
      <c r="H1025" s="5241"/>
      <c r="I1025" s="5243">
        <f t="shared" si="91"/>
        <v>0</v>
      </c>
      <c r="J1025" s="5244">
        <f t="shared" si="95"/>
        <v>0</v>
      </c>
      <c r="K1025" s="5245">
        <f t="shared" si="92"/>
        <v>0</v>
      </c>
      <c r="L1025" s="5245">
        <f t="shared" si="93"/>
        <v>0</v>
      </c>
      <c r="M1025" s="5245">
        <f t="shared" si="94"/>
        <v>0</v>
      </c>
    </row>
    <row r="1026" spans="1:13" ht="14.85" customHeight="1">
      <c r="A1026" s="5238">
        <v>457</v>
      </c>
      <c r="B1026" s="5238" t="s">
        <v>4084</v>
      </c>
      <c r="C1026" s="5239" t="s">
        <v>2764</v>
      </c>
      <c r="D1026" s="5240"/>
      <c r="E1026" s="5241"/>
      <c r="F1026" s="5243">
        <f t="shared" si="90"/>
        <v>0</v>
      </c>
      <c r="G1026" s="5241"/>
      <c r="H1026" s="5241"/>
      <c r="I1026" s="5243">
        <f t="shared" si="91"/>
        <v>0</v>
      </c>
      <c r="J1026" s="5244">
        <f t="shared" si="95"/>
        <v>0</v>
      </c>
      <c r="K1026" s="5245">
        <f t="shared" si="92"/>
        <v>0</v>
      </c>
      <c r="L1026" s="5245">
        <f t="shared" si="93"/>
        <v>0</v>
      </c>
      <c r="M1026" s="5245">
        <f t="shared" si="94"/>
        <v>0</v>
      </c>
    </row>
    <row r="1027" spans="1:13" ht="14.85" customHeight="1">
      <c r="A1027" s="5238">
        <v>457</v>
      </c>
      <c r="B1027" s="5238" t="s">
        <v>4085</v>
      </c>
      <c r="C1027" s="5239" t="s">
        <v>2765</v>
      </c>
      <c r="D1027" s="5240"/>
      <c r="E1027" s="5241"/>
      <c r="F1027" s="5243">
        <f t="shared" si="90"/>
        <v>0</v>
      </c>
      <c r="G1027" s="5241"/>
      <c r="H1027" s="5241"/>
      <c r="I1027" s="5243">
        <f t="shared" si="91"/>
        <v>0</v>
      </c>
      <c r="J1027" s="5244">
        <f t="shared" si="95"/>
        <v>0</v>
      </c>
      <c r="K1027" s="5245">
        <f t="shared" si="92"/>
        <v>0</v>
      </c>
      <c r="L1027" s="5245">
        <f t="shared" si="93"/>
        <v>0</v>
      </c>
      <c r="M1027" s="5245">
        <f t="shared" si="94"/>
        <v>0</v>
      </c>
    </row>
    <row r="1028" spans="1:13" ht="14.85" customHeight="1">
      <c r="A1028" s="5238">
        <v>457</v>
      </c>
      <c r="B1028" s="5238" t="s">
        <v>4086</v>
      </c>
      <c r="C1028" s="5239" t="s">
        <v>2766</v>
      </c>
      <c r="D1028" s="5240"/>
      <c r="E1028" s="5241"/>
      <c r="F1028" s="5243">
        <f t="shared" si="90"/>
        <v>0</v>
      </c>
      <c r="G1028" s="5241"/>
      <c r="H1028" s="5241"/>
      <c r="I1028" s="5243">
        <f t="shared" si="91"/>
        <v>0</v>
      </c>
      <c r="J1028" s="5244">
        <f t="shared" si="95"/>
        <v>0</v>
      </c>
      <c r="K1028" s="5245">
        <f t="shared" si="92"/>
        <v>0</v>
      </c>
      <c r="L1028" s="5245">
        <f t="shared" si="93"/>
        <v>0</v>
      </c>
      <c r="M1028" s="5245">
        <f t="shared" si="94"/>
        <v>0</v>
      </c>
    </row>
    <row r="1029" spans="1:13" ht="14.85" customHeight="1">
      <c r="A1029" s="5238">
        <v>457</v>
      </c>
      <c r="B1029" s="5238" t="s">
        <v>4087</v>
      </c>
      <c r="C1029" s="5239" t="s">
        <v>2767</v>
      </c>
      <c r="D1029" s="5240"/>
      <c r="E1029" s="5241"/>
      <c r="F1029" s="5243">
        <f t="shared" si="90"/>
        <v>0</v>
      </c>
      <c r="G1029" s="5241"/>
      <c r="H1029" s="5241"/>
      <c r="I1029" s="5243">
        <f t="shared" si="91"/>
        <v>0</v>
      </c>
      <c r="J1029" s="5244">
        <f t="shared" si="95"/>
        <v>0</v>
      </c>
      <c r="K1029" s="5245">
        <f t="shared" si="92"/>
        <v>0</v>
      </c>
      <c r="L1029" s="5245">
        <f t="shared" si="93"/>
        <v>0</v>
      </c>
      <c r="M1029" s="5245">
        <f t="shared" si="94"/>
        <v>0</v>
      </c>
    </row>
    <row r="1030" spans="1:13" ht="14.85" customHeight="1">
      <c r="A1030" s="5238">
        <v>457</v>
      </c>
      <c r="B1030" s="5238" t="s">
        <v>4088</v>
      </c>
      <c r="C1030" s="5239" t="s">
        <v>2768</v>
      </c>
      <c r="D1030" s="5240"/>
      <c r="E1030" s="5241"/>
      <c r="F1030" s="5243">
        <f t="shared" si="90"/>
        <v>0</v>
      </c>
      <c r="G1030" s="5241"/>
      <c r="H1030" s="5241"/>
      <c r="I1030" s="5243">
        <f t="shared" si="91"/>
        <v>0</v>
      </c>
      <c r="J1030" s="5244">
        <f t="shared" si="95"/>
        <v>0</v>
      </c>
      <c r="K1030" s="5245">
        <f t="shared" si="92"/>
        <v>0</v>
      </c>
      <c r="L1030" s="5245">
        <f t="shared" si="93"/>
        <v>0</v>
      </c>
      <c r="M1030" s="5245">
        <f t="shared" si="94"/>
        <v>0</v>
      </c>
    </row>
    <row r="1031" spans="1:13" ht="14.85" customHeight="1">
      <c r="A1031" s="5238">
        <v>457</v>
      </c>
      <c r="B1031" s="5238" t="s">
        <v>4089</v>
      </c>
      <c r="C1031" s="5239" t="s">
        <v>2769</v>
      </c>
      <c r="D1031" s="5240"/>
      <c r="E1031" s="5241"/>
      <c r="F1031" s="5243">
        <f t="shared" si="90"/>
        <v>0</v>
      </c>
      <c r="G1031" s="5241"/>
      <c r="H1031" s="5241"/>
      <c r="I1031" s="5243">
        <f t="shared" si="91"/>
        <v>0</v>
      </c>
      <c r="J1031" s="5244">
        <f t="shared" si="95"/>
        <v>0</v>
      </c>
      <c r="K1031" s="5245">
        <f t="shared" si="92"/>
        <v>0</v>
      </c>
      <c r="L1031" s="5245">
        <f t="shared" si="93"/>
        <v>0</v>
      </c>
      <c r="M1031" s="5245">
        <f t="shared" si="94"/>
        <v>0</v>
      </c>
    </row>
    <row r="1032" spans="1:13" ht="14.85" customHeight="1">
      <c r="A1032" s="5238">
        <v>457</v>
      </c>
      <c r="B1032" s="5238" t="s">
        <v>4090</v>
      </c>
      <c r="C1032" s="5239" t="s">
        <v>2770</v>
      </c>
      <c r="D1032" s="5240"/>
      <c r="E1032" s="5241"/>
      <c r="F1032" s="5243">
        <f t="shared" si="90"/>
        <v>0</v>
      </c>
      <c r="G1032" s="5241"/>
      <c r="H1032" s="5241"/>
      <c r="I1032" s="5243">
        <f t="shared" si="91"/>
        <v>0</v>
      </c>
      <c r="J1032" s="5244">
        <f t="shared" si="95"/>
        <v>0</v>
      </c>
      <c r="K1032" s="5245">
        <f t="shared" si="92"/>
        <v>0</v>
      </c>
      <c r="L1032" s="5245">
        <f t="shared" si="93"/>
        <v>0</v>
      </c>
      <c r="M1032" s="5245">
        <f t="shared" si="94"/>
        <v>0</v>
      </c>
    </row>
    <row r="1033" spans="1:13" ht="14.85" customHeight="1">
      <c r="A1033" s="5238">
        <v>457</v>
      </c>
      <c r="B1033" s="5238" t="s">
        <v>4091</v>
      </c>
      <c r="C1033" s="5239" t="s">
        <v>2771</v>
      </c>
      <c r="D1033" s="5240"/>
      <c r="E1033" s="5241"/>
      <c r="F1033" s="5243">
        <f t="shared" si="90"/>
        <v>0</v>
      </c>
      <c r="G1033" s="5241"/>
      <c r="H1033" s="5241"/>
      <c r="I1033" s="5243">
        <f t="shared" si="91"/>
        <v>0</v>
      </c>
      <c r="J1033" s="5244">
        <f t="shared" si="95"/>
        <v>0</v>
      </c>
      <c r="K1033" s="5245">
        <f t="shared" si="92"/>
        <v>0</v>
      </c>
      <c r="L1033" s="5245">
        <f t="shared" si="93"/>
        <v>0</v>
      </c>
      <c r="M1033" s="5245">
        <f t="shared" si="94"/>
        <v>0</v>
      </c>
    </row>
    <row r="1034" spans="1:13" ht="14.85" customHeight="1">
      <c r="A1034" s="5238">
        <v>457</v>
      </c>
      <c r="B1034" s="5238" t="s">
        <v>4092</v>
      </c>
      <c r="C1034" s="5239" t="s">
        <v>2772</v>
      </c>
      <c r="D1034" s="5240"/>
      <c r="E1034" s="5241"/>
      <c r="F1034" s="5243">
        <f t="shared" si="90"/>
        <v>0</v>
      </c>
      <c r="G1034" s="5241"/>
      <c r="H1034" s="5241"/>
      <c r="I1034" s="5243">
        <f t="shared" si="91"/>
        <v>0</v>
      </c>
      <c r="J1034" s="5244">
        <f t="shared" si="95"/>
        <v>0</v>
      </c>
      <c r="K1034" s="5245">
        <f t="shared" si="92"/>
        <v>0</v>
      </c>
      <c r="L1034" s="5245">
        <f t="shared" si="93"/>
        <v>0</v>
      </c>
      <c r="M1034" s="5245">
        <f t="shared" si="94"/>
        <v>0</v>
      </c>
    </row>
    <row r="1035" spans="1:13" ht="14.85" customHeight="1">
      <c r="A1035" s="5238">
        <v>457</v>
      </c>
      <c r="B1035" s="5238" t="s">
        <v>4093</v>
      </c>
      <c r="C1035" s="5239" t="s">
        <v>2773</v>
      </c>
      <c r="D1035" s="5240"/>
      <c r="E1035" s="5241"/>
      <c r="F1035" s="5243">
        <f t="shared" si="90"/>
        <v>0</v>
      </c>
      <c r="G1035" s="5241"/>
      <c r="H1035" s="5241"/>
      <c r="I1035" s="5243">
        <f t="shared" si="91"/>
        <v>0</v>
      </c>
      <c r="J1035" s="5244">
        <f t="shared" si="95"/>
        <v>0</v>
      </c>
      <c r="K1035" s="5245">
        <f t="shared" si="92"/>
        <v>0</v>
      </c>
      <c r="L1035" s="5245">
        <f t="shared" si="93"/>
        <v>0</v>
      </c>
      <c r="M1035" s="5245">
        <f t="shared" si="94"/>
        <v>0</v>
      </c>
    </row>
    <row r="1036" spans="1:13" ht="14.85" customHeight="1">
      <c r="A1036" s="5238">
        <v>457</v>
      </c>
      <c r="B1036" s="5238" t="s">
        <v>4094</v>
      </c>
      <c r="C1036" s="5239" t="s">
        <v>4534</v>
      </c>
      <c r="D1036" s="5240"/>
      <c r="E1036" s="5241"/>
      <c r="F1036" s="5243">
        <f t="shared" si="90"/>
        <v>0</v>
      </c>
      <c r="G1036" s="5241"/>
      <c r="H1036" s="5241"/>
      <c r="I1036" s="5243">
        <f t="shared" si="91"/>
        <v>0</v>
      </c>
      <c r="J1036" s="5244">
        <f t="shared" si="95"/>
        <v>0</v>
      </c>
      <c r="K1036" s="5245">
        <f t="shared" si="92"/>
        <v>0</v>
      </c>
      <c r="L1036" s="5245">
        <f t="shared" si="93"/>
        <v>0</v>
      </c>
      <c r="M1036" s="5245">
        <f t="shared" si="94"/>
        <v>0</v>
      </c>
    </row>
    <row r="1037" spans="1:13" ht="14.85" customHeight="1">
      <c r="A1037" s="5238">
        <v>458</v>
      </c>
      <c r="B1037" s="5238" t="s">
        <v>4095</v>
      </c>
      <c r="C1037" s="5239" t="s">
        <v>2774</v>
      </c>
      <c r="D1037" s="5240"/>
      <c r="E1037" s="5241"/>
      <c r="F1037" s="5243">
        <f t="shared" si="90"/>
        <v>0</v>
      </c>
      <c r="G1037" s="5241"/>
      <c r="H1037" s="5241"/>
      <c r="I1037" s="5243">
        <f t="shared" si="91"/>
        <v>0</v>
      </c>
      <c r="J1037" s="5244">
        <f t="shared" si="95"/>
        <v>0</v>
      </c>
      <c r="K1037" s="5245">
        <f t="shared" si="92"/>
        <v>0</v>
      </c>
      <c r="L1037" s="5245">
        <f t="shared" si="93"/>
        <v>0</v>
      </c>
      <c r="M1037" s="5245">
        <f t="shared" si="94"/>
        <v>0</v>
      </c>
    </row>
    <row r="1038" spans="1:13" ht="14.85" customHeight="1">
      <c r="A1038" s="5238">
        <v>458</v>
      </c>
      <c r="B1038" s="5238" t="s">
        <v>4096</v>
      </c>
      <c r="C1038" s="5239" t="s">
        <v>2775</v>
      </c>
      <c r="D1038" s="5240"/>
      <c r="E1038" s="5241"/>
      <c r="F1038" s="5243">
        <f t="shared" si="90"/>
        <v>0</v>
      </c>
      <c r="G1038" s="5241"/>
      <c r="H1038" s="5241"/>
      <c r="I1038" s="5243">
        <f t="shared" si="91"/>
        <v>0</v>
      </c>
      <c r="J1038" s="5244">
        <f t="shared" si="95"/>
        <v>0</v>
      </c>
      <c r="K1038" s="5245">
        <f t="shared" si="92"/>
        <v>0</v>
      </c>
      <c r="L1038" s="5245">
        <f t="shared" si="93"/>
        <v>0</v>
      </c>
      <c r="M1038" s="5245">
        <f t="shared" si="94"/>
        <v>0</v>
      </c>
    </row>
    <row r="1039" spans="1:13" ht="14.85" customHeight="1">
      <c r="A1039" s="5238">
        <v>458</v>
      </c>
      <c r="B1039" s="5238" t="s">
        <v>4097</v>
      </c>
      <c r="C1039" s="5239" t="s">
        <v>2776</v>
      </c>
      <c r="D1039" s="5240"/>
      <c r="E1039" s="5241"/>
      <c r="F1039" s="5243">
        <f t="shared" si="90"/>
        <v>0</v>
      </c>
      <c r="G1039" s="5241"/>
      <c r="H1039" s="5241"/>
      <c r="I1039" s="5243">
        <f t="shared" si="91"/>
        <v>0</v>
      </c>
      <c r="J1039" s="5244">
        <f t="shared" si="95"/>
        <v>0</v>
      </c>
      <c r="K1039" s="5245">
        <f t="shared" si="92"/>
        <v>0</v>
      </c>
      <c r="L1039" s="5245">
        <f t="shared" si="93"/>
        <v>0</v>
      </c>
      <c r="M1039" s="5245">
        <f t="shared" si="94"/>
        <v>0</v>
      </c>
    </row>
    <row r="1040" spans="1:13" ht="14.85" customHeight="1">
      <c r="A1040" s="5238">
        <v>458</v>
      </c>
      <c r="B1040" s="5238" t="s">
        <v>4098</v>
      </c>
      <c r="C1040" s="5239" t="s">
        <v>2777</v>
      </c>
      <c r="D1040" s="5240"/>
      <c r="E1040" s="5241"/>
      <c r="F1040" s="5243">
        <f t="shared" si="90"/>
        <v>0</v>
      </c>
      <c r="G1040" s="5241"/>
      <c r="H1040" s="5241"/>
      <c r="I1040" s="5243">
        <f t="shared" si="91"/>
        <v>0</v>
      </c>
      <c r="J1040" s="5244">
        <f t="shared" si="95"/>
        <v>0</v>
      </c>
      <c r="K1040" s="5245">
        <f t="shared" si="92"/>
        <v>0</v>
      </c>
      <c r="L1040" s="5245">
        <f t="shared" si="93"/>
        <v>0</v>
      </c>
      <c r="M1040" s="5245">
        <f t="shared" si="94"/>
        <v>0</v>
      </c>
    </row>
    <row r="1041" spans="1:13" ht="14.85" customHeight="1">
      <c r="A1041" s="5238">
        <v>458</v>
      </c>
      <c r="B1041" s="5238" t="s">
        <v>4099</v>
      </c>
      <c r="C1041" s="5239" t="s">
        <v>4535</v>
      </c>
      <c r="D1041" s="5240"/>
      <c r="E1041" s="5241"/>
      <c r="F1041" s="5243">
        <f t="shared" si="90"/>
        <v>0</v>
      </c>
      <c r="G1041" s="5241"/>
      <c r="H1041" s="5241"/>
      <c r="I1041" s="5243">
        <f t="shared" si="91"/>
        <v>0</v>
      </c>
      <c r="J1041" s="5244">
        <f t="shared" si="95"/>
        <v>0</v>
      </c>
      <c r="K1041" s="5245">
        <f t="shared" si="92"/>
        <v>0</v>
      </c>
      <c r="L1041" s="5245">
        <f t="shared" si="93"/>
        <v>0</v>
      </c>
      <c r="M1041" s="5245">
        <f t="shared" si="94"/>
        <v>0</v>
      </c>
    </row>
    <row r="1042" spans="1:13" ht="14.85" customHeight="1">
      <c r="A1042" s="5238">
        <v>459</v>
      </c>
      <c r="B1042" s="5238" t="s">
        <v>4100</v>
      </c>
      <c r="C1042" s="5239" t="s">
        <v>2778</v>
      </c>
      <c r="D1042" s="5240"/>
      <c r="E1042" s="5241"/>
      <c r="F1042" s="5243">
        <f t="shared" si="90"/>
        <v>0</v>
      </c>
      <c r="G1042" s="5241"/>
      <c r="H1042" s="5241"/>
      <c r="I1042" s="5243">
        <f t="shared" si="91"/>
        <v>0</v>
      </c>
      <c r="J1042" s="5244">
        <f t="shared" si="95"/>
        <v>0</v>
      </c>
      <c r="K1042" s="5245">
        <f t="shared" si="92"/>
        <v>0</v>
      </c>
      <c r="L1042" s="5245">
        <f t="shared" si="93"/>
        <v>0</v>
      </c>
      <c r="M1042" s="5245">
        <f t="shared" si="94"/>
        <v>0</v>
      </c>
    </row>
    <row r="1043" spans="1:13" ht="14.85" customHeight="1">
      <c r="A1043" s="5238">
        <v>459</v>
      </c>
      <c r="B1043" s="5238" t="s">
        <v>4101</v>
      </c>
      <c r="C1043" s="5239" t="s">
        <v>2779</v>
      </c>
      <c r="D1043" s="5240"/>
      <c r="E1043" s="5241"/>
      <c r="F1043" s="5243">
        <f t="shared" si="90"/>
        <v>0</v>
      </c>
      <c r="G1043" s="5241"/>
      <c r="H1043" s="5241"/>
      <c r="I1043" s="5243">
        <f t="shared" si="91"/>
        <v>0</v>
      </c>
      <c r="J1043" s="5244">
        <f t="shared" si="95"/>
        <v>0</v>
      </c>
      <c r="K1043" s="5245">
        <f t="shared" si="92"/>
        <v>0</v>
      </c>
      <c r="L1043" s="5245">
        <f t="shared" si="93"/>
        <v>0</v>
      </c>
      <c r="M1043" s="5245">
        <f t="shared" si="94"/>
        <v>0</v>
      </c>
    </row>
    <row r="1044" spans="1:13" ht="14.85" customHeight="1">
      <c r="A1044" s="5238">
        <v>460</v>
      </c>
      <c r="B1044" s="5238" t="s">
        <v>4102</v>
      </c>
      <c r="C1044" s="5239" t="s">
        <v>2780</v>
      </c>
      <c r="D1044" s="5240"/>
      <c r="E1044" s="5241"/>
      <c r="F1044" s="5243">
        <f t="shared" si="90"/>
        <v>0</v>
      </c>
      <c r="G1044" s="5241"/>
      <c r="H1044" s="5241"/>
      <c r="I1044" s="5243">
        <f t="shared" si="91"/>
        <v>0</v>
      </c>
      <c r="J1044" s="5244">
        <f t="shared" si="95"/>
        <v>0</v>
      </c>
      <c r="K1044" s="5245">
        <f t="shared" si="92"/>
        <v>0</v>
      </c>
      <c r="L1044" s="5245">
        <f t="shared" si="93"/>
        <v>0</v>
      </c>
      <c r="M1044" s="5245">
        <f t="shared" si="94"/>
        <v>0</v>
      </c>
    </row>
    <row r="1045" spans="1:13" ht="14.85" customHeight="1">
      <c r="A1045" s="5238">
        <v>460</v>
      </c>
      <c r="B1045" s="5238" t="s">
        <v>4103</v>
      </c>
      <c r="C1045" s="5239" t="s">
        <v>2781</v>
      </c>
      <c r="D1045" s="5240"/>
      <c r="E1045" s="5241"/>
      <c r="F1045" s="5243">
        <f t="shared" si="90"/>
        <v>0</v>
      </c>
      <c r="G1045" s="5241"/>
      <c r="H1045" s="5241"/>
      <c r="I1045" s="5243">
        <f t="shared" si="91"/>
        <v>0</v>
      </c>
      <c r="J1045" s="5244">
        <f t="shared" si="95"/>
        <v>0</v>
      </c>
      <c r="K1045" s="5245">
        <f t="shared" si="92"/>
        <v>0</v>
      </c>
      <c r="L1045" s="5245">
        <f t="shared" si="93"/>
        <v>0</v>
      </c>
      <c r="M1045" s="5245">
        <f t="shared" si="94"/>
        <v>0</v>
      </c>
    </row>
    <row r="1046" spans="1:13" ht="14.85" customHeight="1">
      <c r="A1046" s="5238">
        <v>460</v>
      </c>
      <c r="B1046" s="5238" t="s">
        <v>4104</v>
      </c>
      <c r="C1046" s="5239" t="s">
        <v>2782</v>
      </c>
      <c r="D1046" s="5240"/>
      <c r="E1046" s="5241"/>
      <c r="F1046" s="5243">
        <f t="shared" si="90"/>
        <v>0</v>
      </c>
      <c r="G1046" s="5241"/>
      <c r="H1046" s="5241"/>
      <c r="I1046" s="5243">
        <f t="shared" si="91"/>
        <v>0</v>
      </c>
      <c r="J1046" s="5244">
        <f t="shared" si="95"/>
        <v>0</v>
      </c>
      <c r="K1046" s="5245">
        <f t="shared" si="92"/>
        <v>0</v>
      </c>
      <c r="L1046" s="5245">
        <f t="shared" si="93"/>
        <v>0</v>
      </c>
      <c r="M1046" s="5245">
        <f t="shared" si="94"/>
        <v>0</v>
      </c>
    </row>
    <row r="1047" spans="1:13" ht="14.85" customHeight="1">
      <c r="A1047" s="5238">
        <v>461</v>
      </c>
      <c r="B1047" s="5238" t="s">
        <v>4105</v>
      </c>
      <c r="C1047" s="5239" t="s">
        <v>2783</v>
      </c>
      <c r="D1047" s="5240"/>
      <c r="E1047" s="5241"/>
      <c r="F1047" s="5243">
        <f t="shared" si="90"/>
        <v>0</v>
      </c>
      <c r="G1047" s="5241"/>
      <c r="H1047" s="5241"/>
      <c r="I1047" s="5243">
        <f t="shared" si="91"/>
        <v>0</v>
      </c>
      <c r="J1047" s="5244">
        <f t="shared" si="95"/>
        <v>0</v>
      </c>
      <c r="K1047" s="5245">
        <f t="shared" si="92"/>
        <v>0</v>
      </c>
      <c r="L1047" s="5245">
        <f t="shared" si="93"/>
        <v>0</v>
      </c>
      <c r="M1047" s="5245">
        <f t="shared" si="94"/>
        <v>0</v>
      </c>
    </row>
    <row r="1048" spans="1:13" ht="14.85" customHeight="1">
      <c r="A1048" s="5238">
        <v>461</v>
      </c>
      <c r="B1048" s="5238" t="s">
        <v>4106</v>
      </c>
      <c r="C1048" s="5239" t="s">
        <v>2784</v>
      </c>
      <c r="D1048" s="5240"/>
      <c r="E1048" s="5241"/>
      <c r="F1048" s="5243">
        <f t="shared" si="90"/>
        <v>0</v>
      </c>
      <c r="G1048" s="5241"/>
      <c r="H1048" s="5241"/>
      <c r="I1048" s="5243">
        <f t="shared" si="91"/>
        <v>0</v>
      </c>
      <c r="J1048" s="5244">
        <f t="shared" si="95"/>
        <v>0</v>
      </c>
      <c r="K1048" s="5245">
        <f t="shared" si="92"/>
        <v>0</v>
      </c>
      <c r="L1048" s="5245">
        <f t="shared" si="93"/>
        <v>0</v>
      </c>
      <c r="M1048" s="5245">
        <f t="shared" si="94"/>
        <v>0</v>
      </c>
    </row>
    <row r="1049" spans="1:13" ht="14.85" customHeight="1">
      <c r="A1049" s="5238">
        <v>461</v>
      </c>
      <c r="B1049" s="5238" t="s">
        <v>4107</v>
      </c>
      <c r="C1049" s="5239" t="s">
        <v>2785</v>
      </c>
      <c r="D1049" s="5240"/>
      <c r="E1049" s="5241"/>
      <c r="F1049" s="5243">
        <f t="shared" si="90"/>
        <v>0</v>
      </c>
      <c r="G1049" s="5241"/>
      <c r="H1049" s="5241"/>
      <c r="I1049" s="5243">
        <f t="shared" si="91"/>
        <v>0</v>
      </c>
      <c r="J1049" s="5244">
        <f t="shared" si="95"/>
        <v>0</v>
      </c>
      <c r="K1049" s="5245">
        <f t="shared" si="92"/>
        <v>0</v>
      </c>
      <c r="L1049" s="5245">
        <f t="shared" si="93"/>
        <v>0</v>
      </c>
      <c r="M1049" s="5245">
        <f t="shared" si="94"/>
        <v>0</v>
      </c>
    </row>
    <row r="1050" spans="1:13" ht="14.85" customHeight="1">
      <c r="A1050" s="5238">
        <v>462</v>
      </c>
      <c r="B1050" s="5238" t="s">
        <v>4108</v>
      </c>
      <c r="C1050" s="5239" t="s">
        <v>2037</v>
      </c>
      <c r="D1050" s="5240"/>
      <c r="E1050" s="5241"/>
      <c r="F1050" s="5243">
        <f t="shared" si="90"/>
        <v>0</v>
      </c>
      <c r="G1050" s="5241"/>
      <c r="H1050" s="5241"/>
      <c r="I1050" s="5243">
        <f t="shared" si="91"/>
        <v>0</v>
      </c>
      <c r="J1050" s="5244">
        <f t="shared" si="95"/>
        <v>0</v>
      </c>
      <c r="K1050" s="5245">
        <f t="shared" si="92"/>
        <v>0</v>
      </c>
      <c r="L1050" s="5245">
        <f t="shared" si="93"/>
        <v>0</v>
      </c>
      <c r="M1050" s="5245">
        <f t="shared" si="94"/>
        <v>0</v>
      </c>
    </row>
    <row r="1051" spans="1:13" ht="14.85" customHeight="1">
      <c r="A1051" s="5238">
        <v>462</v>
      </c>
      <c r="B1051" s="5238" t="s">
        <v>4109</v>
      </c>
      <c r="C1051" s="5239" t="s">
        <v>2786</v>
      </c>
      <c r="D1051" s="5240"/>
      <c r="E1051" s="5241"/>
      <c r="F1051" s="5243">
        <f t="shared" si="90"/>
        <v>0</v>
      </c>
      <c r="G1051" s="5241"/>
      <c r="H1051" s="5241"/>
      <c r="I1051" s="5243">
        <f t="shared" si="91"/>
        <v>0</v>
      </c>
      <c r="J1051" s="5244">
        <f t="shared" si="95"/>
        <v>0</v>
      </c>
      <c r="K1051" s="5245">
        <f t="shared" si="92"/>
        <v>0</v>
      </c>
      <c r="L1051" s="5245">
        <f t="shared" si="93"/>
        <v>0</v>
      </c>
      <c r="M1051" s="5245">
        <f t="shared" si="94"/>
        <v>0</v>
      </c>
    </row>
    <row r="1052" spans="1:13" ht="14.85" customHeight="1">
      <c r="A1052" s="5238">
        <v>463</v>
      </c>
      <c r="B1052" s="5238" t="s">
        <v>4110</v>
      </c>
      <c r="C1052" s="5239" t="s">
        <v>2787</v>
      </c>
      <c r="D1052" s="5240"/>
      <c r="E1052" s="5241"/>
      <c r="F1052" s="5243">
        <f t="shared" si="90"/>
        <v>0</v>
      </c>
      <c r="G1052" s="5241"/>
      <c r="H1052" s="5241"/>
      <c r="I1052" s="5243">
        <f t="shared" si="91"/>
        <v>0</v>
      </c>
      <c r="J1052" s="5244">
        <f t="shared" si="95"/>
        <v>0</v>
      </c>
      <c r="K1052" s="5245">
        <f t="shared" si="92"/>
        <v>0</v>
      </c>
      <c r="L1052" s="5245">
        <f t="shared" si="93"/>
        <v>0</v>
      </c>
      <c r="M1052" s="5245">
        <f t="shared" si="94"/>
        <v>0</v>
      </c>
    </row>
    <row r="1053" spans="1:13" ht="14.85" customHeight="1">
      <c r="A1053" s="5238">
        <v>463</v>
      </c>
      <c r="B1053" s="5238" t="s">
        <v>4111</v>
      </c>
      <c r="C1053" s="5239" t="s">
        <v>2788</v>
      </c>
      <c r="D1053" s="5240"/>
      <c r="E1053" s="5241"/>
      <c r="F1053" s="5243">
        <f t="shared" si="90"/>
        <v>0</v>
      </c>
      <c r="G1053" s="5241"/>
      <c r="H1053" s="5241"/>
      <c r="I1053" s="5243">
        <f t="shared" si="91"/>
        <v>0</v>
      </c>
      <c r="J1053" s="5244">
        <f t="shared" si="95"/>
        <v>0</v>
      </c>
      <c r="K1053" s="5245">
        <f t="shared" si="92"/>
        <v>0</v>
      </c>
      <c r="L1053" s="5245">
        <f t="shared" si="93"/>
        <v>0</v>
      </c>
      <c r="M1053" s="5245">
        <f t="shared" si="94"/>
        <v>0</v>
      </c>
    </row>
    <row r="1054" spans="1:13" ht="14.85" customHeight="1">
      <c r="A1054" s="5238">
        <v>463</v>
      </c>
      <c r="B1054" s="5238" t="s">
        <v>4112</v>
      </c>
      <c r="C1054" s="5239" t="s">
        <v>2789</v>
      </c>
      <c r="D1054" s="5240"/>
      <c r="E1054" s="5241"/>
      <c r="F1054" s="5243">
        <f t="shared" si="90"/>
        <v>0</v>
      </c>
      <c r="G1054" s="5241"/>
      <c r="H1054" s="5241"/>
      <c r="I1054" s="5243">
        <f t="shared" si="91"/>
        <v>0</v>
      </c>
      <c r="J1054" s="5244">
        <f t="shared" si="95"/>
        <v>0</v>
      </c>
      <c r="K1054" s="5245">
        <f t="shared" si="92"/>
        <v>0</v>
      </c>
      <c r="L1054" s="5245">
        <f t="shared" si="93"/>
        <v>0</v>
      </c>
      <c r="M1054" s="5245">
        <f t="shared" si="94"/>
        <v>0</v>
      </c>
    </row>
    <row r="1055" spans="1:13" ht="14.85" customHeight="1">
      <c r="A1055" s="5238">
        <v>464</v>
      </c>
      <c r="B1055" s="5238" t="s">
        <v>4113</v>
      </c>
      <c r="C1055" s="5239" t="s">
        <v>2790</v>
      </c>
      <c r="D1055" s="5240"/>
      <c r="E1055" s="5241"/>
      <c r="F1055" s="5243">
        <f t="shared" si="90"/>
        <v>0</v>
      </c>
      <c r="G1055" s="5241"/>
      <c r="H1055" s="5241"/>
      <c r="I1055" s="5243">
        <f t="shared" si="91"/>
        <v>0</v>
      </c>
      <c r="J1055" s="5244">
        <f t="shared" si="95"/>
        <v>0</v>
      </c>
      <c r="K1055" s="5245">
        <f t="shared" si="92"/>
        <v>0</v>
      </c>
      <c r="L1055" s="5245">
        <f t="shared" si="93"/>
        <v>0</v>
      </c>
      <c r="M1055" s="5245">
        <f t="shared" si="94"/>
        <v>0</v>
      </c>
    </row>
    <row r="1056" spans="1:13" ht="14.85" customHeight="1">
      <c r="A1056" s="5238">
        <v>464</v>
      </c>
      <c r="B1056" s="5238" t="s">
        <v>4114</v>
      </c>
      <c r="C1056" s="5239" t="s">
        <v>2791</v>
      </c>
      <c r="D1056" s="5240"/>
      <c r="E1056" s="5241"/>
      <c r="F1056" s="5243">
        <f t="shared" si="90"/>
        <v>0</v>
      </c>
      <c r="G1056" s="5241"/>
      <c r="H1056" s="5241"/>
      <c r="I1056" s="5243">
        <f t="shared" si="91"/>
        <v>0</v>
      </c>
      <c r="J1056" s="5244">
        <f t="shared" si="95"/>
        <v>0</v>
      </c>
      <c r="K1056" s="5245">
        <f t="shared" si="92"/>
        <v>0</v>
      </c>
      <c r="L1056" s="5245">
        <f t="shared" si="93"/>
        <v>0</v>
      </c>
      <c r="M1056" s="5245">
        <f t="shared" si="94"/>
        <v>0</v>
      </c>
    </row>
    <row r="1057" spans="1:13" ht="14.85" customHeight="1">
      <c r="A1057" s="5238">
        <v>464</v>
      </c>
      <c r="B1057" s="5238" t="s">
        <v>4115</v>
      </c>
      <c r="C1057" s="5239" t="s">
        <v>2792</v>
      </c>
      <c r="D1057" s="5240"/>
      <c r="E1057" s="5241"/>
      <c r="F1057" s="5243">
        <f t="shared" ref="F1057:F1120" si="96">SUM(D1057:E1057)</f>
        <v>0</v>
      </c>
      <c r="G1057" s="5241"/>
      <c r="H1057" s="5241"/>
      <c r="I1057" s="5243">
        <f t="shared" ref="I1057:I1120" si="97">SUM(G1057:H1057)</f>
        <v>0</v>
      </c>
      <c r="J1057" s="5244">
        <f t="shared" si="95"/>
        <v>0</v>
      </c>
      <c r="K1057" s="5245">
        <f t="shared" ref="K1057:K1120" si="98">IF(AND((J1057-35%)&gt;0,J1057&lt;50%),I1057*(J1057-35%)*0.7,0)</f>
        <v>0</v>
      </c>
      <c r="L1057" s="5245">
        <f t="shared" ref="L1057:L1120" si="99">IF(J1057&gt;=50%,I1057*10.5%,0)</f>
        <v>0</v>
      </c>
      <c r="M1057" s="5245">
        <f t="shared" ref="M1057:M1120" si="100">MAX(K1057,L1057)</f>
        <v>0</v>
      </c>
    </row>
    <row r="1058" spans="1:13" ht="14.85" customHeight="1">
      <c r="A1058" s="5238">
        <v>465</v>
      </c>
      <c r="B1058" s="5238" t="s">
        <v>4116</v>
      </c>
      <c r="C1058" s="5239" t="s">
        <v>2793</v>
      </c>
      <c r="D1058" s="5240"/>
      <c r="E1058" s="5241"/>
      <c r="F1058" s="5243">
        <f t="shared" si="96"/>
        <v>0</v>
      </c>
      <c r="G1058" s="5241"/>
      <c r="H1058" s="5241"/>
      <c r="I1058" s="5243">
        <f t="shared" si="97"/>
        <v>0</v>
      </c>
      <c r="J1058" s="5244">
        <f t="shared" si="95"/>
        <v>0</v>
      </c>
      <c r="K1058" s="5245">
        <f t="shared" si="98"/>
        <v>0</v>
      </c>
      <c r="L1058" s="5245">
        <f t="shared" si="99"/>
        <v>0</v>
      </c>
      <c r="M1058" s="5245">
        <f t="shared" si="100"/>
        <v>0</v>
      </c>
    </row>
    <row r="1059" spans="1:13" ht="14.85" customHeight="1">
      <c r="A1059" s="5238">
        <v>465</v>
      </c>
      <c r="B1059" s="5238" t="s">
        <v>4117</v>
      </c>
      <c r="C1059" s="5239" t="s">
        <v>2794</v>
      </c>
      <c r="D1059" s="5240"/>
      <c r="E1059" s="5241"/>
      <c r="F1059" s="5243">
        <f t="shared" si="96"/>
        <v>0</v>
      </c>
      <c r="G1059" s="5241"/>
      <c r="H1059" s="5241"/>
      <c r="I1059" s="5243">
        <f t="shared" si="97"/>
        <v>0</v>
      </c>
      <c r="J1059" s="5244">
        <f t="shared" si="95"/>
        <v>0</v>
      </c>
      <c r="K1059" s="5245">
        <f t="shared" si="98"/>
        <v>0</v>
      </c>
      <c r="L1059" s="5245">
        <f t="shared" si="99"/>
        <v>0</v>
      </c>
      <c r="M1059" s="5245">
        <f t="shared" si="100"/>
        <v>0</v>
      </c>
    </row>
    <row r="1060" spans="1:13" ht="14.85" customHeight="1">
      <c r="A1060" s="5238">
        <v>465</v>
      </c>
      <c r="B1060" s="5238" t="s">
        <v>4118</v>
      </c>
      <c r="C1060" s="5239" t="s">
        <v>2795</v>
      </c>
      <c r="D1060" s="5240"/>
      <c r="E1060" s="5241"/>
      <c r="F1060" s="5243">
        <f t="shared" si="96"/>
        <v>0</v>
      </c>
      <c r="G1060" s="5241"/>
      <c r="H1060" s="5241"/>
      <c r="I1060" s="5243">
        <f t="shared" si="97"/>
        <v>0</v>
      </c>
      <c r="J1060" s="5244">
        <f t="shared" ref="J1060:J1123" si="101">IF(ISERROR(I1060/F1060),0,I1060/F1060)</f>
        <v>0</v>
      </c>
      <c r="K1060" s="5245">
        <f t="shared" si="98"/>
        <v>0</v>
      </c>
      <c r="L1060" s="5245">
        <f t="shared" si="99"/>
        <v>0</v>
      </c>
      <c r="M1060" s="5245">
        <f t="shared" si="100"/>
        <v>0</v>
      </c>
    </row>
    <row r="1061" spans="1:13" ht="14.85" customHeight="1">
      <c r="A1061" s="5238">
        <v>465</v>
      </c>
      <c r="B1061" s="5238" t="s">
        <v>4119</v>
      </c>
      <c r="C1061" s="5239" t="s">
        <v>2796</v>
      </c>
      <c r="D1061" s="5240"/>
      <c r="E1061" s="5241"/>
      <c r="F1061" s="5243">
        <f t="shared" si="96"/>
        <v>0</v>
      </c>
      <c r="G1061" s="5241"/>
      <c r="H1061" s="5241"/>
      <c r="I1061" s="5243">
        <f t="shared" si="97"/>
        <v>0</v>
      </c>
      <c r="J1061" s="5244">
        <f t="shared" si="101"/>
        <v>0</v>
      </c>
      <c r="K1061" s="5245">
        <f t="shared" si="98"/>
        <v>0</v>
      </c>
      <c r="L1061" s="5245">
        <f t="shared" si="99"/>
        <v>0</v>
      </c>
      <c r="M1061" s="5245">
        <f t="shared" si="100"/>
        <v>0</v>
      </c>
    </row>
    <row r="1062" spans="1:13" ht="14.85" customHeight="1">
      <c r="A1062" s="5238">
        <v>465</v>
      </c>
      <c r="B1062" s="5238" t="s">
        <v>4120</v>
      </c>
      <c r="C1062" s="5239" t="s">
        <v>2797</v>
      </c>
      <c r="D1062" s="5240"/>
      <c r="E1062" s="5241"/>
      <c r="F1062" s="5243">
        <f t="shared" si="96"/>
        <v>0</v>
      </c>
      <c r="G1062" s="5241"/>
      <c r="H1062" s="5241"/>
      <c r="I1062" s="5243">
        <f t="shared" si="97"/>
        <v>0</v>
      </c>
      <c r="J1062" s="5244">
        <f t="shared" si="101"/>
        <v>0</v>
      </c>
      <c r="K1062" s="5245">
        <f t="shared" si="98"/>
        <v>0</v>
      </c>
      <c r="L1062" s="5245">
        <f t="shared" si="99"/>
        <v>0</v>
      </c>
      <c r="M1062" s="5245">
        <f t="shared" si="100"/>
        <v>0</v>
      </c>
    </row>
    <row r="1063" spans="1:13" ht="14.85" customHeight="1">
      <c r="A1063" s="5238">
        <v>465</v>
      </c>
      <c r="B1063" s="5238" t="s">
        <v>4121</v>
      </c>
      <c r="C1063" s="5239" t="s">
        <v>2798</v>
      </c>
      <c r="D1063" s="5240"/>
      <c r="E1063" s="5241"/>
      <c r="F1063" s="5243">
        <f t="shared" si="96"/>
        <v>0</v>
      </c>
      <c r="G1063" s="5241"/>
      <c r="H1063" s="5241"/>
      <c r="I1063" s="5243">
        <f t="shared" si="97"/>
        <v>0</v>
      </c>
      <c r="J1063" s="5244">
        <f t="shared" si="101"/>
        <v>0</v>
      </c>
      <c r="K1063" s="5245">
        <f t="shared" si="98"/>
        <v>0</v>
      </c>
      <c r="L1063" s="5245">
        <f t="shared" si="99"/>
        <v>0</v>
      </c>
      <c r="M1063" s="5245">
        <f t="shared" si="100"/>
        <v>0</v>
      </c>
    </row>
    <row r="1064" spans="1:13" ht="14.85" customHeight="1">
      <c r="A1064" s="5238">
        <v>466</v>
      </c>
      <c r="B1064" s="5238" t="s">
        <v>4122</v>
      </c>
      <c r="C1064" s="5239" t="s">
        <v>2799</v>
      </c>
      <c r="D1064" s="5240"/>
      <c r="E1064" s="5241"/>
      <c r="F1064" s="5243">
        <f t="shared" si="96"/>
        <v>0</v>
      </c>
      <c r="G1064" s="5241"/>
      <c r="H1064" s="5241"/>
      <c r="I1064" s="5243">
        <f t="shared" si="97"/>
        <v>0</v>
      </c>
      <c r="J1064" s="5244">
        <f t="shared" si="101"/>
        <v>0</v>
      </c>
      <c r="K1064" s="5245">
        <f t="shared" si="98"/>
        <v>0</v>
      </c>
      <c r="L1064" s="5245">
        <f t="shared" si="99"/>
        <v>0</v>
      </c>
      <c r="M1064" s="5245">
        <f t="shared" si="100"/>
        <v>0</v>
      </c>
    </row>
    <row r="1065" spans="1:13" ht="14.85" customHeight="1">
      <c r="A1065" s="5238">
        <v>466</v>
      </c>
      <c r="B1065" s="5238" t="s">
        <v>4123</v>
      </c>
      <c r="C1065" s="5239" t="s">
        <v>2800</v>
      </c>
      <c r="D1065" s="5240"/>
      <c r="E1065" s="5241"/>
      <c r="F1065" s="5243">
        <f t="shared" si="96"/>
        <v>0</v>
      </c>
      <c r="G1065" s="5241"/>
      <c r="H1065" s="5241"/>
      <c r="I1065" s="5243">
        <f t="shared" si="97"/>
        <v>0</v>
      </c>
      <c r="J1065" s="5244">
        <f t="shared" si="101"/>
        <v>0</v>
      </c>
      <c r="K1065" s="5245">
        <f t="shared" si="98"/>
        <v>0</v>
      </c>
      <c r="L1065" s="5245">
        <f t="shared" si="99"/>
        <v>0</v>
      </c>
      <c r="M1065" s="5245">
        <f t="shared" si="100"/>
        <v>0</v>
      </c>
    </row>
    <row r="1066" spans="1:13" ht="14.85" customHeight="1">
      <c r="A1066" s="5238">
        <v>466</v>
      </c>
      <c r="B1066" s="5238" t="s">
        <v>4124</v>
      </c>
      <c r="C1066" s="5239" t="s">
        <v>2801</v>
      </c>
      <c r="D1066" s="5240"/>
      <c r="E1066" s="5241"/>
      <c r="F1066" s="5243">
        <f t="shared" si="96"/>
        <v>0</v>
      </c>
      <c r="G1066" s="5241"/>
      <c r="H1066" s="5241"/>
      <c r="I1066" s="5243">
        <f t="shared" si="97"/>
        <v>0</v>
      </c>
      <c r="J1066" s="5244">
        <f t="shared" si="101"/>
        <v>0</v>
      </c>
      <c r="K1066" s="5245">
        <f t="shared" si="98"/>
        <v>0</v>
      </c>
      <c r="L1066" s="5245">
        <f t="shared" si="99"/>
        <v>0</v>
      </c>
      <c r="M1066" s="5245">
        <f t="shared" si="100"/>
        <v>0</v>
      </c>
    </row>
    <row r="1067" spans="1:13" ht="14.85" customHeight="1">
      <c r="A1067" s="5238">
        <v>467</v>
      </c>
      <c r="B1067" s="5238" t="s">
        <v>4125</v>
      </c>
      <c r="C1067" s="5239" t="s">
        <v>2802</v>
      </c>
      <c r="D1067" s="5240"/>
      <c r="E1067" s="5241"/>
      <c r="F1067" s="5243">
        <f t="shared" si="96"/>
        <v>0</v>
      </c>
      <c r="G1067" s="5241"/>
      <c r="H1067" s="5241"/>
      <c r="I1067" s="5243">
        <f t="shared" si="97"/>
        <v>0</v>
      </c>
      <c r="J1067" s="5244">
        <f t="shared" si="101"/>
        <v>0</v>
      </c>
      <c r="K1067" s="5245">
        <f t="shared" si="98"/>
        <v>0</v>
      </c>
      <c r="L1067" s="5245">
        <f t="shared" si="99"/>
        <v>0</v>
      </c>
      <c r="M1067" s="5245">
        <f t="shared" si="100"/>
        <v>0</v>
      </c>
    </row>
    <row r="1068" spans="1:13" ht="14.85" customHeight="1">
      <c r="A1068" s="5238">
        <v>467</v>
      </c>
      <c r="B1068" s="5238" t="s">
        <v>4126</v>
      </c>
      <c r="C1068" s="5239" t="s">
        <v>4536</v>
      </c>
      <c r="D1068" s="5240"/>
      <c r="E1068" s="5241"/>
      <c r="F1068" s="5243">
        <f t="shared" si="96"/>
        <v>0</v>
      </c>
      <c r="G1068" s="5241"/>
      <c r="H1068" s="5241"/>
      <c r="I1068" s="5243">
        <f t="shared" si="97"/>
        <v>0</v>
      </c>
      <c r="J1068" s="5244">
        <f t="shared" si="101"/>
        <v>0</v>
      </c>
      <c r="K1068" s="5245">
        <f t="shared" si="98"/>
        <v>0</v>
      </c>
      <c r="L1068" s="5245">
        <f t="shared" si="99"/>
        <v>0</v>
      </c>
      <c r="M1068" s="5245">
        <f t="shared" si="100"/>
        <v>0</v>
      </c>
    </row>
    <row r="1069" spans="1:13" ht="14.85" customHeight="1">
      <c r="A1069" s="5238">
        <v>468</v>
      </c>
      <c r="B1069" s="5238" t="s">
        <v>4127</v>
      </c>
      <c r="C1069" s="5239" t="s">
        <v>2803</v>
      </c>
      <c r="D1069" s="5240"/>
      <c r="E1069" s="5241"/>
      <c r="F1069" s="5243">
        <f t="shared" si="96"/>
        <v>0</v>
      </c>
      <c r="G1069" s="5241"/>
      <c r="H1069" s="5241"/>
      <c r="I1069" s="5243">
        <f t="shared" si="97"/>
        <v>0</v>
      </c>
      <c r="J1069" s="5244">
        <f t="shared" si="101"/>
        <v>0</v>
      </c>
      <c r="K1069" s="5245">
        <f t="shared" si="98"/>
        <v>0</v>
      </c>
      <c r="L1069" s="5245">
        <f t="shared" si="99"/>
        <v>0</v>
      </c>
      <c r="M1069" s="5245">
        <f t="shared" si="100"/>
        <v>0</v>
      </c>
    </row>
    <row r="1070" spans="1:13" ht="14.85" customHeight="1">
      <c r="A1070" s="5238">
        <v>468</v>
      </c>
      <c r="B1070" s="5238" t="s">
        <v>4128</v>
      </c>
      <c r="C1070" s="5239" t="s">
        <v>2804</v>
      </c>
      <c r="D1070" s="5240"/>
      <c r="E1070" s="5241"/>
      <c r="F1070" s="5243">
        <f t="shared" si="96"/>
        <v>0</v>
      </c>
      <c r="G1070" s="5241"/>
      <c r="H1070" s="5241"/>
      <c r="I1070" s="5243">
        <f t="shared" si="97"/>
        <v>0</v>
      </c>
      <c r="J1070" s="5244">
        <f t="shared" si="101"/>
        <v>0</v>
      </c>
      <c r="K1070" s="5245">
        <f t="shared" si="98"/>
        <v>0</v>
      </c>
      <c r="L1070" s="5245">
        <f t="shared" si="99"/>
        <v>0</v>
      </c>
      <c r="M1070" s="5245">
        <f t="shared" si="100"/>
        <v>0</v>
      </c>
    </row>
    <row r="1071" spans="1:13" ht="14.85" customHeight="1">
      <c r="A1071" s="5238">
        <v>469</v>
      </c>
      <c r="B1071" s="5238" t="s">
        <v>4129</v>
      </c>
      <c r="C1071" s="5239" t="s">
        <v>2805</v>
      </c>
      <c r="D1071" s="5240"/>
      <c r="E1071" s="5241"/>
      <c r="F1071" s="5243">
        <f t="shared" si="96"/>
        <v>0</v>
      </c>
      <c r="G1071" s="5241"/>
      <c r="H1071" s="5241"/>
      <c r="I1071" s="5243">
        <f t="shared" si="97"/>
        <v>0</v>
      </c>
      <c r="J1071" s="5244">
        <f t="shared" si="101"/>
        <v>0</v>
      </c>
      <c r="K1071" s="5245">
        <f t="shared" si="98"/>
        <v>0</v>
      </c>
      <c r="L1071" s="5245">
        <f t="shared" si="99"/>
        <v>0</v>
      </c>
      <c r="M1071" s="5245">
        <f t="shared" si="100"/>
        <v>0</v>
      </c>
    </row>
    <row r="1072" spans="1:13" ht="14.85" customHeight="1">
      <c r="A1072" s="5238">
        <v>469</v>
      </c>
      <c r="B1072" s="5238" t="s">
        <v>4130</v>
      </c>
      <c r="C1072" s="5239" t="s">
        <v>2806</v>
      </c>
      <c r="D1072" s="5240"/>
      <c r="E1072" s="5241"/>
      <c r="F1072" s="5243">
        <f t="shared" si="96"/>
        <v>0</v>
      </c>
      <c r="G1072" s="5241"/>
      <c r="H1072" s="5241"/>
      <c r="I1072" s="5243">
        <f t="shared" si="97"/>
        <v>0</v>
      </c>
      <c r="J1072" s="5244">
        <f t="shared" si="101"/>
        <v>0</v>
      </c>
      <c r="K1072" s="5245">
        <f t="shared" si="98"/>
        <v>0</v>
      </c>
      <c r="L1072" s="5245">
        <f t="shared" si="99"/>
        <v>0</v>
      </c>
      <c r="M1072" s="5245">
        <f t="shared" si="100"/>
        <v>0</v>
      </c>
    </row>
    <row r="1073" spans="1:13" ht="14.85" customHeight="1">
      <c r="A1073" s="5238">
        <v>469</v>
      </c>
      <c r="B1073" s="5238" t="s">
        <v>4131</v>
      </c>
      <c r="C1073" s="5239" t="s">
        <v>2807</v>
      </c>
      <c r="D1073" s="5240"/>
      <c r="E1073" s="5241"/>
      <c r="F1073" s="5243">
        <f t="shared" si="96"/>
        <v>0</v>
      </c>
      <c r="G1073" s="5241"/>
      <c r="H1073" s="5241"/>
      <c r="I1073" s="5243">
        <f t="shared" si="97"/>
        <v>0</v>
      </c>
      <c r="J1073" s="5244">
        <f t="shared" si="101"/>
        <v>0</v>
      </c>
      <c r="K1073" s="5245">
        <f t="shared" si="98"/>
        <v>0</v>
      </c>
      <c r="L1073" s="5245">
        <f t="shared" si="99"/>
        <v>0</v>
      </c>
      <c r="M1073" s="5245">
        <f t="shared" si="100"/>
        <v>0</v>
      </c>
    </row>
    <row r="1074" spans="1:13" ht="14.85" customHeight="1">
      <c r="A1074" s="5238">
        <v>469</v>
      </c>
      <c r="B1074" s="5238" t="s">
        <v>4537</v>
      </c>
      <c r="C1074" s="5239" t="s">
        <v>4538</v>
      </c>
      <c r="D1074" s="5240"/>
      <c r="E1074" s="5241"/>
      <c r="F1074" s="5243">
        <f t="shared" si="96"/>
        <v>0</v>
      </c>
      <c r="G1074" s="5241"/>
      <c r="H1074" s="5241"/>
      <c r="I1074" s="5243">
        <f t="shared" si="97"/>
        <v>0</v>
      </c>
      <c r="J1074" s="5244">
        <f t="shared" si="101"/>
        <v>0</v>
      </c>
      <c r="K1074" s="5245">
        <f t="shared" si="98"/>
        <v>0</v>
      </c>
      <c r="L1074" s="5245">
        <f t="shared" si="99"/>
        <v>0</v>
      </c>
      <c r="M1074" s="5245">
        <f t="shared" si="100"/>
        <v>0</v>
      </c>
    </row>
    <row r="1075" spans="1:13" ht="14.85" customHeight="1">
      <c r="A1075" s="5238">
        <v>470</v>
      </c>
      <c r="B1075" s="5238" t="s">
        <v>4132</v>
      </c>
      <c r="C1075" s="5239" t="s">
        <v>2148</v>
      </c>
      <c r="D1075" s="5240"/>
      <c r="E1075" s="5241"/>
      <c r="F1075" s="5243">
        <f t="shared" si="96"/>
        <v>0</v>
      </c>
      <c r="G1075" s="5241"/>
      <c r="H1075" s="5241"/>
      <c r="I1075" s="5243">
        <f t="shared" si="97"/>
        <v>0</v>
      </c>
      <c r="J1075" s="5244">
        <f t="shared" si="101"/>
        <v>0</v>
      </c>
      <c r="K1075" s="5245">
        <f t="shared" si="98"/>
        <v>0</v>
      </c>
      <c r="L1075" s="5245">
        <f t="shared" si="99"/>
        <v>0</v>
      </c>
      <c r="M1075" s="5245">
        <f t="shared" si="100"/>
        <v>0</v>
      </c>
    </row>
    <row r="1076" spans="1:13" ht="14.85" customHeight="1">
      <c r="A1076" s="5238">
        <v>470</v>
      </c>
      <c r="B1076" s="5238" t="s">
        <v>4133</v>
      </c>
      <c r="C1076" s="5239" t="s">
        <v>2808</v>
      </c>
      <c r="D1076" s="5240"/>
      <c r="E1076" s="5241"/>
      <c r="F1076" s="5243">
        <f t="shared" si="96"/>
        <v>0</v>
      </c>
      <c r="G1076" s="5241"/>
      <c r="H1076" s="5241"/>
      <c r="I1076" s="5243">
        <f t="shared" si="97"/>
        <v>0</v>
      </c>
      <c r="J1076" s="5244">
        <f t="shared" si="101"/>
        <v>0</v>
      </c>
      <c r="K1076" s="5245">
        <f t="shared" si="98"/>
        <v>0</v>
      </c>
      <c r="L1076" s="5245">
        <f t="shared" si="99"/>
        <v>0</v>
      </c>
      <c r="M1076" s="5245">
        <f t="shared" si="100"/>
        <v>0</v>
      </c>
    </row>
    <row r="1077" spans="1:13" ht="14.85" customHeight="1">
      <c r="A1077" s="5238">
        <v>470</v>
      </c>
      <c r="B1077" s="5238" t="s">
        <v>4134</v>
      </c>
      <c r="C1077" s="5239" t="s">
        <v>2140</v>
      </c>
      <c r="D1077" s="5240"/>
      <c r="E1077" s="5241"/>
      <c r="F1077" s="5243">
        <f t="shared" si="96"/>
        <v>0</v>
      </c>
      <c r="G1077" s="5241"/>
      <c r="H1077" s="5241"/>
      <c r="I1077" s="5243">
        <f t="shared" si="97"/>
        <v>0</v>
      </c>
      <c r="J1077" s="5244">
        <f t="shared" si="101"/>
        <v>0</v>
      </c>
      <c r="K1077" s="5245">
        <f t="shared" si="98"/>
        <v>0</v>
      </c>
      <c r="L1077" s="5245">
        <f t="shared" si="99"/>
        <v>0</v>
      </c>
      <c r="M1077" s="5245">
        <f t="shared" si="100"/>
        <v>0</v>
      </c>
    </row>
    <row r="1078" spans="1:13" ht="14.85" customHeight="1">
      <c r="A1078" s="5238">
        <v>470</v>
      </c>
      <c r="B1078" s="5238" t="s">
        <v>4135</v>
      </c>
      <c r="C1078" s="5239" t="s">
        <v>2654</v>
      </c>
      <c r="D1078" s="5240"/>
      <c r="E1078" s="5241"/>
      <c r="F1078" s="5243">
        <f t="shared" si="96"/>
        <v>0</v>
      </c>
      <c r="G1078" s="5241"/>
      <c r="H1078" s="5241"/>
      <c r="I1078" s="5243">
        <f t="shared" si="97"/>
        <v>0</v>
      </c>
      <c r="J1078" s="5244">
        <f t="shared" si="101"/>
        <v>0</v>
      </c>
      <c r="K1078" s="5245">
        <f t="shared" si="98"/>
        <v>0</v>
      </c>
      <c r="L1078" s="5245">
        <f t="shared" si="99"/>
        <v>0</v>
      </c>
      <c r="M1078" s="5245">
        <f t="shared" si="100"/>
        <v>0</v>
      </c>
    </row>
    <row r="1079" spans="1:13" ht="14.85" customHeight="1">
      <c r="A1079" s="5238">
        <v>470</v>
      </c>
      <c r="B1079" s="5238" t="s">
        <v>4136</v>
      </c>
      <c r="C1079" s="5239" t="s">
        <v>2809</v>
      </c>
      <c r="D1079" s="5240"/>
      <c r="E1079" s="5241"/>
      <c r="F1079" s="5243">
        <f t="shared" si="96"/>
        <v>0</v>
      </c>
      <c r="G1079" s="5241"/>
      <c r="H1079" s="5241"/>
      <c r="I1079" s="5243">
        <f t="shared" si="97"/>
        <v>0</v>
      </c>
      <c r="J1079" s="5244">
        <f t="shared" si="101"/>
        <v>0</v>
      </c>
      <c r="K1079" s="5245">
        <f t="shared" si="98"/>
        <v>0</v>
      </c>
      <c r="L1079" s="5245">
        <f t="shared" si="99"/>
        <v>0</v>
      </c>
      <c r="M1079" s="5245">
        <f t="shared" si="100"/>
        <v>0</v>
      </c>
    </row>
    <row r="1080" spans="1:13" ht="14.85" customHeight="1">
      <c r="A1080" s="5238">
        <v>470</v>
      </c>
      <c r="B1080" s="5238" t="s">
        <v>4137</v>
      </c>
      <c r="C1080" s="5239" t="s">
        <v>2810</v>
      </c>
      <c r="D1080" s="5240"/>
      <c r="E1080" s="5241"/>
      <c r="F1080" s="5243">
        <f t="shared" si="96"/>
        <v>0</v>
      </c>
      <c r="G1080" s="5241"/>
      <c r="H1080" s="5241"/>
      <c r="I1080" s="5243">
        <f t="shared" si="97"/>
        <v>0</v>
      </c>
      <c r="J1080" s="5244">
        <f t="shared" si="101"/>
        <v>0</v>
      </c>
      <c r="K1080" s="5245">
        <f t="shared" si="98"/>
        <v>0</v>
      </c>
      <c r="L1080" s="5245">
        <f t="shared" si="99"/>
        <v>0</v>
      </c>
      <c r="M1080" s="5245">
        <f t="shared" si="100"/>
        <v>0</v>
      </c>
    </row>
    <row r="1081" spans="1:13" ht="14.85" customHeight="1">
      <c r="A1081" s="5238">
        <v>470</v>
      </c>
      <c r="B1081" s="5238" t="s">
        <v>4138</v>
      </c>
      <c r="C1081" s="5239" t="s">
        <v>2811</v>
      </c>
      <c r="D1081" s="5240"/>
      <c r="E1081" s="5241"/>
      <c r="F1081" s="5243">
        <f t="shared" si="96"/>
        <v>0</v>
      </c>
      <c r="G1081" s="5241"/>
      <c r="H1081" s="5241"/>
      <c r="I1081" s="5243">
        <f t="shared" si="97"/>
        <v>0</v>
      </c>
      <c r="J1081" s="5244">
        <f t="shared" si="101"/>
        <v>0</v>
      </c>
      <c r="K1081" s="5245">
        <f t="shared" si="98"/>
        <v>0</v>
      </c>
      <c r="L1081" s="5245">
        <f t="shared" si="99"/>
        <v>0</v>
      </c>
      <c r="M1081" s="5245">
        <f t="shared" si="100"/>
        <v>0</v>
      </c>
    </row>
    <row r="1082" spans="1:13" ht="14.85" customHeight="1">
      <c r="A1082" s="5238">
        <v>470</v>
      </c>
      <c r="B1082" s="5238" t="s">
        <v>4139</v>
      </c>
      <c r="C1082" s="5239" t="s">
        <v>2812</v>
      </c>
      <c r="D1082" s="5240"/>
      <c r="E1082" s="5241"/>
      <c r="F1082" s="5243">
        <f t="shared" si="96"/>
        <v>0</v>
      </c>
      <c r="G1082" s="5241"/>
      <c r="H1082" s="5241"/>
      <c r="I1082" s="5243">
        <f t="shared" si="97"/>
        <v>0</v>
      </c>
      <c r="J1082" s="5244">
        <f t="shared" si="101"/>
        <v>0</v>
      </c>
      <c r="K1082" s="5245">
        <f t="shared" si="98"/>
        <v>0</v>
      </c>
      <c r="L1082" s="5245">
        <f t="shared" si="99"/>
        <v>0</v>
      </c>
      <c r="M1082" s="5245">
        <f t="shared" si="100"/>
        <v>0</v>
      </c>
    </row>
    <row r="1083" spans="1:13" ht="14.85" customHeight="1">
      <c r="A1083" s="5238">
        <v>471</v>
      </c>
      <c r="B1083" s="5238" t="s">
        <v>4140</v>
      </c>
      <c r="C1083" s="5239" t="s">
        <v>2813</v>
      </c>
      <c r="D1083" s="5240"/>
      <c r="E1083" s="5241"/>
      <c r="F1083" s="5243">
        <f t="shared" si="96"/>
        <v>0</v>
      </c>
      <c r="G1083" s="5241"/>
      <c r="H1083" s="5241"/>
      <c r="I1083" s="5243">
        <f t="shared" si="97"/>
        <v>0</v>
      </c>
      <c r="J1083" s="5244">
        <f t="shared" si="101"/>
        <v>0</v>
      </c>
      <c r="K1083" s="5245">
        <f t="shared" si="98"/>
        <v>0</v>
      </c>
      <c r="L1083" s="5245">
        <f t="shared" si="99"/>
        <v>0</v>
      </c>
      <c r="M1083" s="5245">
        <f t="shared" si="100"/>
        <v>0</v>
      </c>
    </row>
    <row r="1084" spans="1:13" ht="14.85" customHeight="1">
      <c r="A1084" s="5238">
        <v>471</v>
      </c>
      <c r="B1084" s="5238" t="s">
        <v>4141</v>
      </c>
      <c r="C1084" s="5239" t="s">
        <v>2814</v>
      </c>
      <c r="D1084" s="5240"/>
      <c r="E1084" s="5241"/>
      <c r="F1084" s="5243">
        <f t="shared" si="96"/>
        <v>0</v>
      </c>
      <c r="G1084" s="5241"/>
      <c r="H1084" s="5241"/>
      <c r="I1084" s="5243">
        <f t="shared" si="97"/>
        <v>0</v>
      </c>
      <c r="J1084" s="5244">
        <f t="shared" si="101"/>
        <v>0</v>
      </c>
      <c r="K1084" s="5245">
        <f t="shared" si="98"/>
        <v>0</v>
      </c>
      <c r="L1084" s="5245">
        <f t="shared" si="99"/>
        <v>0</v>
      </c>
      <c r="M1084" s="5245">
        <f t="shared" si="100"/>
        <v>0</v>
      </c>
    </row>
    <row r="1085" spans="1:13" ht="14.85" customHeight="1">
      <c r="A1085" s="5238">
        <v>473</v>
      </c>
      <c r="B1085" s="5238" t="s">
        <v>4142</v>
      </c>
      <c r="C1085" s="5239" t="s">
        <v>2815</v>
      </c>
      <c r="D1085" s="5240"/>
      <c r="E1085" s="5241"/>
      <c r="F1085" s="5243">
        <f t="shared" si="96"/>
        <v>0</v>
      </c>
      <c r="G1085" s="5241"/>
      <c r="H1085" s="5241"/>
      <c r="I1085" s="5243">
        <f t="shared" si="97"/>
        <v>0</v>
      </c>
      <c r="J1085" s="5244">
        <f t="shared" si="101"/>
        <v>0</v>
      </c>
      <c r="K1085" s="5245">
        <f t="shared" si="98"/>
        <v>0</v>
      </c>
      <c r="L1085" s="5245">
        <f t="shared" si="99"/>
        <v>0</v>
      </c>
      <c r="M1085" s="5245">
        <f t="shared" si="100"/>
        <v>0</v>
      </c>
    </row>
    <row r="1086" spans="1:13" ht="14.85" customHeight="1">
      <c r="A1086" s="5238">
        <v>473</v>
      </c>
      <c r="B1086" s="5238" t="s">
        <v>4143</v>
      </c>
      <c r="C1086" s="5239" t="s">
        <v>2816</v>
      </c>
      <c r="D1086" s="5240"/>
      <c r="E1086" s="5241"/>
      <c r="F1086" s="5243">
        <f t="shared" si="96"/>
        <v>0</v>
      </c>
      <c r="G1086" s="5241"/>
      <c r="H1086" s="5241"/>
      <c r="I1086" s="5243">
        <f t="shared" si="97"/>
        <v>0</v>
      </c>
      <c r="J1086" s="5244">
        <f t="shared" si="101"/>
        <v>0</v>
      </c>
      <c r="K1086" s="5245">
        <f t="shared" si="98"/>
        <v>0</v>
      </c>
      <c r="L1086" s="5245">
        <f t="shared" si="99"/>
        <v>0</v>
      </c>
      <c r="M1086" s="5245">
        <f t="shared" si="100"/>
        <v>0</v>
      </c>
    </row>
    <row r="1087" spans="1:13" ht="14.85" customHeight="1">
      <c r="A1087" s="5238">
        <v>473</v>
      </c>
      <c r="B1087" s="5238" t="s">
        <v>4144</v>
      </c>
      <c r="C1087" s="5239" t="s">
        <v>2817</v>
      </c>
      <c r="D1087" s="5240"/>
      <c r="E1087" s="5241"/>
      <c r="F1087" s="5243">
        <f t="shared" si="96"/>
        <v>0</v>
      </c>
      <c r="G1087" s="5241"/>
      <c r="H1087" s="5241"/>
      <c r="I1087" s="5243">
        <f t="shared" si="97"/>
        <v>0</v>
      </c>
      <c r="J1087" s="5244">
        <f t="shared" si="101"/>
        <v>0</v>
      </c>
      <c r="K1087" s="5245">
        <f t="shared" si="98"/>
        <v>0</v>
      </c>
      <c r="L1087" s="5245">
        <f t="shared" si="99"/>
        <v>0</v>
      </c>
      <c r="M1087" s="5245">
        <f t="shared" si="100"/>
        <v>0</v>
      </c>
    </row>
    <row r="1088" spans="1:13" ht="14.85" customHeight="1">
      <c r="A1088" s="5238">
        <v>473</v>
      </c>
      <c r="B1088" s="5238" t="s">
        <v>4145</v>
      </c>
      <c r="C1088" s="5239" t="s">
        <v>2818</v>
      </c>
      <c r="D1088" s="5240"/>
      <c r="E1088" s="5241"/>
      <c r="F1088" s="5243">
        <f t="shared" si="96"/>
        <v>0</v>
      </c>
      <c r="G1088" s="5241"/>
      <c r="H1088" s="5241"/>
      <c r="I1088" s="5243">
        <f t="shared" si="97"/>
        <v>0</v>
      </c>
      <c r="J1088" s="5244">
        <f t="shared" si="101"/>
        <v>0</v>
      </c>
      <c r="K1088" s="5245">
        <f t="shared" si="98"/>
        <v>0</v>
      </c>
      <c r="L1088" s="5245">
        <f t="shared" si="99"/>
        <v>0</v>
      </c>
      <c r="M1088" s="5245">
        <f t="shared" si="100"/>
        <v>0</v>
      </c>
    </row>
    <row r="1089" spans="1:13" ht="14.85" customHeight="1">
      <c r="A1089" s="5238">
        <v>473</v>
      </c>
      <c r="B1089" s="5238" t="s">
        <v>4146</v>
      </c>
      <c r="C1089" s="5239" t="s">
        <v>2166</v>
      </c>
      <c r="D1089" s="5240"/>
      <c r="E1089" s="5241"/>
      <c r="F1089" s="5243">
        <f t="shared" si="96"/>
        <v>0</v>
      </c>
      <c r="G1089" s="5241"/>
      <c r="H1089" s="5241"/>
      <c r="I1089" s="5243">
        <f t="shared" si="97"/>
        <v>0</v>
      </c>
      <c r="J1089" s="5244">
        <f t="shared" si="101"/>
        <v>0</v>
      </c>
      <c r="K1089" s="5245">
        <f t="shared" si="98"/>
        <v>0</v>
      </c>
      <c r="L1089" s="5245">
        <f t="shared" si="99"/>
        <v>0</v>
      </c>
      <c r="M1089" s="5245">
        <f t="shared" si="100"/>
        <v>0</v>
      </c>
    </row>
    <row r="1090" spans="1:13" ht="14.85" customHeight="1">
      <c r="A1090" s="5238">
        <v>473</v>
      </c>
      <c r="B1090" s="5238" t="s">
        <v>4147</v>
      </c>
      <c r="C1090" s="5239" t="s">
        <v>2819</v>
      </c>
      <c r="D1090" s="5240"/>
      <c r="E1090" s="5241"/>
      <c r="F1090" s="5243">
        <f t="shared" si="96"/>
        <v>0</v>
      </c>
      <c r="G1090" s="5241"/>
      <c r="H1090" s="5241"/>
      <c r="I1090" s="5243">
        <f t="shared" si="97"/>
        <v>0</v>
      </c>
      <c r="J1090" s="5244">
        <f t="shared" si="101"/>
        <v>0</v>
      </c>
      <c r="K1090" s="5245">
        <f t="shared" si="98"/>
        <v>0</v>
      </c>
      <c r="L1090" s="5245">
        <f t="shared" si="99"/>
        <v>0</v>
      </c>
      <c r="M1090" s="5245">
        <f t="shared" si="100"/>
        <v>0</v>
      </c>
    </row>
    <row r="1091" spans="1:13" ht="14.85" customHeight="1">
      <c r="A1091" s="5238">
        <v>474</v>
      </c>
      <c r="B1091" s="5238" t="s">
        <v>4148</v>
      </c>
      <c r="C1091" s="5239" t="s">
        <v>2820</v>
      </c>
      <c r="D1091" s="5240"/>
      <c r="E1091" s="5241"/>
      <c r="F1091" s="5243">
        <f t="shared" si="96"/>
        <v>0</v>
      </c>
      <c r="G1091" s="5241"/>
      <c r="H1091" s="5241"/>
      <c r="I1091" s="5243">
        <f t="shared" si="97"/>
        <v>0</v>
      </c>
      <c r="J1091" s="5244">
        <f t="shared" si="101"/>
        <v>0</v>
      </c>
      <c r="K1091" s="5245">
        <f t="shared" si="98"/>
        <v>0</v>
      </c>
      <c r="L1091" s="5245">
        <f t="shared" si="99"/>
        <v>0</v>
      </c>
      <c r="M1091" s="5245">
        <f t="shared" si="100"/>
        <v>0</v>
      </c>
    </row>
    <row r="1092" spans="1:13" ht="14.85" customHeight="1">
      <c r="A1092" s="5238">
        <v>475</v>
      </c>
      <c r="B1092" s="5238" t="s">
        <v>4149</v>
      </c>
      <c r="C1092" s="5239" t="s">
        <v>2821</v>
      </c>
      <c r="D1092" s="5240"/>
      <c r="E1092" s="5241"/>
      <c r="F1092" s="5243">
        <f t="shared" si="96"/>
        <v>0</v>
      </c>
      <c r="G1092" s="5241"/>
      <c r="H1092" s="5241"/>
      <c r="I1092" s="5243">
        <f t="shared" si="97"/>
        <v>0</v>
      </c>
      <c r="J1092" s="5244">
        <f t="shared" si="101"/>
        <v>0</v>
      </c>
      <c r="K1092" s="5245">
        <f t="shared" si="98"/>
        <v>0</v>
      </c>
      <c r="L1092" s="5245">
        <f t="shared" si="99"/>
        <v>0</v>
      </c>
      <c r="M1092" s="5245">
        <f t="shared" si="100"/>
        <v>0</v>
      </c>
    </row>
    <row r="1093" spans="1:13" ht="14.85" customHeight="1">
      <c r="A1093" s="5238">
        <v>475</v>
      </c>
      <c r="B1093" s="5238" t="s">
        <v>4150</v>
      </c>
      <c r="C1093" s="5239" t="s">
        <v>2822</v>
      </c>
      <c r="D1093" s="5240"/>
      <c r="E1093" s="5241"/>
      <c r="F1093" s="5243">
        <f t="shared" si="96"/>
        <v>0</v>
      </c>
      <c r="G1093" s="5241"/>
      <c r="H1093" s="5241"/>
      <c r="I1093" s="5243">
        <f t="shared" si="97"/>
        <v>0</v>
      </c>
      <c r="J1093" s="5244">
        <f t="shared" si="101"/>
        <v>0</v>
      </c>
      <c r="K1093" s="5245">
        <f t="shared" si="98"/>
        <v>0</v>
      </c>
      <c r="L1093" s="5245">
        <f t="shared" si="99"/>
        <v>0</v>
      </c>
      <c r="M1093" s="5245">
        <f t="shared" si="100"/>
        <v>0</v>
      </c>
    </row>
    <row r="1094" spans="1:13" ht="14.85" customHeight="1">
      <c r="A1094" s="5238">
        <v>475</v>
      </c>
      <c r="B1094" s="5238" t="s">
        <v>4151</v>
      </c>
      <c r="C1094" s="5239" t="s">
        <v>1919</v>
      </c>
      <c r="D1094" s="5240"/>
      <c r="E1094" s="5241"/>
      <c r="F1094" s="5243">
        <f t="shared" si="96"/>
        <v>0</v>
      </c>
      <c r="G1094" s="5241"/>
      <c r="H1094" s="5241"/>
      <c r="I1094" s="5243">
        <f t="shared" si="97"/>
        <v>0</v>
      </c>
      <c r="J1094" s="5244">
        <f t="shared" si="101"/>
        <v>0</v>
      </c>
      <c r="K1094" s="5245">
        <f t="shared" si="98"/>
        <v>0</v>
      </c>
      <c r="L1094" s="5245">
        <f t="shared" si="99"/>
        <v>0</v>
      </c>
      <c r="M1094" s="5245">
        <f t="shared" si="100"/>
        <v>0</v>
      </c>
    </row>
    <row r="1095" spans="1:13" ht="14.85" customHeight="1">
      <c r="A1095" s="5238">
        <v>475</v>
      </c>
      <c r="B1095" s="5238" t="s">
        <v>4152</v>
      </c>
      <c r="C1095" s="5239" t="s">
        <v>2823</v>
      </c>
      <c r="D1095" s="5240"/>
      <c r="E1095" s="5241"/>
      <c r="F1095" s="5243">
        <f t="shared" si="96"/>
        <v>0</v>
      </c>
      <c r="G1095" s="5241"/>
      <c r="H1095" s="5241"/>
      <c r="I1095" s="5243">
        <f t="shared" si="97"/>
        <v>0</v>
      </c>
      <c r="J1095" s="5244">
        <f t="shared" si="101"/>
        <v>0</v>
      </c>
      <c r="K1095" s="5245">
        <f t="shared" si="98"/>
        <v>0</v>
      </c>
      <c r="L1095" s="5245">
        <f t="shared" si="99"/>
        <v>0</v>
      </c>
      <c r="M1095" s="5245">
        <f t="shared" si="100"/>
        <v>0</v>
      </c>
    </row>
    <row r="1096" spans="1:13" ht="14.85" customHeight="1">
      <c r="A1096" s="5238">
        <v>475</v>
      </c>
      <c r="B1096" s="5238" t="s">
        <v>4153</v>
      </c>
      <c r="C1096" s="5239" t="s">
        <v>2824</v>
      </c>
      <c r="D1096" s="5240"/>
      <c r="E1096" s="5241"/>
      <c r="F1096" s="5243">
        <f t="shared" si="96"/>
        <v>0</v>
      </c>
      <c r="G1096" s="5241"/>
      <c r="H1096" s="5241"/>
      <c r="I1096" s="5243">
        <f t="shared" si="97"/>
        <v>0</v>
      </c>
      <c r="J1096" s="5244">
        <f t="shared" si="101"/>
        <v>0</v>
      </c>
      <c r="K1096" s="5245">
        <f t="shared" si="98"/>
        <v>0</v>
      </c>
      <c r="L1096" s="5245">
        <f t="shared" si="99"/>
        <v>0</v>
      </c>
      <c r="M1096" s="5245">
        <f t="shared" si="100"/>
        <v>0</v>
      </c>
    </row>
    <row r="1097" spans="1:13" ht="14.85" customHeight="1">
      <c r="A1097" s="5238">
        <v>475</v>
      </c>
      <c r="B1097" s="5238" t="s">
        <v>4154</v>
      </c>
      <c r="C1097" s="5239" t="s">
        <v>2170</v>
      </c>
      <c r="D1097" s="5240"/>
      <c r="E1097" s="5241"/>
      <c r="F1097" s="5243">
        <f t="shared" si="96"/>
        <v>0</v>
      </c>
      <c r="G1097" s="5241"/>
      <c r="H1097" s="5241"/>
      <c r="I1097" s="5243">
        <f t="shared" si="97"/>
        <v>0</v>
      </c>
      <c r="J1097" s="5244">
        <f t="shared" si="101"/>
        <v>0</v>
      </c>
      <c r="K1097" s="5245">
        <f t="shared" si="98"/>
        <v>0</v>
      </c>
      <c r="L1097" s="5245">
        <f t="shared" si="99"/>
        <v>0</v>
      </c>
      <c r="M1097" s="5245">
        <f t="shared" si="100"/>
        <v>0</v>
      </c>
    </row>
    <row r="1098" spans="1:13" ht="14.85" customHeight="1">
      <c r="A1098" s="5238">
        <v>475</v>
      </c>
      <c r="B1098" s="5238" t="s">
        <v>4155</v>
      </c>
      <c r="C1098" s="5239" t="s">
        <v>2141</v>
      </c>
      <c r="D1098" s="5240"/>
      <c r="E1098" s="5241"/>
      <c r="F1098" s="5243">
        <f t="shared" si="96"/>
        <v>0</v>
      </c>
      <c r="G1098" s="5241"/>
      <c r="H1098" s="5241"/>
      <c r="I1098" s="5243">
        <f t="shared" si="97"/>
        <v>0</v>
      </c>
      <c r="J1098" s="5244">
        <f t="shared" si="101"/>
        <v>0</v>
      </c>
      <c r="K1098" s="5245">
        <f t="shared" si="98"/>
        <v>0</v>
      </c>
      <c r="L1098" s="5245">
        <f t="shared" si="99"/>
        <v>0</v>
      </c>
      <c r="M1098" s="5245">
        <f t="shared" si="100"/>
        <v>0</v>
      </c>
    </row>
    <row r="1099" spans="1:13" ht="14.85" customHeight="1">
      <c r="A1099" s="5238">
        <v>475</v>
      </c>
      <c r="B1099" s="5238" t="s">
        <v>4156</v>
      </c>
      <c r="C1099" s="5239" t="s">
        <v>2825</v>
      </c>
      <c r="D1099" s="5240"/>
      <c r="E1099" s="5241"/>
      <c r="F1099" s="5243">
        <f t="shared" si="96"/>
        <v>0</v>
      </c>
      <c r="G1099" s="5241"/>
      <c r="H1099" s="5241"/>
      <c r="I1099" s="5243">
        <f t="shared" si="97"/>
        <v>0</v>
      </c>
      <c r="J1099" s="5244">
        <f t="shared" si="101"/>
        <v>0</v>
      </c>
      <c r="K1099" s="5245">
        <f t="shared" si="98"/>
        <v>0</v>
      </c>
      <c r="L1099" s="5245">
        <f t="shared" si="99"/>
        <v>0</v>
      </c>
      <c r="M1099" s="5245">
        <f t="shared" si="100"/>
        <v>0</v>
      </c>
    </row>
    <row r="1100" spans="1:13" ht="14.85" customHeight="1">
      <c r="A1100" s="5238">
        <v>475</v>
      </c>
      <c r="B1100" s="5238" t="s">
        <v>4157</v>
      </c>
      <c r="C1100" s="5239" t="s">
        <v>2826</v>
      </c>
      <c r="D1100" s="5240"/>
      <c r="E1100" s="5241"/>
      <c r="F1100" s="5243">
        <f t="shared" si="96"/>
        <v>0</v>
      </c>
      <c r="G1100" s="5241"/>
      <c r="H1100" s="5241"/>
      <c r="I1100" s="5243">
        <f t="shared" si="97"/>
        <v>0</v>
      </c>
      <c r="J1100" s="5244">
        <f t="shared" si="101"/>
        <v>0</v>
      </c>
      <c r="K1100" s="5245">
        <f t="shared" si="98"/>
        <v>0</v>
      </c>
      <c r="L1100" s="5245">
        <f t="shared" si="99"/>
        <v>0</v>
      </c>
      <c r="M1100" s="5245">
        <f t="shared" si="100"/>
        <v>0</v>
      </c>
    </row>
    <row r="1101" spans="1:13" ht="14.85" customHeight="1">
      <c r="A1101" s="5238">
        <v>475</v>
      </c>
      <c r="B1101" s="5238" t="s">
        <v>4158</v>
      </c>
      <c r="C1101" s="5239" t="s">
        <v>2045</v>
      </c>
      <c r="D1101" s="5240"/>
      <c r="E1101" s="5241"/>
      <c r="F1101" s="5243">
        <f t="shared" si="96"/>
        <v>0</v>
      </c>
      <c r="G1101" s="5241"/>
      <c r="H1101" s="5241"/>
      <c r="I1101" s="5243">
        <f t="shared" si="97"/>
        <v>0</v>
      </c>
      <c r="J1101" s="5244">
        <f t="shared" si="101"/>
        <v>0</v>
      </c>
      <c r="K1101" s="5245">
        <f t="shared" si="98"/>
        <v>0</v>
      </c>
      <c r="L1101" s="5245">
        <f t="shared" si="99"/>
        <v>0</v>
      </c>
      <c r="M1101" s="5245">
        <f t="shared" si="100"/>
        <v>0</v>
      </c>
    </row>
    <row r="1102" spans="1:13" ht="14.85" customHeight="1">
      <c r="A1102" s="5238">
        <v>475</v>
      </c>
      <c r="B1102" s="5238" t="s">
        <v>4159</v>
      </c>
      <c r="C1102" s="5239" t="s">
        <v>2827</v>
      </c>
      <c r="D1102" s="5240"/>
      <c r="E1102" s="5241"/>
      <c r="F1102" s="5243">
        <f t="shared" si="96"/>
        <v>0</v>
      </c>
      <c r="G1102" s="5241"/>
      <c r="H1102" s="5241"/>
      <c r="I1102" s="5243">
        <f t="shared" si="97"/>
        <v>0</v>
      </c>
      <c r="J1102" s="5244">
        <f t="shared" si="101"/>
        <v>0</v>
      </c>
      <c r="K1102" s="5245">
        <f t="shared" si="98"/>
        <v>0</v>
      </c>
      <c r="L1102" s="5245">
        <f t="shared" si="99"/>
        <v>0</v>
      </c>
      <c r="M1102" s="5245">
        <f t="shared" si="100"/>
        <v>0</v>
      </c>
    </row>
    <row r="1103" spans="1:13" ht="14.85" customHeight="1">
      <c r="A1103" s="5238">
        <v>475</v>
      </c>
      <c r="B1103" s="5238" t="s">
        <v>4160</v>
      </c>
      <c r="C1103" s="5239" t="s">
        <v>2828</v>
      </c>
      <c r="D1103" s="5240"/>
      <c r="E1103" s="5241"/>
      <c r="F1103" s="5243">
        <f t="shared" si="96"/>
        <v>0</v>
      </c>
      <c r="G1103" s="5241"/>
      <c r="H1103" s="5241"/>
      <c r="I1103" s="5243">
        <f t="shared" si="97"/>
        <v>0</v>
      </c>
      <c r="J1103" s="5244">
        <f t="shared" si="101"/>
        <v>0</v>
      </c>
      <c r="K1103" s="5245">
        <f t="shared" si="98"/>
        <v>0</v>
      </c>
      <c r="L1103" s="5245">
        <f t="shared" si="99"/>
        <v>0</v>
      </c>
      <c r="M1103" s="5245">
        <f t="shared" si="100"/>
        <v>0</v>
      </c>
    </row>
    <row r="1104" spans="1:13" ht="14.85" customHeight="1">
      <c r="A1104" s="5238">
        <v>475</v>
      </c>
      <c r="B1104" s="5238" t="s">
        <v>4161</v>
      </c>
      <c r="C1104" s="5239" t="s">
        <v>2829</v>
      </c>
      <c r="D1104" s="5240"/>
      <c r="E1104" s="5241"/>
      <c r="F1104" s="5243">
        <f t="shared" si="96"/>
        <v>0</v>
      </c>
      <c r="G1104" s="5241"/>
      <c r="H1104" s="5241"/>
      <c r="I1104" s="5243">
        <f t="shared" si="97"/>
        <v>0</v>
      </c>
      <c r="J1104" s="5244">
        <f t="shared" si="101"/>
        <v>0</v>
      </c>
      <c r="K1104" s="5245">
        <f t="shared" si="98"/>
        <v>0</v>
      </c>
      <c r="L1104" s="5245">
        <f t="shared" si="99"/>
        <v>0</v>
      </c>
      <c r="M1104" s="5245">
        <f t="shared" si="100"/>
        <v>0</v>
      </c>
    </row>
    <row r="1105" spans="1:13" ht="14.85" customHeight="1">
      <c r="A1105" s="5238">
        <v>475</v>
      </c>
      <c r="B1105" s="5238" t="s">
        <v>4162</v>
      </c>
      <c r="C1105" s="5239" t="s">
        <v>2830</v>
      </c>
      <c r="D1105" s="5240"/>
      <c r="E1105" s="5241"/>
      <c r="F1105" s="5243">
        <f t="shared" si="96"/>
        <v>0</v>
      </c>
      <c r="G1105" s="5241"/>
      <c r="H1105" s="5241"/>
      <c r="I1105" s="5243">
        <f t="shared" si="97"/>
        <v>0</v>
      </c>
      <c r="J1105" s="5244">
        <f t="shared" si="101"/>
        <v>0</v>
      </c>
      <c r="K1105" s="5245">
        <f t="shared" si="98"/>
        <v>0</v>
      </c>
      <c r="L1105" s="5245">
        <f t="shared" si="99"/>
        <v>0</v>
      </c>
      <c r="M1105" s="5245">
        <f t="shared" si="100"/>
        <v>0</v>
      </c>
    </row>
    <row r="1106" spans="1:13" ht="14.85" customHeight="1">
      <c r="A1106" s="5238">
        <v>475</v>
      </c>
      <c r="B1106" s="5238" t="s">
        <v>4163</v>
      </c>
      <c r="C1106" s="5239" t="s">
        <v>2831</v>
      </c>
      <c r="D1106" s="5240"/>
      <c r="E1106" s="5241"/>
      <c r="F1106" s="5243">
        <f t="shared" si="96"/>
        <v>0</v>
      </c>
      <c r="G1106" s="5241"/>
      <c r="H1106" s="5241"/>
      <c r="I1106" s="5243">
        <f t="shared" si="97"/>
        <v>0</v>
      </c>
      <c r="J1106" s="5244">
        <f t="shared" si="101"/>
        <v>0</v>
      </c>
      <c r="K1106" s="5245">
        <f t="shared" si="98"/>
        <v>0</v>
      </c>
      <c r="L1106" s="5245">
        <f t="shared" si="99"/>
        <v>0</v>
      </c>
      <c r="M1106" s="5245">
        <f t="shared" si="100"/>
        <v>0</v>
      </c>
    </row>
    <row r="1107" spans="1:13" ht="14.85" customHeight="1">
      <c r="A1107" s="5238">
        <v>475</v>
      </c>
      <c r="B1107" s="5238" t="s">
        <v>4164</v>
      </c>
      <c r="C1107" s="5239" t="s">
        <v>2832</v>
      </c>
      <c r="D1107" s="5240"/>
      <c r="E1107" s="5241"/>
      <c r="F1107" s="5243">
        <f t="shared" si="96"/>
        <v>0</v>
      </c>
      <c r="G1107" s="5241"/>
      <c r="H1107" s="5241"/>
      <c r="I1107" s="5243">
        <f t="shared" si="97"/>
        <v>0</v>
      </c>
      <c r="J1107" s="5244">
        <f t="shared" si="101"/>
        <v>0</v>
      </c>
      <c r="K1107" s="5245">
        <f t="shared" si="98"/>
        <v>0</v>
      </c>
      <c r="L1107" s="5245">
        <f t="shared" si="99"/>
        <v>0</v>
      </c>
      <c r="M1107" s="5245">
        <f t="shared" si="100"/>
        <v>0</v>
      </c>
    </row>
    <row r="1108" spans="1:13" ht="14.85" customHeight="1">
      <c r="A1108" s="5238">
        <v>476</v>
      </c>
      <c r="B1108" s="5238" t="s">
        <v>4165</v>
      </c>
      <c r="C1108" s="5239" t="s">
        <v>2833</v>
      </c>
      <c r="D1108" s="5240"/>
      <c r="E1108" s="5241"/>
      <c r="F1108" s="5243">
        <f t="shared" si="96"/>
        <v>0</v>
      </c>
      <c r="G1108" s="5241"/>
      <c r="H1108" s="5241"/>
      <c r="I1108" s="5243">
        <f t="shared" si="97"/>
        <v>0</v>
      </c>
      <c r="J1108" s="5244">
        <f t="shared" si="101"/>
        <v>0</v>
      </c>
      <c r="K1108" s="5245">
        <f t="shared" si="98"/>
        <v>0</v>
      </c>
      <c r="L1108" s="5245">
        <f t="shared" si="99"/>
        <v>0</v>
      </c>
      <c r="M1108" s="5245">
        <f t="shared" si="100"/>
        <v>0</v>
      </c>
    </row>
    <row r="1109" spans="1:13" ht="14.85" customHeight="1">
      <c r="A1109" s="5238">
        <v>476</v>
      </c>
      <c r="B1109" s="5238" t="s">
        <v>4166</v>
      </c>
      <c r="C1109" s="5239" t="s">
        <v>2834</v>
      </c>
      <c r="D1109" s="5240"/>
      <c r="E1109" s="5241"/>
      <c r="F1109" s="5243">
        <f t="shared" si="96"/>
        <v>0</v>
      </c>
      <c r="G1109" s="5241"/>
      <c r="H1109" s="5241"/>
      <c r="I1109" s="5243">
        <f t="shared" si="97"/>
        <v>0</v>
      </c>
      <c r="J1109" s="5244">
        <f t="shared" si="101"/>
        <v>0</v>
      </c>
      <c r="K1109" s="5245">
        <f t="shared" si="98"/>
        <v>0</v>
      </c>
      <c r="L1109" s="5245">
        <f t="shared" si="99"/>
        <v>0</v>
      </c>
      <c r="M1109" s="5245">
        <f t="shared" si="100"/>
        <v>0</v>
      </c>
    </row>
    <row r="1110" spans="1:13" ht="14.85" customHeight="1">
      <c r="A1110" s="5238">
        <v>477</v>
      </c>
      <c r="B1110" s="5238" t="s">
        <v>4167</v>
      </c>
      <c r="C1110" s="5239" t="s">
        <v>2835</v>
      </c>
      <c r="D1110" s="5240"/>
      <c r="E1110" s="5241"/>
      <c r="F1110" s="5243">
        <f t="shared" si="96"/>
        <v>0</v>
      </c>
      <c r="G1110" s="5241"/>
      <c r="H1110" s="5241"/>
      <c r="I1110" s="5243">
        <f t="shared" si="97"/>
        <v>0</v>
      </c>
      <c r="J1110" s="5244">
        <f t="shared" si="101"/>
        <v>0</v>
      </c>
      <c r="K1110" s="5245">
        <f t="shared" si="98"/>
        <v>0</v>
      </c>
      <c r="L1110" s="5245">
        <f t="shared" si="99"/>
        <v>0</v>
      </c>
      <c r="M1110" s="5245">
        <f t="shared" si="100"/>
        <v>0</v>
      </c>
    </row>
    <row r="1111" spans="1:13" ht="14.85" customHeight="1">
      <c r="A1111" s="5238">
        <v>477</v>
      </c>
      <c r="B1111" s="5238" t="s">
        <v>4168</v>
      </c>
      <c r="C1111" s="5239" t="s">
        <v>2836</v>
      </c>
      <c r="D1111" s="5240"/>
      <c r="E1111" s="5241"/>
      <c r="F1111" s="5243">
        <f t="shared" si="96"/>
        <v>0</v>
      </c>
      <c r="G1111" s="5241"/>
      <c r="H1111" s="5241"/>
      <c r="I1111" s="5243">
        <f t="shared" si="97"/>
        <v>0</v>
      </c>
      <c r="J1111" s="5244">
        <f t="shared" si="101"/>
        <v>0</v>
      </c>
      <c r="K1111" s="5245">
        <f t="shared" si="98"/>
        <v>0</v>
      </c>
      <c r="L1111" s="5245">
        <f t="shared" si="99"/>
        <v>0</v>
      </c>
      <c r="M1111" s="5245">
        <f t="shared" si="100"/>
        <v>0</v>
      </c>
    </row>
    <row r="1112" spans="1:13" ht="14.85" customHeight="1">
      <c r="A1112" s="5238">
        <v>479</v>
      </c>
      <c r="B1112" s="5238" t="s">
        <v>4169</v>
      </c>
      <c r="C1112" s="5239" t="s">
        <v>2837</v>
      </c>
      <c r="D1112" s="5240"/>
      <c r="E1112" s="5241"/>
      <c r="F1112" s="5243">
        <f t="shared" si="96"/>
        <v>0</v>
      </c>
      <c r="G1112" s="5241"/>
      <c r="H1112" s="5241"/>
      <c r="I1112" s="5243">
        <f t="shared" si="97"/>
        <v>0</v>
      </c>
      <c r="J1112" s="5244">
        <f t="shared" si="101"/>
        <v>0</v>
      </c>
      <c r="K1112" s="5245">
        <f t="shared" si="98"/>
        <v>0</v>
      </c>
      <c r="L1112" s="5245">
        <f t="shared" si="99"/>
        <v>0</v>
      </c>
      <c r="M1112" s="5245">
        <f t="shared" si="100"/>
        <v>0</v>
      </c>
    </row>
    <row r="1113" spans="1:13" ht="14.85" customHeight="1">
      <c r="A1113" s="5238">
        <v>479</v>
      </c>
      <c r="B1113" s="5238" t="s">
        <v>4170</v>
      </c>
      <c r="C1113" s="5239" t="s">
        <v>2838</v>
      </c>
      <c r="D1113" s="5240"/>
      <c r="E1113" s="5241"/>
      <c r="F1113" s="5243">
        <f t="shared" si="96"/>
        <v>0</v>
      </c>
      <c r="G1113" s="5241"/>
      <c r="H1113" s="5241"/>
      <c r="I1113" s="5243">
        <f t="shared" si="97"/>
        <v>0</v>
      </c>
      <c r="J1113" s="5244">
        <f t="shared" si="101"/>
        <v>0</v>
      </c>
      <c r="K1113" s="5245">
        <f t="shared" si="98"/>
        <v>0</v>
      </c>
      <c r="L1113" s="5245">
        <f t="shared" si="99"/>
        <v>0</v>
      </c>
      <c r="M1113" s="5245">
        <f t="shared" si="100"/>
        <v>0</v>
      </c>
    </row>
    <row r="1114" spans="1:13" ht="14.85" customHeight="1">
      <c r="A1114" s="5238">
        <v>480</v>
      </c>
      <c r="B1114" s="5238" t="s">
        <v>4171</v>
      </c>
      <c r="C1114" s="5239" t="s">
        <v>3622</v>
      </c>
      <c r="D1114" s="5240"/>
      <c r="E1114" s="5241"/>
      <c r="F1114" s="5243">
        <f t="shared" si="96"/>
        <v>0</v>
      </c>
      <c r="G1114" s="5241"/>
      <c r="H1114" s="5241"/>
      <c r="I1114" s="5243">
        <f t="shared" si="97"/>
        <v>0</v>
      </c>
      <c r="J1114" s="5244">
        <f t="shared" si="101"/>
        <v>0</v>
      </c>
      <c r="K1114" s="5245">
        <f t="shared" si="98"/>
        <v>0</v>
      </c>
      <c r="L1114" s="5245">
        <f t="shared" si="99"/>
        <v>0</v>
      </c>
      <c r="M1114" s="5245">
        <f t="shared" si="100"/>
        <v>0</v>
      </c>
    </row>
    <row r="1115" spans="1:13" ht="14.85" customHeight="1">
      <c r="A1115" s="5238">
        <v>480</v>
      </c>
      <c r="B1115" s="5238" t="s">
        <v>4172</v>
      </c>
      <c r="C1115" s="5239" t="s">
        <v>4173</v>
      </c>
      <c r="D1115" s="5240"/>
      <c r="E1115" s="5241"/>
      <c r="F1115" s="5243">
        <f t="shared" si="96"/>
        <v>0</v>
      </c>
      <c r="G1115" s="5241"/>
      <c r="H1115" s="5241"/>
      <c r="I1115" s="5243">
        <f t="shared" si="97"/>
        <v>0</v>
      </c>
      <c r="J1115" s="5244">
        <f t="shared" si="101"/>
        <v>0</v>
      </c>
      <c r="K1115" s="5245">
        <f t="shared" si="98"/>
        <v>0</v>
      </c>
      <c r="L1115" s="5245">
        <f t="shared" si="99"/>
        <v>0</v>
      </c>
      <c r="M1115" s="5245">
        <f t="shared" si="100"/>
        <v>0</v>
      </c>
    </row>
    <row r="1116" spans="1:13" ht="14.85" customHeight="1">
      <c r="A1116" s="5238">
        <v>480</v>
      </c>
      <c r="B1116" s="5238" t="s">
        <v>4174</v>
      </c>
      <c r="C1116" s="5239" t="s">
        <v>2573</v>
      </c>
      <c r="D1116" s="5240"/>
      <c r="E1116" s="5241"/>
      <c r="F1116" s="5243">
        <f t="shared" si="96"/>
        <v>0</v>
      </c>
      <c r="G1116" s="5241"/>
      <c r="H1116" s="5241"/>
      <c r="I1116" s="5243">
        <f t="shared" si="97"/>
        <v>0</v>
      </c>
      <c r="J1116" s="5244">
        <f t="shared" si="101"/>
        <v>0</v>
      </c>
      <c r="K1116" s="5245">
        <f t="shared" si="98"/>
        <v>0</v>
      </c>
      <c r="L1116" s="5245">
        <f t="shared" si="99"/>
        <v>0</v>
      </c>
      <c r="M1116" s="5245">
        <f t="shared" si="100"/>
        <v>0</v>
      </c>
    </row>
    <row r="1117" spans="1:13" ht="14.85" customHeight="1">
      <c r="A1117" s="5238">
        <v>480</v>
      </c>
      <c r="B1117" s="5238" t="s">
        <v>4175</v>
      </c>
      <c r="C1117" s="5239" t="s">
        <v>2839</v>
      </c>
      <c r="D1117" s="5240"/>
      <c r="E1117" s="5241"/>
      <c r="F1117" s="5243">
        <f t="shared" si="96"/>
        <v>0</v>
      </c>
      <c r="G1117" s="5241"/>
      <c r="H1117" s="5241"/>
      <c r="I1117" s="5243">
        <f t="shared" si="97"/>
        <v>0</v>
      </c>
      <c r="J1117" s="5244">
        <f t="shared" si="101"/>
        <v>0</v>
      </c>
      <c r="K1117" s="5245">
        <f t="shared" si="98"/>
        <v>0</v>
      </c>
      <c r="L1117" s="5245">
        <f t="shared" si="99"/>
        <v>0</v>
      </c>
      <c r="M1117" s="5245">
        <f t="shared" si="100"/>
        <v>0</v>
      </c>
    </row>
    <row r="1118" spans="1:13" ht="14.85" customHeight="1">
      <c r="A1118" s="5238">
        <v>480</v>
      </c>
      <c r="B1118" s="5238" t="s">
        <v>4176</v>
      </c>
      <c r="C1118" s="5239" t="s">
        <v>2840</v>
      </c>
      <c r="D1118" s="5240"/>
      <c r="E1118" s="5241"/>
      <c r="F1118" s="5243">
        <f t="shared" si="96"/>
        <v>0</v>
      </c>
      <c r="G1118" s="5241"/>
      <c r="H1118" s="5241"/>
      <c r="I1118" s="5243">
        <f t="shared" si="97"/>
        <v>0</v>
      </c>
      <c r="J1118" s="5244">
        <f t="shared" si="101"/>
        <v>0</v>
      </c>
      <c r="K1118" s="5245">
        <f t="shared" si="98"/>
        <v>0</v>
      </c>
      <c r="L1118" s="5245">
        <f t="shared" si="99"/>
        <v>0</v>
      </c>
      <c r="M1118" s="5245">
        <f t="shared" si="100"/>
        <v>0</v>
      </c>
    </row>
    <row r="1119" spans="1:13" ht="14.85" customHeight="1">
      <c r="A1119" s="5238">
        <v>480</v>
      </c>
      <c r="B1119" s="5238" t="s">
        <v>4177</v>
      </c>
      <c r="C1119" s="5239" t="s">
        <v>2841</v>
      </c>
      <c r="D1119" s="5240"/>
      <c r="E1119" s="5241"/>
      <c r="F1119" s="5243">
        <f t="shared" si="96"/>
        <v>0</v>
      </c>
      <c r="G1119" s="5241"/>
      <c r="H1119" s="5241"/>
      <c r="I1119" s="5243">
        <f t="shared" si="97"/>
        <v>0</v>
      </c>
      <c r="J1119" s="5244">
        <f t="shared" si="101"/>
        <v>0</v>
      </c>
      <c r="K1119" s="5245">
        <f t="shared" si="98"/>
        <v>0</v>
      </c>
      <c r="L1119" s="5245">
        <f t="shared" si="99"/>
        <v>0</v>
      </c>
      <c r="M1119" s="5245">
        <f t="shared" si="100"/>
        <v>0</v>
      </c>
    </row>
    <row r="1120" spans="1:13" ht="14.85" customHeight="1">
      <c r="A1120" s="5238">
        <v>480</v>
      </c>
      <c r="B1120" s="5238" t="s">
        <v>4178</v>
      </c>
      <c r="C1120" s="5239" t="s">
        <v>4179</v>
      </c>
      <c r="D1120" s="5240"/>
      <c r="E1120" s="5241"/>
      <c r="F1120" s="5243">
        <f t="shared" si="96"/>
        <v>0</v>
      </c>
      <c r="G1120" s="5241"/>
      <c r="H1120" s="5241"/>
      <c r="I1120" s="5243">
        <f t="shared" si="97"/>
        <v>0</v>
      </c>
      <c r="J1120" s="5244">
        <f t="shared" si="101"/>
        <v>0</v>
      </c>
      <c r="K1120" s="5245">
        <f t="shared" si="98"/>
        <v>0</v>
      </c>
      <c r="L1120" s="5245">
        <f t="shared" si="99"/>
        <v>0</v>
      </c>
      <c r="M1120" s="5245">
        <f t="shared" si="100"/>
        <v>0</v>
      </c>
    </row>
    <row r="1121" spans="1:13" ht="14.85" customHeight="1">
      <c r="A1121" s="5238">
        <v>480</v>
      </c>
      <c r="B1121" s="5238" t="s">
        <v>4180</v>
      </c>
      <c r="C1121" s="5239" t="s">
        <v>4181</v>
      </c>
      <c r="D1121" s="5240"/>
      <c r="E1121" s="5241"/>
      <c r="F1121" s="5243">
        <f t="shared" ref="F1121:F1184" si="102">SUM(D1121:E1121)</f>
        <v>0</v>
      </c>
      <c r="G1121" s="5241"/>
      <c r="H1121" s="5241"/>
      <c r="I1121" s="5243">
        <f t="shared" ref="I1121:I1184" si="103">SUM(G1121:H1121)</f>
        <v>0</v>
      </c>
      <c r="J1121" s="5244">
        <f t="shared" si="101"/>
        <v>0</v>
      </c>
      <c r="K1121" s="5245">
        <f t="shared" ref="K1121:K1184" si="104">IF(AND((J1121-35%)&gt;0,J1121&lt;50%),I1121*(J1121-35%)*0.7,0)</f>
        <v>0</v>
      </c>
      <c r="L1121" s="5245">
        <f t="shared" ref="L1121:L1184" si="105">IF(J1121&gt;=50%,I1121*10.5%,0)</f>
        <v>0</v>
      </c>
      <c r="M1121" s="5245">
        <f t="shared" ref="M1121:M1184" si="106">MAX(K1121,L1121)</f>
        <v>0</v>
      </c>
    </row>
    <row r="1122" spans="1:13" ht="14.85" customHeight="1">
      <c r="A1122" s="5238">
        <v>481</v>
      </c>
      <c r="B1122" s="5238" t="s">
        <v>4182</v>
      </c>
      <c r="C1122" s="5239" t="s">
        <v>2842</v>
      </c>
      <c r="D1122" s="5240"/>
      <c r="E1122" s="5241"/>
      <c r="F1122" s="5243">
        <f t="shared" si="102"/>
        <v>0</v>
      </c>
      <c r="G1122" s="5241"/>
      <c r="H1122" s="5241"/>
      <c r="I1122" s="5243">
        <f t="shared" si="103"/>
        <v>0</v>
      </c>
      <c r="J1122" s="5244">
        <f t="shared" si="101"/>
        <v>0</v>
      </c>
      <c r="K1122" s="5245">
        <f t="shared" si="104"/>
        <v>0</v>
      </c>
      <c r="L1122" s="5245">
        <f t="shared" si="105"/>
        <v>0</v>
      </c>
      <c r="M1122" s="5245">
        <f t="shared" si="106"/>
        <v>0</v>
      </c>
    </row>
    <row r="1123" spans="1:13" ht="14.85" customHeight="1">
      <c r="A1123" s="5238">
        <v>481</v>
      </c>
      <c r="B1123" s="5238" t="s">
        <v>4183</v>
      </c>
      <c r="C1123" s="5239" t="s">
        <v>2843</v>
      </c>
      <c r="D1123" s="5240"/>
      <c r="E1123" s="5241"/>
      <c r="F1123" s="5243">
        <f t="shared" si="102"/>
        <v>0</v>
      </c>
      <c r="G1123" s="5241"/>
      <c r="H1123" s="5241"/>
      <c r="I1123" s="5243">
        <f t="shared" si="103"/>
        <v>0</v>
      </c>
      <c r="J1123" s="5244">
        <f t="shared" si="101"/>
        <v>0</v>
      </c>
      <c r="K1123" s="5245">
        <f t="shared" si="104"/>
        <v>0</v>
      </c>
      <c r="L1123" s="5245">
        <f t="shared" si="105"/>
        <v>0</v>
      </c>
      <c r="M1123" s="5245">
        <f t="shared" si="106"/>
        <v>0</v>
      </c>
    </row>
    <row r="1124" spans="1:13" ht="14.85" customHeight="1">
      <c r="A1124" s="5238">
        <v>481</v>
      </c>
      <c r="B1124" s="5238" t="s">
        <v>4184</v>
      </c>
      <c r="C1124" s="5239" t="s">
        <v>2844</v>
      </c>
      <c r="D1124" s="5240"/>
      <c r="E1124" s="5241"/>
      <c r="F1124" s="5243">
        <f t="shared" si="102"/>
        <v>0</v>
      </c>
      <c r="G1124" s="5241"/>
      <c r="H1124" s="5241"/>
      <c r="I1124" s="5243">
        <f t="shared" si="103"/>
        <v>0</v>
      </c>
      <c r="J1124" s="5244">
        <f t="shared" ref="J1124:J1187" si="107">IF(ISERROR(I1124/F1124),0,I1124/F1124)</f>
        <v>0</v>
      </c>
      <c r="K1124" s="5245">
        <f t="shared" si="104"/>
        <v>0</v>
      </c>
      <c r="L1124" s="5245">
        <f t="shared" si="105"/>
        <v>0</v>
      </c>
      <c r="M1124" s="5245">
        <f t="shared" si="106"/>
        <v>0</v>
      </c>
    </row>
    <row r="1125" spans="1:13" ht="14.85" customHeight="1">
      <c r="A1125" s="5238">
        <v>481</v>
      </c>
      <c r="B1125" s="5238" t="s">
        <v>4185</v>
      </c>
      <c r="C1125" s="5239" t="s">
        <v>2845</v>
      </c>
      <c r="D1125" s="5240"/>
      <c r="E1125" s="5241"/>
      <c r="F1125" s="5243">
        <f t="shared" si="102"/>
        <v>0</v>
      </c>
      <c r="G1125" s="5241"/>
      <c r="H1125" s="5241"/>
      <c r="I1125" s="5243">
        <f t="shared" si="103"/>
        <v>0</v>
      </c>
      <c r="J1125" s="5244">
        <f t="shared" si="107"/>
        <v>0</v>
      </c>
      <c r="K1125" s="5245">
        <f t="shared" si="104"/>
        <v>0</v>
      </c>
      <c r="L1125" s="5245">
        <f t="shared" si="105"/>
        <v>0</v>
      </c>
      <c r="M1125" s="5245">
        <f t="shared" si="106"/>
        <v>0</v>
      </c>
    </row>
    <row r="1126" spans="1:13" ht="14.85" customHeight="1">
      <c r="A1126" s="5238">
        <v>482</v>
      </c>
      <c r="B1126" s="5238" t="s">
        <v>4186</v>
      </c>
      <c r="C1126" s="5239" t="s">
        <v>2846</v>
      </c>
      <c r="D1126" s="5240"/>
      <c r="E1126" s="5241"/>
      <c r="F1126" s="5243">
        <f t="shared" si="102"/>
        <v>0</v>
      </c>
      <c r="G1126" s="5241"/>
      <c r="H1126" s="5241"/>
      <c r="I1126" s="5243">
        <f t="shared" si="103"/>
        <v>0</v>
      </c>
      <c r="J1126" s="5244">
        <f t="shared" si="107"/>
        <v>0</v>
      </c>
      <c r="K1126" s="5245">
        <f t="shared" si="104"/>
        <v>0</v>
      </c>
      <c r="L1126" s="5245">
        <f t="shared" si="105"/>
        <v>0</v>
      </c>
      <c r="M1126" s="5245">
        <f t="shared" si="106"/>
        <v>0</v>
      </c>
    </row>
    <row r="1127" spans="1:13" ht="14.85" customHeight="1">
      <c r="A1127" s="5238">
        <v>482</v>
      </c>
      <c r="B1127" s="5238" t="s">
        <v>4187</v>
      </c>
      <c r="C1127" s="5239" t="s">
        <v>2847</v>
      </c>
      <c r="D1127" s="5240"/>
      <c r="E1127" s="5241"/>
      <c r="F1127" s="5243">
        <f t="shared" si="102"/>
        <v>0</v>
      </c>
      <c r="G1127" s="5241"/>
      <c r="H1127" s="5241"/>
      <c r="I1127" s="5243">
        <f t="shared" si="103"/>
        <v>0</v>
      </c>
      <c r="J1127" s="5244">
        <f t="shared" si="107"/>
        <v>0</v>
      </c>
      <c r="K1127" s="5245">
        <f t="shared" si="104"/>
        <v>0</v>
      </c>
      <c r="L1127" s="5245">
        <f t="shared" si="105"/>
        <v>0</v>
      </c>
      <c r="M1127" s="5245">
        <f t="shared" si="106"/>
        <v>0</v>
      </c>
    </row>
    <row r="1128" spans="1:13" ht="14.85" customHeight="1">
      <c r="A1128" s="5238">
        <v>483</v>
      </c>
      <c r="B1128" s="5238" t="s">
        <v>4188</v>
      </c>
      <c r="C1128" s="5239" t="s">
        <v>2848</v>
      </c>
      <c r="D1128" s="5240"/>
      <c r="E1128" s="5241"/>
      <c r="F1128" s="5243">
        <f t="shared" si="102"/>
        <v>0</v>
      </c>
      <c r="G1128" s="5241"/>
      <c r="H1128" s="5241"/>
      <c r="I1128" s="5243">
        <f t="shared" si="103"/>
        <v>0</v>
      </c>
      <c r="J1128" s="5244">
        <f t="shared" si="107"/>
        <v>0</v>
      </c>
      <c r="K1128" s="5245">
        <f t="shared" si="104"/>
        <v>0</v>
      </c>
      <c r="L1128" s="5245">
        <f t="shared" si="105"/>
        <v>0</v>
      </c>
      <c r="M1128" s="5245">
        <f t="shared" si="106"/>
        <v>0</v>
      </c>
    </row>
    <row r="1129" spans="1:13" ht="14.85" customHeight="1">
      <c r="A1129" s="5238">
        <v>483</v>
      </c>
      <c r="B1129" s="5238" t="s">
        <v>4189</v>
      </c>
      <c r="C1129" s="5239" t="s">
        <v>2849</v>
      </c>
      <c r="D1129" s="5240"/>
      <c r="E1129" s="5241"/>
      <c r="F1129" s="5243">
        <f t="shared" si="102"/>
        <v>0</v>
      </c>
      <c r="G1129" s="5241"/>
      <c r="H1129" s="5241"/>
      <c r="I1129" s="5243">
        <f t="shared" si="103"/>
        <v>0</v>
      </c>
      <c r="J1129" s="5244">
        <f t="shared" si="107"/>
        <v>0</v>
      </c>
      <c r="K1129" s="5245">
        <f t="shared" si="104"/>
        <v>0</v>
      </c>
      <c r="L1129" s="5245">
        <f t="shared" si="105"/>
        <v>0</v>
      </c>
      <c r="M1129" s="5245">
        <f t="shared" si="106"/>
        <v>0</v>
      </c>
    </row>
    <row r="1130" spans="1:13" ht="14.85" customHeight="1">
      <c r="A1130" s="5238">
        <v>483</v>
      </c>
      <c r="B1130" s="5238" t="s">
        <v>4190</v>
      </c>
      <c r="C1130" s="5239" t="s">
        <v>2850</v>
      </c>
      <c r="D1130" s="5240"/>
      <c r="E1130" s="5241"/>
      <c r="F1130" s="5243">
        <f t="shared" si="102"/>
        <v>0</v>
      </c>
      <c r="G1130" s="5241"/>
      <c r="H1130" s="5241"/>
      <c r="I1130" s="5243">
        <f t="shared" si="103"/>
        <v>0</v>
      </c>
      <c r="J1130" s="5244">
        <f t="shared" si="107"/>
        <v>0</v>
      </c>
      <c r="K1130" s="5245">
        <f t="shared" si="104"/>
        <v>0</v>
      </c>
      <c r="L1130" s="5245">
        <f t="shared" si="105"/>
        <v>0</v>
      </c>
      <c r="M1130" s="5245">
        <f t="shared" si="106"/>
        <v>0</v>
      </c>
    </row>
    <row r="1131" spans="1:13" ht="14.85" customHeight="1">
      <c r="A1131" s="5238">
        <v>484</v>
      </c>
      <c r="B1131" s="5238" t="s">
        <v>4191</v>
      </c>
      <c r="C1131" s="5239" t="s">
        <v>4192</v>
      </c>
      <c r="D1131" s="5240"/>
      <c r="E1131" s="5241"/>
      <c r="F1131" s="5243">
        <f t="shared" si="102"/>
        <v>0</v>
      </c>
      <c r="G1131" s="5241"/>
      <c r="H1131" s="5241"/>
      <c r="I1131" s="5243">
        <f t="shared" si="103"/>
        <v>0</v>
      </c>
      <c r="J1131" s="5244">
        <f t="shared" si="107"/>
        <v>0</v>
      </c>
      <c r="K1131" s="5245">
        <f t="shared" si="104"/>
        <v>0</v>
      </c>
      <c r="L1131" s="5245">
        <f t="shared" si="105"/>
        <v>0</v>
      </c>
      <c r="M1131" s="5245">
        <f t="shared" si="106"/>
        <v>0</v>
      </c>
    </row>
    <row r="1132" spans="1:13" ht="14.85" customHeight="1">
      <c r="A1132" s="5238">
        <v>484</v>
      </c>
      <c r="B1132" s="5238" t="s">
        <v>4193</v>
      </c>
      <c r="C1132" s="5239" t="s">
        <v>2681</v>
      </c>
      <c r="D1132" s="5240"/>
      <c r="E1132" s="5241"/>
      <c r="F1132" s="5243">
        <f t="shared" si="102"/>
        <v>0</v>
      </c>
      <c r="G1132" s="5241"/>
      <c r="H1132" s="5241"/>
      <c r="I1132" s="5243">
        <f t="shared" si="103"/>
        <v>0</v>
      </c>
      <c r="J1132" s="5244">
        <f t="shared" si="107"/>
        <v>0</v>
      </c>
      <c r="K1132" s="5245">
        <f t="shared" si="104"/>
        <v>0</v>
      </c>
      <c r="L1132" s="5245">
        <f t="shared" si="105"/>
        <v>0</v>
      </c>
      <c r="M1132" s="5245">
        <f t="shared" si="106"/>
        <v>0</v>
      </c>
    </row>
    <row r="1133" spans="1:13" ht="14.85" customHeight="1">
      <c r="A1133" s="5238">
        <v>484</v>
      </c>
      <c r="B1133" s="5238" t="s">
        <v>4194</v>
      </c>
      <c r="C1133" s="5239" t="s">
        <v>2851</v>
      </c>
      <c r="D1133" s="5240"/>
      <c r="E1133" s="5241"/>
      <c r="F1133" s="5243">
        <f t="shared" si="102"/>
        <v>0</v>
      </c>
      <c r="G1133" s="5241"/>
      <c r="H1133" s="5241"/>
      <c r="I1133" s="5243">
        <f t="shared" si="103"/>
        <v>0</v>
      </c>
      <c r="J1133" s="5244">
        <f t="shared" si="107"/>
        <v>0</v>
      </c>
      <c r="K1133" s="5245">
        <f t="shared" si="104"/>
        <v>0</v>
      </c>
      <c r="L1133" s="5245">
        <f t="shared" si="105"/>
        <v>0</v>
      </c>
      <c r="M1133" s="5245">
        <f t="shared" si="106"/>
        <v>0</v>
      </c>
    </row>
    <row r="1134" spans="1:13" ht="14.85" customHeight="1">
      <c r="A1134" s="5238">
        <v>487</v>
      </c>
      <c r="B1134" s="5238" t="s">
        <v>4195</v>
      </c>
      <c r="C1134" s="5239" t="s">
        <v>2852</v>
      </c>
      <c r="D1134" s="5240"/>
      <c r="E1134" s="5241"/>
      <c r="F1134" s="5243">
        <f t="shared" si="102"/>
        <v>0</v>
      </c>
      <c r="G1134" s="5241"/>
      <c r="H1134" s="5241"/>
      <c r="I1134" s="5243">
        <f t="shared" si="103"/>
        <v>0</v>
      </c>
      <c r="J1134" s="5244">
        <f t="shared" si="107"/>
        <v>0</v>
      </c>
      <c r="K1134" s="5245">
        <f t="shared" si="104"/>
        <v>0</v>
      </c>
      <c r="L1134" s="5245">
        <f t="shared" si="105"/>
        <v>0</v>
      </c>
      <c r="M1134" s="5245">
        <f t="shared" si="106"/>
        <v>0</v>
      </c>
    </row>
    <row r="1135" spans="1:13" ht="14.85" customHeight="1">
      <c r="A1135" s="5238">
        <v>487</v>
      </c>
      <c r="B1135" s="5238" t="s">
        <v>4196</v>
      </c>
      <c r="C1135" s="5239" t="s">
        <v>2853</v>
      </c>
      <c r="D1135" s="5240"/>
      <c r="E1135" s="5241"/>
      <c r="F1135" s="5243">
        <f t="shared" si="102"/>
        <v>0</v>
      </c>
      <c r="G1135" s="5241"/>
      <c r="H1135" s="5241"/>
      <c r="I1135" s="5243">
        <f t="shared" si="103"/>
        <v>0</v>
      </c>
      <c r="J1135" s="5244">
        <f t="shared" si="107"/>
        <v>0</v>
      </c>
      <c r="K1135" s="5245">
        <f t="shared" si="104"/>
        <v>0</v>
      </c>
      <c r="L1135" s="5245">
        <f t="shared" si="105"/>
        <v>0</v>
      </c>
      <c r="M1135" s="5245">
        <f t="shared" si="106"/>
        <v>0</v>
      </c>
    </row>
    <row r="1136" spans="1:13" ht="14.85" customHeight="1">
      <c r="A1136" s="5238">
        <v>487</v>
      </c>
      <c r="B1136" s="5238" t="s">
        <v>4197</v>
      </c>
      <c r="C1136" s="5239" t="s">
        <v>2854</v>
      </c>
      <c r="D1136" s="5240"/>
      <c r="E1136" s="5241"/>
      <c r="F1136" s="5243">
        <f t="shared" si="102"/>
        <v>0</v>
      </c>
      <c r="G1136" s="5241"/>
      <c r="H1136" s="5241"/>
      <c r="I1136" s="5243">
        <f t="shared" si="103"/>
        <v>0</v>
      </c>
      <c r="J1136" s="5244">
        <f t="shared" si="107"/>
        <v>0</v>
      </c>
      <c r="K1136" s="5245">
        <f t="shared" si="104"/>
        <v>0</v>
      </c>
      <c r="L1136" s="5245">
        <f t="shared" si="105"/>
        <v>0</v>
      </c>
      <c r="M1136" s="5245">
        <f t="shared" si="106"/>
        <v>0</v>
      </c>
    </row>
    <row r="1137" spans="1:13" ht="14.85" customHeight="1">
      <c r="A1137" s="5238">
        <v>489</v>
      </c>
      <c r="B1137" s="5238" t="s">
        <v>4198</v>
      </c>
      <c r="C1137" s="5239" t="s">
        <v>2141</v>
      </c>
      <c r="D1137" s="5240"/>
      <c r="E1137" s="5241"/>
      <c r="F1137" s="5243">
        <f t="shared" si="102"/>
        <v>0</v>
      </c>
      <c r="G1137" s="5241"/>
      <c r="H1137" s="5241"/>
      <c r="I1137" s="5243">
        <f t="shared" si="103"/>
        <v>0</v>
      </c>
      <c r="J1137" s="5244">
        <f t="shared" si="107"/>
        <v>0</v>
      </c>
      <c r="K1137" s="5245">
        <f t="shared" si="104"/>
        <v>0</v>
      </c>
      <c r="L1137" s="5245">
        <f t="shared" si="105"/>
        <v>0</v>
      </c>
      <c r="M1137" s="5245">
        <f t="shared" si="106"/>
        <v>0</v>
      </c>
    </row>
    <row r="1138" spans="1:13" ht="14.85" customHeight="1">
      <c r="A1138" s="5238">
        <v>489</v>
      </c>
      <c r="B1138" s="5238" t="s">
        <v>4199</v>
      </c>
      <c r="C1138" s="5239" t="s">
        <v>2563</v>
      </c>
      <c r="D1138" s="5240"/>
      <c r="E1138" s="5241"/>
      <c r="F1138" s="5243">
        <f t="shared" si="102"/>
        <v>0</v>
      </c>
      <c r="G1138" s="5241"/>
      <c r="H1138" s="5241"/>
      <c r="I1138" s="5243">
        <f t="shared" si="103"/>
        <v>0</v>
      </c>
      <c r="J1138" s="5244">
        <f t="shared" si="107"/>
        <v>0</v>
      </c>
      <c r="K1138" s="5245">
        <f t="shared" si="104"/>
        <v>0</v>
      </c>
      <c r="L1138" s="5245">
        <f t="shared" si="105"/>
        <v>0</v>
      </c>
      <c r="M1138" s="5245">
        <f t="shared" si="106"/>
        <v>0</v>
      </c>
    </row>
    <row r="1139" spans="1:13" ht="14.85" customHeight="1">
      <c r="A1139" s="5238">
        <v>489</v>
      </c>
      <c r="B1139" s="5238" t="s">
        <v>4200</v>
      </c>
      <c r="C1139" s="5239" t="s">
        <v>2855</v>
      </c>
      <c r="D1139" s="5240"/>
      <c r="E1139" s="5241"/>
      <c r="F1139" s="5243">
        <f t="shared" si="102"/>
        <v>0</v>
      </c>
      <c r="G1139" s="5241"/>
      <c r="H1139" s="5241"/>
      <c r="I1139" s="5243">
        <f t="shared" si="103"/>
        <v>0</v>
      </c>
      <c r="J1139" s="5244">
        <f t="shared" si="107"/>
        <v>0</v>
      </c>
      <c r="K1139" s="5245">
        <f t="shared" si="104"/>
        <v>0</v>
      </c>
      <c r="L1139" s="5245">
        <f t="shared" si="105"/>
        <v>0</v>
      </c>
      <c r="M1139" s="5245">
        <f t="shared" si="106"/>
        <v>0</v>
      </c>
    </row>
    <row r="1140" spans="1:13" ht="14.85" customHeight="1">
      <c r="A1140" s="5238">
        <v>489</v>
      </c>
      <c r="B1140" s="5238" t="s">
        <v>4201</v>
      </c>
      <c r="C1140" s="5239" t="s">
        <v>2856</v>
      </c>
      <c r="D1140" s="5240"/>
      <c r="E1140" s="5241"/>
      <c r="F1140" s="5243">
        <f t="shared" si="102"/>
        <v>0</v>
      </c>
      <c r="G1140" s="5241"/>
      <c r="H1140" s="5241"/>
      <c r="I1140" s="5243">
        <f t="shared" si="103"/>
        <v>0</v>
      </c>
      <c r="J1140" s="5244">
        <f t="shared" si="107"/>
        <v>0</v>
      </c>
      <c r="K1140" s="5245">
        <f t="shared" si="104"/>
        <v>0</v>
      </c>
      <c r="L1140" s="5245">
        <f t="shared" si="105"/>
        <v>0</v>
      </c>
      <c r="M1140" s="5245">
        <f t="shared" si="106"/>
        <v>0</v>
      </c>
    </row>
    <row r="1141" spans="1:13" ht="14.85" customHeight="1">
      <c r="A1141" s="5238">
        <v>489</v>
      </c>
      <c r="B1141" s="5238" t="s">
        <v>4202</v>
      </c>
      <c r="C1141" s="5239" t="s">
        <v>2857</v>
      </c>
      <c r="D1141" s="5240"/>
      <c r="E1141" s="5241"/>
      <c r="F1141" s="5243">
        <f t="shared" si="102"/>
        <v>0</v>
      </c>
      <c r="G1141" s="5241"/>
      <c r="H1141" s="5241"/>
      <c r="I1141" s="5243">
        <f t="shared" si="103"/>
        <v>0</v>
      </c>
      <c r="J1141" s="5244">
        <f t="shared" si="107"/>
        <v>0</v>
      </c>
      <c r="K1141" s="5245">
        <f t="shared" si="104"/>
        <v>0</v>
      </c>
      <c r="L1141" s="5245">
        <f t="shared" si="105"/>
        <v>0</v>
      </c>
      <c r="M1141" s="5245">
        <f t="shared" si="106"/>
        <v>0</v>
      </c>
    </row>
    <row r="1142" spans="1:13" ht="14.85" customHeight="1">
      <c r="A1142" s="5238">
        <v>489</v>
      </c>
      <c r="B1142" s="5238" t="s">
        <v>4203</v>
      </c>
      <c r="C1142" s="5239" t="s">
        <v>2654</v>
      </c>
      <c r="D1142" s="5240"/>
      <c r="E1142" s="5241"/>
      <c r="F1142" s="5243">
        <f t="shared" si="102"/>
        <v>0</v>
      </c>
      <c r="G1142" s="5241"/>
      <c r="H1142" s="5241"/>
      <c r="I1142" s="5243">
        <f t="shared" si="103"/>
        <v>0</v>
      </c>
      <c r="J1142" s="5244">
        <f t="shared" si="107"/>
        <v>0</v>
      </c>
      <c r="K1142" s="5245">
        <f t="shared" si="104"/>
        <v>0</v>
      </c>
      <c r="L1142" s="5245">
        <f t="shared" si="105"/>
        <v>0</v>
      </c>
      <c r="M1142" s="5245">
        <f t="shared" si="106"/>
        <v>0</v>
      </c>
    </row>
    <row r="1143" spans="1:13" ht="14.85" customHeight="1">
      <c r="A1143" s="5238">
        <v>490</v>
      </c>
      <c r="B1143" s="5238" t="s">
        <v>4204</v>
      </c>
      <c r="C1143" s="5239" t="s">
        <v>2821</v>
      </c>
      <c r="D1143" s="5240"/>
      <c r="E1143" s="5241"/>
      <c r="F1143" s="5243">
        <f t="shared" si="102"/>
        <v>0</v>
      </c>
      <c r="G1143" s="5241"/>
      <c r="H1143" s="5241"/>
      <c r="I1143" s="5243">
        <f t="shared" si="103"/>
        <v>0</v>
      </c>
      <c r="J1143" s="5244">
        <f t="shared" si="107"/>
        <v>0</v>
      </c>
      <c r="K1143" s="5245">
        <f t="shared" si="104"/>
        <v>0</v>
      </c>
      <c r="L1143" s="5245">
        <f t="shared" si="105"/>
        <v>0</v>
      </c>
      <c r="M1143" s="5245">
        <f t="shared" si="106"/>
        <v>0</v>
      </c>
    </row>
    <row r="1144" spans="1:13" ht="14.85" customHeight="1">
      <c r="A1144" s="5238">
        <v>490</v>
      </c>
      <c r="B1144" s="5238" t="s">
        <v>4205</v>
      </c>
      <c r="C1144" s="5239" t="s">
        <v>2858</v>
      </c>
      <c r="D1144" s="5240"/>
      <c r="E1144" s="5241"/>
      <c r="F1144" s="5243">
        <f t="shared" si="102"/>
        <v>0</v>
      </c>
      <c r="G1144" s="5241"/>
      <c r="H1144" s="5241"/>
      <c r="I1144" s="5243">
        <f t="shared" si="103"/>
        <v>0</v>
      </c>
      <c r="J1144" s="5244">
        <f t="shared" si="107"/>
        <v>0</v>
      </c>
      <c r="K1144" s="5245">
        <f t="shared" si="104"/>
        <v>0</v>
      </c>
      <c r="L1144" s="5245">
        <f t="shared" si="105"/>
        <v>0</v>
      </c>
      <c r="M1144" s="5245">
        <f t="shared" si="106"/>
        <v>0</v>
      </c>
    </row>
    <row r="1145" spans="1:13" ht="14.85" customHeight="1">
      <c r="A1145" s="5238">
        <v>490</v>
      </c>
      <c r="B1145" s="5238" t="s">
        <v>4206</v>
      </c>
      <c r="C1145" s="5239" t="s">
        <v>2859</v>
      </c>
      <c r="D1145" s="5240"/>
      <c r="E1145" s="5241"/>
      <c r="F1145" s="5243">
        <f t="shared" si="102"/>
        <v>0</v>
      </c>
      <c r="G1145" s="5241"/>
      <c r="H1145" s="5241"/>
      <c r="I1145" s="5243">
        <f t="shared" si="103"/>
        <v>0</v>
      </c>
      <c r="J1145" s="5244">
        <f t="shared" si="107"/>
        <v>0</v>
      </c>
      <c r="K1145" s="5245">
        <f t="shared" si="104"/>
        <v>0</v>
      </c>
      <c r="L1145" s="5245">
        <f t="shared" si="105"/>
        <v>0</v>
      </c>
      <c r="M1145" s="5245">
        <f t="shared" si="106"/>
        <v>0</v>
      </c>
    </row>
    <row r="1146" spans="1:13" ht="14.85" customHeight="1">
      <c r="A1146" s="5238">
        <v>490</v>
      </c>
      <c r="B1146" s="5238" t="s">
        <v>4207</v>
      </c>
      <c r="C1146" s="5239" t="s">
        <v>2860</v>
      </c>
      <c r="D1146" s="5240"/>
      <c r="E1146" s="5241"/>
      <c r="F1146" s="5243">
        <f t="shared" si="102"/>
        <v>0</v>
      </c>
      <c r="G1146" s="5241"/>
      <c r="H1146" s="5241"/>
      <c r="I1146" s="5243">
        <f t="shared" si="103"/>
        <v>0</v>
      </c>
      <c r="J1146" s="5244">
        <f t="shared" si="107"/>
        <v>0</v>
      </c>
      <c r="K1146" s="5245">
        <f t="shared" si="104"/>
        <v>0</v>
      </c>
      <c r="L1146" s="5245">
        <f t="shared" si="105"/>
        <v>0</v>
      </c>
      <c r="M1146" s="5245">
        <f t="shared" si="106"/>
        <v>0</v>
      </c>
    </row>
    <row r="1147" spans="1:13" ht="14.85" customHeight="1">
      <c r="A1147" s="5238">
        <v>490</v>
      </c>
      <c r="B1147" s="5238" t="s">
        <v>4539</v>
      </c>
      <c r="C1147" s="5239" t="s">
        <v>4540</v>
      </c>
      <c r="D1147" s="5240"/>
      <c r="E1147" s="5241"/>
      <c r="F1147" s="5243">
        <f t="shared" si="102"/>
        <v>0</v>
      </c>
      <c r="G1147" s="5241"/>
      <c r="H1147" s="5241"/>
      <c r="I1147" s="5243">
        <f t="shared" si="103"/>
        <v>0</v>
      </c>
      <c r="J1147" s="5244">
        <f t="shared" si="107"/>
        <v>0</v>
      </c>
      <c r="K1147" s="5245">
        <f t="shared" si="104"/>
        <v>0</v>
      </c>
      <c r="L1147" s="5245">
        <f t="shared" si="105"/>
        <v>0</v>
      </c>
      <c r="M1147" s="5245">
        <f t="shared" si="106"/>
        <v>0</v>
      </c>
    </row>
    <row r="1148" spans="1:13" ht="14.85" customHeight="1">
      <c r="A1148" s="5238">
        <v>491</v>
      </c>
      <c r="B1148" s="5238" t="s">
        <v>4208</v>
      </c>
      <c r="C1148" s="5239" t="s">
        <v>2861</v>
      </c>
      <c r="D1148" s="5240"/>
      <c r="E1148" s="5241"/>
      <c r="F1148" s="5243">
        <f t="shared" si="102"/>
        <v>0</v>
      </c>
      <c r="G1148" s="5241"/>
      <c r="H1148" s="5241"/>
      <c r="I1148" s="5243">
        <f t="shared" si="103"/>
        <v>0</v>
      </c>
      <c r="J1148" s="5244">
        <f t="shared" si="107"/>
        <v>0</v>
      </c>
      <c r="K1148" s="5245">
        <f t="shared" si="104"/>
        <v>0</v>
      </c>
      <c r="L1148" s="5245">
        <f t="shared" si="105"/>
        <v>0</v>
      </c>
      <c r="M1148" s="5245">
        <f t="shared" si="106"/>
        <v>0</v>
      </c>
    </row>
    <row r="1149" spans="1:13" ht="14.85" customHeight="1">
      <c r="A1149" s="5238">
        <v>491</v>
      </c>
      <c r="B1149" s="5238" t="s">
        <v>4209</v>
      </c>
      <c r="C1149" s="5239" t="s">
        <v>2862</v>
      </c>
      <c r="D1149" s="5240"/>
      <c r="E1149" s="5241"/>
      <c r="F1149" s="5243">
        <f t="shared" si="102"/>
        <v>0</v>
      </c>
      <c r="G1149" s="5241"/>
      <c r="H1149" s="5241"/>
      <c r="I1149" s="5243">
        <f t="shared" si="103"/>
        <v>0</v>
      </c>
      <c r="J1149" s="5244">
        <f t="shared" si="107"/>
        <v>0</v>
      </c>
      <c r="K1149" s="5245">
        <f t="shared" si="104"/>
        <v>0</v>
      </c>
      <c r="L1149" s="5245">
        <f t="shared" si="105"/>
        <v>0</v>
      </c>
      <c r="M1149" s="5245">
        <f t="shared" si="106"/>
        <v>0</v>
      </c>
    </row>
    <row r="1150" spans="1:13" ht="14.85" customHeight="1">
      <c r="A1150" s="5238">
        <v>491</v>
      </c>
      <c r="B1150" s="5238" t="s">
        <v>4210</v>
      </c>
      <c r="C1150" s="5239" t="s">
        <v>2863</v>
      </c>
      <c r="D1150" s="5240"/>
      <c r="E1150" s="5241"/>
      <c r="F1150" s="5243">
        <f t="shared" si="102"/>
        <v>0</v>
      </c>
      <c r="G1150" s="5241"/>
      <c r="H1150" s="5241"/>
      <c r="I1150" s="5243">
        <f t="shared" si="103"/>
        <v>0</v>
      </c>
      <c r="J1150" s="5244">
        <f t="shared" si="107"/>
        <v>0</v>
      </c>
      <c r="K1150" s="5245">
        <f t="shared" si="104"/>
        <v>0</v>
      </c>
      <c r="L1150" s="5245">
        <f t="shared" si="105"/>
        <v>0</v>
      </c>
      <c r="M1150" s="5245">
        <f t="shared" si="106"/>
        <v>0</v>
      </c>
    </row>
    <row r="1151" spans="1:13" ht="14.85" customHeight="1">
      <c r="A1151" s="5238">
        <v>492</v>
      </c>
      <c r="B1151" s="5238" t="s">
        <v>4211</v>
      </c>
      <c r="C1151" s="5239" t="s">
        <v>2864</v>
      </c>
      <c r="D1151" s="5240"/>
      <c r="E1151" s="5241"/>
      <c r="F1151" s="5243">
        <f t="shared" si="102"/>
        <v>0</v>
      </c>
      <c r="G1151" s="5241"/>
      <c r="H1151" s="5241"/>
      <c r="I1151" s="5243">
        <f t="shared" si="103"/>
        <v>0</v>
      </c>
      <c r="J1151" s="5244">
        <f t="shared" si="107"/>
        <v>0</v>
      </c>
      <c r="K1151" s="5245">
        <f t="shared" si="104"/>
        <v>0</v>
      </c>
      <c r="L1151" s="5245">
        <f t="shared" si="105"/>
        <v>0</v>
      </c>
      <c r="M1151" s="5245">
        <f t="shared" si="106"/>
        <v>0</v>
      </c>
    </row>
    <row r="1152" spans="1:13" ht="14.85" customHeight="1">
      <c r="A1152" s="5238">
        <v>492</v>
      </c>
      <c r="B1152" s="5238" t="s">
        <v>4212</v>
      </c>
      <c r="C1152" s="5239" t="s">
        <v>2865</v>
      </c>
      <c r="D1152" s="5240"/>
      <c r="E1152" s="5241"/>
      <c r="F1152" s="5243">
        <f t="shared" si="102"/>
        <v>0</v>
      </c>
      <c r="G1152" s="5241"/>
      <c r="H1152" s="5241"/>
      <c r="I1152" s="5243">
        <f t="shared" si="103"/>
        <v>0</v>
      </c>
      <c r="J1152" s="5244">
        <f t="shared" si="107"/>
        <v>0</v>
      </c>
      <c r="K1152" s="5245">
        <f t="shared" si="104"/>
        <v>0</v>
      </c>
      <c r="L1152" s="5245">
        <f t="shared" si="105"/>
        <v>0</v>
      </c>
      <c r="M1152" s="5245">
        <f t="shared" si="106"/>
        <v>0</v>
      </c>
    </row>
    <row r="1153" spans="1:13" ht="14.85" customHeight="1">
      <c r="A1153" s="5238">
        <v>492</v>
      </c>
      <c r="B1153" s="5238" t="s">
        <v>4213</v>
      </c>
      <c r="C1153" s="5239" t="s">
        <v>2866</v>
      </c>
      <c r="D1153" s="5240"/>
      <c r="E1153" s="5241"/>
      <c r="F1153" s="5243">
        <f t="shared" si="102"/>
        <v>0</v>
      </c>
      <c r="G1153" s="5241"/>
      <c r="H1153" s="5241"/>
      <c r="I1153" s="5243">
        <f t="shared" si="103"/>
        <v>0</v>
      </c>
      <c r="J1153" s="5244">
        <f t="shared" si="107"/>
        <v>0</v>
      </c>
      <c r="K1153" s="5245">
        <f t="shared" si="104"/>
        <v>0</v>
      </c>
      <c r="L1153" s="5245">
        <f t="shared" si="105"/>
        <v>0</v>
      </c>
      <c r="M1153" s="5245">
        <f t="shared" si="106"/>
        <v>0</v>
      </c>
    </row>
    <row r="1154" spans="1:13" ht="14.85" customHeight="1">
      <c r="A1154" s="5238">
        <v>492</v>
      </c>
      <c r="B1154" s="5238" t="s">
        <v>4214</v>
      </c>
      <c r="C1154" s="5239" t="s">
        <v>2867</v>
      </c>
      <c r="D1154" s="5240"/>
      <c r="E1154" s="5241"/>
      <c r="F1154" s="5243">
        <f t="shared" si="102"/>
        <v>0</v>
      </c>
      <c r="G1154" s="5241"/>
      <c r="H1154" s="5241"/>
      <c r="I1154" s="5243">
        <f t="shared" si="103"/>
        <v>0</v>
      </c>
      <c r="J1154" s="5244">
        <f t="shared" si="107"/>
        <v>0</v>
      </c>
      <c r="K1154" s="5245">
        <f t="shared" si="104"/>
        <v>0</v>
      </c>
      <c r="L1154" s="5245">
        <f t="shared" si="105"/>
        <v>0</v>
      </c>
      <c r="M1154" s="5245">
        <f t="shared" si="106"/>
        <v>0</v>
      </c>
    </row>
    <row r="1155" spans="1:13" ht="14.85" customHeight="1">
      <c r="A1155" s="5238">
        <v>493</v>
      </c>
      <c r="B1155" s="5238" t="s">
        <v>4215</v>
      </c>
      <c r="C1155" s="5239" t="s">
        <v>2868</v>
      </c>
      <c r="D1155" s="5240"/>
      <c r="E1155" s="5241"/>
      <c r="F1155" s="5243">
        <f t="shared" si="102"/>
        <v>0</v>
      </c>
      <c r="G1155" s="5241"/>
      <c r="H1155" s="5241"/>
      <c r="I1155" s="5243">
        <f t="shared" si="103"/>
        <v>0</v>
      </c>
      <c r="J1155" s="5244">
        <f t="shared" si="107"/>
        <v>0</v>
      </c>
      <c r="K1155" s="5245">
        <f t="shared" si="104"/>
        <v>0</v>
      </c>
      <c r="L1155" s="5245">
        <f t="shared" si="105"/>
        <v>0</v>
      </c>
      <c r="M1155" s="5245">
        <f t="shared" si="106"/>
        <v>0</v>
      </c>
    </row>
    <row r="1156" spans="1:13" ht="14.85" customHeight="1">
      <c r="A1156" s="5238">
        <v>493</v>
      </c>
      <c r="B1156" s="5238" t="s">
        <v>4216</v>
      </c>
      <c r="C1156" s="5239" t="s">
        <v>2672</v>
      </c>
      <c r="D1156" s="5240"/>
      <c r="E1156" s="5241"/>
      <c r="F1156" s="5243">
        <f t="shared" si="102"/>
        <v>0</v>
      </c>
      <c r="G1156" s="5241"/>
      <c r="H1156" s="5241"/>
      <c r="I1156" s="5243">
        <f t="shared" si="103"/>
        <v>0</v>
      </c>
      <c r="J1156" s="5244">
        <f t="shared" si="107"/>
        <v>0</v>
      </c>
      <c r="K1156" s="5245">
        <f t="shared" si="104"/>
        <v>0</v>
      </c>
      <c r="L1156" s="5245">
        <f t="shared" si="105"/>
        <v>0</v>
      </c>
      <c r="M1156" s="5245">
        <f t="shared" si="106"/>
        <v>0</v>
      </c>
    </row>
    <row r="1157" spans="1:13" ht="14.85" customHeight="1">
      <c r="A1157" s="5238">
        <v>493</v>
      </c>
      <c r="B1157" s="5238" t="s">
        <v>4217</v>
      </c>
      <c r="C1157" s="5239" t="s">
        <v>2037</v>
      </c>
      <c r="D1157" s="5240"/>
      <c r="E1157" s="5241"/>
      <c r="F1157" s="5243">
        <f t="shared" si="102"/>
        <v>0</v>
      </c>
      <c r="G1157" s="5241"/>
      <c r="H1157" s="5241"/>
      <c r="I1157" s="5243">
        <f t="shared" si="103"/>
        <v>0</v>
      </c>
      <c r="J1157" s="5244">
        <f t="shared" si="107"/>
        <v>0</v>
      </c>
      <c r="K1157" s="5245">
        <f t="shared" si="104"/>
        <v>0</v>
      </c>
      <c r="L1157" s="5245">
        <f t="shared" si="105"/>
        <v>0</v>
      </c>
      <c r="M1157" s="5245">
        <f t="shared" si="106"/>
        <v>0</v>
      </c>
    </row>
    <row r="1158" spans="1:13" ht="14.85" customHeight="1">
      <c r="A1158" s="5238">
        <v>493</v>
      </c>
      <c r="B1158" s="5238" t="s">
        <v>4218</v>
      </c>
      <c r="C1158" s="5239" t="s">
        <v>2869</v>
      </c>
      <c r="D1158" s="5240"/>
      <c r="E1158" s="5241"/>
      <c r="F1158" s="5243">
        <f t="shared" si="102"/>
        <v>0</v>
      </c>
      <c r="G1158" s="5241"/>
      <c r="H1158" s="5241"/>
      <c r="I1158" s="5243">
        <f t="shared" si="103"/>
        <v>0</v>
      </c>
      <c r="J1158" s="5244">
        <f t="shared" si="107"/>
        <v>0</v>
      </c>
      <c r="K1158" s="5245">
        <f t="shared" si="104"/>
        <v>0</v>
      </c>
      <c r="L1158" s="5245">
        <f t="shared" si="105"/>
        <v>0</v>
      </c>
      <c r="M1158" s="5245">
        <f t="shared" si="106"/>
        <v>0</v>
      </c>
    </row>
    <row r="1159" spans="1:13" ht="14.85" customHeight="1">
      <c r="A1159" s="5238">
        <v>494</v>
      </c>
      <c r="B1159" s="5238" t="s">
        <v>4219</v>
      </c>
      <c r="C1159" s="5239" t="s">
        <v>2870</v>
      </c>
      <c r="D1159" s="5240"/>
      <c r="E1159" s="5241"/>
      <c r="F1159" s="5243">
        <f t="shared" si="102"/>
        <v>0</v>
      </c>
      <c r="G1159" s="5241"/>
      <c r="H1159" s="5241"/>
      <c r="I1159" s="5243">
        <f t="shared" si="103"/>
        <v>0</v>
      </c>
      <c r="J1159" s="5244">
        <f t="shared" si="107"/>
        <v>0</v>
      </c>
      <c r="K1159" s="5245">
        <f t="shared" si="104"/>
        <v>0</v>
      </c>
      <c r="L1159" s="5245">
        <f t="shared" si="105"/>
        <v>0</v>
      </c>
      <c r="M1159" s="5245">
        <f t="shared" si="106"/>
        <v>0</v>
      </c>
    </row>
    <row r="1160" spans="1:13" ht="14.85" customHeight="1">
      <c r="A1160" s="5238">
        <v>494</v>
      </c>
      <c r="B1160" s="5238" t="s">
        <v>4220</v>
      </c>
      <c r="C1160" s="5239" t="s">
        <v>2871</v>
      </c>
      <c r="D1160" s="5240"/>
      <c r="E1160" s="5241"/>
      <c r="F1160" s="5243">
        <f t="shared" si="102"/>
        <v>0</v>
      </c>
      <c r="G1160" s="5241"/>
      <c r="H1160" s="5241"/>
      <c r="I1160" s="5243">
        <f t="shared" si="103"/>
        <v>0</v>
      </c>
      <c r="J1160" s="5244">
        <f t="shared" si="107"/>
        <v>0</v>
      </c>
      <c r="K1160" s="5245">
        <f t="shared" si="104"/>
        <v>0</v>
      </c>
      <c r="L1160" s="5245">
        <f t="shared" si="105"/>
        <v>0</v>
      </c>
      <c r="M1160" s="5245">
        <f t="shared" si="106"/>
        <v>0</v>
      </c>
    </row>
    <row r="1161" spans="1:13" ht="14.85" customHeight="1">
      <c r="A1161" s="5238">
        <v>495</v>
      </c>
      <c r="B1161" s="5238" t="s">
        <v>4221</v>
      </c>
      <c r="C1161" s="5239" t="s">
        <v>4222</v>
      </c>
      <c r="D1161" s="5240"/>
      <c r="E1161" s="5241"/>
      <c r="F1161" s="5243">
        <f t="shared" si="102"/>
        <v>0</v>
      </c>
      <c r="G1161" s="5241"/>
      <c r="H1161" s="5241"/>
      <c r="I1161" s="5243">
        <f t="shared" si="103"/>
        <v>0</v>
      </c>
      <c r="J1161" s="5244">
        <f t="shared" si="107"/>
        <v>0</v>
      </c>
      <c r="K1161" s="5245">
        <f t="shared" si="104"/>
        <v>0</v>
      </c>
      <c r="L1161" s="5245">
        <f t="shared" si="105"/>
        <v>0</v>
      </c>
      <c r="M1161" s="5245">
        <f t="shared" si="106"/>
        <v>0</v>
      </c>
    </row>
    <row r="1162" spans="1:13" ht="14.85" customHeight="1">
      <c r="A1162" s="5238">
        <v>495</v>
      </c>
      <c r="B1162" s="5238" t="s">
        <v>4223</v>
      </c>
      <c r="C1162" s="5239" t="s">
        <v>2872</v>
      </c>
      <c r="D1162" s="5240"/>
      <c r="E1162" s="5241"/>
      <c r="F1162" s="5243">
        <f t="shared" si="102"/>
        <v>0</v>
      </c>
      <c r="G1162" s="5241"/>
      <c r="H1162" s="5241"/>
      <c r="I1162" s="5243">
        <f t="shared" si="103"/>
        <v>0</v>
      </c>
      <c r="J1162" s="5244">
        <f t="shared" si="107"/>
        <v>0</v>
      </c>
      <c r="K1162" s="5245">
        <f t="shared" si="104"/>
        <v>0</v>
      </c>
      <c r="L1162" s="5245">
        <f t="shared" si="105"/>
        <v>0</v>
      </c>
      <c r="M1162" s="5245">
        <f t="shared" si="106"/>
        <v>0</v>
      </c>
    </row>
    <row r="1163" spans="1:13" ht="14.85" customHeight="1">
      <c r="A1163" s="5238">
        <v>495</v>
      </c>
      <c r="B1163" s="5238" t="s">
        <v>4224</v>
      </c>
      <c r="C1163" s="5239" t="s">
        <v>2873</v>
      </c>
      <c r="D1163" s="5240"/>
      <c r="E1163" s="5241"/>
      <c r="F1163" s="5243">
        <f t="shared" si="102"/>
        <v>0</v>
      </c>
      <c r="G1163" s="5241"/>
      <c r="H1163" s="5241"/>
      <c r="I1163" s="5243">
        <f t="shared" si="103"/>
        <v>0</v>
      </c>
      <c r="J1163" s="5244">
        <f t="shared" si="107"/>
        <v>0</v>
      </c>
      <c r="K1163" s="5245">
        <f t="shared" si="104"/>
        <v>0</v>
      </c>
      <c r="L1163" s="5245">
        <f t="shared" si="105"/>
        <v>0</v>
      </c>
      <c r="M1163" s="5245">
        <f t="shared" si="106"/>
        <v>0</v>
      </c>
    </row>
    <row r="1164" spans="1:13" ht="14.85" customHeight="1">
      <c r="A1164" s="5238">
        <v>496</v>
      </c>
      <c r="B1164" s="5238" t="s">
        <v>4225</v>
      </c>
      <c r="C1164" s="5239" t="s">
        <v>2874</v>
      </c>
      <c r="D1164" s="5240"/>
      <c r="E1164" s="5241"/>
      <c r="F1164" s="5243">
        <f t="shared" si="102"/>
        <v>0</v>
      </c>
      <c r="G1164" s="5241"/>
      <c r="H1164" s="5241"/>
      <c r="I1164" s="5243">
        <f t="shared" si="103"/>
        <v>0</v>
      </c>
      <c r="J1164" s="5244">
        <f t="shared" si="107"/>
        <v>0</v>
      </c>
      <c r="K1164" s="5245">
        <f t="shared" si="104"/>
        <v>0</v>
      </c>
      <c r="L1164" s="5245">
        <f t="shared" si="105"/>
        <v>0</v>
      </c>
      <c r="M1164" s="5245">
        <f t="shared" si="106"/>
        <v>0</v>
      </c>
    </row>
    <row r="1165" spans="1:13" ht="14.85" customHeight="1">
      <c r="A1165" s="5238">
        <v>497</v>
      </c>
      <c r="B1165" s="5238" t="s">
        <v>4226</v>
      </c>
      <c r="C1165" s="5239" t="s">
        <v>2875</v>
      </c>
      <c r="D1165" s="5240"/>
      <c r="E1165" s="5241"/>
      <c r="F1165" s="5243">
        <f t="shared" si="102"/>
        <v>0</v>
      </c>
      <c r="G1165" s="5241"/>
      <c r="H1165" s="5241"/>
      <c r="I1165" s="5243">
        <f t="shared" si="103"/>
        <v>0</v>
      </c>
      <c r="J1165" s="5244">
        <f t="shared" si="107"/>
        <v>0</v>
      </c>
      <c r="K1165" s="5245">
        <f t="shared" si="104"/>
        <v>0</v>
      </c>
      <c r="L1165" s="5245">
        <f t="shared" si="105"/>
        <v>0</v>
      </c>
      <c r="M1165" s="5245">
        <f t="shared" si="106"/>
        <v>0</v>
      </c>
    </row>
    <row r="1166" spans="1:13" ht="14.85" customHeight="1">
      <c r="A1166" s="5238">
        <v>497</v>
      </c>
      <c r="B1166" s="5238" t="s">
        <v>4227</v>
      </c>
      <c r="C1166" s="5239" t="s">
        <v>2013</v>
      </c>
      <c r="D1166" s="5240"/>
      <c r="E1166" s="5241"/>
      <c r="F1166" s="5243">
        <f t="shared" si="102"/>
        <v>0</v>
      </c>
      <c r="G1166" s="5241"/>
      <c r="H1166" s="5241"/>
      <c r="I1166" s="5243">
        <f t="shared" si="103"/>
        <v>0</v>
      </c>
      <c r="J1166" s="5244">
        <f t="shared" si="107"/>
        <v>0</v>
      </c>
      <c r="K1166" s="5245">
        <f t="shared" si="104"/>
        <v>0</v>
      </c>
      <c r="L1166" s="5245">
        <f t="shared" si="105"/>
        <v>0</v>
      </c>
      <c r="M1166" s="5245">
        <f t="shared" si="106"/>
        <v>0</v>
      </c>
    </row>
    <row r="1167" spans="1:13" ht="14.85" customHeight="1">
      <c r="A1167" s="5238">
        <v>497</v>
      </c>
      <c r="B1167" s="5238" t="s">
        <v>4228</v>
      </c>
      <c r="C1167" s="5239" t="s">
        <v>2876</v>
      </c>
      <c r="D1167" s="5240"/>
      <c r="E1167" s="5241"/>
      <c r="F1167" s="5243">
        <f t="shared" si="102"/>
        <v>0</v>
      </c>
      <c r="G1167" s="5241"/>
      <c r="H1167" s="5241"/>
      <c r="I1167" s="5243">
        <f t="shared" si="103"/>
        <v>0</v>
      </c>
      <c r="J1167" s="5244">
        <f t="shared" si="107"/>
        <v>0</v>
      </c>
      <c r="K1167" s="5245">
        <f t="shared" si="104"/>
        <v>0</v>
      </c>
      <c r="L1167" s="5245">
        <f t="shared" si="105"/>
        <v>0</v>
      </c>
      <c r="M1167" s="5245">
        <f t="shared" si="106"/>
        <v>0</v>
      </c>
    </row>
    <row r="1168" spans="1:13" ht="14.85" customHeight="1">
      <c r="A1168" s="5238">
        <v>497</v>
      </c>
      <c r="B1168" s="5238" t="s">
        <v>4229</v>
      </c>
      <c r="C1168" s="5239" t="s">
        <v>2877</v>
      </c>
      <c r="D1168" s="5240"/>
      <c r="E1168" s="5241"/>
      <c r="F1168" s="5243">
        <f t="shared" si="102"/>
        <v>0</v>
      </c>
      <c r="G1168" s="5241"/>
      <c r="H1168" s="5241"/>
      <c r="I1168" s="5243">
        <f t="shared" si="103"/>
        <v>0</v>
      </c>
      <c r="J1168" s="5244">
        <f t="shared" si="107"/>
        <v>0</v>
      </c>
      <c r="K1168" s="5245">
        <f t="shared" si="104"/>
        <v>0</v>
      </c>
      <c r="L1168" s="5245">
        <f t="shared" si="105"/>
        <v>0</v>
      </c>
      <c r="M1168" s="5245">
        <f t="shared" si="106"/>
        <v>0</v>
      </c>
    </row>
    <row r="1169" spans="1:13" ht="14.85" customHeight="1">
      <c r="A1169" s="5238">
        <v>497</v>
      </c>
      <c r="B1169" s="5238" t="s">
        <v>4230</v>
      </c>
      <c r="C1169" s="5239" t="s">
        <v>2878</v>
      </c>
      <c r="D1169" s="5240"/>
      <c r="E1169" s="5241"/>
      <c r="F1169" s="5243">
        <f t="shared" si="102"/>
        <v>0</v>
      </c>
      <c r="G1169" s="5241"/>
      <c r="H1169" s="5241"/>
      <c r="I1169" s="5243">
        <f t="shared" si="103"/>
        <v>0</v>
      </c>
      <c r="J1169" s="5244">
        <f t="shared" si="107"/>
        <v>0</v>
      </c>
      <c r="K1169" s="5245">
        <f t="shared" si="104"/>
        <v>0</v>
      </c>
      <c r="L1169" s="5245">
        <f t="shared" si="105"/>
        <v>0</v>
      </c>
      <c r="M1169" s="5245">
        <f t="shared" si="106"/>
        <v>0</v>
      </c>
    </row>
    <row r="1170" spans="1:13" ht="14.85" customHeight="1">
      <c r="A1170" s="5238">
        <v>497</v>
      </c>
      <c r="B1170" s="5238" t="s">
        <v>4231</v>
      </c>
      <c r="C1170" s="5239" t="s">
        <v>1941</v>
      </c>
      <c r="D1170" s="5240"/>
      <c r="E1170" s="5241"/>
      <c r="F1170" s="5243">
        <f t="shared" si="102"/>
        <v>0</v>
      </c>
      <c r="G1170" s="5241"/>
      <c r="H1170" s="5241"/>
      <c r="I1170" s="5243">
        <f t="shared" si="103"/>
        <v>0</v>
      </c>
      <c r="J1170" s="5244">
        <f t="shared" si="107"/>
        <v>0</v>
      </c>
      <c r="K1170" s="5245">
        <f t="shared" si="104"/>
        <v>0</v>
      </c>
      <c r="L1170" s="5245">
        <f t="shared" si="105"/>
        <v>0</v>
      </c>
      <c r="M1170" s="5245">
        <f t="shared" si="106"/>
        <v>0</v>
      </c>
    </row>
    <row r="1171" spans="1:13" ht="14.85" customHeight="1">
      <c r="A1171" s="5238">
        <v>497</v>
      </c>
      <c r="B1171" s="5238" t="s">
        <v>4232</v>
      </c>
      <c r="C1171" s="5239" t="s">
        <v>2879</v>
      </c>
      <c r="D1171" s="5240"/>
      <c r="E1171" s="5241"/>
      <c r="F1171" s="5243">
        <f t="shared" si="102"/>
        <v>0</v>
      </c>
      <c r="G1171" s="5241"/>
      <c r="H1171" s="5241"/>
      <c r="I1171" s="5243">
        <f t="shared" si="103"/>
        <v>0</v>
      </c>
      <c r="J1171" s="5244">
        <f t="shared" si="107"/>
        <v>0</v>
      </c>
      <c r="K1171" s="5245">
        <f t="shared" si="104"/>
        <v>0</v>
      </c>
      <c r="L1171" s="5245">
        <f t="shared" si="105"/>
        <v>0</v>
      </c>
      <c r="M1171" s="5245">
        <f t="shared" si="106"/>
        <v>0</v>
      </c>
    </row>
    <row r="1172" spans="1:13" ht="14.85" customHeight="1">
      <c r="A1172" s="5238">
        <v>497</v>
      </c>
      <c r="B1172" s="5238" t="s">
        <v>4233</v>
      </c>
      <c r="C1172" s="5239" t="s">
        <v>2474</v>
      </c>
      <c r="D1172" s="5240"/>
      <c r="E1172" s="5241"/>
      <c r="F1172" s="5243">
        <f t="shared" si="102"/>
        <v>0</v>
      </c>
      <c r="G1172" s="5241"/>
      <c r="H1172" s="5241"/>
      <c r="I1172" s="5243">
        <f t="shared" si="103"/>
        <v>0</v>
      </c>
      <c r="J1172" s="5244">
        <f t="shared" si="107"/>
        <v>0</v>
      </c>
      <c r="K1172" s="5245">
        <f t="shared" si="104"/>
        <v>0</v>
      </c>
      <c r="L1172" s="5245">
        <f t="shared" si="105"/>
        <v>0</v>
      </c>
      <c r="M1172" s="5245">
        <f t="shared" si="106"/>
        <v>0</v>
      </c>
    </row>
    <row r="1173" spans="1:13" ht="14.85" customHeight="1">
      <c r="A1173" s="5238">
        <v>497</v>
      </c>
      <c r="B1173" s="5238" t="s">
        <v>4234</v>
      </c>
      <c r="C1173" s="5239" t="s">
        <v>2880</v>
      </c>
      <c r="D1173" s="5240"/>
      <c r="E1173" s="5241"/>
      <c r="F1173" s="5243">
        <f t="shared" si="102"/>
        <v>0</v>
      </c>
      <c r="G1173" s="5241"/>
      <c r="H1173" s="5241"/>
      <c r="I1173" s="5243">
        <f t="shared" si="103"/>
        <v>0</v>
      </c>
      <c r="J1173" s="5244">
        <f t="shared" si="107"/>
        <v>0</v>
      </c>
      <c r="K1173" s="5245">
        <f t="shared" si="104"/>
        <v>0</v>
      </c>
      <c r="L1173" s="5245">
        <f t="shared" si="105"/>
        <v>0</v>
      </c>
      <c r="M1173" s="5245">
        <f t="shared" si="106"/>
        <v>0</v>
      </c>
    </row>
    <row r="1174" spans="1:13" ht="14.85" customHeight="1">
      <c r="A1174" s="5238">
        <v>497</v>
      </c>
      <c r="B1174" s="5238" t="s">
        <v>4235</v>
      </c>
      <c r="C1174" s="5239" t="s">
        <v>2881</v>
      </c>
      <c r="D1174" s="5240"/>
      <c r="E1174" s="5241"/>
      <c r="F1174" s="5243">
        <f t="shared" si="102"/>
        <v>0</v>
      </c>
      <c r="G1174" s="5241"/>
      <c r="H1174" s="5241"/>
      <c r="I1174" s="5243">
        <f t="shared" si="103"/>
        <v>0</v>
      </c>
      <c r="J1174" s="5244">
        <f t="shared" si="107"/>
        <v>0</v>
      </c>
      <c r="K1174" s="5245">
        <f t="shared" si="104"/>
        <v>0</v>
      </c>
      <c r="L1174" s="5245">
        <f t="shared" si="105"/>
        <v>0</v>
      </c>
      <c r="M1174" s="5245">
        <f t="shared" si="106"/>
        <v>0</v>
      </c>
    </row>
    <row r="1175" spans="1:13" ht="14.85" customHeight="1">
      <c r="A1175" s="5238">
        <v>497</v>
      </c>
      <c r="B1175" s="5238" t="s">
        <v>4236</v>
      </c>
      <c r="C1175" s="5239" t="s">
        <v>2882</v>
      </c>
      <c r="D1175" s="5240"/>
      <c r="E1175" s="5241"/>
      <c r="F1175" s="5243">
        <f t="shared" si="102"/>
        <v>0</v>
      </c>
      <c r="G1175" s="5241"/>
      <c r="H1175" s="5241"/>
      <c r="I1175" s="5243">
        <f t="shared" si="103"/>
        <v>0</v>
      </c>
      <c r="J1175" s="5244">
        <f t="shared" si="107"/>
        <v>0</v>
      </c>
      <c r="K1175" s="5245">
        <f t="shared" si="104"/>
        <v>0</v>
      </c>
      <c r="L1175" s="5245">
        <f t="shared" si="105"/>
        <v>0</v>
      </c>
      <c r="M1175" s="5245">
        <f t="shared" si="106"/>
        <v>0</v>
      </c>
    </row>
    <row r="1176" spans="1:13" ht="14.85" customHeight="1">
      <c r="A1176" s="5238">
        <v>497</v>
      </c>
      <c r="B1176" s="5238" t="s">
        <v>4237</v>
      </c>
      <c r="C1176" s="5239" t="s">
        <v>2883</v>
      </c>
      <c r="D1176" s="5240"/>
      <c r="E1176" s="5241"/>
      <c r="F1176" s="5243">
        <f t="shared" si="102"/>
        <v>0</v>
      </c>
      <c r="G1176" s="5241"/>
      <c r="H1176" s="5241"/>
      <c r="I1176" s="5243">
        <f t="shared" si="103"/>
        <v>0</v>
      </c>
      <c r="J1176" s="5244">
        <f t="shared" si="107"/>
        <v>0</v>
      </c>
      <c r="K1176" s="5245">
        <f t="shared" si="104"/>
        <v>0</v>
      </c>
      <c r="L1176" s="5245">
        <f t="shared" si="105"/>
        <v>0</v>
      </c>
      <c r="M1176" s="5245">
        <f t="shared" si="106"/>
        <v>0</v>
      </c>
    </row>
    <row r="1177" spans="1:13" ht="14.85" customHeight="1">
      <c r="A1177" s="5238">
        <v>497</v>
      </c>
      <c r="B1177" s="5238" t="s">
        <v>4238</v>
      </c>
      <c r="C1177" s="5239" t="s">
        <v>2884</v>
      </c>
      <c r="D1177" s="5240"/>
      <c r="E1177" s="5241"/>
      <c r="F1177" s="5243">
        <f t="shared" si="102"/>
        <v>0</v>
      </c>
      <c r="G1177" s="5241"/>
      <c r="H1177" s="5241"/>
      <c r="I1177" s="5243">
        <f t="shared" si="103"/>
        <v>0</v>
      </c>
      <c r="J1177" s="5244">
        <f t="shared" si="107"/>
        <v>0</v>
      </c>
      <c r="K1177" s="5245">
        <f t="shared" si="104"/>
        <v>0</v>
      </c>
      <c r="L1177" s="5245">
        <f t="shared" si="105"/>
        <v>0</v>
      </c>
      <c r="M1177" s="5245">
        <f t="shared" si="106"/>
        <v>0</v>
      </c>
    </row>
    <row r="1178" spans="1:13" ht="14.85" customHeight="1">
      <c r="A1178" s="5238">
        <v>497</v>
      </c>
      <c r="B1178" s="5238" t="s">
        <v>4239</v>
      </c>
      <c r="C1178" s="5239" t="s">
        <v>2885</v>
      </c>
      <c r="D1178" s="5240"/>
      <c r="E1178" s="5241"/>
      <c r="F1178" s="5243">
        <f t="shared" si="102"/>
        <v>0</v>
      </c>
      <c r="G1178" s="5241"/>
      <c r="H1178" s="5241"/>
      <c r="I1178" s="5243">
        <f t="shared" si="103"/>
        <v>0</v>
      </c>
      <c r="J1178" s="5244">
        <f t="shared" si="107"/>
        <v>0</v>
      </c>
      <c r="K1178" s="5245">
        <f t="shared" si="104"/>
        <v>0</v>
      </c>
      <c r="L1178" s="5245">
        <f t="shared" si="105"/>
        <v>0</v>
      </c>
      <c r="M1178" s="5245">
        <f t="shared" si="106"/>
        <v>0</v>
      </c>
    </row>
    <row r="1179" spans="1:13" ht="14.85" customHeight="1">
      <c r="A1179" s="5238">
        <v>497</v>
      </c>
      <c r="B1179" s="5238" t="s">
        <v>4240</v>
      </c>
      <c r="C1179" s="5239" t="s">
        <v>2886</v>
      </c>
      <c r="D1179" s="5240"/>
      <c r="E1179" s="5241"/>
      <c r="F1179" s="5243">
        <f t="shared" si="102"/>
        <v>0</v>
      </c>
      <c r="G1179" s="5241"/>
      <c r="H1179" s="5241"/>
      <c r="I1179" s="5243">
        <f t="shared" si="103"/>
        <v>0</v>
      </c>
      <c r="J1179" s="5244">
        <f t="shared" si="107"/>
        <v>0</v>
      </c>
      <c r="K1179" s="5245">
        <f t="shared" si="104"/>
        <v>0</v>
      </c>
      <c r="L1179" s="5245">
        <f t="shared" si="105"/>
        <v>0</v>
      </c>
      <c r="M1179" s="5245">
        <f t="shared" si="106"/>
        <v>0</v>
      </c>
    </row>
    <row r="1180" spans="1:13" ht="14.85" customHeight="1">
      <c r="A1180" s="5238">
        <v>497</v>
      </c>
      <c r="B1180" s="5238" t="s">
        <v>4241</v>
      </c>
      <c r="C1180" s="5239" t="s">
        <v>2887</v>
      </c>
      <c r="D1180" s="5240"/>
      <c r="E1180" s="5241"/>
      <c r="F1180" s="5243">
        <f t="shared" si="102"/>
        <v>0</v>
      </c>
      <c r="G1180" s="5241"/>
      <c r="H1180" s="5241"/>
      <c r="I1180" s="5243">
        <f t="shared" si="103"/>
        <v>0</v>
      </c>
      <c r="J1180" s="5244">
        <f t="shared" si="107"/>
        <v>0</v>
      </c>
      <c r="K1180" s="5245">
        <f t="shared" si="104"/>
        <v>0</v>
      </c>
      <c r="L1180" s="5245">
        <f t="shared" si="105"/>
        <v>0</v>
      </c>
      <c r="M1180" s="5245">
        <f t="shared" si="106"/>
        <v>0</v>
      </c>
    </row>
    <row r="1181" spans="1:13" ht="14.85" customHeight="1">
      <c r="A1181" s="5238">
        <v>497</v>
      </c>
      <c r="B1181" s="5238" t="s">
        <v>4242</v>
      </c>
      <c r="C1181" s="5239" t="s">
        <v>4541</v>
      </c>
      <c r="D1181" s="5240"/>
      <c r="E1181" s="5241"/>
      <c r="F1181" s="5243">
        <f t="shared" si="102"/>
        <v>0</v>
      </c>
      <c r="G1181" s="5241"/>
      <c r="H1181" s="5241"/>
      <c r="I1181" s="5243">
        <f t="shared" si="103"/>
        <v>0</v>
      </c>
      <c r="J1181" s="5244">
        <f t="shared" si="107"/>
        <v>0</v>
      </c>
      <c r="K1181" s="5245">
        <f t="shared" si="104"/>
        <v>0</v>
      </c>
      <c r="L1181" s="5245">
        <f t="shared" si="105"/>
        <v>0</v>
      </c>
      <c r="M1181" s="5245">
        <f t="shared" si="106"/>
        <v>0</v>
      </c>
    </row>
    <row r="1182" spans="1:13" ht="14.85" customHeight="1">
      <c r="A1182" s="5238">
        <v>497</v>
      </c>
      <c r="B1182" s="5238" t="s">
        <v>4243</v>
      </c>
      <c r="C1182" s="5239" t="s">
        <v>2888</v>
      </c>
      <c r="D1182" s="5240"/>
      <c r="E1182" s="5241"/>
      <c r="F1182" s="5243">
        <f t="shared" si="102"/>
        <v>0</v>
      </c>
      <c r="G1182" s="5241"/>
      <c r="H1182" s="5241"/>
      <c r="I1182" s="5243">
        <f t="shared" si="103"/>
        <v>0</v>
      </c>
      <c r="J1182" s="5244">
        <f t="shared" si="107"/>
        <v>0</v>
      </c>
      <c r="K1182" s="5245">
        <f t="shared" si="104"/>
        <v>0</v>
      </c>
      <c r="L1182" s="5245">
        <f t="shared" si="105"/>
        <v>0</v>
      </c>
      <c r="M1182" s="5245">
        <f t="shared" si="106"/>
        <v>0</v>
      </c>
    </row>
    <row r="1183" spans="1:13" ht="14.85" customHeight="1">
      <c r="A1183" s="5238">
        <v>497</v>
      </c>
      <c r="B1183" s="5238" t="s">
        <v>4244</v>
      </c>
      <c r="C1183" s="5239" t="s">
        <v>2889</v>
      </c>
      <c r="D1183" s="5240"/>
      <c r="E1183" s="5241"/>
      <c r="F1183" s="5243">
        <f t="shared" si="102"/>
        <v>0</v>
      </c>
      <c r="G1183" s="5241"/>
      <c r="H1183" s="5241"/>
      <c r="I1183" s="5243">
        <f t="shared" si="103"/>
        <v>0</v>
      </c>
      <c r="J1183" s="5244">
        <f t="shared" si="107"/>
        <v>0</v>
      </c>
      <c r="K1183" s="5245">
        <f t="shared" si="104"/>
        <v>0</v>
      </c>
      <c r="L1183" s="5245">
        <f t="shared" si="105"/>
        <v>0</v>
      </c>
      <c r="M1183" s="5245">
        <f t="shared" si="106"/>
        <v>0</v>
      </c>
    </row>
    <row r="1184" spans="1:13" ht="14.85" customHeight="1">
      <c r="A1184" s="5238">
        <v>497</v>
      </c>
      <c r="B1184" s="5238" t="s">
        <v>4245</v>
      </c>
      <c r="C1184" s="5239" t="s">
        <v>2890</v>
      </c>
      <c r="D1184" s="5240"/>
      <c r="E1184" s="5241"/>
      <c r="F1184" s="5243">
        <f t="shared" si="102"/>
        <v>0</v>
      </c>
      <c r="G1184" s="5241"/>
      <c r="H1184" s="5241"/>
      <c r="I1184" s="5243">
        <f t="shared" si="103"/>
        <v>0</v>
      </c>
      <c r="J1184" s="5244">
        <f t="shared" si="107"/>
        <v>0</v>
      </c>
      <c r="K1184" s="5245">
        <f t="shared" si="104"/>
        <v>0</v>
      </c>
      <c r="L1184" s="5245">
        <f t="shared" si="105"/>
        <v>0</v>
      </c>
      <c r="M1184" s="5245">
        <f t="shared" si="106"/>
        <v>0</v>
      </c>
    </row>
    <row r="1185" spans="1:13" ht="14.85" customHeight="1">
      <c r="A1185" s="5238">
        <v>497</v>
      </c>
      <c r="B1185" s="5238" t="s">
        <v>4246</v>
      </c>
      <c r="C1185" s="5239" t="s">
        <v>2891</v>
      </c>
      <c r="D1185" s="5240"/>
      <c r="E1185" s="5241"/>
      <c r="F1185" s="5243">
        <f t="shared" ref="F1185:F1248" si="108">SUM(D1185:E1185)</f>
        <v>0</v>
      </c>
      <c r="G1185" s="5241"/>
      <c r="H1185" s="5241"/>
      <c r="I1185" s="5243">
        <f t="shared" ref="I1185:I1248" si="109">SUM(G1185:H1185)</f>
        <v>0</v>
      </c>
      <c r="J1185" s="5244">
        <f t="shared" si="107"/>
        <v>0</v>
      </c>
      <c r="K1185" s="5245">
        <f t="shared" ref="K1185:K1248" si="110">IF(AND((J1185-35%)&gt;0,J1185&lt;50%),I1185*(J1185-35%)*0.7,0)</f>
        <v>0</v>
      </c>
      <c r="L1185" s="5245">
        <f t="shared" ref="L1185:L1248" si="111">IF(J1185&gt;=50%,I1185*10.5%,0)</f>
        <v>0</v>
      </c>
      <c r="M1185" s="5245">
        <f t="shared" ref="M1185:M1248" si="112">MAX(K1185,L1185)</f>
        <v>0</v>
      </c>
    </row>
    <row r="1186" spans="1:13" ht="14.85" customHeight="1">
      <c r="A1186" s="5238">
        <v>498</v>
      </c>
      <c r="B1186" s="5238" t="s">
        <v>4247</v>
      </c>
      <c r="C1186" s="5239" t="s">
        <v>2892</v>
      </c>
      <c r="D1186" s="5240"/>
      <c r="E1186" s="5241"/>
      <c r="F1186" s="5243">
        <f t="shared" si="108"/>
        <v>0</v>
      </c>
      <c r="G1186" s="5241"/>
      <c r="H1186" s="5241"/>
      <c r="I1186" s="5243">
        <f t="shared" si="109"/>
        <v>0</v>
      </c>
      <c r="J1186" s="5244">
        <f t="shared" si="107"/>
        <v>0</v>
      </c>
      <c r="K1186" s="5245">
        <f t="shared" si="110"/>
        <v>0</v>
      </c>
      <c r="L1186" s="5245">
        <f t="shared" si="111"/>
        <v>0</v>
      </c>
      <c r="M1186" s="5245">
        <f t="shared" si="112"/>
        <v>0</v>
      </c>
    </row>
    <row r="1187" spans="1:13" ht="14.85" customHeight="1">
      <c r="A1187" s="5238">
        <v>498</v>
      </c>
      <c r="B1187" s="5238" t="s">
        <v>4248</v>
      </c>
      <c r="C1187" s="5239" t="s">
        <v>4586</v>
      </c>
      <c r="D1187" s="5240"/>
      <c r="E1187" s="5241"/>
      <c r="F1187" s="5243">
        <f t="shared" si="108"/>
        <v>0</v>
      </c>
      <c r="G1187" s="5241"/>
      <c r="H1187" s="5241"/>
      <c r="I1187" s="5243">
        <f t="shared" si="109"/>
        <v>0</v>
      </c>
      <c r="J1187" s="5244">
        <f t="shared" si="107"/>
        <v>0</v>
      </c>
      <c r="K1187" s="5245">
        <f t="shared" si="110"/>
        <v>0</v>
      </c>
      <c r="L1187" s="5245">
        <f t="shared" si="111"/>
        <v>0</v>
      </c>
      <c r="M1187" s="5245">
        <f t="shared" si="112"/>
        <v>0</v>
      </c>
    </row>
    <row r="1188" spans="1:13" ht="14.85" customHeight="1">
      <c r="A1188" s="5238">
        <v>498</v>
      </c>
      <c r="B1188" s="5238" t="s">
        <v>4249</v>
      </c>
      <c r="C1188" s="5239" t="s">
        <v>2893</v>
      </c>
      <c r="D1188" s="5240"/>
      <c r="E1188" s="5241"/>
      <c r="F1188" s="5243">
        <f t="shared" si="108"/>
        <v>0</v>
      </c>
      <c r="G1188" s="5241"/>
      <c r="H1188" s="5241"/>
      <c r="I1188" s="5243">
        <f t="shared" si="109"/>
        <v>0</v>
      </c>
      <c r="J1188" s="5244">
        <f t="shared" ref="J1188:J1251" si="113">IF(ISERROR(I1188/F1188),0,I1188/F1188)</f>
        <v>0</v>
      </c>
      <c r="K1188" s="5245">
        <f t="shared" si="110"/>
        <v>0</v>
      </c>
      <c r="L1188" s="5245">
        <f t="shared" si="111"/>
        <v>0</v>
      </c>
      <c r="M1188" s="5245">
        <f t="shared" si="112"/>
        <v>0</v>
      </c>
    </row>
    <row r="1189" spans="1:13" ht="14.85" customHeight="1">
      <c r="A1189" s="5238">
        <v>499</v>
      </c>
      <c r="B1189" s="5238" t="s">
        <v>4250</v>
      </c>
      <c r="C1189" s="5239" t="s">
        <v>2894</v>
      </c>
      <c r="D1189" s="5240"/>
      <c r="E1189" s="5241"/>
      <c r="F1189" s="5243">
        <f t="shared" si="108"/>
        <v>0</v>
      </c>
      <c r="G1189" s="5241"/>
      <c r="H1189" s="5241"/>
      <c r="I1189" s="5243">
        <f t="shared" si="109"/>
        <v>0</v>
      </c>
      <c r="J1189" s="5244">
        <f t="shared" si="113"/>
        <v>0</v>
      </c>
      <c r="K1189" s="5245">
        <f t="shared" si="110"/>
        <v>0</v>
      </c>
      <c r="L1189" s="5245">
        <f t="shared" si="111"/>
        <v>0</v>
      </c>
      <c r="M1189" s="5245">
        <f t="shared" si="112"/>
        <v>0</v>
      </c>
    </row>
    <row r="1190" spans="1:13" ht="14.85" customHeight="1">
      <c r="A1190" s="5238">
        <v>499</v>
      </c>
      <c r="B1190" s="5238" t="s">
        <v>4251</v>
      </c>
      <c r="C1190" s="5239" t="s">
        <v>2895</v>
      </c>
      <c r="D1190" s="5240"/>
      <c r="E1190" s="5241"/>
      <c r="F1190" s="5243">
        <f t="shared" si="108"/>
        <v>0</v>
      </c>
      <c r="G1190" s="5241"/>
      <c r="H1190" s="5241"/>
      <c r="I1190" s="5243">
        <f t="shared" si="109"/>
        <v>0</v>
      </c>
      <c r="J1190" s="5244">
        <f t="shared" si="113"/>
        <v>0</v>
      </c>
      <c r="K1190" s="5245">
        <f t="shared" si="110"/>
        <v>0</v>
      </c>
      <c r="L1190" s="5245">
        <f t="shared" si="111"/>
        <v>0</v>
      </c>
      <c r="M1190" s="5245">
        <f t="shared" si="112"/>
        <v>0</v>
      </c>
    </row>
    <row r="1191" spans="1:13" ht="14.85" customHeight="1">
      <c r="A1191" s="5238">
        <v>499</v>
      </c>
      <c r="B1191" s="5238" t="s">
        <v>4252</v>
      </c>
      <c r="C1191" s="5239" t="s">
        <v>2896</v>
      </c>
      <c r="D1191" s="5240"/>
      <c r="E1191" s="5241"/>
      <c r="F1191" s="5243">
        <f t="shared" si="108"/>
        <v>0</v>
      </c>
      <c r="G1191" s="5241"/>
      <c r="H1191" s="5241"/>
      <c r="I1191" s="5243">
        <f t="shared" si="109"/>
        <v>0</v>
      </c>
      <c r="J1191" s="5244">
        <f t="shared" si="113"/>
        <v>0</v>
      </c>
      <c r="K1191" s="5245">
        <f t="shared" si="110"/>
        <v>0</v>
      </c>
      <c r="L1191" s="5245">
        <f t="shared" si="111"/>
        <v>0</v>
      </c>
      <c r="M1191" s="5245">
        <f t="shared" si="112"/>
        <v>0</v>
      </c>
    </row>
    <row r="1192" spans="1:13" ht="14.85" customHeight="1">
      <c r="A1192" s="5238">
        <v>499</v>
      </c>
      <c r="B1192" s="5238" t="s">
        <v>4253</v>
      </c>
      <c r="C1192" s="5239" t="s">
        <v>2897</v>
      </c>
      <c r="D1192" s="5240"/>
      <c r="E1192" s="5241"/>
      <c r="F1192" s="5243">
        <f t="shared" si="108"/>
        <v>0</v>
      </c>
      <c r="G1192" s="5241"/>
      <c r="H1192" s="5241"/>
      <c r="I1192" s="5243">
        <f t="shared" si="109"/>
        <v>0</v>
      </c>
      <c r="J1192" s="5244">
        <f t="shared" si="113"/>
        <v>0</v>
      </c>
      <c r="K1192" s="5245">
        <f t="shared" si="110"/>
        <v>0</v>
      </c>
      <c r="L1192" s="5245">
        <f t="shared" si="111"/>
        <v>0</v>
      </c>
      <c r="M1192" s="5245">
        <f t="shared" si="112"/>
        <v>0</v>
      </c>
    </row>
    <row r="1193" spans="1:13" ht="14.85" customHeight="1">
      <c r="A1193" s="5238">
        <v>500</v>
      </c>
      <c r="B1193" s="5238" t="s">
        <v>4254</v>
      </c>
      <c r="C1193" s="5239" t="s">
        <v>2898</v>
      </c>
      <c r="D1193" s="5240"/>
      <c r="E1193" s="5241"/>
      <c r="F1193" s="5243">
        <f t="shared" si="108"/>
        <v>0</v>
      </c>
      <c r="G1193" s="5241"/>
      <c r="H1193" s="5241"/>
      <c r="I1193" s="5243">
        <f t="shared" si="109"/>
        <v>0</v>
      </c>
      <c r="J1193" s="5244">
        <f t="shared" si="113"/>
        <v>0</v>
      </c>
      <c r="K1193" s="5245">
        <f t="shared" si="110"/>
        <v>0</v>
      </c>
      <c r="L1193" s="5245">
        <f t="shared" si="111"/>
        <v>0</v>
      </c>
      <c r="M1193" s="5245">
        <f t="shared" si="112"/>
        <v>0</v>
      </c>
    </row>
    <row r="1194" spans="1:13" ht="14.85" customHeight="1">
      <c r="A1194" s="5238">
        <v>500</v>
      </c>
      <c r="B1194" s="5238" t="s">
        <v>4255</v>
      </c>
      <c r="C1194" s="5239" t="s">
        <v>2899</v>
      </c>
      <c r="D1194" s="5240"/>
      <c r="E1194" s="5241"/>
      <c r="F1194" s="5243">
        <f t="shared" si="108"/>
        <v>0</v>
      </c>
      <c r="G1194" s="5241"/>
      <c r="H1194" s="5241"/>
      <c r="I1194" s="5243">
        <f t="shared" si="109"/>
        <v>0</v>
      </c>
      <c r="J1194" s="5244">
        <f t="shared" si="113"/>
        <v>0</v>
      </c>
      <c r="K1194" s="5245">
        <f t="shared" si="110"/>
        <v>0</v>
      </c>
      <c r="L1194" s="5245">
        <f t="shared" si="111"/>
        <v>0</v>
      </c>
      <c r="M1194" s="5245">
        <f t="shared" si="112"/>
        <v>0</v>
      </c>
    </row>
    <row r="1195" spans="1:13" ht="14.85" customHeight="1">
      <c r="A1195" s="5238">
        <v>500</v>
      </c>
      <c r="B1195" s="5238" t="s">
        <v>4256</v>
      </c>
      <c r="C1195" s="5239" t="s">
        <v>2900</v>
      </c>
      <c r="D1195" s="5240"/>
      <c r="E1195" s="5241"/>
      <c r="F1195" s="5243">
        <f t="shared" si="108"/>
        <v>0</v>
      </c>
      <c r="G1195" s="5241"/>
      <c r="H1195" s="5241"/>
      <c r="I1195" s="5243">
        <f t="shared" si="109"/>
        <v>0</v>
      </c>
      <c r="J1195" s="5244">
        <f t="shared" si="113"/>
        <v>0</v>
      </c>
      <c r="K1195" s="5245">
        <f t="shared" si="110"/>
        <v>0</v>
      </c>
      <c r="L1195" s="5245">
        <f t="shared" si="111"/>
        <v>0</v>
      </c>
      <c r="M1195" s="5245">
        <f t="shared" si="112"/>
        <v>0</v>
      </c>
    </row>
    <row r="1196" spans="1:13" ht="14.85" customHeight="1">
      <c r="A1196" s="5238">
        <v>500</v>
      </c>
      <c r="B1196" s="5238" t="s">
        <v>4257</v>
      </c>
      <c r="C1196" s="5239" t="s">
        <v>2901</v>
      </c>
      <c r="D1196" s="5240"/>
      <c r="E1196" s="5241"/>
      <c r="F1196" s="5243">
        <f t="shared" si="108"/>
        <v>0</v>
      </c>
      <c r="G1196" s="5241"/>
      <c r="H1196" s="5241"/>
      <c r="I1196" s="5243">
        <f t="shared" si="109"/>
        <v>0</v>
      </c>
      <c r="J1196" s="5244">
        <f t="shared" si="113"/>
        <v>0</v>
      </c>
      <c r="K1196" s="5245">
        <f t="shared" si="110"/>
        <v>0</v>
      </c>
      <c r="L1196" s="5245">
        <f t="shared" si="111"/>
        <v>0</v>
      </c>
      <c r="M1196" s="5245">
        <f t="shared" si="112"/>
        <v>0</v>
      </c>
    </row>
    <row r="1197" spans="1:13" ht="14.85" customHeight="1">
      <c r="A1197" s="5238">
        <v>500</v>
      </c>
      <c r="B1197" s="5238" t="s">
        <v>4258</v>
      </c>
      <c r="C1197" s="5239" t="s">
        <v>2902</v>
      </c>
      <c r="D1197" s="5240"/>
      <c r="E1197" s="5241"/>
      <c r="F1197" s="5243">
        <f t="shared" si="108"/>
        <v>0</v>
      </c>
      <c r="G1197" s="5241"/>
      <c r="H1197" s="5241"/>
      <c r="I1197" s="5243">
        <f t="shared" si="109"/>
        <v>0</v>
      </c>
      <c r="J1197" s="5244">
        <f t="shared" si="113"/>
        <v>0</v>
      </c>
      <c r="K1197" s="5245">
        <f t="shared" si="110"/>
        <v>0</v>
      </c>
      <c r="L1197" s="5245">
        <f t="shared" si="111"/>
        <v>0</v>
      </c>
      <c r="M1197" s="5245">
        <f t="shared" si="112"/>
        <v>0</v>
      </c>
    </row>
    <row r="1198" spans="1:13" ht="14.85" customHeight="1">
      <c r="A1198" s="5238">
        <v>500</v>
      </c>
      <c r="B1198" s="5238" t="s">
        <v>4259</v>
      </c>
      <c r="C1198" s="5239" t="s">
        <v>2903</v>
      </c>
      <c r="D1198" s="5240"/>
      <c r="E1198" s="5241"/>
      <c r="F1198" s="5243">
        <f t="shared" si="108"/>
        <v>0</v>
      </c>
      <c r="G1198" s="5241"/>
      <c r="H1198" s="5241"/>
      <c r="I1198" s="5243">
        <f t="shared" si="109"/>
        <v>0</v>
      </c>
      <c r="J1198" s="5244">
        <f t="shared" si="113"/>
        <v>0</v>
      </c>
      <c r="K1198" s="5245">
        <f t="shared" si="110"/>
        <v>0</v>
      </c>
      <c r="L1198" s="5245">
        <f t="shared" si="111"/>
        <v>0</v>
      </c>
      <c r="M1198" s="5245">
        <f t="shared" si="112"/>
        <v>0</v>
      </c>
    </row>
    <row r="1199" spans="1:13" ht="14.85" customHeight="1">
      <c r="A1199" s="5238">
        <v>500</v>
      </c>
      <c r="B1199" s="5238" t="s">
        <v>4260</v>
      </c>
      <c r="C1199" s="5239" t="s">
        <v>2904</v>
      </c>
      <c r="D1199" s="5240"/>
      <c r="E1199" s="5241"/>
      <c r="F1199" s="5243">
        <f t="shared" si="108"/>
        <v>0</v>
      </c>
      <c r="G1199" s="5241"/>
      <c r="H1199" s="5241"/>
      <c r="I1199" s="5243">
        <f t="shared" si="109"/>
        <v>0</v>
      </c>
      <c r="J1199" s="5244">
        <f t="shared" si="113"/>
        <v>0</v>
      </c>
      <c r="K1199" s="5245">
        <f t="shared" si="110"/>
        <v>0</v>
      </c>
      <c r="L1199" s="5245">
        <f t="shared" si="111"/>
        <v>0</v>
      </c>
      <c r="M1199" s="5245">
        <f t="shared" si="112"/>
        <v>0</v>
      </c>
    </row>
    <row r="1200" spans="1:13" ht="14.85" customHeight="1">
      <c r="A1200" s="5238">
        <v>500</v>
      </c>
      <c r="B1200" s="5238" t="s">
        <v>4261</v>
      </c>
      <c r="C1200" s="5239" t="s">
        <v>2905</v>
      </c>
      <c r="D1200" s="5240"/>
      <c r="E1200" s="5241"/>
      <c r="F1200" s="5243">
        <f t="shared" si="108"/>
        <v>0</v>
      </c>
      <c r="G1200" s="5241"/>
      <c r="H1200" s="5241"/>
      <c r="I1200" s="5243">
        <f t="shared" si="109"/>
        <v>0</v>
      </c>
      <c r="J1200" s="5244">
        <f t="shared" si="113"/>
        <v>0</v>
      </c>
      <c r="K1200" s="5245">
        <f t="shared" si="110"/>
        <v>0</v>
      </c>
      <c r="L1200" s="5245">
        <f t="shared" si="111"/>
        <v>0</v>
      </c>
      <c r="M1200" s="5245">
        <f t="shared" si="112"/>
        <v>0</v>
      </c>
    </row>
    <row r="1201" spans="1:13" ht="14.85" customHeight="1">
      <c r="A1201" s="5238">
        <v>500</v>
      </c>
      <c r="B1201" s="5238" t="s">
        <v>4262</v>
      </c>
      <c r="C1201" s="5239" t="s">
        <v>2906</v>
      </c>
      <c r="D1201" s="5240"/>
      <c r="E1201" s="5241"/>
      <c r="F1201" s="5243">
        <f t="shared" si="108"/>
        <v>0</v>
      </c>
      <c r="G1201" s="5241"/>
      <c r="H1201" s="5241"/>
      <c r="I1201" s="5243">
        <f t="shared" si="109"/>
        <v>0</v>
      </c>
      <c r="J1201" s="5244">
        <f t="shared" si="113"/>
        <v>0</v>
      </c>
      <c r="K1201" s="5245">
        <f t="shared" si="110"/>
        <v>0</v>
      </c>
      <c r="L1201" s="5245">
        <f t="shared" si="111"/>
        <v>0</v>
      </c>
      <c r="M1201" s="5245">
        <f t="shared" si="112"/>
        <v>0</v>
      </c>
    </row>
    <row r="1202" spans="1:13" ht="14.85" customHeight="1">
      <c r="A1202" s="5238">
        <v>500</v>
      </c>
      <c r="B1202" s="5238" t="s">
        <v>4263</v>
      </c>
      <c r="C1202" s="5239" t="s">
        <v>2907</v>
      </c>
      <c r="D1202" s="5240"/>
      <c r="E1202" s="5241"/>
      <c r="F1202" s="5243">
        <f t="shared" si="108"/>
        <v>0</v>
      </c>
      <c r="G1202" s="5241"/>
      <c r="H1202" s="5241"/>
      <c r="I1202" s="5243">
        <f t="shared" si="109"/>
        <v>0</v>
      </c>
      <c r="J1202" s="5244">
        <f t="shared" si="113"/>
        <v>0</v>
      </c>
      <c r="K1202" s="5245">
        <f t="shared" si="110"/>
        <v>0</v>
      </c>
      <c r="L1202" s="5245">
        <f t="shared" si="111"/>
        <v>0</v>
      </c>
      <c r="M1202" s="5245">
        <f t="shared" si="112"/>
        <v>0</v>
      </c>
    </row>
    <row r="1203" spans="1:13" ht="14.85" customHeight="1">
      <c r="A1203" s="5238">
        <v>500</v>
      </c>
      <c r="B1203" s="5238" t="s">
        <v>4264</v>
      </c>
      <c r="C1203" s="5239" t="s">
        <v>2908</v>
      </c>
      <c r="D1203" s="5240"/>
      <c r="E1203" s="5241"/>
      <c r="F1203" s="5243">
        <f t="shared" si="108"/>
        <v>0</v>
      </c>
      <c r="G1203" s="5241"/>
      <c r="H1203" s="5241"/>
      <c r="I1203" s="5243">
        <f t="shared" si="109"/>
        <v>0</v>
      </c>
      <c r="J1203" s="5244">
        <f t="shared" si="113"/>
        <v>0</v>
      </c>
      <c r="K1203" s="5245">
        <f t="shared" si="110"/>
        <v>0</v>
      </c>
      <c r="L1203" s="5245">
        <f t="shared" si="111"/>
        <v>0</v>
      </c>
      <c r="M1203" s="5245">
        <f t="shared" si="112"/>
        <v>0</v>
      </c>
    </row>
    <row r="1204" spans="1:13" ht="14.85" customHeight="1">
      <c r="A1204" s="5238">
        <v>500</v>
      </c>
      <c r="B1204" s="5238" t="s">
        <v>4265</v>
      </c>
      <c r="C1204" s="5239" t="s">
        <v>2909</v>
      </c>
      <c r="D1204" s="5240"/>
      <c r="E1204" s="5241"/>
      <c r="F1204" s="5243">
        <f t="shared" si="108"/>
        <v>0</v>
      </c>
      <c r="G1204" s="5241"/>
      <c r="H1204" s="5241"/>
      <c r="I1204" s="5243">
        <f t="shared" si="109"/>
        <v>0</v>
      </c>
      <c r="J1204" s="5244">
        <f t="shared" si="113"/>
        <v>0</v>
      </c>
      <c r="K1204" s="5245">
        <f t="shared" si="110"/>
        <v>0</v>
      </c>
      <c r="L1204" s="5245">
        <f t="shared" si="111"/>
        <v>0</v>
      </c>
      <c r="M1204" s="5245">
        <f t="shared" si="112"/>
        <v>0</v>
      </c>
    </row>
    <row r="1205" spans="1:13" ht="14.85" customHeight="1">
      <c r="A1205" s="5238">
        <v>500</v>
      </c>
      <c r="B1205" s="5238" t="s">
        <v>4266</v>
      </c>
      <c r="C1205" s="5239" t="s">
        <v>2910</v>
      </c>
      <c r="D1205" s="5240"/>
      <c r="E1205" s="5241"/>
      <c r="F1205" s="5243">
        <f t="shared" si="108"/>
        <v>0</v>
      </c>
      <c r="G1205" s="5241"/>
      <c r="H1205" s="5241"/>
      <c r="I1205" s="5243">
        <f t="shared" si="109"/>
        <v>0</v>
      </c>
      <c r="J1205" s="5244">
        <f t="shared" si="113"/>
        <v>0</v>
      </c>
      <c r="K1205" s="5245">
        <f t="shared" si="110"/>
        <v>0</v>
      </c>
      <c r="L1205" s="5245">
        <f t="shared" si="111"/>
        <v>0</v>
      </c>
      <c r="M1205" s="5245">
        <f t="shared" si="112"/>
        <v>0</v>
      </c>
    </row>
    <row r="1206" spans="1:13" ht="14.85" customHeight="1">
      <c r="A1206" s="5238">
        <v>500</v>
      </c>
      <c r="B1206" s="5238" t="s">
        <v>4267</v>
      </c>
      <c r="C1206" s="5239" t="s">
        <v>2911</v>
      </c>
      <c r="D1206" s="5240"/>
      <c r="E1206" s="5241"/>
      <c r="F1206" s="5243">
        <f t="shared" si="108"/>
        <v>0</v>
      </c>
      <c r="G1206" s="5241"/>
      <c r="H1206" s="5241"/>
      <c r="I1206" s="5243">
        <f t="shared" si="109"/>
        <v>0</v>
      </c>
      <c r="J1206" s="5244">
        <f t="shared" si="113"/>
        <v>0</v>
      </c>
      <c r="K1206" s="5245">
        <f t="shared" si="110"/>
        <v>0</v>
      </c>
      <c r="L1206" s="5245">
        <f t="shared" si="111"/>
        <v>0</v>
      </c>
      <c r="M1206" s="5245">
        <f t="shared" si="112"/>
        <v>0</v>
      </c>
    </row>
    <row r="1207" spans="1:13" ht="14.85" customHeight="1">
      <c r="A1207" s="5238">
        <v>500</v>
      </c>
      <c r="B1207" s="5238" t="s">
        <v>4268</v>
      </c>
      <c r="C1207" s="5239" t="s">
        <v>2912</v>
      </c>
      <c r="D1207" s="5240"/>
      <c r="E1207" s="5241"/>
      <c r="F1207" s="5243">
        <f t="shared" si="108"/>
        <v>0</v>
      </c>
      <c r="G1207" s="5241"/>
      <c r="H1207" s="5241"/>
      <c r="I1207" s="5243">
        <f t="shared" si="109"/>
        <v>0</v>
      </c>
      <c r="J1207" s="5244">
        <f t="shared" si="113"/>
        <v>0</v>
      </c>
      <c r="K1207" s="5245">
        <f t="shared" si="110"/>
        <v>0</v>
      </c>
      <c r="L1207" s="5245">
        <f t="shared" si="111"/>
        <v>0</v>
      </c>
      <c r="M1207" s="5245">
        <f t="shared" si="112"/>
        <v>0</v>
      </c>
    </row>
    <row r="1208" spans="1:13" ht="14.85" customHeight="1">
      <c r="A1208" s="5238">
        <v>500</v>
      </c>
      <c r="B1208" s="5238" t="s">
        <v>4269</v>
      </c>
      <c r="C1208" s="5239" t="s">
        <v>2081</v>
      </c>
      <c r="D1208" s="5240"/>
      <c r="E1208" s="5241"/>
      <c r="F1208" s="5243">
        <f t="shared" si="108"/>
        <v>0</v>
      </c>
      <c r="G1208" s="5241"/>
      <c r="H1208" s="5241"/>
      <c r="I1208" s="5243">
        <f t="shared" si="109"/>
        <v>0</v>
      </c>
      <c r="J1208" s="5244">
        <f t="shared" si="113"/>
        <v>0</v>
      </c>
      <c r="K1208" s="5245">
        <f t="shared" si="110"/>
        <v>0</v>
      </c>
      <c r="L1208" s="5245">
        <f t="shared" si="111"/>
        <v>0</v>
      </c>
      <c r="M1208" s="5245">
        <f t="shared" si="112"/>
        <v>0</v>
      </c>
    </row>
    <row r="1209" spans="1:13" ht="14.85" customHeight="1">
      <c r="A1209" s="5238">
        <v>500</v>
      </c>
      <c r="B1209" s="5238" t="s">
        <v>4270</v>
      </c>
      <c r="C1209" s="5239" t="s">
        <v>2796</v>
      </c>
      <c r="D1209" s="5240"/>
      <c r="E1209" s="5241"/>
      <c r="F1209" s="5243">
        <f t="shared" si="108"/>
        <v>0</v>
      </c>
      <c r="G1209" s="5241"/>
      <c r="H1209" s="5241"/>
      <c r="I1209" s="5243">
        <f t="shared" si="109"/>
        <v>0</v>
      </c>
      <c r="J1209" s="5244">
        <f t="shared" si="113"/>
        <v>0</v>
      </c>
      <c r="K1209" s="5245">
        <f t="shared" si="110"/>
        <v>0</v>
      </c>
      <c r="L1209" s="5245">
        <f t="shared" si="111"/>
        <v>0</v>
      </c>
      <c r="M1209" s="5245">
        <f t="shared" si="112"/>
        <v>0</v>
      </c>
    </row>
    <row r="1210" spans="1:13" ht="14.85" customHeight="1">
      <c r="A1210" s="5238">
        <v>500</v>
      </c>
      <c r="B1210" s="5238" t="s">
        <v>4271</v>
      </c>
      <c r="C1210" s="5239" t="s">
        <v>2808</v>
      </c>
      <c r="D1210" s="5240"/>
      <c r="E1210" s="5241"/>
      <c r="F1210" s="5243">
        <f t="shared" si="108"/>
        <v>0</v>
      </c>
      <c r="G1210" s="5241"/>
      <c r="H1210" s="5241"/>
      <c r="I1210" s="5243">
        <f t="shared" si="109"/>
        <v>0</v>
      </c>
      <c r="J1210" s="5244">
        <f t="shared" si="113"/>
        <v>0</v>
      </c>
      <c r="K1210" s="5245">
        <f t="shared" si="110"/>
        <v>0</v>
      </c>
      <c r="L1210" s="5245">
        <f t="shared" si="111"/>
        <v>0</v>
      </c>
      <c r="M1210" s="5245">
        <f t="shared" si="112"/>
        <v>0</v>
      </c>
    </row>
    <row r="1211" spans="1:13" ht="14.85" customHeight="1">
      <c r="A1211" s="5238">
        <v>500</v>
      </c>
      <c r="B1211" s="5238" t="s">
        <v>4272</v>
      </c>
      <c r="C1211" s="5239" t="s">
        <v>2913</v>
      </c>
      <c r="D1211" s="5240"/>
      <c r="E1211" s="5241"/>
      <c r="F1211" s="5243">
        <f t="shared" si="108"/>
        <v>0</v>
      </c>
      <c r="G1211" s="5241"/>
      <c r="H1211" s="5241"/>
      <c r="I1211" s="5243">
        <f t="shared" si="109"/>
        <v>0</v>
      </c>
      <c r="J1211" s="5244">
        <f t="shared" si="113"/>
        <v>0</v>
      </c>
      <c r="K1211" s="5245">
        <f t="shared" si="110"/>
        <v>0</v>
      </c>
      <c r="L1211" s="5245">
        <f t="shared" si="111"/>
        <v>0</v>
      </c>
      <c r="M1211" s="5245">
        <f t="shared" si="112"/>
        <v>0</v>
      </c>
    </row>
    <row r="1212" spans="1:13" ht="14.85" customHeight="1">
      <c r="A1212" s="5238">
        <v>500</v>
      </c>
      <c r="B1212" s="5238" t="s">
        <v>4273</v>
      </c>
      <c r="C1212" s="5239" t="s">
        <v>4967</v>
      </c>
      <c r="D1212" s="5240"/>
      <c r="E1212" s="5241"/>
      <c r="F1212" s="5243">
        <f t="shared" si="108"/>
        <v>0</v>
      </c>
      <c r="G1212" s="5241"/>
      <c r="H1212" s="5241"/>
      <c r="I1212" s="5243">
        <f t="shared" si="109"/>
        <v>0</v>
      </c>
      <c r="J1212" s="5244">
        <f t="shared" si="113"/>
        <v>0</v>
      </c>
      <c r="K1212" s="5245">
        <f t="shared" si="110"/>
        <v>0</v>
      </c>
      <c r="L1212" s="5245">
        <f t="shared" si="111"/>
        <v>0</v>
      </c>
      <c r="M1212" s="5245">
        <f t="shared" si="112"/>
        <v>0</v>
      </c>
    </row>
    <row r="1213" spans="1:13" ht="14.85" customHeight="1">
      <c r="A1213" s="5238">
        <v>500</v>
      </c>
      <c r="B1213" s="5238" t="s">
        <v>4274</v>
      </c>
      <c r="C1213" s="5239" t="s">
        <v>2914</v>
      </c>
      <c r="D1213" s="5240"/>
      <c r="E1213" s="5241"/>
      <c r="F1213" s="5243">
        <f t="shared" si="108"/>
        <v>0</v>
      </c>
      <c r="G1213" s="5241"/>
      <c r="H1213" s="5241"/>
      <c r="I1213" s="5243">
        <f t="shared" si="109"/>
        <v>0</v>
      </c>
      <c r="J1213" s="5244">
        <f t="shared" si="113"/>
        <v>0</v>
      </c>
      <c r="K1213" s="5245">
        <f t="shared" si="110"/>
        <v>0</v>
      </c>
      <c r="L1213" s="5245">
        <f t="shared" si="111"/>
        <v>0</v>
      </c>
      <c r="M1213" s="5245">
        <f t="shared" si="112"/>
        <v>0</v>
      </c>
    </row>
    <row r="1214" spans="1:13" ht="14.85" customHeight="1">
      <c r="A1214" s="5238">
        <v>500</v>
      </c>
      <c r="B1214" s="5238" t="s">
        <v>4275</v>
      </c>
      <c r="C1214" s="5239" t="s">
        <v>2915</v>
      </c>
      <c r="D1214" s="5240"/>
      <c r="E1214" s="5241"/>
      <c r="F1214" s="5243">
        <f t="shared" si="108"/>
        <v>0</v>
      </c>
      <c r="G1214" s="5241"/>
      <c r="H1214" s="5241"/>
      <c r="I1214" s="5243">
        <f t="shared" si="109"/>
        <v>0</v>
      </c>
      <c r="J1214" s="5244">
        <f t="shared" si="113"/>
        <v>0</v>
      </c>
      <c r="K1214" s="5245">
        <f t="shared" si="110"/>
        <v>0</v>
      </c>
      <c r="L1214" s="5245">
        <f t="shared" si="111"/>
        <v>0</v>
      </c>
      <c r="M1214" s="5245">
        <f t="shared" si="112"/>
        <v>0</v>
      </c>
    </row>
    <row r="1215" spans="1:13" ht="14.85" customHeight="1">
      <c r="A1215" s="5238">
        <v>500</v>
      </c>
      <c r="B1215" s="5238" t="s">
        <v>4276</v>
      </c>
      <c r="C1215" s="5239" t="s">
        <v>2916</v>
      </c>
      <c r="D1215" s="5240"/>
      <c r="E1215" s="5241"/>
      <c r="F1215" s="5243">
        <f t="shared" si="108"/>
        <v>0</v>
      </c>
      <c r="G1215" s="5241"/>
      <c r="H1215" s="5241"/>
      <c r="I1215" s="5243">
        <f t="shared" si="109"/>
        <v>0</v>
      </c>
      <c r="J1215" s="5244">
        <f t="shared" si="113"/>
        <v>0</v>
      </c>
      <c r="K1215" s="5245">
        <f t="shared" si="110"/>
        <v>0</v>
      </c>
      <c r="L1215" s="5245">
        <f t="shared" si="111"/>
        <v>0</v>
      </c>
      <c r="M1215" s="5245">
        <f t="shared" si="112"/>
        <v>0</v>
      </c>
    </row>
    <row r="1216" spans="1:13" ht="14.85" customHeight="1">
      <c r="A1216" s="5238">
        <v>500</v>
      </c>
      <c r="B1216" s="5238" t="s">
        <v>4277</v>
      </c>
      <c r="C1216" s="5239" t="s">
        <v>2917</v>
      </c>
      <c r="D1216" s="5240"/>
      <c r="E1216" s="5241"/>
      <c r="F1216" s="5243">
        <f t="shared" si="108"/>
        <v>0</v>
      </c>
      <c r="G1216" s="5241"/>
      <c r="H1216" s="5241"/>
      <c r="I1216" s="5243">
        <f t="shared" si="109"/>
        <v>0</v>
      </c>
      <c r="J1216" s="5244">
        <f t="shared" si="113"/>
        <v>0</v>
      </c>
      <c r="K1216" s="5245">
        <f t="shared" si="110"/>
        <v>0</v>
      </c>
      <c r="L1216" s="5245">
        <f t="shared" si="111"/>
        <v>0</v>
      </c>
      <c r="M1216" s="5245">
        <f t="shared" si="112"/>
        <v>0</v>
      </c>
    </row>
    <row r="1217" spans="1:13" ht="14.85" customHeight="1">
      <c r="A1217" s="5238">
        <v>500</v>
      </c>
      <c r="B1217" s="5238" t="s">
        <v>4278</v>
      </c>
      <c r="C1217" s="5239" t="s">
        <v>2918</v>
      </c>
      <c r="D1217" s="5240"/>
      <c r="E1217" s="5241"/>
      <c r="F1217" s="5243">
        <f t="shared" si="108"/>
        <v>0</v>
      </c>
      <c r="G1217" s="5241"/>
      <c r="H1217" s="5241"/>
      <c r="I1217" s="5243">
        <f t="shared" si="109"/>
        <v>0</v>
      </c>
      <c r="J1217" s="5244">
        <f t="shared" si="113"/>
        <v>0</v>
      </c>
      <c r="K1217" s="5245">
        <f t="shared" si="110"/>
        <v>0</v>
      </c>
      <c r="L1217" s="5245">
        <f t="shared" si="111"/>
        <v>0</v>
      </c>
      <c r="M1217" s="5245">
        <f t="shared" si="112"/>
        <v>0</v>
      </c>
    </row>
    <row r="1218" spans="1:13" ht="14.85" customHeight="1">
      <c r="A1218" s="5238">
        <v>500</v>
      </c>
      <c r="B1218" s="5238" t="s">
        <v>4279</v>
      </c>
      <c r="C1218" s="5239" t="s">
        <v>2919</v>
      </c>
      <c r="D1218" s="5240"/>
      <c r="E1218" s="5241"/>
      <c r="F1218" s="5243">
        <f t="shared" si="108"/>
        <v>0</v>
      </c>
      <c r="G1218" s="5241"/>
      <c r="H1218" s="5241"/>
      <c r="I1218" s="5243">
        <f t="shared" si="109"/>
        <v>0</v>
      </c>
      <c r="J1218" s="5244">
        <f t="shared" si="113"/>
        <v>0</v>
      </c>
      <c r="K1218" s="5245">
        <f t="shared" si="110"/>
        <v>0</v>
      </c>
      <c r="L1218" s="5245">
        <f t="shared" si="111"/>
        <v>0</v>
      </c>
      <c r="M1218" s="5245">
        <f t="shared" si="112"/>
        <v>0</v>
      </c>
    </row>
    <row r="1219" spans="1:13" ht="14.85" customHeight="1">
      <c r="A1219" s="5238">
        <v>500</v>
      </c>
      <c r="B1219" s="5238" t="s">
        <v>4280</v>
      </c>
      <c r="C1219" s="5239" t="s">
        <v>2920</v>
      </c>
      <c r="D1219" s="5240"/>
      <c r="E1219" s="5241"/>
      <c r="F1219" s="5243">
        <f t="shared" si="108"/>
        <v>0</v>
      </c>
      <c r="G1219" s="5241"/>
      <c r="H1219" s="5241"/>
      <c r="I1219" s="5243">
        <f t="shared" si="109"/>
        <v>0</v>
      </c>
      <c r="J1219" s="5244">
        <f t="shared" si="113"/>
        <v>0</v>
      </c>
      <c r="K1219" s="5245">
        <f t="shared" si="110"/>
        <v>0</v>
      </c>
      <c r="L1219" s="5245">
        <f t="shared" si="111"/>
        <v>0</v>
      </c>
      <c r="M1219" s="5245">
        <f t="shared" si="112"/>
        <v>0</v>
      </c>
    </row>
    <row r="1220" spans="1:13" ht="14.85" customHeight="1">
      <c r="A1220" s="5238">
        <v>500</v>
      </c>
      <c r="B1220" s="5238" t="s">
        <v>4281</v>
      </c>
      <c r="C1220" s="5239" t="s">
        <v>2921</v>
      </c>
      <c r="D1220" s="5240"/>
      <c r="E1220" s="5241"/>
      <c r="F1220" s="5243">
        <f t="shared" si="108"/>
        <v>0</v>
      </c>
      <c r="G1220" s="5241"/>
      <c r="H1220" s="5241"/>
      <c r="I1220" s="5243">
        <f t="shared" si="109"/>
        <v>0</v>
      </c>
      <c r="J1220" s="5244">
        <f t="shared" si="113"/>
        <v>0</v>
      </c>
      <c r="K1220" s="5245">
        <f t="shared" si="110"/>
        <v>0</v>
      </c>
      <c r="L1220" s="5245">
        <f t="shared" si="111"/>
        <v>0</v>
      </c>
      <c r="M1220" s="5245">
        <f t="shared" si="112"/>
        <v>0</v>
      </c>
    </row>
    <row r="1221" spans="1:13" ht="14.85" customHeight="1">
      <c r="A1221" s="5238">
        <v>500</v>
      </c>
      <c r="B1221" s="5238" t="s">
        <v>4282</v>
      </c>
      <c r="C1221" s="5239" t="s">
        <v>2922</v>
      </c>
      <c r="D1221" s="5240"/>
      <c r="E1221" s="5241"/>
      <c r="F1221" s="5243">
        <f t="shared" si="108"/>
        <v>0</v>
      </c>
      <c r="G1221" s="5241"/>
      <c r="H1221" s="5241"/>
      <c r="I1221" s="5243">
        <f t="shared" si="109"/>
        <v>0</v>
      </c>
      <c r="J1221" s="5244">
        <f t="shared" si="113"/>
        <v>0</v>
      </c>
      <c r="K1221" s="5245">
        <f t="shared" si="110"/>
        <v>0</v>
      </c>
      <c r="L1221" s="5245">
        <f t="shared" si="111"/>
        <v>0</v>
      </c>
      <c r="M1221" s="5245">
        <f t="shared" si="112"/>
        <v>0</v>
      </c>
    </row>
    <row r="1222" spans="1:13" ht="14.85" customHeight="1">
      <c r="A1222" s="5238">
        <v>500</v>
      </c>
      <c r="B1222" s="5238" t="s">
        <v>4283</v>
      </c>
      <c r="C1222" s="5239" t="s">
        <v>2923</v>
      </c>
      <c r="D1222" s="5240"/>
      <c r="E1222" s="5241"/>
      <c r="F1222" s="5243">
        <f t="shared" si="108"/>
        <v>0</v>
      </c>
      <c r="G1222" s="5241"/>
      <c r="H1222" s="5241"/>
      <c r="I1222" s="5243">
        <f t="shared" si="109"/>
        <v>0</v>
      </c>
      <c r="J1222" s="5244">
        <f t="shared" si="113"/>
        <v>0</v>
      </c>
      <c r="K1222" s="5245">
        <f t="shared" si="110"/>
        <v>0</v>
      </c>
      <c r="L1222" s="5245">
        <f t="shared" si="111"/>
        <v>0</v>
      </c>
      <c r="M1222" s="5245">
        <f t="shared" si="112"/>
        <v>0</v>
      </c>
    </row>
    <row r="1223" spans="1:13" ht="14.85" customHeight="1">
      <c r="A1223" s="5238">
        <v>500</v>
      </c>
      <c r="B1223" s="5238" t="s">
        <v>4284</v>
      </c>
      <c r="C1223" s="5239" t="s">
        <v>2924</v>
      </c>
      <c r="D1223" s="5240"/>
      <c r="E1223" s="5241"/>
      <c r="F1223" s="5243">
        <f t="shared" si="108"/>
        <v>0</v>
      </c>
      <c r="G1223" s="5241"/>
      <c r="H1223" s="5241"/>
      <c r="I1223" s="5243">
        <f t="shared" si="109"/>
        <v>0</v>
      </c>
      <c r="J1223" s="5244">
        <f t="shared" si="113"/>
        <v>0</v>
      </c>
      <c r="K1223" s="5245">
        <f t="shared" si="110"/>
        <v>0</v>
      </c>
      <c r="L1223" s="5245">
        <f t="shared" si="111"/>
        <v>0</v>
      </c>
      <c r="M1223" s="5245">
        <f t="shared" si="112"/>
        <v>0</v>
      </c>
    </row>
    <row r="1224" spans="1:13" ht="14.85" customHeight="1">
      <c r="A1224" s="5238">
        <v>500</v>
      </c>
      <c r="B1224" s="5238" t="s">
        <v>4285</v>
      </c>
      <c r="C1224" s="5239" t="s">
        <v>2925</v>
      </c>
      <c r="D1224" s="5240"/>
      <c r="E1224" s="5241"/>
      <c r="F1224" s="5243">
        <f t="shared" si="108"/>
        <v>0</v>
      </c>
      <c r="G1224" s="5241"/>
      <c r="H1224" s="5241"/>
      <c r="I1224" s="5243">
        <f t="shared" si="109"/>
        <v>0</v>
      </c>
      <c r="J1224" s="5244">
        <f t="shared" si="113"/>
        <v>0</v>
      </c>
      <c r="K1224" s="5245">
        <f t="shared" si="110"/>
        <v>0</v>
      </c>
      <c r="L1224" s="5245">
        <f t="shared" si="111"/>
        <v>0</v>
      </c>
      <c r="M1224" s="5245">
        <f t="shared" si="112"/>
        <v>0</v>
      </c>
    </row>
    <row r="1225" spans="1:13" ht="14.85" customHeight="1">
      <c r="A1225" s="5238">
        <v>500</v>
      </c>
      <c r="B1225" s="5238" t="s">
        <v>4286</v>
      </c>
      <c r="C1225" s="5239" t="s">
        <v>2926</v>
      </c>
      <c r="D1225" s="5240"/>
      <c r="E1225" s="5241"/>
      <c r="F1225" s="5243">
        <f t="shared" si="108"/>
        <v>0</v>
      </c>
      <c r="G1225" s="5241"/>
      <c r="H1225" s="5241"/>
      <c r="I1225" s="5243">
        <f t="shared" si="109"/>
        <v>0</v>
      </c>
      <c r="J1225" s="5244">
        <f t="shared" si="113"/>
        <v>0</v>
      </c>
      <c r="K1225" s="5245">
        <f t="shared" si="110"/>
        <v>0</v>
      </c>
      <c r="L1225" s="5245">
        <f t="shared" si="111"/>
        <v>0</v>
      </c>
      <c r="M1225" s="5245">
        <f t="shared" si="112"/>
        <v>0</v>
      </c>
    </row>
    <row r="1226" spans="1:13" ht="14.85" customHeight="1">
      <c r="A1226" s="5238">
        <v>500</v>
      </c>
      <c r="B1226" s="5238" t="s">
        <v>4287</v>
      </c>
      <c r="C1226" s="5239" t="s">
        <v>2927</v>
      </c>
      <c r="D1226" s="5240"/>
      <c r="E1226" s="5241"/>
      <c r="F1226" s="5243">
        <f t="shared" si="108"/>
        <v>0</v>
      </c>
      <c r="G1226" s="5241"/>
      <c r="H1226" s="5241"/>
      <c r="I1226" s="5243">
        <f t="shared" si="109"/>
        <v>0</v>
      </c>
      <c r="J1226" s="5244">
        <f t="shared" si="113"/>
        <v>0</v>
      </c>
      <c r="K1226" s="5245">
        <f t="shared" si="110"/>
        <v>0</v>
      </c>
      <c r="L1226" s="5245">
        <f t="shared" si="111"/>
        <v>0</v>
      </c>
      <c r="M1226" s="5245">
        <f t="shared" si="112"/>
        <v>0</v>
      </c>
    </row>
    <row r="1227" spans="1:13" ht="14.85" customHeight="1">
      <c r="A1227" s="5238">
        <v>500</v>
      </c>
      <c r="B1227" s="5238" t="s">
        <v>4288</v>
      </c>
      <c r="C1227" s="5239" t="s">
        <v>2928</v>
      </c>
      <c r="D1227" s="5240"/>
      <c r="E1227" s="5241"/>
      <c r="F1227" s="5243">
        <f t="shared" si="108"/>
        <v>0</v>
      </c>
      <c r="G1227" s="5241"/>
      <c r="H1227" s="5241"/>
      <c r="I1227" s="5243">
        <f t="shared" si="109"/>
        <v>0</v>
      </c>
      <c r="J1227" s="5244">
        <f t="shared" si="113"/>
        <v>0</v>
      </c>
      <c r="K1227" s="5245">
        <f t="shared" si="110"/>
        <v>0</v>
      </c>
      <c r="L1227" s="5245">
        <f t="shared" si="111"/>
        <v>0</v>
      </c>
      <c r="M1227" s="5245">
        <f t="shared" si="112"/>
        <v>0</v>
      </c>
    </row>
    <row r="1228" spans="1:13" ht="14.85" customHeight="1">
      <c r="A1228" s="5238">
        <v>500</v>
      </c>
      <c r="B1228" s="5238" t="s">
        <v>4289</v>
      </c>
      <c r="C1228" s="5239" t="s">
        <v>2929</v>
      </c>
      <c r="D1228" s="5240"/>
      <c r="E1228" s="5241"/>
      <c r="F1228" s="5243">
        <f t="shared" si="108"/>
        <v>0</v>
      </c>
      <c r="G1228" s="5241"/>
      <c r="H1228" s="5241"/>
      <c r="I1228" s="5243">
        <f t="shared" si="109"/>
        <v>0</v>
      </c>
      <c r="J1228" s="5244">
        <f t="shared" si="113"/>
        <v>0</v>
      </c>
      <c r="K1228" s="5245">
        <f t="shared" si="110"/>
        <v>0</v>
      </c>
      <c r="L1228" s="5245">
        <f t="shared" si="111"/>
        <v>0</v>
      </c>
      <c r="M1228" s="5245">
        <f t="shared" si="112"/>
        <v>0</v>
      </c>
    </row>
    <row r="1229" spans="1:13" ht="14.85" customHeight="1">
      <c r="A1229" s="5238">
        <v>500</v>
      </c>
      <c r="B1229" s="5238" t="s">
        <v>4290</v>
      </c>
      <c r="C1229" s="5239" t="s">
        <v>2930</v>
      </c>
      <c r="D1229" s="5240"/>
      <c r="E1229" s="5241"/>
      <c r="F1229" s="5243">
        <f t="shared" si="108"/>
        <v>0</v>
      </c>
      <c r="G1229" s="5241"/>
      <c r="H1229" s="5241"/>
      <c r="I1229" s="5243">
        <f t="shared" si="109"/>
        <v>0</v>
      </c>
      <c r="J1229" s="5244">
        <f t="shared" si="113"/>
        <v>0</v>
      </c>
      <c r="K1229" s="5245">
        <f t="shared" si="110"/>
        <v>0</v>
      </c>
      <c r="L1229" s="5245">
        <f t="shared" si="111"/>
        <v>0</v>
      </c>
      <c r="M1229" s="5245">
        <f t="shared" si="112"/>
        <v>0</v>
      </c>
    </row>
    <row r="1230" spans="1:13" ht="14.85" customHeight="1">
      <c r="A1230" s="5238">
        <v>500</v>
      </c>
      <c r="B1230" s="5238" t="s">
        <v>4291</v>
      </c>
      <c r="C1230" s="5239" t="s">
        <v>4292</v>
      </c>
      <c r="D1230" s="5240"/>
      <c r="E1230" s="5241"/>
      <c r="F1230" s="5243">
        <f t="shared" si="108"/>
        <v>0</v>
      </c>
      <c r="G1230" s="5241"/>
      <c r="H1230" s="5241"/>
      <c r="I1230" s="5243">
        <f t="shared" si="109"/>
        <v>0</v>
      </c>
      <c r="J1230" s="5244">
        <f t="shared" si="113"/>
        <v>0</v>
      </c>
      <c r="K1230" s="5245">
        <f t="shared" si="110"/>
        <v>0</v>
      </c>
      <c r="L1230" s="5245">
        <f t="shared" si="111"/>
        <v>0</v>
      </c>
      <c r="M1230" s="5245">
        <f t="shared" si="112"/>
        <v>0</v>
      </c>
    </row>
    <row r="1231" spans="1:13" ht="14.85" customHeight="1">
      <c r="A1231" s="5238">
        <v>500</v>
      </c>
      <c r="B1231" s="5238" t="s">
        <v>4293</v>
      </c>
      <c r="C1231" s="5239" t="s">
        <v>4294</v>
      </c>
      <c r="D1231" s="5240"/>
      <c r="E1231" s="5241"/>
      <c r="F1231" s="5243">
        <f t="shared" si="108"/>
        <v>0</v>
      </c>
      <c r="G1231" s="5241"/>
      <c r="H1231" s="5241"/>
      <c r="I1231" s="5243">
        <f t="shared" si="109"/>
        <v>0</v>
      </c>
      <c r="J1231" s="5244">
        <f t="shared" si="113"/>
        <v>0</v>
      </c>
      <c r="K1231" s="5245">
        <f t="shared" si="110"/>
        <v>0</v>
      </c>
      <c r="L1231" s="5245">
        <f t="shared" si="111"/>
        <v>0</v>
      </c>
      <c r="M1231" s="5245">
        <f t="shared" si="112"/>
        <v>0</v>
      </c>
    </row>
    <row r="1232" spans="1:13" ht="14.85" customHeight="1">
      <c r="A1232" s="5238">
        <v>500</v>
      </c>
      <c r="B1232" s="5238" t="s">
        <v>4295</v>
      </c>
      <c r="C1232" s="5239" t="s">
        <v>4296</v>
      </c>
      <c r="D1232" s="5240"/>
      <c r="E1232" s="5241"/>
      <c r="F1232" s="5243">
        <f t="shared" si="108"/>
        <v>0</v>
      </c>
      <c r="G1232" s="5241"/>
      <c r="H1232" s="5241"/>
      <c r="I1232" s="5243">
        <f t="shared" si="109"/>
        <v>0</v>
      </c>
      <c r="J1232" s="5244">
        <f t="shared" si="113"/>
        <v>0</v>
      </c>
      <c r="K1232" s="5245">
        <f t="shared" si="110"/>
        <v>0</v>
      </c>
      <c r="L1232" s="5245">
        <f t="shared" si="111"/>
        <v>0</v>
      </c>
      <c r="M1232" s="5245">
        <f t="shared" si="112"/>
        <v>0</v>
      </c>
    </row>
    <row r="1233" spans="1:13" ht="14.85" customHeight="1">
      <c r="A1233" s="5238">
        <v>500</v>
      </c>
      <c r="B1233" s="5238" t="s">
        <v>4587</v>
      </c>
      <c r="C1233" s="5239" t="s">
        <v>4588</v>
      </c>
      <c r="D1233" s="5240"/>
      <c r="E1233" s="5241"/>
      <c r="F1233" s="5243">
        <f t="shared" si="108"/>
        <v>0</v>
      </c>
      <c r="G1233" s="5241"/>
      <c r="H1233" s="5241"/>
      <c r="I1233" s="5243">
        <f t="shared" si="109"/>
        <v>0</v>
      </c>
      <c r="J1233" s="5244">
        <f t="shared" si="113"/>
        <v>0</v>
      </c>
      <c r="K1233" s="5245">
        <f t="shared" si="110"/>
        <v>0</v>
      </c>
      <c r="L1233" s="5245">
        <f t="shared" si="111"/>
        <v>0</v>
      </c>
      <c r="M1233" s="5245">
        <f t="shared" si="112"/>
        <v>0</v>
      </c>
    </row>
    <row r="1234" spans="1:13" ht="14.85" customHeight="1">
      <c r="A1234" s="5238">
        <v>500</v>
      </c>
      <c r="B1234" s="5238" t="s">
        <v>4968</v>
      </c>
      <c r="C1234" s="5239" t="s">
        <v>4969</v>
      </c>
      <c r="D1234" s="5240"/>
      <c r="E1234" s="5241"/>
      <c r="F1234" s="5243">
        <f t="shared" si="108"/>
        <v>0</v>
      </c>
      <c r="G1234" s="5241"/>
      <c r="H1234" s="5241"/>
      <c r="I1234" s="5243">
        <f t="shared" si="109"/>
        <v>0</v>
      </c>
      <c r="J1234" s="5244">
        <f t="shared" si="113"/>
        <v>0</v>
      </c>
      <c r="K1234" s="5245">
        <f t="shared" si="110"/>
        <v>0</v>
      </c>
      <c r="L1234" s="5245">
        <f t="shared" si="111"/>
        <v>0</v>
      </c>
      <c r="M1234" s="5245">
        <f t="shared" si="112"/>
        <v>0</v>
      </c>
    </row>
    <row r="1235" spans="1:13" ht="14.85" customHeight="1">
      <c r="A1235" s="5238">
        <v>500</v>
      </c>
      <c r="B1235" s="5238" t="s">
        <v>4970</v>
      </c>
      <c r="C1235" s="5239" t="s">
        <v>4971</v>
      </c>
      <c r="D1235" s="5240"/>
      <c r="E1235" s="5241"/>
      <c r="F1235" s="5243">
        <f t="shared" si="108"/>
        <v>0</v>
      </c>
      <c r="G1235" s="5241"/>
      <c r="H1235" s="5241"/>
      <c r="I1235" s="5243">
        <f t="shared" si="109"/>
        <v>0</v>
      </c>
      <c r="J1235" s="5244">
        <f t="shared" si="113"/>
        <v>0</v>
      </c>
      <c r="K1235" s="5245">
        <f t="shared" si="110"/>
        <v>0</v>
      </c>
      <c r="L1235" s="5245">
        <f t="shared" si="111"/>
        <v>0</v>
      </c>
      <c r="M1235" s="5245">
        <f t="shared" si="112"/>
        <v>0</v>
      </c>
    </row>
    <row r="1236" spans="1:13" ht="14.85" customHeight="1">
      <c r="A1236" s="5238">
        <v>501</v>
      </c>
      <c r="B1236" s="5238" t="s">
        <v>4297</v>
      </c>
      <c r="C1236" s="5239" t="s">
        <v>4972</v>
      </c>
      <c r="D1236" s="5240"/>
      <c r="E1236" s="5241"/>
      <c r="F1236" s="5243">
        <f t="shared" si="108"/>
        <v>0</v>
      </c>
      <c r="G1236" s="5241"/>
      <c r="H1236" s="5241"/>
      <c r="I1236" s="5243">
        <f t="shared" si="109"/>
        <v>0</v>
      </c>
      <c r="J1236" s="5244">
        <f t="shared" si="113"/>
        <v>0</v>
      </c>
      <c r="K1236" s="5245">
        <f t="shared" si="110"/>
        <v>0</v>
      </c>
      <c r="L1236" s="5245">
        <f t="shared" si="111"/>
        <v>0</v>
      </c>
      <c r="M1236" s="5245">
        <f t="shared" si="112"/>
        <v>0</v>
      </c>
    </row>
    <row r="1237" spans="1:13" ht="14.85" customHeight="1">
      <c r="A1237" s="5238">
        <v>501</v>
      </c>
      <c r="B1237" s="5238" t="s">
        <v>4298</v>
      </c>
      <c r="C1237" s="5239" t="s">
        <v>2931</v>
      </c>
      <c r="D1237" s="5240"/>
      <c r="E1237" s="5241"/>
      <c r="F1237" s="5243">
        <f t="shared" si="108"/>
        <v>0</v>
      </c>
      <c r="G1237" s="5241"/>
      <c r="H1237" s="5241"/>
      <c r="I1237" s="5243">
        <f t="shared" si="109"/>
        <v>0</v>
      </c>
      <c r="J1237" s="5244">
        <f t="shared" si="113"/>
        <v>0</v>
      </c>
      <c r="K1237" s="5245">
        <f t="shared" si="110"/>
        <v>0</v>
      </c>
      <c r="L1237" s="5245">
        <f t="shared" si="111"/>
        <v>0</v>
      </c>
      <c r="M1237" s="5245">
        <f t="shared" si="112"/>
        <v>0</v>
      </c>
    </row>
    <row r="1238" spans="1:13" ht="14.85" customHeight="1">
      <c r="A1238" s="5238">
        <v>501</v>
      </c>
      <c r="B1238" s="5238" t="s">
        <v>4299</v>
      </c>
      <c r="C1238" s="5239" t="s">
        <v>4300</v>
      </c>
      <c r="D1238" s="5240"/>
      <c r="E1238" s="5241"/>
      <c r="F1238" s="5243">
        <f t="shared" si="108"/>
        <v>0</v>
      </c>
      <c r="G1238" s="5241"/>
      <c r="H1238" s="5241"/>
      <c r="I1238" s="5243">
        <f t="shared" si="109"/>
        <v>0</v>
      </c>
      <c r="J1238" s="5244">
        <f t="shared" si="113"/>
        <v>0</v>
      </c>
      <c r="K1238" s="5245">
        <f t="shared" si="110"/>
        <v>0</v>
      </c>
      <c r="L1238" s="5245">
        <f t="shared" si="111"/>
        <v>0</v>
      </c>
      <c r="M1238" s="5245">
        <f t="shared" si="112"/>
        <v>0</v>
      </c>
    </row>
    <row r="1239" spans="1:13" ht="14.85" customHeight="1">
      <c r="A1239" s="5238">
        <v>501</v>
      </c>
      <c r="B1239" s="5238" t="s">
        <v>4301</v>
      </c>
      <c r="C1239" s="5239" t="s">
        <v>2932</v>
      </c>
      <c r="D1239" s="5240"/>
      <c r="E1239" s="5241"/>
      <c r="F1239" s="5243">
        <f t="shared" si="108"/>
        <v>0</v>
      </c>
      <c r="G1239" s="5241"/>
      <c r="H1239" s="5241"/>
      <c r="I1239" s="5243">
        <f t="shared" si="109"/>
        <v>0</v>
      </c>
      <c r="J1239" s="5244">
        <f t="shared" si="113"/>
        <v>0</v>
      </c>
      <c r="K1239" s="5245">
        <f t="shared" si="110"/>
        <v>0</v>
      </c>
      <c r="L1239" s="5245">
        <f t="shared" si="111"/>
        <v>0</v>
      </c>
      <c r="M1239" s="5245">
        <f t="shared" si="112"/>
        <v>0</v>
      </c>
    </row>
    <row r="1240" spans="1:13" ht="14.85" customHeight="1">
      <c r="A1240" s="5238">
        <v>501</v>
      </c>
      <c r="B1240" s="5238" t="s">
        <v>4302</v>
      </c>
      <c r="C1240" s="5239" t="s">
        <v>2933</v>
      </c>
      <c r="D1240" s="5240"/>
      <c r="E1240" s="5241"/>
      <c r="F1240" s="5243">
        <f t="shared" si="108"/>
        <v>0</v>
      </c>
      <c r="G1240" s="5241"/>
      <c r="H1240" s="5241"/>
      <c r="I1240" s="5243">
        <f t="shared" si="109"/>
        <v>0</v>
      </c>
      <c r="J1240" s="5244">
        <f t="shared" si="113"/>
        <v>0</v>
      </c>
      <c r="K1240" s="5245">
        <f t="shared" si="110"/>
        <v>0</v>
      </c>
      <c r="L1240" s="5245">
        <f t="shared" si="111"/>
        <v>0</v>
      </c>
      <c r="M1240" s="5245">
        <f t="shared" si="112"/>
        <v>0</v>
      </c>
    </row>
    <row r="1241" spans="1:13" ht="14.85" customHeight="1">
      <c r="A1241" s="5238">
        <v>501</v>
      </c>
      <c r="B1241" s="5238" t="s">
        <v>4303</v>
      </c>
      <c r="C1241" s="5239" t="s">
        <v>2934</v>
      </c>
      <c r="D1241" s="5240"/>
      <c r="E1241" s="5241"/>
      <c r="F1241" s="5243">
        <f t="shared" si="108"/>
        <v>0</v>
      </c>
      <c r="G1241" s="5241"/>
      <c r="H1241" s="5241"/>
      <c r="I1241" s="5243">
        <f t="shared" si="109"/>
        <v>0</v>
      </c>
      <c r="J1241" s="5244">
        <f t="shared" si="113"/>
        <v>0</v>
      </c>
      <c r="K1241" s="5245">
        <f t="shared" si="110"/>
        <v>0</v>
      </c>
      <c r="L1241" s="5245">
        <f t="shared" si="111"/>
        <v>0</v>
      </c>
      <c r="M1241" s="5245">
        <f t="shared" si="112"/>
        <v>0</v>
      </c>
    </row>
    <row r="1242" spans="1:13" ht="14.85" customHeight="1">
      <c r="A1242" s="5238">
        <v>501</v>
      </c>
      <c r="B1242" s="5238" t="s">
        <v>4304</v>
      </c>
      <c r="C1242" s="5239" t="s">
        <v>2935</v>
      </c>
      <c r="D1242" s="5240"/>
      <c r="E1242" s="5241"/>
      <c r="F1242" s="5243">
        <f t="shared" si="108"/>
        <v>0</v>
      </c>
      <c r="G1242" s="5241"/>
      <c r="H1242" s="5241"/>
      <c r="I1242" s="5243">
        <f t="shared" si="109"/>
        <v>0</v>
      </c>
      <c r="J1242" s="5244">
        <f t="shared" si="113"/>
        <v>0</v>
      </c>
      <c r="K1242" s="5245">
        <f t="shared" si="110"/>
        <v>0</v>
      </c>
      <c r="L1242" s="5245">
        <f t="shared" si="111"/>
        <v>0</v>
      </c>
      <c r="M1242" s="5245">
        <f t="shared" si="112"/>
        <v>0</v>
      </c>
    </row>
    <row r="1243" spans="1:13" ht="14.85" customHeight="1">
      <c r="A1243" s="5238">
        <v>501</v>
      </c>
      <c r="B1243" s="5238" t="s">
        <v>4305</v>
      </c>
      <c r="C1243" s="5239" t="s">
        <v>2936</v>
      </c>
      <c r="D1243" s="5240"/>
      <c r="E1243" s="5241"/>
      <c r="F1243" s="5243">
        <f t="shared" si="108"/>
        <v>0</v>
      </c>
      <c r="G1243" s="5241"/>
      <c r="H1243" s="5241"/>
      <c r="I1243" s="5243">
        <f t="shared" si="109"/>
        <v>0</v>
      </c>
      <c r="J1243" s="5244">
        <f t="shared" si="113"/>
        <v>0</v>
      </c>
      <c r="K1243" s="5245">
        <f t="shared" si="110"/>
        <v>0</v>
      </c>
      <c r="L1243" s="5245">
        <f t="shared" si="111"/>
        <v>0</v>
      </c>
      <c r="M1243" s="5245">
        <f t="shared" si="112"/>
        <v>0</v>
      </c>
    </row>
    <row r="1244" spans="1:13" ht="14.85" customHeight="1">
      <c r="A1244" s="5238">
        <v>501</v>
      </c>
      <c r="B1244" s="5238" t="s">
        <v>4306</v>
      </c>
      <c r="C1244" s="5239" t="s">
        <v>2937</v>
      </c>
      <c r="D1244" s="5240"/>
      <c r="E1244" s="5241"/>
      <c r="F1244" s="5243">
        <f t="shared" si="108"/>
        <v>0</v>
      </c>
      <c r="G1244" s="5241"/>
      <c r="H1244" s="5241"/>
      <c r="I1244" s="5243">
        <f t="shared" si="109"/>
        <v>0</v>
      </c>
      <c r="J1244" s="5244">
        <f t="shared" si="113"/>
        <v>0</v>
      </c>
      <c r="K1244" s="5245">
        <f t="shared" si="110"/>
        <v>0</v>
      </c>
      <c r="L1244" s="5245">
        <f t="shared" si="111"/>
        <v>0</v>
      </c>
      <c r="M1244" s="5245">
        <f t="shared" si="112"/>
        <v>0</v>
      </c>
    </row>
    <row r="1245" spans="1:13" ht="14.85" customHeight="1">
      <c r="A1245" s="5238">
        <v>501</v>
      </c>
      <c r="B1245" s="5238" t="s">
        <v>4307</v>
      </c>
      <c r="C1245" s="5239" t="s">
        <v>2938</v>
      </c>
      <c r="D1245" s="5240"/>
      <c r="E1245" s="5241"/>
      <c r="F1245" s="5243">
        <f t="shared" si="108"/>
        <v>0</v>
      </c>
      <c r="G1245" s="5241"/>
      <c r="H1245" s="5241"/>
      <c r="I1245" s="5243">
        <f t="shared" si="109"/>
        <v>0</v>
      </c>
      <c r="J1245" s="5244">
        <f t="shared" si="113"/>
        <v>0</v>
      </c>
      <c r="K1245" s="5245">
        <f t="shared" si="110"/>
        <v>0</v>
      </c>
      <c r="L1245" s="5245">
        <f t="shared" si="111"/>
        <v>0</v>
      </c>
      <c r="M1245" s="5245">
        <f t="shared" si="112"/>
        <v>0</v>
      </c>
    </row>
    <row r="1246" spans="1:13" ht="14.85" customHeight="1">
      <c r="A1246" s="5238">
        <v>501</v>
      </c>
      <c r="B1246" s="5238" t="s">
        <v>4308</v>
      </c>
      <c r="C1246" s="5239" t="s">
        <v>2939</v>
      </c>
      <c r="D1246" s="5240"/>
      <c r="E1246" s="5241"/>
      <c r="F1246" s="5243">
        <f t="shared" si="108"/>
        <v>0</v>
      </c>
      <c r="G1246" s="5241"/>
      <c r="H1246" s="5241"/>
      <c r="I1246" s="5243">
        <f t="shared" si="109"/>
        <v>0</v>
      </c>
      <c r="J1246" s="5244">
        <f t="shared" si="113"/>
        <v>0</v>
      </c>
      <c r="K1246" s="5245">
        <f t="shared" si="110"/>
        <v>0</v>
      </c>
      <c r="L1246" s="5245">
        <f t="shared" si="111"/>
        <v>0</v>
      </c>
      <c r="M1246" s="5245">
        <f t="shared" si="112"/>
        <v>0</v>
      </c>
    </row>
    <row r="1247" spans="1:13" ht="14.85" customHeight="1">
      <c r="A1247" s="5238">
        <v>501</v>
      </c>
      <c r="B1247" s="5238" t="s">
        <v>4309</v>
      </c>
      <c r="C1247" s="5239" t="s">
        <v>2940</v>
      </c>
      <c r="D1247" s="5240"/>
      <c r="E1247" s="5241"/>
      <c r="F1247" s="5243">
        <f t="shared" si="108"/>
        <v>0</v>
      </c>
      <c r="G1247" s="5241"/>
      <c r="H1247" s="5241"/>
      <c r="I1247" s="5243">
        <f t="shared" si="109"/>
        <v>0</v>
      </c>
      <c r="J1247" s="5244">
        <f t="shared" si="113"/>
        <v>0</v>
      </c>
      <c r="K1247" s="5245">
        <f t="shared" si="110"/>
        <v>0</v>
      </c>
      <c r="L1247" s="5245">
        <f t="shared" si="111"/>
        <v>0</v>
      </c>
      <c r="M1247" s="5245">
        <f t="shared" si="112"/>
        <v>0</v>
      </c>
    </row>
    <row r="1248" spans="1:13" ht="14.85" customHeight="1">
      <c r="A1248" s="5238">
        <v>501</v>
      </c>
      <c r="B1248" s="5238" t="s">
        <v>4310</v>
      </c>
      <c r="C1248" s="5239" t="s">
        <v>2941</v>
      </c>
      <c r="D1248" s="5240"/>
      <c r="E1248" s="5241"/>
      <c r="F1248" s="5243">
        <f t="shared" si="108"/>
        <v>0</v>
      </c>
      <c r="G1248" s="5241"/>
      <c r="H1248" s="5241"/>
      <c r="I1248" s="5243">
        <f t="shared" si="109"/>
        <v>0</v>
      </c>
      <c r="J1248" s="5244">
        <f t="shared" si="113"/>
        <v>0</v>
      </c>
      <c r="K1248" s="5245">
        <f t="shared" si="110"/>
        <v>0</v>
      </c>
      <c r="L1248" s="5245">
        <f t="shared" si="111"/>
        <v>0</v>
      </c>
      <c r="M1248" s="5245">
        <f t="shared" si="112"/>
        <v>0</v>
      </c>
    </row>
    <row r="1249" spans="1:13" ht="14.85" customHeight="1">
      <c r="A1249" s="5238">
        <v>501</v>
      </c>
      <c r="B1249" s="5238" t="s">
        <v>4311</v>
      </c>
      <c r="C1249" s="5239" t="s">
        <v>2942</v>
      </c>
      <c r="D1249" s="5240"/>
      <c r="E1249" s="5241"/>
      <c r="F1249" s="5243">
        <f t="shared" ref="F1249:F1312" si="114">SUM(D1249:E1249)</f>
        <v>0</v>
      </c>
      <c r="G1249" s="5241"/>
      <c r="H1249" s="5241"/>
      <c r="I1249" s="5243">
        <f t="shared" ref="I1249:I1312" si="115">SUM(G1249:H1249)</f>
        <v>0</v>
      </c>
      <c r="J1249" s="5244">
        <f t="shared" si="113"/>
        <v>0</v>
      </c>
      <c r="K1249" s="5245">
        <f t="shared" ref="K1249:K1312" si="116">IF(AND((J1249-35%)&gt;0,J1249&lt;50%),I1249*(J1249-35%)*0.7,0)</f>
        <v>0</v>
      </c>
      <c r="L1249" s="5245">
        <f t="shared" ref="L1249:L1312" si="117">IF(J1249&gt;=50%,I1249*10.5%,0)</f>
        <v>0</v>
      </c>
      <c r="M1249" s="5245">
        <f t="shared" ref="M1249:M1312" si="118">MAX(K1249,L1249)</f>
        <v>0</v>
      </c>
    </row>
    <row r="1250" spans="1:13" ht="14.85" customHeight="1">
      <c r="A1250" s="5238">
        <v>501</v>
      </c>
      <c r="B1250" s="5238" t="s">
        <v>4312</v>
      </c>
      <c r="C1250" s="5239" t="s">
        <v>2208</v>
      </c>
      <c r="D1250" s="5240"/>
      <c r="E1250" s="5241"/>
      <c r="F1250" s="5243">
        <f t="shared" si="114"/>
        <v>0</v>
      </c>
      <c r="G1250" s="5241"/>
      <c r="H1250" s="5241"/>
      <c r="I1250" s="5243">
        <f t="shared" si="115"/>
        <v>0</v>
      </c>
      <c r="J1250" s="5244">
        <f t="shared" si="113"/>
        <v>0</v>
      </c>
      <c r="K1250" s="5245">
        <f t="shared" si="116"/>
        <v>0</v>
      </c>
      <c r="L1250" s="5245">
        <f t="shared" si="117"/>
        <v>0</v>
      </c>
      <c r="M1250" s="5245">
        <f t="shared" si="118"/>
        <v>0</v>
      </c>
    </row>
    <row r="1251" spans="1:13" ht="14.85" customHeight="1">
      <c r="A1251" s="5238">
        <v>501</v>
      </c>
      <c r="B1251" s="5238" t="s">
        <v>4313</v>
      </c>
      <c r="C1251" s="5239" t="s">
        <v>2943</v>
      </c>
      <c r="D1251" s="5240"/>
      <c r="E1251" s="5241"/>
      <c r="F1251" s="5243">
        <f t="shared" si="114"/>
        <v>0</v>
      </c>
      <c r="G1251" s="5241"/>
      <c r="H1251" s="5241"/>
      <c r="I1251" s="5243">
        <f t="shared" si="115"/>
        <v>0</v>
      </c>
      <c r="J1251" s="5244">
        <f t="shared" si="113"/>
        <v>0</v>
      </c>
      <c r="K1251" s="5245">
        <f t="shared" si="116"/>
        <v>0</v>
      </c>
      <c r="L1251" s="5245">
        <f t="shared" si="117"/>
        <v>0</v>
      </c>
      <c r="M1251" s="5245">
        <f t="shared" si="118"/>
        <v>0</v>
      </c>
    </row>
    <row r="1252" spans="1:13" ht="14.85" customHeight="1">
      <c r="A1252" s="5238">
        <v>501</v>
      </c>
      <c r="B1252" s="5238" t="s">
        <v>4314</v>
      </c>
      <c r="C1252" s="5239" t="s">
        <v>2944</v>
      </c>
      <c r="D1252" s="5240"/>
      <c r="E1252" s="5241"/>
      <c r="F1252" s="5243">
        <f t="shared" si="114"/>
        <v>0</v>
      </c>
      <c r="G1252" s="5241"/>
      <c r="H1252" s="5241"/>
      <c r="I1252" s="5243">
        <f t="shared" si="115"/>
        <v>0</v>
      </c>
      <c r="J1252" s="5244">
        <f t="shared" ref="J1252:J1315" si="119">IF(ISERROR(I1252/F1252),0,I1252/F1252)</f>
        <v>0</v>
      </c>
      <c r="K1252" s="5245">
        <f t="shared" si="116"/>
        <v>0</v>
      </c>
      <c r="L1252" s="5245">
        <f t="shared" si="117"/>
        <v>0</v>
      </c>
      <c r="M1252" s="5245">
        <f t="shared" si="118"/>
        <v>0</v>
      </c>
    </row>
    <row r="1253" spans="1:13" ht="14.85" customHeight="1">
      <c r="A1253" s="5238">
        <v>501</v>
      </c>
      <c r="B1253" s="5238" t="s">
        <v>4315</v>
      </c>
      <c r="C1253" s="5239" t="s">
        <v>2945</v>
      </c>
      <c r="D1253" s="5240"/>
      <c r="E1253" s="5241"/>
      <c r="F1253" s="5243">
        <f t="shared" si="114"/>
        <v>0</v>
      </c>
      <c r="G1253" s="5241"/>
      <c r="H1253" s="5241"/>
      <c r="I1253" s="5243">
        <f t="shared" si="115"/>
        <v>0</v>
      </c>
      <c r="J1253" s="5244">
        <f t="shared" si="119"/>
        <v>0</v>
      </c>
      <c r="K1253" s="5245">
        <f t="shared" si="116"/>
        <v>0</v>
      </c>
      <c r="L1253" s="5245">
        <f t="shared" si="117"/>
        <v>0</v>
      </c>
      <c r="M1253" s="5245">
        <f t="shared" si="118"/>
        <v>0</v>
      </c>
    </row>
    <row r="1254" spans="1:13" ht="14.85" customHeight="1">
      <c r="A1254" s="5238">
        <v>501</v>
      </c>
      <c r="B1254" s="5238" t="s">
        <v>4316</v>
      </c>
      <c r="C1254" s="5239" t="s">
        <v>4542</v>
      </c>
      <c r="D1254" s="5240"/>
      <c r="E1254" s="5241"/>
      <c r="F1254" s="5243">
        <f t="shared" si="114"/>
        <v>0</v>
      </c>
      <c r="G1254" s="5241"/>
      <c r="H1254" s="5241"/>
      <c r="I1254" s="5243">
        <f t="shared" si="115"/>
        <v>0</v>
      </c>
      <c r="J1254" s="5244">
        <f t="shared" si="119"/>
        <v>0</v>
      </c>
      <c r="K1254" s="5245">
        <f t="shared" si="116"/>
        <v>0</v>
      </c>
      <c r="L1254" s="5245">
        <f t="shared" si="117"/>
        <v>0</v>
      </c>
      <c r="M1254" s="5245">
        <f t="shared" si="118"/>
        <v>0</v>
      </c>
    </row>
    <row r="1255" spans="1:13" ht="14.85" customHeight="1">
      <c r="A1255" s="5238">
        <v>501</v>
      </c>
      <c r="B1255" s="5238" t="s">
        <v>4317</v>
      </c>
      <c r="C1255" s="5239" t="s">
        <v>2840</v>
      </c>
      <c r="D1255" s="5240"/>
      <c r="E1255" s="5241"/>
      <c r="F1255" s="5243">
        <f t="shared" si="114"/>
        <v>0</v>
      </c>
      <c r="G1255" s="5241"/>
      <c r="H1255" s="5241"/>
      <c r="I1255" s="5243">
        <f t="shared" si="115"/>
        <v>0</v>
      </c>
      <c r="J1255" s="5244">
        <f t="shared" si="119"/>
        <v>0</v>
      </c>
      <c r="K1255" s="5245">
        <f t="shared" si="116"/>
        <v>0</v>
      </c>
      <c r="L1255" s="5245">
        <f t="shared" si="117"/>
        <v>0</v>
      </c>
      <c r="M1255" s="5245">
        <f t="shared" si="118"/>
        <v>0</v>
      </c>
    </row>
    <row r="1256" spans="1:13" ht="14.85" customHeight="1">
      <c r="A1256" s="5238">
        <v>501</v>
      </c>
      <c r="B1256" s="5238" t="s">
        <v>4318</v>
      </c>
      <c r="C1256" s="5239" t="s">
        <v>2946</v>
      </c>
      <c r="D1256" s="5240"/>
      <c r="E1256" s="5241"/>
      <c r="F1256" s="5243">
        <f t="shared" si="114"/>
        <v>0</v>
      </c>
      <c r="G1256" s="5241"/>
      <c r="H1256" s="5241"/>
      <c r="I1256" s="5243">
        <f t="shared" si="115"/>
        <v>0</v>
      </c>
      <c r="J1256" s="5244">
        <f t="shared" si="119"/>
        <v>0</v>
      </c>
      <c r="K1256" s="5245">
        <f t="shared" si="116"/>
        <v>0</v>
      </c>
      <c r="L1256" s="5245">
        <f t="shared" si="117"/>
        <v>0</v>
      </c>
      <c r="M1256" s="5245">
        <f t="shared" si="118"/>
        <v>0</v>
      </c>
    </row>
    <row r="1257" spans="1:13" ht="14.85" customHeight="1">
      <c r="A1257" s="5238">
        <v>501</v>
      </c>
      <c r="B1257" s="5238" t="s">
        <v>4319</v>
      </c>
      <c r="C1257" s="5239" t="s">
        <v>2947</v>
      </c>
      <c r="D1257" s="5240"/>
      <c r="E1257" s="5241"/>
      <c r="F1257" s="5243">
        <f t="shared" si="114"/>
        <v>0</v>
      </c>
      <c r="G1257" s="5241"/>
      <c r="H1257" s="5241"/>
      <c r="I1257" s="5243">
        <f t="shared" si="115"/>
        <v>0</v>
      </c>
      <c r="J1257" s="5244">
        <f t="shared" si="119"/>
        <v>0</v>
      </c>
      <c r="K1257" s="5245">
        <f t="shared" si="116"/>
        <v>0</v>
      </c>
      <c r="L1257" s="5245">
        <f t="shared" si="117"/>
        <v>0</v>
      </c>
      <c r="M1257" s="5245">
        <f t="shared" si="118"/>
        <v>0</v>
      </c>
    </row>
    <row r="1258" spans="1:13" ht="14.85" customHeight="1">
      <c r="A1258" s="5238">
        <v>501</v>
      </c>
      <c r="B1258" s="5238" t="s">
        <v>4320</v>
      </c>
      <c r="C1258" s="5239" t="s">
        <v>2948</v>
      </c>
      <c r="D1258" s="5240"/>
      <c r="E1258" s="5241"/>
      <c r="F1258" s="5243">
        <f t="shared" si="114"/>
        <v>0</v>
      </c>
      <c r="G1258" s="5241"/>
      <c r="H1258" s="5241"/>
      <c r="I1258" s="5243">
        <f t="shared" si="115"/>
        <v>0</v>
      </c>
      <c r="J1258" s="5244">
        <f t="shared" si="119"/>
        <v>0</v>
      </c>
      <c r="K1258" s="5245">
        <f t="shared" si="116"/>
        <v>0</v>
      </c>
      <c r="L1258" s="5245">
        <f t="shared" si="117"/>
        <v>0</v>
      </c>
      <c r="M1258" s="5245">
        <f t="shared" si="118"/>
        <v>0</v>
      </c>
    </row>
    <row r="1259" spans="1:13" ht="14.85" customHeight="1">
      <c r="A1259" s="5238">
        <v>501</v>
      </c>
      <c r="B1259" s="5238" t="s">
        <v>4321</v>
      </c>
      <c r="C1259" s="5239" t="s">
        <v>2949</v>
      </c>
      <c r="D1259" s="5240"/>
      <c r="E1259" s="5241"/>
      <c r="F1259" s="5243">
        <f t="shared" si="114"/>
        <v>0</v>
      </c>
      <c r="G1259" s="5241"/>
      <c r="H1259" s="5241"/>
      <c r="I1259" s="5243">
        <f t="shared" si="115"/>
        <v>0</v>
      </c>
      <c r="J1259" s="5244">
        <f t="shared" si="119"/>
        <v>0</v>
      </c>
      <c r="K1259" s="5245">
        <f t="shared" si="116"/>
        <v>0</v>
      </c>
      <c r="L1259" s="5245">
        <f t="shared" si="117"/>
        <v>0</v>
      </c>
      <c r="M1259" s="5245">
        <f t="shared" si="118"/>
        <v>0</v>
      </c>
    </row>
    <row r="1260" spans="1:13" ht="14.85" customHeight="1">
      <c r="A1260" s="5238">
        <v>501</v>
      </c>
      <c r="B1260" s="5238" t="s">
        <v>4322</v>
      </c>
      <c r="C1260" s="5239" t="s">
        <v>2950</v>
      </c>
      <c r="D1260" s="5240"/>
      <c r="E1260" s="5241"/>
      <c r="F1260" s="5243">
        <f t="shared" si="114"/>
        <v>0</v>
      </c>
      <c r="G1260" s="5241"/>
      <c r="H1260" s="5241"/>
      <c r="I1260" s="5243">
        <f t="shared" si="115"/>
        <v>0</v>
      </c>
      <c r="J1260" s="5244">
        <f t="shared" si="119"/>
        <v>0</v>
      </c>
      <c r="K1260" s="5245">
        <f t="shared" si="116"/>
        <v>0</v>
      </c>
      <c r="L1260" s="5245">
        <f t="shared" si="117"/>
        <v>0</v>
      </c>
      <c r="M1260" s="5245">
        <f t="shared" si="118"/>
        <v>0</v>
      </c>
    </row>
    <row r="1261" spans="1:13" ht="14.85" customHeight="1">
      <c r="A1261" s="5238">
        <v>501</v>
      </c>
      <c r="B1261" s="5238" t="s">
        <v>4323</v>
      </c>
      <c r="C1261" s="5239" t="s">
        <v>2951</v>
      </c>
      <c r="D1261" s="5240"/>
      <c r="E1261" s="5241"/>
      <c r="F1261" s="5243">
        <f t="shared" si="114"/>
        <v>0</v>
      </c>
      <c r="G1261" s="5241"/>
      <c r="H1261" s="5241"/>
      <c r="I1261" s="5243">
        <f t="shared" si="115"/>
        <v>0</v>
      </c>
      <c r="J1261" s="5244">
        <f t="shared" si="119"/>
        <v>0</v>
      </c>
      <c r="K1261" s="5245">
        <f t="shared" si="116"/>
        <v>0</v>
      </c>
      <c r="L1261" s="5245">
        <f t="shared" si="117"/>
        <v>0</v>
      </c>
      <c r="M1261" s="5245">
        <f t="shared" si="118"/>
        <v>0</v>
      </c>
    </row>
    <row r="1262" spans="1:13" ht="14.85" customHeight="1">
      <c r="A1262" s="5238">
        <v>501</v>
      </c>
      <c r="B1262" s="5238" t="s">
        <v>4324</v>
      </c>
      <c r="C1262" s="5239" t="s">
        <v>2952</v>
      </c>
      <c r="D1262" s="5240"/>
      <c r="E1262" s="5241"/>
      <c r="F1262" s="5243">
        <f t="shared" si="114"/>
        <v>0</v>
      </c>
      <c r="G1262" s="5241"/>
      <c r="H1262" s="5241"/>
      <c r="I1262" s="5243">
        <f t="shared" si="115"/>
        <v>0</v>
      </c>
      <c r="J1262" s="5244">
        <f t="shared" si="119"/>
        <v>0</v>
      </c>
      <c r="K1262" s="5245">
        <f t="shared" si="116"/>
        <v>0</v>
      </c>
      <c r="L1262" s="5245">
        <f t="shared" si="117"/>
        <v>0</v>
      </c>
      <c r="M1262" s="5245">
        <f t="shared" si="118"/>
        <v>0</v>
      </c>
    </row>
    <row r="1263" spans="1:13" ht="14.85" customHeight="1">
      <c r="A1263" s="5238">
        <v>502</v>
      </c>
      <c r="B1263" s="5238" t="s">
        <v>4325</v>
      </c>
      <c r="C1263" s="5239" t="s">
        <v>2953</v>
      </c>
      <c r="D1263" s="5240"/>
      <c r="E1263" s="5241"/>
      <c r="F1263" s="5243">
        <f t="shared" si="114"/>
        <v>0</v>
      </c>
      <c r="G1263" s="5241"/>
      <c r="H1263" s="5241"/>
      <c r="I1263" s="5243">
        <f t="shared" si="115"/>
        <v>0</v>
      </c>
      <c r="J1263" s="5244">
        <f t="shared" si="119"/>
        <v>0</v>
      </c>
      <c r="K1263" s="5245">
        <f t="shared" si="116"/>
        <v>0</v>
      </c>
      <c r="L1263" s="5245">
        <f t="shared" si="117"/>
        <v>0</v>
      </c>
      <c r="M1263" s="5245">
        <f t="shared" si="118"/>
        <v>0</v>
      </c>
    </row>
    <row r="1264" spans="1:13" ht="14.85" customHeight="1">
      <c r="A1264" s="5238">
        <v>503</v>
      </c>
      <c r="B1264" s="5238" t="s">
        <v>4326</v>
      </c>
      <c r="C1264" s="5239" t="s">
        <v>2954</v>
      </c>
      <c r="D1264" s="5240"/>
      <c r="E1264" s="5241"/>
      <c r="F1264" s="5243">
        <f t="shared" si="114"/>
        <v>0</v>
      </c>
      <c r="G1264" s="5241"/>
      <c r="H1264" s="5241"/>
      <c r="I1264" s="5243">
        <f t="shared" si="115"/>
        <v>0</v>
      </c>
      <c r="J1264" s="5244">
        <f t="shared" si="119"/>
        <v>0</v>
      </c>
      <c r="K1264" s="5245">
        <f t="shared" si="116"/>
        <v>0</v>
      </c>
      <c r="L1264" s="5245">
        <f t="shared" si="117"/>
        <v>0</v>
      </c>
      <c r="M1264" s="5245">
        <f t="shared" si="118"/>
        <v>0</v>
      </c>
    </row>
    <row r="1265" spans="1:13" ht="14.85" customHeight="1">
      <c r="A1265" s="5238">
        <v>503</v>
      </c>
      <c r="B1265" s="5238" t="s">
        <v>4327</v>
      </c>
      <c r="C1265" s="5239" t="s">
        <v>2955</v>
      </c>
      <c r="D1265" s="5240"/>
      <c r="E1265" s="5241"/>
      <c r="F1265" s="5243">
        <f t="shared" si="114"/>
        <v>0</v>
      </c>
      <c r="G1265" s="5241"/>
      <c r="H1265" s="5241"/>
      <c r="I1265" s="5243">
        <f t="shared" si="115"/>
        <v>0</v>
      </c>
      <c r="J1265" s="5244">
        <f t="shared" si="119"/>
        <v>0</v>
      </c>
      <c r="K1265" s="5245">
        <f t="shared" si="116"/>
        <v>0</v>
      </c>
      <c r="L1265" s="5245">
        <f t="shared" si="117"/>
        <v>0</v>
      </c>
      <c r="M1265" s="5245">
        <f t="shared" si="118"/>
        <v>0</v>
      </c>
    </row>
    <row r="1266" spans="1:13" ht="14.85" customHeight="1">
      <c r="A1266" s="5238">
        <v>503</v>
      </c>
      <c r="B1266" s="5238" t="s">
        <v>4328</v>
      </c>
      <c r="C1266" s="5239" t="s">
        <v>2956</v>
      </c>
      <c r="D1266" s="5240"/>
      <c r="E1266" s="5241"/>
      <c r="F1266" s="5243">
        <f t="shared" si="114"/>
        <v>0</v>
      </c>
      <c r="G1266" s="5241"/>
      <c r="H1266" s="5241"/>
      <c r="I1266" s="5243">
        <f t="shared" si="115"/>
        <v>0</v>
      </c>
      <c r="J1266" s="5244">
        <f t="shared" si="119"/>
        <v>0</v>
      </c>
      <c r="K1266" s="5245">
        <f t="shared" si="116"/>
        <v>0</v>
      </c>
      <c r="L1266" s="5245">
        <f t="shared" si="117"/>
        <v>0</v>
      </c>
      <c r="M1266" s="5245">
        <f t="shared" si="118"/>
        <v>0</v>
      </c>
    </row>
    <row r="1267" spans="1:13" ht="14.85" customHeight="1">
      <c r="A1267" s="5238">
        <v>503</v>
      </c>
      <c r="B1267" s="5238" t="s">
        <v>4329</v>
      </c>
      <c r="C1267" s="5239" t="s">
        <v>2957</v>
      </c>
      <c r="D1267" s="5240"/>
      <c r="E1267" s="5241"/>
      <c r="F1267" s="5243">
        <f t="shared" si="114"/>
        <v>0</v>
      </c>
      <c r="G1267" s="5241"/>
      <c r="H1267" s="5241"/>
      <c r="I1267" s="5243">
        <f t="shared" si="115"/>
        <v>0</v>
      </c>
      <c r="J1267" s="5244">
        <f t="shared" si="119"/>
        <v>0</v>
      </c>
      <c r="K1267" s="5245">
        <f t="shared" si="116"/>
        <v>0</v>
      </c>
      <c r="L1267" s="5245">
        <f t="shared" si="117"/>
        <v>0</v>
      </c>
      <c r="M1267" s="5245">
        <f t="shared" si="118"/>
        <v>0</v>
      </c>
    </row>
    <row r="1268" spans="1:13" ht="14.85" customHeight="1">
      <c r="A1268" s="5238">
        <v>503</v>
      </c>
      <c r="B1268" s="5238" t="s">
        <v>4330</v>
      </c>
      <c r="C1268" s="5239" t="s">
        <v>2958</v>
      </c>
      <c r="D1268" s="5240"/>
      <c r="E1268" s="5241"/>
      <c r="F1268" s="5243">
        <f t="shared" si="114"/>
        <v>0</v>
      </c>
      <c r="G1268" s="5241"/>
      <c r="H1268" s="5241"/>
      <c r="I1268" s="5243">
        <f t="shared" si="115"/>
        <v>0</v>
      </c>
      <c r="J1268" s="5244">
        <f t="shared" si="119"/>
        <v>0</v>
      </c>
      <c r="K1268" s="5245">
        <f t="shared" si="116"/>
        <v>0</v>
      </c>
      <c r="L1268" s="5245">
        <f t="shared" si="117"/>
        <v>0</v>
      </c>
      <c r="M1268" s="5245">
        <f t="shared" si="118"/>
        <v>0</v>
      </c>
    </row>
    <row r="1269" spans="1:13" ht="14.85" customHeight="1">
      <c r="A1269" s="5238">
        <v>504</v>
      </c>
      <c r="B1269" s="5238" t="s">
        <v>4331</v>
      </c>
      <c r="C1269" s="5239" t="s">
        <v>2959</v>
      </c>
      <c r="D1269" s="5240"/>
      <c r="E1269" s="5241"/>
      <c r="F1269" s="5243">
        <f t="shared" si="114"/>
        <v>0</v>
      </c>
      <c r="G1269" s="5241"/>
      <c r="H1269" s="5241"/>
      <c r="I1269" s="5243">
        <f t="shared" si="115"/>
        <v>0</v>
      </c>
      <c r="J1269" s="5244">
        <f t="shared" si="119"/>
        <v>0</v>
      </c>
      <c r="K1269" s="5245">
        <f t="shared" si="116"/>
        <v>0</v>
      </c>
      <c r="L1269" s="5245">
        <f t="shared" si="117"/>
        <v>0</v>
      </c>
      <c r="M1269" s="5245">
        <f t="shared" si="118"/>
        <v>0</v>
      </c>
    </row>
    <row r="1270" spans="1:13" ht="14.85" customHeight="1">
      <c r="A1270" s="5238">
        <v>504</v>
      </c>
      <c r="B1270" s="5238" t="s">
        <v>4332</v>
      </c>
      <c r="C1270" s="5239" t="s">
        <v>2960</v>
      </c>
      <c r="D1270" s="5240"/>
      <c r="E1270" s="5241"/>
      <c r="F1270" s="5243">
        <f t="shared" si="114"/>
        <v>0</v>
      </c>
      <c r="G1270" s="5241"/>
      <c r="H1270" s="5241"/>
      <c r="I1270" s="5243">
        <f t="shared" si="115"/>
        <v>0</v>
      </c>
      <c r="J1270" s="5244">
        <f t="shared" si="119"/>
        <v>0</v>
      </c>
      <c r="K1270" s="5245">
        <f t="shared" si="116"/>
        <v>0</v>
      </c>
      <c r="L1270" s="5245">
        <f t="shared" si="117"/>
        <v>0</v>
      </c>
      <c r="M1270" s="5245">
        <f t="shared" si="118"/>
        <v>0</v>
      </c>
    </row>
    <row r="1271" spans="1:13" ht="14.85" customHeight="1">
      <c r="A1271" s="5238">
        <v>504</v>
      </c>
      <c r="B1271" s="5238" t="s">
        <v>4333</v>
      </c>
      <c r="C1271" s="5239" t="s">
        <v>2961</v>
      </c>
      <c r="D1271" s="5240"/>
      <c r="E1271" s="5241"/>
      <c r="F1271" s="5243">
        <f t="shared" si="114"/>
        <v>0</v>
      </c>
      <c r="G1271" s="5241"/>
      <c r="H1271" s="5241"/>
      <c r="I1271" s="5243">
        <f t="shared" si="115"/>
        <v>0</v>
      </c>
      <c r="J1271" s="5244">
        <f t="shared" si="119"/>
        <v>0</v>
      </c>
      <c r="K1271" s="5245">
        <f t="shared" si="116"/>
        <v>0</v>
      </c>
      <c r="L1271" s="5245">
        <f t="shared" si="117"/>
        <v>0</v>
      </c>
      <c r="M1271" s="5245">
        <f t="shared" si="118"/>
        <v>0</v>
      </c>
    </row>
    <row r="1272" spans="1:13" ht="14.85" customHeight="1">
      <c r="A1272" s="5238">
        <v>505</v>
      </c>
      <c r="B1272" s="5238" t="s">
        <v>4334</v>
      </c>
      <c r="C1272" s="5239" t="s">
        <v>2962</v>
      </c>
      <c r="D1272" s="5240"/>
      <c r="E1272" s="5241"/>
      <c r="F1272" s="5243">
        <f t="shared" si="114"/>
        <v>0</v>
      </c>
      <c r="G1272" s="5241"/>
      <c r="H1272" s="5241"/>
      <c r="I1272" s="5243">
        <f t="shared" si="115"/>
        <v>0</v>
      </c>
      <c r="J1272" s="5244">
        <f t="shared" si="119"/>
        <v>0</v>
      </c>
      <c r="K1272" s="5245">
        <f t="shared" si="116"/>
        <v>0</v>
      </c>
      <c r="L1272" s="5245">
        <f t="shared" si="117"/>
        <v>0</v>
      </c>
      <c r="M1272" s="5245">
        <f t="shared" si="118"/>
        <v>0</v>
      </c>
    </row>
    <row r="1273" spans="1:13" ht="14.85" customHeight="1">
      <c r="A1273" s="5238">
        <v>505</v>
      </c>
      <c r="B1273" s="5238" t="s">
        <v>4335</v>
      </c>
      <c r="C1273" s="5239" t="s">
        <v>2963</v>
      </c>
      <c r="D1273" s="5240"/>
      <c r="E1273" s="5241"/>
      <c r="F1273" s="5243">
        <f t="shared" si="114"/>
        <v>0</v>
      </c>
      <c r="G1273" s="5241"/>
      <c r="H1273" s="5241"/>
      <c r="I1273" s="5243">
        <f t="shared" si="115"/>
        <v>0</v>
      </c>
      <c r="J1273" s="5244">
        <f t="shared" si="119"/>
        <v>0</v>
      </c>
      <c r="K1273" s="5245">
        <f t="shared" si="116"/>
        <v>0</v>
      </c>
      <c r="L1273" s="5245">
        <f t="shared" si="117"/>
        <v>0</v>
      </c>
      <c r="M1273" s="5245">
        <f t="shared" si="118"/>
        <v>0</v>
      </c>
    </row>
    <row r="1274" spans="1:13" ht="14.85" customHeight="1">
      <c r="A1274" s="5238">
        <v>505</v>
      </c>
      <c r="B1274" s="5238" t="s">
        <v>4336</v>
      </c>
      <c r="C1274" s="5239" t="s">
        <v>2964</v>
      </c>
      <c r="D1274" s="5240"/>
      <c r="E1274" s="5241"/>
      <c r="F1274" s="5243">
        <f t="shared" si="114"/>
        <v>0</v>
      </c>
      <c r="G1274" s="5241"/>
      <c r="H1274" s="5241"/>
      <c r="I1274" s="5243">
        <f t="shared" si="115"/>
        <v>0</v>
      </c>
      <c r="J1274" s="5244">
        <f t="shared" si="119"/>
        <v>0</v>
      </c>
      <c r="K1274" s="5245">
        <f t="shared" si="116"/>
        <v>0</v>
      </c>
      <c r="L1274" s="5245">
        <f t="shared" si="117"/>
        <v>0</v>
      </c>
      <c r="M1274" s="5245">
        <f t="shared" si="118"/>
        <v>0</v>
      </c>
    </row>
    <row r="1275" spans="1:13" ht="14.85" customHeight="1">
      <c r="A1275" s="5238">
        <v>505</v>
      </c>
      <c r="B1275" s="5238" t="s">
        <v>4337</v>
      </c>
      <c r="C1275" s="5239" t="s">
        <v>2965</v>
      </c>
      <c r="D1275" s="5240"/>
      <c r="E1275" s="5241"/>
      <c r="F1275" s="5243">
        <f t="shared" si="114"/>
        <v>0</v>
      </c>
      <c r="G1275" s="5241"/>
      <c r="H1275" s="5241"/>
      <c r="I1275" s="5243">
        <f t="shared" si="115"/>
        <v>0</v>
      </c>
      <c r="J1275" s="5244">
        <f t="shared" si="119"/>
        <v>0</v>
      </c>
      <c r="K1275" s="5245">
        <f t="shared" si="116"/>
        <v>0</v>
      </c>
      <c r="L1275" s="5245">
        <f t="shared" si="117"/>
        <v>0</v>
      </c>
      <c r="M1275" s="5245">
        <f t="shared" si="118"/>
        <v>0</v>
      </c>
    </row>
    <row r="1276" spans="1:13" ht="14.85" customHeight="1">
      <c r="A1276" s="5238">
        <v>505</v>
      </c>
      <c r="B1276" s="5238" t="s">
        <v>4338</v>
      </c>
      <c r="C1276" s="5239" t="s">
        <v>2966</v>
      </c>
      <c r="D1276" s="5240"/>
      <c r="E1276" s="5241"/>
      <c r="F1276" s="5243">
        <f t="shared" si="114"/>
        <v>0</v>
      </c>
      <c r="G1276" s="5241"/>
      <c r="H1276" s="5241"/>
      <c r="I1276" s="5243">
        <f t="shared" si="115"/>
        <v>0</v>
      </c>
      <c r="J1276" s="5244">
        <f t="shared" si="119"/>
        <v>0</v>
      </c>
      <c r="K1276" s="5245">
        <f t="shared" si="116"/>
        <v>0</v>
      </c>
      <c r="L1276" s="5245">
        <f t="shared" si="117"/>
        <v>0</v>
      </c>
      <c r="M1276" s="5245">
        <f t="shared" si="118"/>
        <v>0</v>
      </c>
    </row>
    <row r="1277" spans="1:13" ht="14.85" customHeight="1">
      <c r="A1277" s="5238">
        <v>506</v>
      </c>
      <c r="B1277" s="5238" t="s">
        <v>4339</v>
      </c>
      <c r="C1277" s="5239" t="s">
        <v>2967</v>
      </c>
      <c r="D1277" s="5240"/>
      <c r="E1277" s="5241"/>
      <c r="F1277" s="5243">
        <f t="shared" si="114"/>
        <v>0</v>
      </c>
      <c r="G1277" s="5241"/>
      <c r="H1277" s="5241"/>
      <c r="I1277" s="5243">
        <f t="shared" si="115"/>
        <v>0</v>
      </c>
      <c r="J1277" s="5244">
        <f t="shared" si="119"/>
        <v>0</v>
      </c>
      <c r="K1277" s="5245">
        <f t="shared" si="116"/>
        <v>0</v>
      </c>
      <c r="L1277" s="5245">
        <f t="shared" si="117"/>
        <v>0</v>
      </c>
      <c r="M1277" s="5245">
        <f t="shared" si="118"/>
        <v>0</v>
      </c>
    </row>
    <row r="1278" spans="1:13" ht="14.85" customHeight="1">
      <c r="A1278" s="5238">
        <v>506</v>
      </c>
      <c r="B1278" s="5238" t="s">
        <v>4340</v>
      </c>
      <c r="C1278" s="5239" t="s">
        <v>2968</v>
      </c>
      <c r="D1278" s="5240"/>
      <c r="E1278" s="5241"/>
      <c r="F1278" s="5243">
        <f t="shared" si="114"/>
        <v>0</v>
      </c>
      <c r="G1278" s="5241"/>
      <c r="H1278" s="5241"/>
      <c r="I1278" s="5243">
        <f t="shared" si="115"/>
        <v>0</v>
      </c>
      <c r="J1278" s="5244">
        <f t="shared" si="119"/>
        <v>0</v>
      </c>
      <c r="K1278" s="5245">
        <f t="shared" si="116"/>
        <v>0</v>
      </c>
      <c r="L1278" s="5245">
        <f t="shared" si="117"/>
        <v>0</v>
      </c>
      <c r="M1278" s="5245">
        <f t="shared" si="118"/>
        <v>0</v>
      </c>
    </row>
    <row r="1279" spans="1:13" ht="14.85" customHeight="1">
      <c r="A1279" s="5238">
        <v>506</v>
      </c>
      <c r="B1279" s="5238" t="s">
        <v>4341</v>
      </c>
      <c r="C1279" s="5239" t="s">
        <v>2969</v>
      </c>
      <c r="D1279" s="5240"/>
      <c r="E1279" s="5241"/>
      <c r="F1279" s="5243">
        <f t="shared" si="114"/>
        <v>0</v>
      </c>
      <c r="G1279" s="5241"/>
      <c r="H1279" s="5241"/>
      <c r="I1279" s="5243">
        <f t="shared" si="115"/>
        <v>0</v>
      </c>
      <c r="J1279" s="5244">
        <f t="shared" si="119"/>
        <v>0</v>
      </c>
      <c r="K1279" s="5245">
        <f t="shared" si="116"/>
        <v>0</v>
      </c>
      <c r="L1279" s="5245">
        <f t="shared" si="117"/>
        <v>0</v>
      </c>
      <c r="M1279" s="5245">
        <f t="shared" si="118"/>
        <v>0</v>
      </c>
    </row>
    <row r="1280" spans="1:13" ht="14.85" customHeight="1">
      <c r="A1280" s="5238">
        <v>506</v>
      </c>
      <c r="B1280" s="5238" t="s">
        <v>4342</v>
      </c>
      <c r="C1280" s="5239" t="s">
        <v>2970</v>
      </c>
      <c r="D1280" s="5240"/>
      <c r="E1280" s="5241"/>
      <c r="F1280" s="5243">
        <f t="shared" si="114"/>
        <v>0</v>
      </c>
      <c r="G1280" s="5241"/>
      <c r="H1280" s="5241"/>
      <c r="I1280" s="5243">
        <f t="shared" si="115"/>
        <v>0</v>
      </c>
      <c r="J1280" s="5244">
        <f t="shared" si="119"/>
        <v>0</v>
      </c>
      <c r="K1280" s="5245">
        <f t="shared" si="116"/>
        <v>0</v>
      </c>
      <c r="L1280" s="5245">
        <f t="shared" si="117"/>
        <v>0</v>
      </c>
      <c r="M1280" s="5245">
        <f t="shared" si="118"/>
        <v>0</v>
      </c>
    </row>
    <row r="1281" spans="1:13" ht="14.85" customHeight="1">
      <c r="A1281" s="5238">
        <v>506</v>
      </c>
      <c r="B1281" s="5238" t="s">
        <v>4343</v>
      </c>
      <c r="C1281" s="5239" t="s">
        <v>2971</v>
      </c>
      <c r="D1281" s="5240"/>
      <c r="E1281" s="5241"/>
      <c r="F1281" s="5243">
        <f t="shared" si="114"/>
        <v>0</v>
      </c>
      <c r="G1281" s="5241"/>
      <c r="H1281" s="5241"/>
      <c r="I1281" s="5243">
        <f t="shared" si="115"/>
        <v>0</v>
      </c>
      <c r="J1281" s="5244">
        <f t="shared" si="119"/>
        <v>0</v>
      </c>
      <c r="K1281" s="5245">
        <f t="shared" si="116"/>
        <v>0</v>
      </c>
      <c r="L1281" s="5245">
        <f t="shared" si="117"/>
        <v>0</v>
      </c>
      <c r="M1281" s="5245">
        <f t="shared" si="118"/>
        <v>0</v>
      </c>
    </row>
    <row r="1282" spans="1:13" ht="14.85" customHeight="1">
      <c r="A1282" s="5238">
        <v>506</v>
      </c>
      <c r="B1282" s="5238" t="s">
        <v>4344</v>
      </c>
      <c r="C1282" s="5239" t="s">
        <v>2972</v>
      </c>
      <c r="D1282" s="5240"/>
      <c r="E1282" s="5241"/>
      <c r="F1282" s="5243">
        <f t="shared" si="114"/>
        <v>0</v>
      </c>
      <c r="G1282" s="5241"/>
      <c r="H1282" s="5241"/>
      <c r="I1282" s="5243">
        <f t="shared" si="115"/>
        <v>0</v>
      </c>
      <c r="J1282" s="5244">
        <f t="shared" si="119"/>
        <v>0</v>
      </c>
      <c r="K1282" s="5245">
        <f t="shared" si="116"/>
        <v>0</v>
      </c>
      <c r="L1282" s="5245">
        <f t="shared" si="117"/>
        <v>0</v>
      </c>
      <c r="M1282" s="5245">
        <f t="shared" si="118"/>
        <v>0</v>
      </c>
    </row>
    <row r="1283" spans="1:13" ht="14.85" customHeight="1">
      <c r="A1283" s="5238">
        <v>507</v>
      </c>
      <c r="B1283" s="5238" t="s">
        <v>4345</v>
      </c>
      <c r="C1283" s="5239" t="s">
        <v>2973</v>
      </c>
      <c r="D1283" s="5240"/>
      <c r="E1283" s="5241"/>
      <c r="F1283" s="5243">
        <f t="shared" si="114"/>
        <v>0</v>
      </c>
      <c r="G1283" s="5241"/>
      <c r="H1283" s="5241"/>
      <c r="I1283" s="5243">
        <f t="shared" si="115"/>
        <v>0</v>
      </c>
      <c r="J1283" s="5244">
        <f t="shared" si="119"/>
        <v>0</v>
      </c>
      <c r="K1283" s="5245">
        <f t="shared" si="116"/>
        <v>0</v>
      </c>
      <c r="L1283" s="5245">
        <f t="shared" si="117"/>
        <v>0</v>
      </c>
      <c r="M1283" s="5245">
        <f t="shared" si="118"/>
        <v>0</v>
      </c>
    </row>
    <row r="1284" spans="1:13" ht="14.85" customHeight="1">
      <c r="A1284" s="5238">
        <v>507</v>
      </c>
      <c r="B1284" s="5238" t="s">
        <v>4346</v>
      </c>
      <c r="C1284" s="5239" t="s">
        <v>2974</v>
      </c>
      <c r="D1284" s="5240"/>
      <c r="E1284" s="5241"/>
      <c r="F1284" s="5243">
        <f t="shared" si="114"/>
        <v>0</v>
      </c>
      <c r="G1284" s="5241"/>
      <c r="H1284" s="5241"/>
      <c r="I1284" s="5243">
        <f t="shared" si="115"/>
        <v>0</v>
      </c>
      <c r="J1284" s="5244">
        <f t="shared" si="119"/>
        <v>0</v>
      </c>
      <c r="K1284" s="5245">
        <f t="shared" si="116"/>
        <v>0</v>
      </c>
      <c r="L1284" s="5245">
        <f t="shared" si="117"/>
        <v>0</v>
      </c>
      <c r="M1284" s="5245">
        <f t="shared" si="118"/>
        <v>0</v>
      </c>
    </row>
    <row r="1285" spans="1:13" ht="14.85" customHeight="1">
      <c r="A1285" s="5238">
        <v>508</v>
      </c>
      <c r="B1285" s="5238" t="s">
        <v>4347</v>
      </c>
      <c r="C1285" s="5239" t="s">
        <v>2037</v>
      </c>
      <c r="D1285" s="5240"/>
      <c r="E1285" s="5241"/>
      <c r="F1285" s="5243">
        <f t="shared" si="114"/>
        <v>0</v>
      </c>
      <c r="G1285" s="5241"/>
      <c r="H1285" s="5241"/>
      <c r="I1285" s="5243">
        <f t="shared" si="115"/>
        <v>0</v>
      </c>
      <c r="J1285" s="5244">
        <f t="shared" si="119"/>
        <v>0</v>
      </c>
      <c r="K1285" s="5245">
        <f t="shared" si="116"/>
        <v>0</v>
      </c>
      <c r="L1285" s="5245">
        <f t="shared" si="117"/>
        <v>0</v>
      </c>
      <c r="M1285" s="5245">
        <f t="shared" si="118"/>
        <v>0</v>
      </c>
    </row>
    <row r="1286" spans="1:13" ht="14.85" customHeight="1">
      <c r="A1286" s="5238">
        <v>508</v>
      </c>
      <c r="B1286" s="5238" t="s">
        <v>4348</v>
      </c>
      <c r="C1286" s="5239" t="s">
        <v>2141</v>
      </c>
      <c r="D1286" s="5240"/>
      <c r="E1286" s="5241"/>
      <c r="F1286" s="5243">
        <f t="shared" si="114"/>
        <v>0</v>
      </c>
      <c r="G1286" s="5241"/>
      <c r="H1286" s="5241"/>
      <c r="I1286" s="5243">
        <f t="shared" si="115"/>
        <v>0</v>
      </c>
      <c r="J1286" s="5244">
        <f t="shared" si="119"/>
        <v>0</v>
      </c>
      <c r="K1286" s="5245">
        <f t="shared" si="116"/>
        <v>0</v>
      </c>
      <c r="L1286" s="5245">
        <f t="shared" si="117"/>
        <v>0</v>
      </c>
      <c r="M1286" s="5245">
        <f t="shared" si="118"/>
        <v>0</v>
      </c>
    </row>
    <row r="1287" spans="1:13" ht="14.85" customHeight="1">
      <c r="A1287" s="5238">
        <v>508</v>
      </c>
      <c r="B1287" s="5238" t="s">
        <v>4349</v>
      </c>
      <c r="C1287" s="5239" t="s">
        <v>2975</v>
      </c>
      <c r="D1287" s="5240"/>
      <c r="E1287" s="5241"/>
      <c r="F1287" s="5243">
        <f t="shared" si="114"/>
        <v>0</v>
      </c>
      <c r="G1287" s="5241"/>
      <c r="H1287" s="5241"/>
      <c r="I1287" s="5243">
        <f t="shared" si="115"/>
        <v>0</v>
      </c>
      <c r="J1287" s="5244">
        <f t="shared" si="119"/>
        <v>0</v>
      </c>
      <c r="K1287" s="5245">
        <f t="shared" si="116"/>
        <v>0</v>
      </c>
      <c r="L1287" s="5245">
        <f t="shared" si="117"/>
        <v>0</v>
      </c>
      <c r="M1287" s="5245">
        <f t="shared" si="118"/>
        <v>0</v>
      </c>
    </row>
    <row r="1288" spans="1:13" ht="14.85" customHeight="1">
      <c r="A1288" s="5238">
        <v>509</v>
      </c>
      <c r="B1288" s="5238" t="s">
        <v>4350</v>
      </c>
      <c r="C1288" s="5239" t="s">
        <v>2976</v>
      </c>
      <c r="D1288" s="5240"/>
      <c r="E1288" s="5241"/>
      <c r="F1288" s="5243">
        <f t="shared" si="114"/>
        <v>0</v>
      </c>
      <c r="G1288" s="5241"/>
      <c r="H1288" s="5241"/>
      <c r="I1288" s="5243">
        <f t="shared" si="115"/>
        <v>0</v>
      </c>
      <c r="J1288" s="5244">
        <f t="shared" si="119"/>
        <v>0</v>
      </c>
      <c r="K1288" s="5245">
        <f t="shared" si="116"/>
        <v>0</v>
      </c>
      <c r="L1288" s="5245">
        <f t="shared" si="117"/>
        <v>0</v>
      </c>
      <c r="M1288" s="5245">
        <f t="shared" si="118"/>
        <v>0</v>
      </c>
    </row>
    <row r="1289" spans="1:13" ht="14.85" customHeight="1">
      <c r="A1289" s="5238">
        <v>509</v>
      </c>
      <c r="B1289" s="5238" t="s">
        <v>4351</v>
      </c>
      <c r="C1289" s="5239" t="s">
        <v>2977</v>
      </c>
      <c r="D1289" s="5240"/>
      <c r="E1289" s="5241"/>
      <c r="F1289" s="5243">
        <f t="shared" si="114"/>
        <v>0</v>
      </c>
      <c r="G1289" s="5241"/>
      <c r="H1289" s="5241"/>
      <c r="I1289" s="5243">
        <f t="shared" si="115"/>
        <v>0</v>
      </c>
      <c r="J1289" s="5244">
        <f t="shared" si="119"/>
        <v>0</v>
      </c>
      <c r="K1289" s="5245">
        <f t="shared" si="116"/>
        <v>0</v>
      </c>
      <c r="L1289" s="5245">
        <f t="shared" si="117"/>
        <v>0</v>
      </c>
      <c r="M1289" s="5245">
        <f t="shared" si="118"/>
        <v>0</v>
      </c>
    </row>
    <row r="1290" spans="1:13" ht="14.85" customHeight="1">
      <c r="A1290" s="5238">
        <v>511</v>
      </c>
      <c r="B1290" s="5238" t="s">
        <v>4352</v>
      </c>
      <c r="C1290" s="5239" t="s">
        <v>2978</v>
      </c>
      <c r="D1290" s="5240"/>
      <c r="E1290" s="5241"/>
      <c r="F1290" s="5243">
        <f t="shared" si="114"/>
        <v>0</v>
      </c>
      <c r="G1290" s="5241"/>
      <c r="H1290" s="5241"/>
      <c r="I1290" s="5243">
        <f t="shared" si="115"/>
        <v>0</v>
      </c>
      <c r="J1290" s="5244">
        <f t="shared" si="119"/>
        <v>0</v>
      </c>
      <c r="K1290" s="5245">
        <f t="shared" si="116"/>
        <v>0</v>
      </c>
      <c r="L1290" s="5245">
        <f t="shared" si="117"/>
        <v>0</v>
      </c>
      <c r="M1290" s="5245">
        <f t="shared" si="118"/>
        <v>0</v>
      </c>
    </row>
    <row r="1291" spans="1:13" ht="14.85" customHeight="1">
      <c r="A1291" s="5238">
        <v>511</v>
      </c>
      <c r="B1291" s="5238" t="s">
        <v>4353</v>
      </c>
      <c r="C1291" s="5239" t="s">
        <v>2979</v>
      </c>
      <c r="D1291" s="5240"/>
      <c r="E1291" s="5241"/>
      <c r="F1291" s="5243">
        <f t="shared" si="114"/>
        <v>0</v>
      </c>
      <c r="G1291" s="5241"/>
      <c r="H1291" s="5241"/>
      <c r="I1291" s="5243">
        <f t="shared" si="115"/>
        <v>0</v>
      </c>
      <c r="J1291" s="5244">
        <f t="shared" si="119"/>
        <v>0</v>
      </c>
      <c r="K1291" s="5245">
        <f t="shared" si="116"/>
        <v>0</v>
      </c>
      <c r="L1291" s="5245">
        <f t="shared" si="117"/>
        <v>0</v>
      </c>
      <c r="M1291" s="5245">
        <f t="shared" si="118"/>
        <v>0</v>
      </c>
    </row>
    <row r="1292" spans="1:13" ht="14.85" customHeight="1">
      <c r="A1292" s="5238">
        <v>512</v>
      </c>
      <c r="B1292" s="5238" t="s">
        <v>4354</v>
      </c>
      <c r="C1292" s="5239" t="s">
        <v>2980</v>
      </c>
      <c r="D1292" s="5240"/>
      <c r="E1292" s="5241"/>
      <c r="F1292" s="5243">
        <f t="shared" si="114"/>
        <v>0</v>
      </c>
      <c r="G1292" s="5241"/>
      <c r="H1292" s="5241"/>
      <c r="I1292" s="5243">
        <f t="shared" si="115"/>
        <v>0</v>
      </c>
      <c r="J1292" s="5244">
        <f t="shared" si="119"/>
        <v>0</v>
      </c>
      <c r="K1292" s="5245">
        <f t="shared" si="116"/>
        <v>0</v>
      </c>
      <c r="L1292" s="5245">
        <f t="shared" si="117"/>
        <v>0</v>
      </c>
      <c r="M1292" s="5245">
        <f t="shared" si="118"/>
        <v>0</v>
      </c>
    </row>
    <row r="1293" spans="1:13" ht="14.85" customHeight="1">
      <c r="A1293" s="5238">
        <v>512</v>
      </c>
      <c r="B1293" s="5238" t="s">
        <v>4355</v>
      </c>
      <c r="C1293" s="5239" t="s">
        <v>2981</v>
      </c>
      <c r="D1293" s="5240"/>
      <c r="E1293" s="5241"/>
      <c r="F1293" s="5243">
        <f t="shared" si="114"/>
        <v>0</v>
      </c>
      <c r="G1293" s="5241"/>
      <c r="H1293" s="5241"/>
      <c r="I1293" s="5243">
        <f t="shared" si="115"/>
        <v>0</v>
      </c>
      <c r="J1293" s="5244">
        <f t="shared" si="119"/>
        <v>0</v>
      </c>
      <c r="K1293" s="5245">
        <f t="shared" si="116"/>
        <v>0</v>
      </c>
      <c r="L1293" s="5245">
        <f t="shared" si="117"/>
        <v>0</v>
      </c>
      <c r="M1293" s="5245">
        <f t="shared" si="118"/>
        <v>0</v>
      </c>
    </row>
    <row r="1294" spans="1:13" ht="14.85" customHeight="1">
      <c r="A1294" s="5238">
        <v>512</v>
      </c>
      <c r="B1294" s="5238" t="s">
        <v>4356</v>
      </c>
      <c r="C1294" s="5239" t="s">
        <v>2982</v>
      </c>
      <c r="D1294" s="5240"/>
      <c r="E1294" s="5241"/>
      <c r="F1294" s="5243">
        <f t="shared" si="114"/>
        <v>0</v>
      </c>
      <c r="G1294" s="5241"/>
      <c r="H1294" s="5241"/>
      <c r="I1294" s="5243">
        <f t="shared" si="115"/>
        <v>0</v>
      </c>
      <c r="J1294" s="5244">
        <f t="shared" si="119"/>
        <v>0</v>
      </c>
      <c r="K1294" s="5245">
        <f t="shared" si="116"/>
        <v>0</v>
      </c>
      <c r="L1294" s="5245">
        <f t="shared" si="117"/>
        <v>0</v>
      </c>
      <c r="M1294" s="5245">
        <f t="shared" si="118"/>
        <v>0</v>
      </c>
    </row>
    <row r="1295" spans="1:13" ht="14.85" customHeight="1">
      <c r="A1295" s="5238">
        <v>512</v>
      </c>
      <c r="B1295" s="5238" t="s">
        <v>4357</v>
      </c>
      <c r="C1295" s="5239" t="s">
        <v>2983</v>
      </c>
      <c r="D1295" s="5240"/>
      <c r="E1295" s="5241"/>
      <c r="F1295" s="5243">
        <f t="shared" si="114"/>
        <v>0</v>
      </c>
      <c r="G1295" s="5241"/>
      <c r="H1295" s="5241"/>
      <c r="I1295" s="5243">
        <f t="shared" si="115"/>
        <v>0</v>
      </c>
      <c r="J1295" s="5244">
        <f t="shared" si="119"/>
        <v>0</v>
      </c>
      <c r="K1295" s="5245">
        <f t="shared" si="116"/>
        <v>0</v>
      </c>
      <c r="L1295" s="5245">
        <f t="shared" si="117"/>
        <v>0</v>
      </c>
      <c r="M1295" s="5245">
        <f t="shared" si="118"/>
        <v>0</v>
      </c>
    </row>
    <row r="1296" spans="1:13" ht="14.85" customHeight="1">
      <c r="A1296" s="5238">
        <v>512</v>
      </c>
      <c r="B1296" s="5238" t="s">
        <v>4358</v>
      </c>
      <c r="C1296" s="5239" t="s">
        <v>2040</v>
      </c>
      <c r="D1296" s="5240"/>
      <c r="E1296" s="5241"/>
      <c r="F1296" s="5243">
        <f t="shared" si="114"/>
        <v>0</v>
      </c>
      <c r="G1296" s="5241"/>
      <c r="H1296" s="5241"/>
      <c r="I1296" s="5243">
        <f t="shared" si="115"/>
        <v>0</v>
      </c>
      <c r="J1296" s="5244">
        <f t="shared" si="119"/>
        <v>0</v>
      </c>
      <c r="K1296" s="5245">
        <f t="shared" si="116"/>
        <v>0</v>
      </c>
      <c r="L1296" s="5245">
        <f t="shared" si="117"/>
        <v>0</v>
      </c>
      <c r="M1296" s="5245">
        <f t="shared" si="118"/>
        <v>0</v>
      </c>
    </row>
    <row r="1297" spans="1:13" ht="14.85" customHeight="1">
      <c r="A1297" s="5238">
        <v>512</v>
      </c>
      <c r="B1297" s="5238" t="s">
        <v>4359</v>
      </c>
      <c r="C1297" s="5239" t="s">
        <v>2877</v>
      </c>
      <c r="D1297" s="5240"/>
      <c r="E1297" s="5241"/>
      <c r="F1297" s="5243">
        <f t="shared" si="114"/>
        <v>0</v>
      </c>
      <c r="G1297" s="5241"/>
      <c r="H1297" s="5241"/>
      <c r="I1297" s="5243">
        <f t="shared" si="115"/>
        <v>0</v>
      </c>
      <c r="J1297" s="5244">
        <f t="shared" si="119"/>
        <v>0</v>
      </c>
      <c r="K1297" s="5245">
        <f t="shared" si="116"/>
        <v>0</v>
      </c>
      <c r="L1297" s="5245">
        <f t="shared" si="117"/>
        <v>0</v>
      </c>
      <c r="M1297" s="5245">
        <f t="shared" si="118"/>
        <v>0</v>
      </c>
    </row>
    <row r="1298" spans="1:13" ht="14.85" customHeight="1">
      <c r="A1298" s="5238">
        <v>512</v>
      </c>
      <c r="B1298" s="5238" t="s">
        <v>4360</v>
      </c>
      <c r="C1298" s="5239" t="s">
        <v>2984</v>
      </c>
      <c r="D1298" s="5240"/>
      <c r="E1298" s="5241"/>
      <c r="F1298" s="5243">
        <f t="shared" si="114"/>
        <v>0</v>
      </c>
      <c r="G1298" s="5241"/>
      <c r="H1298" s="5241"/>
      <c r="I1298" s="5243">
        <f t="shared" si="115"/>
        <v>0</v>
      </c>
      <c r="J1298" s="5244">
        <f t="shared" si="119"/>
        <v>0</v>
      </c>
      <c r="K1298" s="5245">
        <f t="shared" si="116"/>
        <v>0</v>
      </c>
      <c r="L1298" s="5245">
        <f t="shared" si="117"/>
        <v>0</v>
      </c>
      <c r="M1298" s="5245">
        <f t="shared" si="118"/>
        <v>0</v>
      </c>
    </row>
    <row r="1299" spans="1:13" ht="14.85" customHeight="1">
      <c r="A1299" s="5238">
        <v>512</v>
      </c>
      <c r="B1299" s="5238" t="s">
        <v>4361</v>
      </c>
      <c r="C1299" s="5239" t="s">
        <v>2985</v>
      </c>
      <c r="D1299" s="5240"/>
      <c r="E1299" s="5241"/>
      <c r="F1299" s="5243">
        <f t="shared" si="114"/>
        <v>0</v>
      </c>
      <c r="G1299" s="5241"/>
      <c r="H1299" s="5241"/>
      <c r="I1299" s="5243">
        <f t="shared" si="115"/>
        <v>0</v>
      </c>
      <c r="J1299" s="5244">
        <f t="shared" si="119"/>
        <v>0</v>
      </c>
      <c r="K1299" s="5245">
        <f t="shared" si="116"/>
        <v>0</v>
      </c>
      <c r="L1299" s="5245">
        <f t="shared" si="117"/>
        <v>0</v>
      </c>
      <c r="M1299" s="5245">
        <f t="shared" si="118"/>
        <v>0</v>
      </c>
    </row>
    <row r="1300" spans="1:13" ht="14.85" customHeight="1">
      <c r="A1300" s="5238">
        <v>512</v>
      </c>
      <c r="B1300" s="5238" t="s">
        <v>4362</v>
      </c>
      <c r="C1300" s="5239" t="s">
        <v>2986</v>
      </c>
      <c r="D1300" s="5240"/>
      <c r="E1300" s="5241"/>
      <c r="F1300" s="5243">
        <f t="shared" si="114"/>
        <v>0</v>
      </c>
      <c r="G1300" s="5241"/>
      <c r="H1300" s="5241"/>
      <c r="I1300" s="5243">
        <f t="shared" si="115"/>
        <v>0</v>
      </c>
      <c r="J1300" s="5244">
        <f t="shared" si="119"/>
        <v>0</v>
      </c>
      <c r="K1300" s="5245">
        <f t="shared" si="116"/>
        <v>0</v>
      </c>
      <c r="L1300" s="5245">
        <f t="shared" si="117"/>
        <v>0</v>
      </c>
      <c r="M1300" s="5245">
        <f t="shared" si="118"/>
        <v>0</v>
      </c>
    </row>
    <row r="1301" spans="1:13" ht="14.85" customHeight="1">
      <c r="A1301" s="5238">
        <v>512</v>
      </c>
      <c r="B1301" s="5238" t="s">
        <v>4363</v>
      </c>
      <c r="C1301" s="5239" t="s">
        <v>2987</v>
      </c>
      <c r="D1301" s="5240"/>
      <c r="E1301" s="5241"/>
      <c r="F1301" s="5243">
        <f t="shared" si="114"/>
        <v>0</v>
      </c>
      <c r="G1301" s="5241"/>
      <c r="H1301" s="5241"/>
      <c r="I1301" s="5243">
        <f t="shared" si="115"/>
        <v>0</v>
      </c>
      <c r="J1301" s="5244">
        <f t="shared" si="119"/>
        <v>0</v>
      </c>
      <c r="K1301" s="5245">
        <f t="shared" si="116"/>
        <v>0</v>
      </c>
      <c r="L1301" s="5245">
        <f t="shared" si="117"/>
        <v>0</v>
      </c>
      <c r="M1301" s="5245">
        <f t="shared" si="118"/>
        <v>0</v>
      </c>
    </row>
    <row r="1302" spans="1:13" ht="14.85" customHeight="1">
      <c r="A1302" s="5238">
        <v>512</v>
      </c>
      <c r="B1302" s="5238" t="s">
        <v>4364</v>
      </c>
      <c r="C1302" s="5239" t="s">
        <v>2988</v>
      </c>
      <c r="D1302" s="5240"/>
      <c r="E1302" s="5241"/>
      <c r="F1302" s="5243">
        <f t="shared" si="114"/>
        <v>0</v>
      </c>
      <c r="G1302" s="5241"/>
      <c r="H1302" s="5241"/>
      <c r="I1302" s="5243">
        <f t="shared" si="115"/>
        <v>0</v>
      </c>
      <c r="J1302" s="5244">
        <f t="shared" si="119"/>
        <v>0</v>
      </c>
      <c r="K1302" s="5245">
        <f t="shared" si="116"/>
        <v>0</v>
      </c>
      <c r="L1302" s="5245">
        <f t="shared" si="117"/>
        <v>0</v>
      </c>
      <c r="M1302" s="5245">
        <f t="shared" si="118"/>
        <v>0</v>
      </c>
    </row>
    <row r="1303" spans="1:13" ht="14.85" customHeight="1">
      <c r="A1303" s="5238">
        <v>512</v>
      </c>
      <c r="B1303" s="5238" t="s">
        <v>4365</v>
      </c>
      <c r="C1303" s="5239" t="s">
        <v>2989</v>
      </c>
      <c r="D1303" s="5240"/>
      <c r="E1303" s="5241"/>
      <c r="F1303" s="5243">
        <f t="shared" si="114"/>
        <v>0</v>
      </c>
      <c r="G1303" s="5241"/>
      <c r="H1303" s="5241"/>
      <c r="I1303" s="5243">
        <f t="shared" si="115"/>
        <v>0</v>
      </c>
      <c r="J1303" s="5244">
        <f t="shared" si="119"/>
        <v>0</v>
      </c>
      <c r="K1303" s="5245">
        <f t="shared" si="116"/>
        <v>0</v>
      </c>
      <c r="L1303" s="5245">
        <f t="shared" si="117"/>
        <v>0</v>
      </c>
      <c r="M1303" s="5245">
        <f t="shared" si="118"/>
        <v>0</v>
      </c>
    </row>
    <row r="1304" spans="1:13" ht="14.85" customHeight="1">
      <c r="A1304" s="5238">
        <v>512</v>
      </c>
      <c r="B1304" s="5238" t="s">
        <v>4543</v>
      </c>
      <c r="C1304" s="5239" t="s">
        <v>4544</v>
      </c>
      <c r="D1304" s="5240"/>
      <c r="E1304" s="5241"/>
      <c r="F1304" s="5243">
        <f t="shared" si="114"/>
        <v>0</v>
      </c>
      <c r="G1304" s="5241"/>
      <c r="H1304" s="5241"/>
      <c r="I1304" s="5243">
        <f t="shared" si="115"/>
        <v>0</v>
      </c>
      <c r="J1304" s="5244">
        <f t="shared" si="119"/>
        <v>0</v>
      </c>
      <c r="K1304" s="5245">
        <f t="shared" si="116"/>
        <v>0</v>
      </c>
      <c r="L1304" s="5245">
        <f t="shared" si="117"/>
        <v>0</v>
      </c>
      <c r="M1304" s="5245">
        <f t="shared" si="118"/>
        <v>0</v>
      </c>
    </row>
    <row r="1305" spans="1:13" ht="14.85" customHeight="1">
      <c r="A1305" s="5238">
        <v>512</v>
      </c>
      <c r="B1305" s="5238" t="s">
        <v>4366</v>
      </c>
      <c r="C1305" s="5239" t="s">
        <v>2990</v>
      </c>
      <c r="D1305" s="5240"/>
      <c r="E1305" s="5241"/>
      <c r="F1305" s="5243">
        <f t="shared" si="114"/>
        <v>0</v>
      </c>
      <c r="G1305" s="5241"/>
      <c r="H1305" s="5241"/>
      <c r="I1305" s="5243">
        <f t="shared" si="115"/>
        <v>0</v>
      </c>
      <c r="J1305" s="5244">
        <f t="shared" si="119"/>
        <v>0</v>
      </c>
      <c r="K1305" s="5245">
        <f t="shared" si="116"/>
        <v>0</v>
      </c>
      <c r="L1305" s="5245">
        <f t="shared" si="117"/>
        <v>0</v>
      </c>
      <c r="M1305" s="5245">
        <f t="shared" si="118"/>
        <v>0</v>
      </c>
    </row>
    <row r="1306" spans="1:13" ht="14.85" customHeight="1">
      <c r="A1306" s="5238">
        <v>512</v>
      </c>
      <c r="B1306" s="5238" t="s">
        <v>4367</v>
      </c>
      <c r="C1306" s="5239" t="s">
        <v>2991</v>
      </c>
      <c r="D1306" s="5240"/>
      <c r="E1306" s="5241"/>
      <c r="F1306" s="5243">
        <f t="shared" si="114"/>
        <v>0</v>
      </c>
      <c r="G1306" s="5241"/>
      <c r="H1306" s="5241"/>
      <c r="I1306" s="5243">
        <f t="shared" si="115"/>
        <v>0</v>
      </c>
      <c r="J1306" s="5244">
        <f t="shared" si="119"/>
        <v>0</v>
      </c>
      <c r="K1306" s="5245">
        <f t="shared" si="116"/>
        <v>0</v>
      </c>
      <c r="L1306" s="5245">
        <f t="shared" si="117"/>
        <v>0</v>
      </c>
      <c r="M1306" s="5245">
        <f t="shared" si="118"/>
        <v>0</v>
      </c>
    </row>
    <row r="1307" spans="1:13" ht="14.85" customHeight="1">
      <c r="A1307" s="5238">
        <v>512</v>
      </c>
      <c r="B1307" s="5238" t="s">
        <v>4368</v>
      </c>
      <c r="C1307" s="5239" t="s">
        <v>2992</v>
      </c>
      <c r="D1307" s="5240"/>
      <c r="E1307" s="5241"/>
      <c r="F1307" s="5243">
        <f t="shared" si="114"/>
        <v>0</v>
      </c>
      <c r="G1307" s="5241"/>
      <c r="H1307" s="5241"/>
      <c r="I1307" s="5243">
        <f t="shared" si="115"/>
        <v>0</v>
      </c>
      <c r="J1307" s="5244">
        <f t="shared" si="119"/>
        <v>0</v>
      </c>
      <c r="K1307" s="5245">
        <f t="shared" si="116"/>
        <v>0</v>
      </c>
      <c r="L1307" s="5245">
        <f t="shared" si="117"/>
        <v>0</v>
      </c>
      <c r="M1307" s="5245">
        <f t="shared" si="118"/>
        <v>0</v>
      </c>
    </row>
    <row r="1308" spans="1:13" ht="14.85" customHeight="1">
      <c r="A1308" s="5238">
        <v>512</v>
      </c>
      <c r="B1308" s="5238" t="s">
        <v>4369</v>
      </c>
      <c r="C1308" s="5239" t="s">
        <v>2993</v>
      </c>
      <c r="D1308" s="5240"/>
      <c r="E1308" s="5241"/>
      <c r="F1308" s="5243">
        <f t="shared" si="114"/>
        <v>0</v>
      </c>
      <c r="G1308" s="5241"/>
      <c r="H1308" s="5241"/>
      <c r="I1308" s="5243">
        <f t="shared" si="115"/>
        <v>0</v>
      </c>
      <c r="J1308" s="5244">
        <f t="shared" si="119"/>
        <v>0</v>
      </c>
      <c r="K1308" s="5245">
        <f t="shared" si="116"/>
        <v>0</v>
      </c>
      <c r="L1308" s="5245">
        <f t="shared" si="117"/>
        <v>0</v>
      </c>
      <c r="M1308" s="5245">
        <f t="shared" si="118"/>
        <v>0</v>
      </c>
    </row>
    <row r="1309" spans="1:13" ht="14.85" customHeight="1">
      <c r="A1309" s="5238">
        <v>512</v>
      </c>
      <c r="B1309" s="5238" t="s">
        <v>4370</v>
      </c>
      <c r="C1309" s="5239" t="s">
        <v>2994</v>
      </c>
      <c r="D1309" s="5240"/>
      <c r="E1309" s="5241"/>
      <c r="F1309" s="5243">
        <f t="shared" si="114"/>
        <v>0</v>
      </c>
      <c r="G1309" s="5241"/>
      <c r="H1309" s="5241"/>
      <c r="I1309" s="5243">
        <f t="shared" si="115"/>
        <v>0</v>
      </c>
      <c r="J1309" s="5244">
        <f t="shared" si="119"/>
        <v>0</v>
      </c>
      <c r="K1309" s="5245">
        <f t="shared" si="116"/>
        <v>0</v>
      </c>
      <c r="L1309" s="5245">
        <f t="shared" si="117"/>
        <v>0</v>
      </c>
      <c r="M1309" s="5245">
        <f t="shared" si="118"/>
        <v>0</v>
      </c>
    </row>
    <row r="1310" spans="1:13" ht="14.85" customHeight="1">
      <c r="A1310" s="5238">
        <v>512</v>
      </c>
      <c r="B1310" s="5238" t="s">
        <v>4371</v>
      </c>
      <c r="C1310" s="5239" t="s">
        <v>2995</v>
      </c>
      <c r="D1310" s="5240"/>
      <c r="E1310" s="5241"/>
      <c r="F1310" s="5243">
        <f t="shared" si="114"/>
        <v>0</v>
      </c>
      <c r="G1310" s="5241"/>
      <c r="H1310" s="5241"/>
      <c r="I1310" s="5243">
        <f t="shared" si="115"/>
        <v>0</v>
      </c>
      <c r="J1310" s="5244">
        <f t="shared" si="119"/>
        <v>0</v>
      </c>
      <c r="K1310" s="5245">
        <f t="shared" si="116"/>
        <v>0</v>
      </c>
      <c r="L1310" s="5245">
        <f t="shared" si="117"/>
        <v>0</v>
      </c>
      <c r="M1310" s="5245">
        <f t="shared" si="118"/>
        <v>0</v>
      </c>
    </row>
    <row r="1311" spans="1:13" ht="14.85" customHeight="1">
      <c r="A1311" s="5238">
        <v>512</v>
      </c>
      <c r="B1311" s="5238" t="s">
        <v>4372</v>
      </c>
      <c r="C1311" s="5239" t="s">
        <v>2996</v>
      </c>
      <c r="D1311" s="5240"/>
      <c r="E1311" s="5241"/>
      <c r="F1311" s="5243">
        <f t="shared" si="114"/>
        <v>0</v>
      </c>
      <c r="G1311" s="5241"/>
      <c r="H1311" s="5241"/>
      <c r="I1311" s="5243">
        <f t="shared" si="115"/>
        <v>0</v>
      </c>
      <c r="J1311" s="5244">
        <f t="shared" si="119"/>
        <v>0</v>
      </c>
      <c r="K1311" s="5245">
        <f t="shared" si="116"/>
        <v>0</v>
      </c>
      <c r="L1311" s="5245">
        <f t="shared" si="117"/>
        <v>0</v>
      </c>
      <c r="M1311" s="5245">
        <f t="shared" si="118"/>
        <v>0</v>
      </c>
    </row>
    <row r="1312" spans="1:13" ht="14.85" customHeight="1">
      <c r="A1312" s="5238">
        <v>512</v>
      </c>
      <c r="B1312" s="5238" t="s">
        <v>4373</v>
      </c>
      <c r="C1312" s="5239" t="s">
        <v>2997</v>
      </c>
      <c r="D1312" s="5240"/>
      <c r="E1312" s="5241"/>
      <c r="F1312" s="5243">
        <f t="shared" si="114"/>
        <v>0</v>
      </c>
      <c r="G1312" s="5241"/>
      <c r="H1312" s="5241"/>
      <c r="I1312" s="5243">
        <f t="shared" si="115"/>
        <v>0</v>
      </c>
      <c r="J1312" s="5244">
        <f t="shared" si="119"/>
        <v>0</v>
      </c>
      <c r="K1312" s="5245">
        <f t="shared" si="116"/>
        <v>0</v>
      </c>
      <c r="L1312" s="5245">
        <f t="shared" si="117"/>
        <v>0</v>
      </c>
      <c r="M1312" s="5245">
        <f t="shared" si="118"/>
        <v>0</v>
      </c>
    </row>
    <row r="1313" spans="1:13" ht="14.85" customHeight="1">
      <c r="A1313" s="5238">
        <v>512</v>
      </c>
      <c r="B1313" s="5238" t="s">
        <v>4374</v>
      </c>
      <c r="C1313" s="5239" t="s">
        <v>2998</v>
      </c>
      <c r="D1313" s="5240"/>
      <c r="E1313" s="5241"/>
      <c r="F1313" s="5243">
        <f t="shared" ref="F1313:F1338" si="120">SUM(D1313:E1313)</f>
        <v>0</v>
      </c>
      <c r="G1313" s="5241"/>
      <c r="H1313" s="5241"/>
      <c r="I1313" s="5243">
        <f t="shared" ref="I1313:I1346" si="121">SUM(G1313:H1313)</f>
        <v>0</v>
      </c>
      <c r="J1313" s="5244">
        <f t="shared" si="119"/>
        <v>0</v>
      </c>
      <c r="K1313" s="5245">
        <f t="shared" ref="K1313:K1346" si="122">IF(AND((J1313-35%)&gt;0,J1313&lt;50%),I1313*(J1313-35%)*0.7,0)</f>
        <v>0</v>
      </c>
      <c r="L1313" s="5245">
        <f t="shared" ref="L1313:L1346" si="123">IF(J1313&gt;=50%,I1313*10.5%,0)</f>
        <v>0</v>
      </c>
      <c r="M1313" s="5245">
        <f t="shared" ref="M1313:M1346" si="124">MAX(K1313,L1313)</f>
        <v>0</v>
      </c>
    </row>
    <row r="1314" spans="1:13" ht="14.85" customHeight="1">
      <c r="A1314" s="5238">
        <v>512</v>
      </c>
      <c r="B1314" s="5238" t="s">
        <v>4375</v>
      </c>
      <c r="C1314" s="5239" t="s">
        <v>2999</v>
      </c>
      <c r="D1314" s="5240"/>
      <c r="E1314" s="5241"/>
      <c r="F1314" s="5243">
        <f t="shared" si="120"/>
        <v>0</v>
      </c>
      <c r="G1314" s="5241"/>
      <c r="H1314" s="5241"/>
      <c r="I1314" s="5243">
        <f t="shared" si="121"/>
        <v>0</v>
      </c>
      <c r="J1314" s="5244">
        <f t="shared" si="119"/>
        <v>0</v>
      </c>
      <c r="K1314" s="5245">
        <f t="shared" si="122"/>
        <v>0</v>
      </c>
      <c r="L1314" s="5245">
        <f t="shared" si="123"/>
        <v>0</v>
      </c>
      <c r="M1314" s="5245">
        <f t="shared" si="124"/>
        <v>0</v>
      </c>
    </row>
    <row r="1315" spans="1:13" ht="14.85" customHeight="1">
      <c r="A1315" s="5238">
        <v>512</v>
      </c>
      <c r="B1315" s="5238" t="s">
        <v>4376</v>
      </c>
      <c r="C1315" s="5239" t="s">
        <v>3000</v>
      </c>
      <c r="D1315" s="5240"/>
      <c r="E1315" s="5241"/>
      <c r="F1315" s="5243">
        <f t="shared" si="120"/>
        <v>0</v>
      </c>
      <c r="G1315" s="5241"/>
      <c r="H1315" s="5241"/>
      <c r="I1315" s="5243">
        <f t="shared" si="121"/>
        <v>0</v>
      </c>
      <c r="J1315" s="5244">
        <f t="shared" si="119"/>
        <v>0</v>
      </c>
      <c r="K1315" s="5245">
        <f t="shared" si="122"/>
        <v>0</v>
      </c>
      <c r="L1315" s="5245">
        <f t="shared" si="123"/>
        <v>0</v>
      </c>
      <c r="M1315" s="5245">
        <f t="shared" si="124"/>
        <v>0</v>
      </c>
    </row>
    <row r="1316" spans="1:13" ht="14.85" customHeight="1">
      <c r="A1316" s="5238">
        <v>512</v>
      </c>
      <c r="B1316" s="5238" t="s">
        <v>4377</v>
      </c>
      <c r="C1316" s="5239" t="s">
        <v>3001</v>
      </c>
      <c r="D1316" s="5240"/>
      <c r="E1316" s="5241"/>
      <c r="F1316" s="5243">
        <f t="shared" si="120"/>
        <v>0</v>
      </c>
      <c r="G1316" s="5241"/>
      <c r="H1316" s="5241"/>
      <c r="I1316" s="5243">
        <f t="shared" si="121"/>
        <v>0</v>
      </c>
      <c r="J1316" s="5244">
        <f t="shared" ref="J1316:J1346" si="125">IF(ISERROR(I1316/F1316),0,I1316/F1316)</f>
        <v>0</v>
      </c>
      <c r="K1316" s="5245">
        <f t="shared" si="122"/>
        <v>0</v>
      </c>
      <c r="L1316" s="5245">
        <f t="shared" si="123"/>
        <v>0</v>
      </c>
      <c r="M1316" s="5245">
        <f t="shared" si="124"/>
        <v>0</v>
      </c>
    </row>
    <row r="1317" spans="1:13" ht="14.85" customHeight="1">
      <c r="A1317" s="5238">
        <v>512</v>
      </c>
      <c r="B1317" s="5238" t="s">
        <v>4378</v>
      </c>
      <c r="C1317" s="5239" t="s">
        <v>3002</v>
      </c>
      <c r="D1317" s="5240"/>
      <c r="E1317" s="5241"/>
      <c r="F1317" s="5243">
        <f t="shared" si="120"/>
        <v>0</v>
      </c>
      <c r="G1317" s="5241"/>
      <c r="H1317" s="5241"/>
      <c r="I1317" s="5243">
        <f t="shared" si="121"/>
        <v>0</v>
      </c>
      <c r="J1317" s="5244">
        <f t="shared" si="125"/>
        <v>0</v>
      </c>
      <c r="K1317" s="5245">
        <f t="shared" si="122"/>
        <v>0</v>
      </c>
      <c r="L1317" s="5245">
        <f t="shared" si="123"/>
        <v>0</v>
      </c>
      <c r="M1317" s="5245">
        <f t="shared" si="124"/>
        <v>0</v>
      </c>
    </row>
    <row r="1318" spans="1:13" ht="14.85" customHeight="1">
      <c r="A1318" s="5238">
        <v>512</v>
      </c>
      <c r="B1318" s="5238" t="s">
        <v>4379</v>
      </c>
      <c r="C1318" s="5239" t="s">
        <v>3003</v>
      </c>
      <c r="D1318" s="5240"/>
      <c r="E1318" s="5241"/>
      <c r="F1318" s="5243">
        <f t="shared" si="120"/>
        <v>0</v>
      </c>
      <c r="G1318" s="5241"/>
      <c r="H1318" s="5241"/>
      <c r="I1318" s="5243">
        <f t="shared" si="121"/>
        <v>0</v>
      </c>
      <c r="J1318" s="5244">
        <f t="shared" si="125"/>
        <v>0</v>
      </c>
      <c r="K1318" s="5245">
        <f t="shared" si="122"/>
        <v>0</v>
      </c>
      <c r="L1318" s="5245">
        <f t="shared" si="123"/>
        <v>0</v>
      </c>
      <c r="M1318" s="5245">
        <f t="shared" si="124"/>
        <v>0</v>
      </c>
    </row>
    <row r="1319" spans="1:13" ht="14.85" customHeight="1">
      <c r="A1319" s="5238">
        <v>512</v>
      </c>
      <c r="B1319" s="5238" t="s">
        <v>4380</v>
      </c>
      <c r="C1319" s="5239" t="s">
        <v>3004</v>
      </c>
      <c r="D1319" s="5240"/>
      <c r="E1319" s="5241"/>
      <c r="F1319" s="5243">
        <f t="shared" si="120"/>
        <v>0</v>
      </c>
      <c r="G1319" s="5241"/>
      <c r="H1319" s="5241"/>
      <c r="I1319" s="5243">
        <f t="shared" si="121"/>
        <v>0</v>
      </c>
      <c r="J1319" s="5244">
        <f t="shared" si="125"/>
        <v>0</v>
      </c>
      <c r="K1319" s="5245">
        <f t="shared" si="122"/>
        <v>0</v>
      </c>
      <c r="L1319" s="5245">
        <f t="shared" si="123"/>
        <v>0</v>
      </c>
      <c r="M1319" s="5245">
        <f t="shared" si="124"/>
        <v>0</v>
      </c>
    </row>
    <row r="1320" spans="1:13" ht="14.85" customHeight="1">
      <c r="A1320" s="5238">
        <v>512</v>
      </c>
      <c r="B1320" s="5238" t="s">
        <v>4381</v>
      </c>
      <c r="C1320" s="5239" t="s">
        <v>3005</v>
      </c>
      <c r="D1320" s="5240"/>
      <c r="E1320" s="5241"/>
      <c r="F1320" s="5243">
        <f t="shared" si="120"/>
        <v>0</v>
      </c>
      <c r="G1320" s="5241"/>
      <c r="H1320" s="5241"/>
      <c r="I1320" s="5243">
        <f t="shared" si="121"/>
        <v>0</v>
      </c>
      <c r="J1320" s="5244">
        <f t="shared" si="125"/>
        <v>0</v>
      </c>
      <c r="K1320" s="5245">
        <f t="shared" si="122"/>
        <v>0</v>
      </c>
      <c r="L1320" s="5245">
        <f t="shared" si="123"/>
        <v>0</v>
      </c>
      <c r="M1320" s="5245">
        <f t="shared" si="124"/>
        <v>0</v>
      </c>
    </row>
    <row r="1321" spans="1:13" ht="14.85" customHeight="1">
      <c r="A1321" s="5238">
        <v>512</v>
      </c>
      <c r="B1321" s="5238" t="s">
        <v>4382</v>
      </c>
      <c r="C1321" s="5239" t="s">
        <v>3006</v>
      </c>
      <c r="D1321" s="5240"/>
      <c r="E1321" s="5241"/>
      <c r="F1321" s="5243">
        <f t="shared" si="120"/>
        <v>0</v>
      </c>
      <c r="G1321" s="5241"/>
      <c r="H1321" s="5241"/>
      <c r="I1321" s="5243">
        <f t="shared" si="121"/>
        <v>0</v>
      </c>
      <c r="J1321" s="5244">
        <f t="shared" si="125"/>
        <v>0</v>
      </c>
      <c r="K1321" s="5245">
        <f t="shared" si="122"/>
        <v>0</v>
      </c>
      <c r="L1321" s="5245">
        <f t="shared" si="123"/>
        <v>0</v>
      </c>
      <c r="M1321" s="5245">
        <f t="shared" si="124"/>
        <v>0</v>
      </c>
    </row>
    <row r="1322" spans="1:13" ht="14.85" customHeight="1">
      <c r="A1322" s="5238">
        <v>512</v>
      </c>
      <c r="B1322" s="5238" t="s">
        <v>4383</v>
      </c>
      <c r="C1322" s="5239" t="s">
        <v>2513</v>
      </c>
      <c r="D1322" s="5240"/>
      <c r="E1322" s="5241"/>
      <c r="F1322" s="5243">
        <f t="shared" si="120"/>
        <v>0</v>
      </c>
      <c r="G1322" s="5241"/>
      <c r="H1322" s="5241"/>
      <c r="I1322" s="5243">
        <f t="shared" si="121"/>
        <v>0</v>
      </c>
      <c r="J1322" s="5244">
        <f t="shared" si="125"/>
        <v>0</v>
      </c>
      <c r="K1322" s="5245">
        <f t="shared" si="122"/>
        <v>0</v>
      </c>
      <c r="L1322" s="5245">
        <f t="shared" si="123"/>
        <v>0</v>
      </c>
      <c r="M1322" s="5245">
        <f t="shared" si="124"/>
        <v>0</v>
      </c>
    </row>
    <row r="1323" spans="1:13" ht="14.85" customHeight="1">
      <c r="A1323" s="5238">
        <v>512</v>
      </c>
      <c r="B1323" s="5238" t="s">
        <v>4384</v>
      </c>
      <c r="C1323" s="5239" t="s">
        <v>2060</v>
      </c>
      <c r="D1323" s="5240"/>
      <c r="E1323" s="5241"/>
      <c r="F1323" s="5243">
        <f t="shared" si="120"/>
        <v>0</v>
      </c>
      <c r="G1323" s="5241"/>
      <c r="H1323" s="5241"/>
      <c r="I1323" s="5243">
        <f t="shared" si="121"/>
        <v>0</v>
      </c>
      <c r="J1323" s="5244">
        <f t="shared" si="125"/>
        <v>0</v>
      </c>
      <c r="K1323" s="5245">
        <f t="shared" si="122"/>
        <v>0</v>
      </c>
      <c r="L1323" s="5245">
        <f t="shared" si="123"/>
        <v>0</v>
      </c>
      <c r="M1323" s="5245">
        <f t="shared" si="124"/>
        <v>0</v>
      </c>
    </row>
    <row r="1324" spans="1:13" ht="14.85" customHeight="1">
      <c r="A1324" s="5238">
        <v>512</v>
      </c>
      <c r="B1324" s="5238" t="s">
        <v>4385</v>
      </c>
      <c r="C1324" s="5239" t="s">
        <v>3007</v>
      </c>
      <c r="D1324" s="5240"/>
      <c r="E1324" s="5241"/>
      <c r="F1324" s="5243">
        <f t="shared" si="120"/>
        <v>0</v>
      </c>
      <c r="G1324" s="5241"/>
      <c r="H1324" s="5241"/>
      <c r="I1324" s="5243">
        <f t="shared" si="121"/>
        <v>0</v>
      </c>
      <c r="J1324" s="5244">
        <f t="shared" si="125"/>
        <v>0</v>
      </c>
      <c r="K1324" s="5245">
        <f t="shared" si="122"/>
        <v>0</v>
      </c>
      <c r="L1324" s="5245">
        <f t="shared" si="123"/>
        <v>0</v>
      </c>
      <c r="M1324" s="5245">
        <f t="shared" si="124"/>
        <v>0</v>
      </c>
    </row>
    <row r="1325" spans="1:13" ht="14.85" customHeight="1">
      <c r="A1325" s="5238">
        <v>512</v>
      </c>
      <c r="B1325" s="5238" t="s">
        <v>4386</v>
      </c>
      <c r="C1325" s="5239" t="s">
        <v>3008</v>
      </c>
      <c r="D1325" s="5240"/>
      <c r="E1325" s="5241"/>
      <c r="F1325" s="5243">
        <f t="shared" si="120"/>
        <v>0</v>
      </c>
      <c r="G1325" s="5241"/>
      <c r="H1325" s="5241"/>
      <c r="I1325" s="5243">
        <f t="shared" si="121"/>
        <v>0</v>
      </c>
      <c r="J1325" s="5244">
        <f t="shared" si="125"/>
        <v>0</v>
      </c>
      <c r="K1325" s="5245">
        <f t="shared" si="122"/>
        <v>0</v>
      </c>
      <c r="L1325" s="5245">
        <f t="shared" si="123"/>
        <v>0</v>
      </c>
      <c r="M1325" s="5245">
        <f t="shared" si="124"/>
        <v>0</v>
      </c>
    </row>
    <row r="1326" spans="1:13" ht="14.85" customHeight="1">
      <c r="A1326" s="5238">
        <v>512</v>
      </c>
      <c r="B1326" s="5238" t="s">
        <v>4387</v>
      </c>
      <c r="C1326" s="5239" t="s">
        <v>3009</v>
      </c>
      <c r="D1326" s="5240"/>
      <c r="E1326" s="5241"/>
      <c r="F1326" s="5243">
        <f t="shared" si="120"/>
        <v>0</v>
      </c>
      <c r="G1326" s="5241"/>
      <c r="H1326" s="5241"/>
      <c r="I1326" s="5243">
        <f t="shared" si="121"/>
        <v>0</v>
      </c>
      <c r="J1326" s="5244">
        <f t="shared" si="125"/>
        <v>0</v>
      </c>
      <c r="K1326" s="5245">
        <f t="shared" si="122"/>
        <v>0</v>
      </c>
      <c r="L1326" s="5245">
        <f t="shared" si="123"/>
        <v>0</v>
      </c>
      <c r="M1326" s="5245">
        <f t="shared" si="124"/>
        <v>0</v>
      </c>
    </row>
    <row r="1327" spans="1:13" ht="14.85" customHeight="1">
      <c r="A1327" s="5238">
        <v>512</v>
      </c>
      <c r="B1327" s="5238" t="s">
        <v>4388</v>
      </c>
      <c r="C1327" s="5239" t="s">
        <v>3010</v>
      </c>
      <c r="D1327" s="5240"/>
      <c r="E1327" s="5241"/>
      <c r="F1327" s="5243">
        <f t="shared" si="120"/>
        <v>0</v>
      </c>
      <c r="G1327" s="5241"/>
      <c r="H1327" s="5241"/>
      <c r="I1327" s="5243">
        <f t="shared" si="121"/>
        <v>0</v>
      </c>
      <c r="J1327" s="5244">
        <f t="shared" si="125"/>
        <v>0</v>
      </c>
      <c r="K1327" s="5245">
        <f t="shared" si="122"/>
        <v>0</v>
      </c>
      <c r="L1327" s="5245">
        <f t="shared" si="123"/>
        <v>0</v>
      </c>
      <c r="M1327" s="5245">
        <f t="shared" si="124"/>
        <v>0</v>
      </c>
    </row>
    <row r="1328" spans="1:13" ht="14.85" customHeight="1">
      <c r="A1328" s="5238">
        <v>512</v>
      </c>
      <c r="B1328" s="5238" t="s">
        <v>4389</v>
      </c>
      <c r="C1328" s="5239" t="s">
        <v>3011</v>
      </c>
      <c r="D1328" s="5240"/>
      <c r="E1328" s="5241"/>
      <c r="F1328" s="5243">
        <f t="shared" si="120"/>
        <v>0</v>
      </c>
      <c r="G1328" s="5241"/>
      <c r="H1328" s="5241"/>
      <c r="I1328" s="5243">
        <f t="shared" si="121"/>
        <v>0</v>
      </c>
      <c r="J1328" s="5244">
        <f t="shared" si="125"/>
        <v>0</v>
      </c>
      <c r="K1328" s="5245">
        <f t="shared" si="122"/>
        <v>0</v>
      </c>
      <c r="L1328" s="5245">
        <f t="shared" si="123"/>
        <v>0</v>
      </c>
      <c r="M1328" s="5245">
        <f t="shared" si="124"/>
        <v>0</v>
      </c>
    </row>
    <row r="1329" spans="1:13" ht="14.85" customHeight="1">
      <c r="A1329" s="5238">
        <v>512</v>
      </c>
      <c r="B1329" s="5238" t="s">
        <v>4390</v>
      </c>
      <c r="C1329" s="5239" t="s">
        <v>3012</v>
      </c>
      <c r="D1329" s="5240"/>
      <c r="E1329" s="5241"/>
      <c r="F1329" s="5243">
        <f t="shared" si="120"/>
        <v>0</v>
      </c>
      <c r="G1329" s="5241"/>
      <c r="H1329" s="5241"/>
      <c r="I1329" s="5243">
        <f t="shared" si="121"/>
        <v>0</v>
      </c>
      <c r="J1329" s="5244">
        <f t="shared" si="125"/>
        <v>0</v>
      </c>
      <c r="K1329" s="5245">
        <f t="shared" si="122"/>
        <v>0</v>
      </c>
      <c r="L1329" s="5245">
        <f t="shared" si="123"/>
        <v>0</v>
      </c>
      <c r="M1329" s="5245">
        <f t="shared" si="124"/>
        <v>0</v>
      </c>
    </row>
    <row r="1330" spans="1:13" ht="14.85" customHeight="1">
      <c r="A1330" s="5238">
        <v>512</v>
      </c>
      <c r="B1330" s="5238" t="s">
        <v>4391</v>
      </c>
      <c r="C1330" s="5239" t="s">
        <v>3013</v>
      </c>
      <c r="D1330" s="5240"/>
      <c r="E1330" s="5241"/>
      <c r="F1330" s="5243">
        <f t="shared" si="120"/>
        <v>0</v>
      </c>
      <c r="G1330" s="5241"/>
      <c r="H1330" s="5241"/>
      <c r="I1330" s="5243">
        <f t="shared" si="121"/>
        <v>0</v>
      </c>
      <c r="J1330" s="5244">
        <f t="shared" si="125"/>
        <v>0</v>
      </c>
      <c r="K1330" s="5245">
        <f t="shared" si="122"/>
        <v>0</v>
      </c>
      <c r="L1330" s="5245">
        <f t="shared" si="123"/>
        <v>0</v>
      </c>
      <c r="M1330" s="5245">
        <f t="shared" si="124"/>
        <v>0</v>
      </c>
    </row>
    <row r="1331" spans="1:13" ht="14.85" customHeight="1">
      <c r="A1331" s="5238">
        <v>512</v>
      </c>
      <c r="B1331" s="5238" t="s">
        <v>4392</v>
      </c>
      <c r="C1331" s="5239" t="s">
        <v>3014</v>
      </c>
      <c r="D1331" s="5240"/>
      <c r="E1331" s="5241"/>
      <c r="F1331" s="5243">
        <f t="shared" si="120"/>
        <v>0</v>
      </c>
      <c r="G1331" s="5241"/>
      <c r="H1331" s="5241"/>
      <c r="I1331" s="5243">
        <f t="shared" si="121"/>
        <v>0</v>
      </c>
      <c r="J1331" s="5244">
        <f t="shared" si="125"/>
        <v>0</v>
      </c>
      <c r="K1331" s="5245">
        <f t="shared" si="122"/>
        <v>0</v>
      </c>
      <c r="L1331" s="5245">
        <f t="shared" si="123"/>
        <v>0</v>
      </c>
      <c r="M1331" s="5245">
        <f t="shared" si="124"/>
        <v>0</v>
      </c>
    </row>
    <row r="1332" spans="1:13" ht="14.85" customHeight="1">
      <c r="A1332" s="5238">
        <v>512</v>
      </c>
      <c r="B1332" s="5238" t="s">
        <v>4393</v>
      </c>
      <c r="C1332" s="5239" t="s">
        <v>3015</v>
      </c>
      <c r="D1332" s="5240"/>
      <c r="E1332" s="5241"/>
      <c r="F1332" s="5243">
        <f t="shared" si="120"/>
        <v>0</v>
      </c>
      <c r="G1332" s="5241"/>
      <c r="H1332" s="5241"/>
      <c r="I1332" s="5243">
        <f t="shared" si="121"/>
        <v>0</v>
      </c>
      <c r="J1332" s="5244">
        <f t="shared" si="125"/>
        <v>0</v>
      </c>
      <c r="K1332" s="5245">
        <f t="shared" si="122"/>
        <v>0</v>
      </c>
      <c r="L1332" s="5245">
        <f t="shared" si="123"/>
        <v>0</v>
      </c>
      <c r="M1332" s="5245">
        <f t="shared" si="124"/>
        <v>0</v>
      </c>
    </row>
    <row r="1333" spans="1:13" ht="14.85" customHeight="1">
      <c r="A1333" s="5238">
        <v>512</v>
      </c>
      <c r="B1333" s="5238" t="s">
        <v>4394</v>
      </c>
      <c r="C1333" s="5239" t="s">
        <v>3016</v>
      </c>
      <c r="D1333" s="5240"/>
      <c r="E1333" s="5241"/>
      <c r="F1333" s="5243">
        <f t="shared" si="120"/>
        <v>0</v>
      </c>
      <c r="G1333" s="5241"/>
      <c r="H1333" s="5241"/>
      <c r="I1333" s="5243">
        <f t="shared" si="121"/>
        <v>0</v>
      </c>
      <c r="J1333" s="5244">
        <f t="shared" si="125"/>
        <v>0</v>
      </c>
      <c r="K1333" s="5245">
        <f t="shared" si="122"/>
        <v>0</v>
      </c>
      <c r="L1333" s="5245">
        <f t="shared" si="123"/>
        <v>0</v>
      </c>
      <c r="M1333" s="5245">
        <f t="shared" si="124"/>
        <v>0</v>
      </c>
    </row>
    <row r="1334" spans="1:13" ht="14.85" customHeight="1">
      <c r="A1334" s="5238">
        <v>512</v>
      </c>
      <c r="B1334" s="5238" t="s">
        <v>4395</v>
      </c>
      <c r="C1334" s="5239" t="s">
        <v>3017</v>
      </c>
      <c r="D1334" s="5240"/>
      <c r="E1334" s="5241"/>
      <c r="F1334" s="5243">
        <f t="shared" si="120"/>
        <v>0</v>
      </c>
      <c r="G1334" s="5241"/>
      <c r="H1334" s="5241"/>
      <c r="I1334" s="5243">
        <f t="shared" si="121"/>
        <v>0</v>
      </c>
      <c r="J1334" s="5244">
        <f t="shared" si="125"/>
        <v>0</v>
      </c>
      <c r="K1334" s="5245">
        <f t="shared" si="122"/>
        <v>0</v>
      </c>
      <c r="L1334" s="5245">
        <f t="shared" si="123"/>
        <v>0</v>
      </c>
      <c r="M1334" s="5245">
        <f t="shared" si="124"/>
        <v>0</v>
      </c>
    </row>
    <row r="1335" spans="1:13" ht="14.85" customHeight="1">
      <c r="A1335" s="5238">
        <v>512</v>
      </c>
      <c r="B1335" s="5238" t="s">
        <v>4396</v>
      </c>
      <c r="C1335" s="5239" t="s">
        <v>3018</v>
      </c>
      <c r="D1335" s="5240"/>
      <c r="E1335" s="5241"/>
      <c r="F1335" s="5243">
        <f t="shared" si="120"/>
        <v>0</v>
      </c>
      <c r="G1335" s="5241"/>
      <c r="H1335" s="5241"/>
      <c r="I1335" s="5243">
        <f t="shared" si="121"/>
        <v>0</v>
      </c>
      <c r="J1335" s="5244">
        <f t="shared" si="125"/>
        <v>0</v>
      </c>
      <c r="K1335" s="5245">
        <f t="shared" si="122"/>
        <v>0</v>
      </c>
      <c r="L1335" s="5245">
        <f t="shared" si="123"/>
        <v>0</v>
      </c>
      <c r="M1335" s="5245">
        <f t="shared" si="124"/>
        <v>0</v>
      </c>
    </row>
    <row r="1336" spans="1:13" ht="14.85" customHeight="1">
      <c r="A1336" s="5246"/>
      <c r="B1336" s="5247"/>
      <c r="C1336" s="5248"/>
      <c r="D1336" s="5240"/>
      <c r="E1336" s="5241"/>
      <c r="F1336" s="5243">
        <f t="shared" si="120"/>
        <v>0</v>
      </c>
      <c r="G1336" s="5241"/>
      <c r="H1336" s="5241"/>
      <c r="I1336" s="5243">
        <f t="shared" si="121"/>
        <v>0</v>
      </c>
      <c r="J1336" s="5244">
        <f t="shared" si="125"/>
        <v>0</v>
      </c>
      <c r="K1336" s="5245">
        <f t="shared" si="122"/>
        <v>0</v>
      </c>
      <c r="L1336" s="5245">
        <f t="shared" si="123"/>
        <v>0</v>
      </c>
      <c r="M1336" s="5245">
        <f t="shared" si="124"/>
        <v>0</v>
      </c>
    </row>
    <row r="1337" spans="1:13" ht="14.85" customHeight="1">
      <c r="A1337" s="5246"/>
      <c r="B1337" s="5247"/>
      <c r="C1337" s="5248"/>
      <c r="D1337" s="5240"/>
      <c r="E1337" s="5241"/>
      <c r="F1337" s="5243">
        <f t="shared" si="120"/>
        <v>0</v>
      </c>
      <c r="G1337" s="5241"/>
      <c r="H1337" s="5241"/>
      <c r="I1337" s="5243">
        <f t="shared" si="121"/>
        <v>0</v>
      </c>
      <c r="J1337" s="5244">
        <f t="shared" si="125"/>
        <v>0</v>
      </c>
      <c r="K1337" s="5245">
        <f t="shared" si="122"/>
        <v>0</v>
      </c>
      <c r="L1337" s="5245">
        <f t="shared" si="123"/>
        <v>0</v>
      </c>
      <c r="M1337" s="5245">
        <f t="shared" si="124"/>
        <v>0</v>
      </c>
    </row>
    <row r="1338" spans="1:13" ht="14.85" customHeight="1">
      <c r="A1338" s="5246"/>
      <c r="B1338" s="5247"/>
      <c r="C1338" s="5248"/>
      <c r="D1338" s="5240"/>
      <c r="E1338" s="5241"/>
      <c r="F1338" s="5243">
        <f t="shared" si="120"/>
        <v>0</v>
      </c>
      <c r="G1338" s="5241"/>
      <c r="H1338" s="5241"/>
      <c r="I1338" s="5243">
        <f t="shared" si="121"/>
        <v>0</v>
      </c>
      <c r="J1338" s="5244">
        <f t="shared" si="125"/>
        <v>0</v>
      </c>
      <c r="K1338" s="5245">
        <f t="shared" si="122"/>
        <v>0</v>
      </c>
      <c r="L1338" s="5245">
        <f t="shared" si="123"/>
        <v>0</v>
      </c>
      <c r="M1338" s="5245">
        <f t="shared" si="124"/>
        <v>0</v>
      </c>
    </row>
    <row r="1339" spans="1:13" ht="14.85" customHeight="1">
      <c r="A1339" s="5246"/>
      <c r="B1339" s="5247"/>
      <c r="C1339" s="5248"/>
      <c r="D1339" s="5240"/>
      <c r="E1339" s="5241"/>
      <c r="F1339" s="5243">
        <f>SUM(D1339:E1339)</f>
        <v>0</v>
      </c>
      <c r="G1339" s="5241"/>
      <c r="H1339" s="5241"/>
      <c r="I1339" s="5243">
        <f t="shared" si="121"/>
        <v>0</v>
      </c>
      <c r="J1339" s="5244">
        <f t="shared" si="125"/>
        <v>0</v>
      </c>
      <c r="K1339" s="5245">
        <f t="shared" si="122"/>
        <v>0</v>
      </c>
      <c r="L1339" s="5245">
        <f t="shared" si="123"/>
        <v>0</v>
      </c>
      <c r="M1339" s="5245">
        <f t="shared" si="124"/>
        <v>0</v>
      </c>
    </row>
    <row r="1340" spans="1:13" ht="14.85" customHeight="1">
      <c r="A1340" s="5246"/>
      <c r="B1340" s="5247"/>
      <c r="C1340" s="5248"/>
      <c r="D1340" s="5240"/>
      <c r="E1340" s="5241"/>
      <c r="F1340" s="5243">
        <f t="shared" ref="F1340:F1346" si="126">SUM(D1340:E1340)</f>
        <v>0</v>
      </c>
      <c r="G1340" s="5241"/>
      <c r="H1340" s="5241"/>
      <c r="I1340" s="5243">
        <f t="shared" si="121"/>
        <v>0</v>
      </c>
      <c r="J1340" s="5244">
        <f t="shared" si="125"/>
        <v>0</v>
      </c>
      <c r="K1340" s="5245">
        <f t="shared" si="122"/>
        <v>0</v>
      </c>
      <c r="L1340" s="5245">
        <f t="shared" si="123"/>
        <v>0</v>
      </c>
      <c r="M1340" s="5245">
        <f t="shared" si="124"/>
        <v>0</v>
      </c>
    </row>
    <row r="1341" spans="1:13" ht="14.85" customHeight="1">
      <c r="A1341" s="5246"/>
      <c r="B1341" s="5247"/>
      <c r="C1341" s="5248"/>
      <c r="D1341" s="5240"/>
      <c r="E1341" s="5241"/>
      <c r="F1341" s="5243">
        <f t="shared" si="126"/>
        <v>0</v>
      </c>
      <c r="G1341" s="5241"/>
      <c r="H1341" s="5241"/>
      <c r="I1341" s="5243">
        <f t="shared" si="121"/>
        <v>0</v>
      </c>
      <c r="J1341" s="5244">
        <f t="shared" si="125"/>
        <v>0</v>
      </c>
      <c r="K1341" s="5245">
        <f t="shared" si="122"/>
        <v>0</v>
      </c>
      <c r="L1341" s="5245">
        <f t="shared" si="123"/>
        <v>0</v>
      </c>
      <c r="M1341" s="5245">
        <f t="shared" si="124"/>
        <v>0</v>
      </c>
    </row>
    <row r="1342" spans="1:13" ht="14.85" customHeight="1">
      <c r="A1342" s="5246"/>
      <c r="B1342" s="5247"/>
      <c r="C1342" s="5248"/>
      <c r="D1342" s="5240"/>
      <c r="E1342" s="5241"/>
      <c r="F1342" s="5243">
        <f t="shared" si="126"/>
        <v>0</v>
      </c>
      <c r="G1342" s="5241"/>
      <c r="H1342" s="5241"/>
      <c r="I1342" s="5243">
        <f t="shared" si="121"/>
        <v>0</v>
      </c>
      <c r="J1342" s="5244">
        <f t="shared" si="125"/>
        <v>0</v>
      </c>
      <c r="K1342" s="5245">
        <f t="shared" si="122"/>
        <v>0</v>
      </c>
      <c r="L1342" s="5245">
        <f t="shared" si="123"/>
        <v>0</v>
      </c>
      <c r="M1342" s="5245">
        <f t="shared" si="124"/>
        <v>0</v>
      </c>
    </row>
    <row r="1343" spans="1:13" ht="14.85" customHeight="1">
      <c r="A1343" s="5246"/>
      <c r="B1343" s="5247"/>
      <c r="C1343" s="5248"/>
      <c r="D1343" s="5240"/>
      <c r="E1343" s="5241"/>
      <c r="F1343" s="5243">
        <f t="shared" si="126"/>
        <v>0</v>
      </c>
      <c r="G1343" s="5241"/>
      <c r="H1343" s="5241"/>
      <c r="I1343" s="5243">
        <f t="shared" si="121"/>
        <v>0</v>
      </c>
      <c r="J1343" s="5244">
        <f t="shared" si="125"/>
        <v>0</v>
      </c>
      <c r="K1343" s="5245">
        <f t="shared" si="122"/>
        <v>0</v>
      </c>
      <c r="L1343" s="5245">
        <f t="shared" si="123"/>
        <v>0</v>
      </c>
      <c r="M1343" s="5245">
        <f t="shared" si="124"/>
        <v>0</v>
      </c>
    </row>
    <row r="1344" spans="1:13" ht="14.85" customHeight="1">
      <c r="A1344" s="5246"/>
      <c r="B1344" s="5247"/>
      <c r="C1344" s="5248"/>
      <c r="D1344" s="5240"/>
      <c r="E1344" s="5241"/>
      <c r="F1344" s="5243">
        <f t="shared" si="126"/>
        <v>0</v>
      </c>
      <c r="G1344" s="5241"/>
      <c r="H1344" s="5241"/>
      <c r="I1344" s="5243">
        <f t="shared" si="121"/>
        <v>0</v>
      </c>
      <c r="J1344" s="5244">
        <f t="shared" si="125"/>
        <v>0</v>
      </c>
      <c r="K1344" s="5245">
        <f t="shared" si="122"/>
        <v>0</v>
      </c>
      <c r="L1344" s="5245">
        <f t="shared" si="123"/>
        <v>0</v>
      </c>
      <c r="M1344" s="5245">
        <f t="shared" si="124"/>
        <v>0</v>
      </c>
    </row>
    <row r="1345" spans="1:13" ht="14.85" customHeight="1">
      <c r="A1345" s="5246"/>
      <c r="B1345" s="5247"/>
      <c r="C1345" s="5248"/>
      <c r="D1345" s="5240"/>
      <c r="E1345" s="5241"/>
      <c r="F1345" s="5243">
        <f t="shared" si="126"/>
        <v>0</v>
      </c>
      <c r="G1345" s="5241"/>
      <c r="H1345" s="5241"/>
      <c r="I1345" s="5243">
        <f t="shared" si="121"/>
        <v>0</v>
      </c>
      <c r="J1345" s="5244">
        <f t="shared" si="125"/>
        <v>0</v>
      </c>
      <c r="K1345" s="5245">
        <f t="shared" si="122"/>
        <v>0</v>
      </c>
      <c r="L1345" s="5245">
        <f t="shared" si="123"/>
        <v>0</v>
      </c>
      <c r="M1345" s="5245">
        <f t="shared" si="124"/>
        <v>0</v>
      </c>
    </row>
    <row r="1346" spans="1:13" ht="14.85" customHeight="1">
      <c r="A1346" s="5249"/>
      <c r="B1346" s="5250"/>
      <c r="C1346" s="5251"/>
      <c r="D1346" s="5240"/>
      <c r="E1346" s="5241"/>
      <c r="F1346" s="5243">
        <f t="shared" si="126"/>
        <v>0</v>
      </c>
      <c r="G1346" s="5241"/>
      <c r="H1346" s="5241"/>
      <c r="I1346" s="5243">
        <f t="shared" si="121"/>
        <v>0</v>
      </c>
      <c r="J1346" s="5244">
        <f t="shared" si="125"/>
        <v>0</v>
      </c>
      <c r="K1346" s="5245">
        <f t="shared" si="122"/>
        <v>0</v>
      </c>
      <c r="L1346" s="5245">
        <f t="shared" si="123"/>
        <v>0</v>
      </c>
      <c r="M1346" s="5245">
        <f t="shared" si="124"/>
        <v>0</v>
      </c>
    </row>
    <row r="1347" spans="1:13" ht="14.85" customHeight="1">
      <c r="D1347" s="5252"/>
      <c r="E1347" s="5252"/>
      <c r="F1347" s="5252"/>
      <c r="G1347" s="5252"/>
      <c r="H1347" s="5252"/>
      <c r="I1347" s="5252"/>
      <c r="J1347" s="5253"/>
    </row>
    <row r="1348" spans="1:13" ht="14.85" customHeight="1">
      <c r="D1348" s="5252"/>
      <c r="E1348" s="5252"/>
      <c r="F1348" s="5252"/>
      <c r="G1348" s="5252"/>
      <c r="H1348" s="5252"/>
      <c r="I1348" s="5252"/>
      <c r="J1348" s="5253"/>
    </row>
  </sheetData>
  <sheetProtection algorithmName="SHA-512" hashValue="u4oWzeGF9NGfziRaIxCWF9yMVbfAp+1/bSENBe/XjHhBzboMib0+Bu9S5nPkm7gQwlkHm3/N/WoihLawxsa0Yg==" saltValue="1/y9ZgUCbSJY+GXXz6Ei0w==" spinCount="100000" sheet="1" sort="0" autoFilter="0"/>
  <protectedRanges>
    <protectedRange sqref="A31:M31" name="AllowLeaFilter"/>
  </protectedRanges>
  <autoFilter ref="A31:M1346"/>
  <hyperlinks>
    <hyperlink ref="N26" location="Contents!A1" display="Return to Contents page"/>
  </hyperlinks>
  <printOptions horizontalCentered="1"/>
  <pageMargins left="0.75" right="0.75" top="0.5" bottom="0.5" header="0.3" footer="0.3"/>
  <pageSetup scale="62" fitToHeight="0" orientation="landscape" blackAndWhite="1" r:id="rId1"/>
  <headerFooter scaleWithDoc="0">
    <oddFooter>&amp;L&amp;"Open Sans Light,Regular"&amp;8&amp;D   &amp;T&amp;C&amp;"Open Sans Light,Regular"&amp;8Page &amp;P&amp;R&amp;"Open Sans Light,Regular"&amp;8High Density At-Risk (School Level)</oddFooter>
  </headerFooter>
  <drawing r:id="rId2"/>
  <legacyDrawing r:id="rId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6">
    <pageSetUpPr fitToPage="1"/>
  </sheetPr>
  <dimension ref="A1:AG171"/>
  <sheetViews>
    <sheetView workbookViewId="0">
      <selection activeCell="L1" sqref="L1"/>
    </sheetView>
  </sheetViews>
  <sheetFormatPr defaultColWidth="8.88671875" defaultRowHeight="13.2"/>
  <cols>
    <col min="1" max="11" width="3.88671875" style="282" customWidth="1"/>
    <col min="12" max="12" width="38.44140625" style="282" customWidth="1"/>
    <col min="13" max="13" width="17.6640625" style="282" customWidth="1"/>
    <col min="14" max="14" width="11.44140625" style="282" customWidth="1"/>
    <col min="15" max="15" width="15.44140625" style="282" customWidth="1"/>
    <col min="16" max="16" width="14.6640625" style="282" customWidth="1"/>
    <col min="17" max="17" width="16.6640625" style="282" customWidth="1"/>
    <col min="18" max="18" width="18.33203125" style="282" customWidth="1"/>
    <col min="19" max="19" width="14.44140625" style="282" customWidth="1"/>
    <col min="20" max="20" width="14" style="282" customWidth="1"/>
    <col min="21" max="23" width="12.6640625" style="282" customWidth="1"/>
    <col min="24" max="25" width="14" style="282" customWidth="1"/>
    <col min="26" max="33" width="9.109375" style="282"/>
  </cols>
  <sheetData>
    <row r="1" spans="4:25">
      <c r="L1" s="636" t="s">
        <v>4480</v>
      </c>
      <c r="M1" s="449" t="s">
        <v>865</v>
      </c>
      <c r="N1" s="1"/>
      <c r="O1" s="1"/>
      <c r="P1" s="1"/>
      <c r="Q1" s="1"/>
      <c r="R1" s="1"/>
      <c r="S1" s="1"/>
      <c r="T1" s="1"/>
      <c r="U1" s="1"/>
      <c r="V1" s="1"/>
      <c r="W1" s="1"/>
      <c r="X1" s="1"/>
      <c r="Y1" s="1"/>
    </row>
    <row r="2" spans="4:25">
      <c r="L2" s="480" t="s">
        <v>4481</v>
      </c>
      <c r="M2" s="451" t="s">
        <v>656</v>
      </c>
      <c r="N2" s="636" t="s">
        <v>4880</v>
      </c>
      <c r="O2" s="1"/>
      <c r="P2" s="1"/>
      <c r="Q2" s="1"/>
      <c r="R2" s="1"/>
      <c r="S2" s="1"/>
      <c r="T2" s="1"/>
      <c r="U2" s="1"/>
      <c r="V2" s="1"/>
      <c r="W2" s="1"/>
      <c r="X2" s="1"/>
      <c r="Y2" s="1"/>
    </row>
    <row r="3" spans="4:25">
      <c r="D3" s="6367" t="s">
        <v>5269</v>
      </c>
      <c r="E3" s="6367"/>
      <c r="F3" s="6367"/>
      <c r="G3" s="6367"/>
      <c r="H3" s="6367"/>
      <c r="I3" s="6367"/>
      <c r="J3" s="6367"/>
      <c r="K3" s="6367"/>
      <c r="L3" s="6367"/>
      <c r="M3" s="451" t="s">
        <v>657</v>
      </c>
      <c r="N3" s="637">
        <v>44348</v>
      </c>
      <c r="O3" s="1"/>
      <c r="P3" s="1"/>
      <c r="Q3" s="1"/>
      <c r="R3" s="480"/>
      <c r="S3" s="1"/>
      <c r="T3" s="1"/>
      <c r="U3" s="1"/>
      <c r="V3" s="1"/>
      <c r="W3" s="1"/>
      <c r="X3" s="1"/>
      <c r="Y3" s="1"/>
    </row>
    <row r="4" spans="4:25">
      <c r="M4" s="451" t="s">
        <v>658</v>
      </c>
      <c r="N4" s="636" t="s">
        <v>4881</v>
      </c>
      <c r="O4" s="480" t="str">
        <f>CONCATENATE(MID(TEXT(N4,"9999"),1,4)+1,"-",MID(TEXT(N4,"9999"),1,4)+2)</f>
        <v>2020-2021</v>
      </c>
      <c r="P4" s="480" t="str">
        <f>CONCATENATE(MID(TEXT(O4,"9999"),1,4)+1,"-",MID(TEXT(O4,"9999"),1,4)+2)</f>
        <v>2021-2022</v>
      </c>
      <c r="Q4" s="451" t="s">
        <v>1057</v>
      </c>
      <c r="R4" s="480" t="str">
        <f>CONCATENATE(MID(TEXT(N4,"9999"),1,4)-2,"-",MID(TEXT(N4,"9999"),1,4)-1)</f>
        <v>2017-2018</v>
      </c>
      <c r="S4" s="480" t="str">
        <f>CONCATENATE(MID(TEXT(R4,"9999"),1,4)+1,"-",MID(TEXT(R4,"9999"),1,4)+2)</f>
        <v>2018-2019</v>
      </c>
      <c r="T4" s="449" t="s">
        <v>1079</v>
      </c>
      <c r="U4" s="837" t="s">
        <v>1078</v>
      </c>
      <c r="V4" s="1"/>
      <c r="W4" s="1"/>
      <c r="X4" s="1"/>
      <c r="Y4" s="1"/>
    </row>
    <row r="5" spans="4:25">
      <c r="L5" s="449"/>
      <c r="M5" s="451" t="s">
        <v>659</v>
      </c>
      <c r="N5" s="636">
        <v>2018</v>
      </c>
      <c r="O5" s="480">
        <f>N5+1</f>
        <v>2019</v>
      </c>
      <c r="P5" s="480">
        <f>O5+1</f>
        <v>2020</v>
      </c>
      <c r="Q5" s="480">
        <f>P5+1</f>
        <v>2021</v>
      </c>
      <c r="R5" s="1"/>
      <c r="S5" s="480">
        <f>Q5+1</f>
        <v>2022</v>
      </c>
      <c r="T5" s="480">
        <f>N5-1</f>
        <v>2017</v>
      </c>
      <c r="U5" s="480">
        <f>S5+1</f>
        <v>2023</v>
      </c>
      <c r="V5" s="1"/>
      <c r="W5" s="1"/>
      <c r="X5" s="1"/>
      <c r="Y5" s="1"/>
    </row>
    <row r="6" spans="4:25">
      <c r="L6" s="449"/>
      <c r="M6" s="451" t="s">
        <v>660</v>
      </c>
      <c r="N6" s="480" t="str">
        <f>"Amount of "&amp; LEFT(N2,4) &amp; " Tax to be Levied"</f>
        <v>Amount of 2021 Tax to be Levied</v>
      </c>
      <c r="O6" s="1"/>
      <c r="Q6" s="1"/>
      <c r="R6" s="1"/>
      <c r="S6" s="1"/>
      <c r="T6" s="1"/>
      <c r="U6" s="1"/>
      <c r="V6" s="1"/>
      <c r="W6" s="1"/>
      <c r="X6" s="1"/>
      <c r="Y6" s="1"/>
    </row>
    <row r="7" spans="4:25">
      <c r="L7" s="449"/>
      <c r="M7" s="451"/>
      <c r="N7" s="471"/>
      <c r="O7" s="1"/>
      <c r="P7" s="1"/>
      <c r="Q7" s="1"/>
      <c r="R7" s="1"/>
      <c r="S7" s="1"/>
      <c r="T7" s="1"/>
      <c r="U7" s="1"/>
      <c r="V7" s="1"/>
      <c r="W7" s="1"/>
      <c r="X7" s="1"/>
      <c r="Y7" s="1"/>
    </row>
    <row r="8" spans="4:25">
      <c r="L8" s="449"/>
      <c r="M8" s="451" t="s">
        <v>661</v>
      </c>
      <c r="N8" s="636" t="s">
        <v>4882</v>
      </c>
      <c r="O8" s="449"/>
      <c r="P8" s="449"/>
      <c r="Q8" s="1"/>
      <c r="R8" s="451" t="s">
        <v>254</v>
      </c>
      <c r="S8" s="635" t="s">
        <v>4886</v>
      </c>
      <c r="T8" s="635" t="s">
        <v>4888</v>
      </c>
      <c r="U8" s="1"/>
      <c r="V8" s="1"/>
      <c r="W8" s="1"/>
      <c r="X8" s="1"/>
      <c r="Y8" s="1"/>
    </row>
    <row r="9" spans="4:25">
      <c r="L9" s="449"/>
      <c r="M9" s="449"/>
      <c r="N9" s="480" t="str">
        <f>CONCATENATE("    ",MID(N8,3,6)+1," $")</f>
        <v xml:space="preserve">    2019 $</v>
      </c>
      <c r="P9" s="449"/>
      <c r="Q9" s="1"/>
      <c r="R9" s="449"/>
      <c r="S9" s="635" t="s">
        <v>4887</v>
      </c>
      <c r="T9" s="635" t="s">
        <v>4889</v>
      </c>
      <c r="U9" s="1"/>
      <c r="V9" s="1"/>
      <c r="W9" s="1"/>
      <c r="X9" s="1"/>
      <c r="Y9" s="1"/>
    </row>
    <row r="10" spans="4:25">
      <c r="L10" s="449"/>
      <c r="M10" s="449"/>
      <c r="N10" s="480" t="str">
        <f>CONCATENATE("    ",MID(N9,3,6)+1," $")</f>
        <v xml:space="preserve">    2020 $</v>
      </c>
      <c r="O10" s="449"/>
      <c r="P10" s="449"/>
      <c r="Q10" s="1"/>
      <c r="R10" s="449"/>
      <c r="S10" s="2183">
        <v>44717</v>
      </c>
      <c r="T10" s="449"/>
      <c r="U10" s="1"/>
      <c r="V10" s="1"/>
      <c r="W10" s="1"/>
      <c r="X10" s="1"/>
      <c r="Y10" s="1"/>
    </row>
    <row r="11" spans="4:25">
      <c r="L11" s="449"/>
      <c r="M11" s="449"/>
      <c r="N11" s="480" t="str">
        <f>CONCATENATE("    ",MID(N10,3,6)+1," $")</f>
        <v xml:space="preserve">    2021 $</v>
      </c>
      <c r="O11" s="480" t="str">
        <f>CONCATENATE("    ",MID(N10,3,6)+1," $")</f>
        <v xml:space="preserve">    2021 $</v>
      </c>
      <c r="P11" s="449"/>
      <c r="Q11" s="1"/>
      <c r="R11" s="1"/>
      <c r="S11" s="1"/>
      <c r="T11" s="1"/>
      <c r="U11" s="1"/>
      <c r="V11" s="1"/>
      <c r="W11" s="1"/>
      <c r="X11" s="1"/>
      <c r="Y11" s="1"/>
    </row>
    <row r="12" spans="4:25">
      <c r="L12" s="449"/>
      <c r="M12" s="451" t="s">
        <v>925</v>
      </c>
      <c r="N12" s="635" t="s">
        <v>4883</v>
      </c>
      <c r="O12" s="480" t="str">
        <f>CONCATENATE(MID(N12,1,4)+1,"-",MID(N12,3,2)+2," Actual")</f>
        <v>2020-21 Actual</v>
      </c>
      <c r="P12" s="480" t="str">
        <f>CONCATENATE(MID(O12,1,4)+1,"-",MID(O12,3,2)+2," Contracted")</f>
        <v>2021-22 Contracted</v>
      </c>
      <c r="Q12" s="1"/>
      <c r="R12" s="451" t="s">
        <v>4548</v>
      </c>
      <c r="S12" s="635" t="s">
        <v>4890</v>
      </c>
      <c r="T12" s="1"/>
      <c r="U12" s="1"/>
      <c r="V12" s="1"/>
      <c r="W12" s="1"/>
      <c r="X12" s="1"/>
      <c r="Y12" s="1"/>
    </row>
    <row r="13" spans="4:25">
      <c r="L13" s="449"/>
      <c r="M13" s="449"/>
      <c r="N13" s="1"/>
      <c r="O13" s="1"/>
      <c r="P13" s="1"/>
      <c r="Q13" s="1"/>
      <c r="R13" s="839"/>
      <c r="S13" s="1"/>
      <c r="T13" s="1"/>
      <c r="U13" s="1"/>
      <c r="V13" s="1"/>
      <c r="W13" s="1"/>
      <c r="X13" s="1"/>
      <c r="Y13" s="1"/>
    </row>
    <row r="14" spans="4:25">
      <c r="L14" s="449"/>
      <c r="M14" s="451" t="s">
        <v>1047</v>
      </c>
      <c r="N14" s="635" t="s">
        <v>4884</v>
      </c>
      <c r="O14" s="480" t="str">
        <f>CONCATENATE(MID(TEXT(N14,"9999"),1,4)+1,"-",MID(TEXT(N14,"99"),3,2)+2)</f>
        <v>2020-21</v>
      </c>
      <c r="P14" s="480" t="str">
        <f>CONCATENATE(MID(TEXT(O14,"9999"),1,4)+1,"-",MID(TEXT(O14,"99"),3,2)+2)</f>
        <v>2021-22</v>
      </c>
      <c r="Q14" s="1"/>
      <c r="R14" s="1"/>
      <c r="S14" s="1"/>
      <c r="T14" s="1"/>
      <c r="U14" s="1"/>
      <c r="V14" s="1"/>
      <c r="W14" s="1"/>
      <c r="X14" s="1"/>
      <c r="Y14" s="1"/>
    </row>
    <row r="15" spans="4:25">
      <c r="L15" s="449"/>
      <c r="M15" s="840"/>
      <c r="N15" s="451" t="s">
        <v>5266</v>
      </c>
      <c r="O15" s="451"/>
      <c r="P15" s="451" t="s">
        <v>5268</v>
      </c>
      <c r="Q15" s="451"/>
      <c r="R15" s="451"/>
      <c r="S15" s="451"/>
      <c r="T15" s="1"/>
      <c r="U15" s="1"/>
      <c r="V15" s="1"/>
      <c r="W15" s="1"/>
      <c r="X15" s="1"/>
      <c r="Y15" s="1"/>
    </row>
    <row r="16" spans="4:25">
      <c r="L16" s="449"/>
      <c r="M16" s="451" t="s">
        <v>1015</v>
      </c>
      <c r="N16" s="4642">
        <v>30085</v>
      </c>
      <c r="O16" s="842"/>
      <c r="P16" s="843" t="s">
        <v>4946</v>
      </c>
      <c r="Q16" s="844"/>
      <c r="R16" s="1"/>
      <c r="S16" s="449"/>
      <c r="T16" s="451"/>
      <c r="U16" s="1"/>
      <c r="V16" s="1"/>
      <c r="W16" s="1"/>
      <c r="X16" s="1"/>
      <c r="Y16" s="1"/>
    </row>
    <row r="17" spans="11:27">
      <c r="K17" s="845"/>
      <c r="L17" s="449"/>
      <c r="M17" s="451" t="s">
        <v>773</v>
      </c>
      <c r="N17" s="838">
        <v>43647</v>
      </c>
      <c r="O17" s="480" t="str">
        <f>CONCATENATE(TEXT(N17,"MMMM D"),", ",YEAR(N17)+1)</f>
        <v>July 1, 2020</v>
      </c>
      <c r="P17" s="480" t="str">
        <f>CONCATENATE(TEXT(N17,"MMMM D"),", ",YEAR(N17)+2)</f>
        <v>July 1, 2021</v>
      </c>
      <c r="Q17" s="319"/>
      <c r="R17" s="319"/>
      <c r="S17" s="319"/>
      <c r="T17" s="1"/>
      <c r="U17" s="1"/>
      <c r="V17" s="1"/>
      <c r="W17" s="1"/>
      <c r="X17" s="1"/>
      <c r="Y17" s="1"/>
    </row>
    <row r="18" spans="11:27">
      <c r="L18" s="449"/>
      <c r="M18" s="451"/>
      <c r="N18" s="319"/>
      <c r="O18" s="319"/>
      <c r="P18" s="319"/>
      <c r="Q18" s="319"/>
      <c r="R18" s="319"/>
      <c r="S18" s="319"/>
      <c r="T18" s="1"/>
      <c r="U18" s="1"/>
      <c r="V18" s="1"/>
      <c r="W18" s="1"/>
      <c r="X18" s="1"/>
      <c r="Y18" s="1"/>
    </row>
    <row r="19" spans="11:27">
      <c r="L19" s="449"/>
      <c r="M19" s="449"/>
      <c r="N19" s="452" t="s">
        <v>746</v>
      </c>
      <c r="O19" s="4650" t="s">
        <v>1287</v>
      </c>
      <c r="P19" s="4650" t="s">
        <v>1286</v>
      </c>
      <c r="Q19" s="4650" t="s">
        <v>1068</v>
      </c>
      <c r="R19" s="4650" t="s">
        <v>1083</v>
      </c>
      <c r="S19" s="4650" t="s">
        <v>1106</v>
      </c>
      <c r="T19" s="4650" t="s">
        <v>1153</v>
      </c>
      <c r="U19" s="4650" t="s">
        <v>1285</v>
      </c>
      <c r="V19" s="4650" t="s">
        <v>1303</v>
      </c>
      <c r="W19" s="4650" t="s">
        <v>1370</v>
      </c>
      <c r="X19" s="4650" t="s">
        <v>1675</v>
      </c>
      <c r="Y19" s="4650" t="s">
        <v>1724</v>
      </c>
      <c r="Z19" s="4650" t="s">
        <v>3049</v>
      </c>
      <c r="AA19" s="4650" t="s">
        <v>4442</v>
      </c>
    </row>
    <row r="20" spans="11:27">
      <c r="L20" s="449"/>
      <c r="M20" s="451" t="s">
        <v>1800</v>
      </c>
      <c r="N20" s="1"/>
      <c r="O20" s="4650"/>
      <c r="P20" s="4650"/>
      <c r="Q20" s="4650"/>
      <c r="R20" s="4650"/>
      <c r="S20" s="4650"/>
      <c r="T20" s="4650"/>
      <c r="U20" s="4650"/>
      <c r="V20" s="4654"/>
      <c r="W20" s="4650" t="s">
        <v>1371</v>
      </c>
      <c r="X20" s="4650" t="s">
        <v>1371</v>
      </c>
      <c r="Y20" s="4650"/>
      <c r="Z20" s="4655"/>
      <c r="AA20" s="4655"/>
    </row>
    <row r="21" spans="11:27">
      <c r="L21" s="449"/>
      <c r="M21" s="451" t="s">
        <v>624</v>
      </c>
      <c r="N21" s="660">
        <v>0.39500000000000002</v>
      </c>
      <c r="O21" s="4650"/>
      <c r="P21" s="4650"/>
      <c r="Q21" s="4650"/>
      <c r="R21" s="4650"/>
      <c r="S21" s="4650">
        <v>0.39500000000000002</v>
      </c>
      <c r="T21" s="4650"/>
      <c r="U21" s="4650"/>
      <c r="V21" s="4654"/>
      <c r="W21" s="4653" t="s">
        <v>1382</v>
      </c>
      <c r="X21" s="4650" t="s">
        <v>1382</v>
      </c>
      <c r="Y21" s="4650">
        <v>0.39500000000000002</v>
      </c>
      <c r="Z21" s="4656">
        <v>0.39500000000000002</v>
      </c>
      <c r="AA21" s="4656"/>
    </row>
    <row r="22" spans="11:27">
      <c r="L22" s="449"/>
      <c r="M22" s="451" t="s">
        <v>625</v>
      </c>
      <c r="N22" s="660">
        <v>0.5</v>
      </c>
      <c r="O22" s="4650"/>
      <c r="P22" s="4650"/>
      <c r="Q22" s="4650"/>
      <c r="R22" s="4650"/>
      <c r="S22" s="4650">
        <v>0.5</v>
      </c>
      <c r="T22" s="4650"/>
      <c r="U22" s="4650"/>
      <c r="V22" s="4654"/>
      <c r="W22" s="4653" t="s">
        <v>1382</v>
      </c>
      <c r="X22" s="4650" t="s">
        <v>1382</v>
      </c>
      <c r="Y22" s="4650">
        <v>0.5</v>
      </c>
      <c r="Z22" s="4656">
        <v>0.5</v>
      </c>
      <c r="AA22" s="4656"/>
    </row>
    <row r="23" spans="11:27">
      <c r="L23" s="449"/>
      <c r="M23" s="451" t="s">
        <v>626</v>
      </c>
      <c r="N23" s="660">
        <v>0.48399999999999999</v>
      </c>
      <c r="O23" s="4650">
        <v>0.378</v>
      </c>
      <c r="P23" s="4650">
        <v>0.45600000000000002</v>
      </c>
      <c r="Q23" s="4650">
        <v>0.45600000000000002</v>
      </c>
      <c r="R23" s="4650">
        <v>0.45600000000000002</v>
      </c>
      <c r="S23" s="4650">
        <v>0.45600000000000002</v>
      </c>
      <c r="T23" s="4650"/>
      <c r="U23" s="4650"/>
      <c r="V23" s="4654"/>
      <c r="W23" s="4653" t="s">
        <v>1382</v>
      </c>
      <c r="X23" s="4650" t="s">
        <v>1382</v>
      </c>
      <c r="Y23" s="4650">
        <v>0.48399999999999999</v>
      </c>
      <c r="Z23" s="4656">
        <v>0.48399999999999999</v>
      </c>
      <c r="AA23" s="4656"/>
    </row>
    <row r="24" spans="11:27">
      <c r="L24" s="449"/>
      <c r="M24" s="451" t="s">
        <v>627</v>
      </c>
      <c r="N24" s="660">
        <v>0.25</v>
      </c>
      <c r="O24" s="4650"/>
      <c r="P24" s="4650"/>
      <c r="Q24" s="4650"/>
      <c r="R24" s="4650"/>
      <c r="S24" s="4650">
        <v>0.25</v>
      </c>
      <c r="T24" s="4650"/>
      <c r="U24" s="4650"/>
      <c r="V24" s="4654"/>
      <c r="W24" s="4653" t="s">
        <v>1382</v>
      </c>
      <c r="X24" s="4650" t="s">
        <v>1382</v>
      </c>
      <c r="Y24" s="4650">
        <v>0.25</v>
      </c>
      <c r="Z24" s="4656">
        <v>0.25</v>
      </c>
      <c r="AA24" s="4656"/>
    </row>
    <row r="25" spans="11:27">
      <c r="L25" s="449"/>
      <c r="M25" s="451" t="s">
        <v>1804</v>
      </c>
      <c r="N25" s="841">
        <v>4706</v>
      </c>
      <c r="O25" s="4650">
        <v>4374</v>
      </c>
      <c r="P25" s="4650">
        <v>4433</v>
      </c>
      <c r="Q25" s="4650">
        <v>4218</v>
      </c>
      <c r="R25" s="4650">
        <v>4012</v>
      </c>
      <c r="S25" s="4650">
        <v>3780</v>
      </c>
      <c r="T25" s="4650">
        <v>3838</v>
      </c>
      <c r="U25" s="4650">
        <v>3838</v>
      </c>
      <c r="V25" s="4650">
        <v>3852</v>
      </c>
      <c r="W25" s="4653">
        <v>3852</v>
      </c>
      <c r="X25" s="4650">
        <v>3852</v>
      </c>
      <c r="Y25" s="4650">
        <v>4006</v>
      </c>
      <c r="Z25" s="4650">
        <v>4165</v>
      </c>
      <c r="AA25" s="4650"/>
    </row>
    <row r="26" spans="11:27">
      <c r="L26" s="449"/>
      <c r="M26" s="449" t="s">
        <v>1803</v>
      </c>
      <c r="N26" s="848">
        <v>5000</v>
      </c>
      <c r="O26" s="4657">
        <v>1700</v>
      </c>
      <c r="P26" s="4658">
        <v>709</v>
      </c>
      <c r="Q26" s="4654"/>
      <c r="R26" s="4654"/>
      <c r="S26" s="4654"/>
      <c r="T26" s="4654"/>
      <c r="U26" s="4654"/>
      <c r="V26" s="4654"/>
      <c r="W26" s="4659"/>
      <c r="X26" s="4650"/>
      <c r="Y26" s="4654"/>
      <c r="Z26" s="4655"/>
      <c r="AA26" s="4655"/>
    </row>
    <row r="27" spans="11:27">
      <c r="L27" s="449"/>
      <c r="M27" s="451" t="s">
        <v>628</v>
      </c>
      <c r="N27" s="847">
        <v>120</v>
      </c>
      <c r="O27" s="4660"/>
      <c r="P27" s="4650" t="s">
        <v>1726</v>
      </c>
      <c r="Q27" s="4660">
        <v>0.5</v>
      </c>
      <c r="R27" s="4661">
        <v>0.5</v>
      </c>
      <c r="S27" s="4660">
        <v>5.0000000000000001E-3</v>
      </c>
      <c r="T27" s="4654"/>
      <c r="U27" s="4654"/>
      <c r="V27" s="4654"/>
      <c r="W27" s="4659"/>
      <c r="X27" s="4650"/>
      <c r="Y27" s="4654"/>
      <c r="Z27" s="4655"/>
      <c r="AA27" s="4655"/>
    </row>
    <row r="28" spans="11:27">
      <c r="L28" s="449"/>
      <c r="M28" s="451" t="s">
        <v>629</v>
      </c>
      <c r="N28" s="847">
        <v>90</v>
      </c>
      <c r="O28" s="4662"/>
      <c r="P28" s="4650" t="s">
        <v>1846</v>
      </c>
      <c r="Q28" s="4660">
        <v>0.3</v>
      </c>
      <c r="R28" s="4661">
        <v>0.3</v>
      </c>
      <c r="S28" s="4654"/>
      <c r="T28" s="4654"/>
      <c r="U28" s="4654"/>
      <c r="V28" s="4654"/>
      <c r="W28" s="4659"/>
      <c r="X28" s="4650"/>
      <c r="Y28" s="4654"/>
      <c r="Z28" s="4655"/>
      <c r="AA28" s="4655"/>
    </row>
    <row r="29" spans="11:27">
      <c r="L29" s="850" t="s">
        <v>1086</v>
      </c>
      <c r="M29" s="451" t="s">
        <v>1085</v>
      </c>
      <c r="N29" s="3902">
        <v>0.1</v>
      </c>
      <c r="O29" s="851" t="s">
        <v>5122</v>
      </c>
      <c r="P29" s="1"/>
      <c r="Q29" s="1"/>
      <c r="R29" s="1"/>
      <c r="S29" s="1"/>
      <c r="T29" s="1"/>
      <c r="U29" s="1"/>
      <c r="V29" s="1"/>
      <c r="W29" s="849"/>
      <c r="X29" s="449"/>
      <c r="Y29" s="1"/>
    </row>
    <row r="30" spans="11:27">
      <c r="L30" s="449"/>
      <c r="M30" s="451" t="s">
        <v>1802</v>
      </c>
      <c r="N30" s="2182">
        <v>4706</v>
      </c>
      <c r="O30" s="1"/>
      <c r="P30" s="1"/>
      <c r="Q30" s="852" t="s">
        <v>746</v>
      </c>
      <c r="R30" s="4650" t="s">
        <v>1107</v>
      </c>
      <c r="S30" s="4650" t="s">
        <v>1154</v>
      </c>
      <c r="T30" s="4650"/>
      <c r="U30" s="4650" t="s">
        <v>1305</v>
      </c>
      <c r="V30" s="4651" t="s">
        <v>1304</v>
      </c>
      <c r="W30" s="4650" t="s">
        <v>1370</v>
      </c>
      <c r="X30" s="4650" t="s">
        <v>1675</v>
      </c>
      <c r="Y30" s="4652" t="s">
        <v>1724</v>
      </c>
      <c r="Z30" s="4650" t="s">
        <v>3049</v>
      </c>
    </row>
    <row r="31" spans="11:27">
      <c r="L31" s="449"/>
      <c r="M31" s="449" t="s">
        <v>1272</v>
      </c>
      <c r="N31" s="1"/>
      <c r="O31" s="1"/>
      <c r="P31" s="1"/>
      <c r="Q31" s="4649">
        <v>0.7</v>
      </c>
      <c r="R31" s="4650">
        <v>0.05</v>
      </c>
      <c r="S31" s="4650">
        <v>0.06</v>
      </c>
      <c r="T31" s="4650"/>
      <c r="U31" s="4650">
        <v>0.7</v>
      </c>
      <c r="V31" s="4650"/>
      <c r="W31" s="4650" t="s">
        <v>1371</v>
      </c>
      <c r="X31" s="4650" t="s">
        <v>1371</v>
      </c>
      <c r="Y31" s="4652" t="s">
        <v>3041</v>
      </c>
      <c r="Z31" s="4650" t="s">
        <v>3041</v>
      </c>
    </row>
    <row r="32" spans="11:27">
      <c r="L32" s="449"/>
      <c r="M32" s="449" t="s">
        <v>1</v>
      </c>
      <c r="N32" s="1"/>
      <c r="O32" s="1"/>
      <c r="P32" s="1"/>
      <c r="Q32" s="4649">
        <v>0.105</v>
      </c>
      <c r="R32" s="4650">
        <v>0.09</v>
      </c>
      <c r="S32" s="4650">
        <v>0.1</v>
      </c>
      <c r="T32" s="4650"/>
      <c r="U32" s="4650">
        <v>0.105</v>
      </c>
      <c r="V32" s="4650"/>
      <c r="W32" s="4653" t="s">
        <v>1382</v>
      </c>
      <c r="X32" s="4650" t="s">
        <v>1382</v>
      </c>
      <c r="Y32" s="4652" t="s">
        <v>3041</v>
      </c>
      <c r="Z32" s="4650" t="s">
        <v>3041</v>
      </c>
    </row>
    <row r="33" spans="12:26">
      <c r="L33" s="449"/>
      <c r="M33" s="449" t="s">
        <v>2</v>
      </c>
      <c r="N33" s="1"/>
      <c r="O33" s="1"/>
      <c r="P33" s="1"/>
      <c r="Q33" s="4649">
        <v>0.105</v>
      </c>
      <c r="R33" s="4650">
        <v>0.09</v>
      </c>
      <c r="S33" s="4650">
        <v>0.1</v>
      </c>
      <c r="T33" s="4650"/>
      <c r="U33" s="4650">
        <v>0.105</v>
      </c>
      <c r="V33" s="4650"/>
      <c r="W33" s="4653" t="s">
        <v>1382</v>
      </c>
      <c r="X33" s="4650" t="s">
        <v>1382</v>
      </c>
      <c r="Y33" s="4654"/>
      <c r="Z33" s="4655"/>
    </row>
    <row r="34" spans="12:26">
      <c r="L34" s="449" t="s">
        <v>3042</v>
      </c>
      <c r="M34" s="451"/>
      <c r="N34" s="471"/>
      <c r="O34" s="853"/>
      <c r="P34" s="854"/>
      <c r="Q34" s="1"/>
      <c r="R34" s="1"/>
      <c r="S34" s="1"/>
      <c r="T34" s="1"/>
      <c r="U34" s="1"/>
      <c r="V34" s="1"/>
      <c r="W34" s="1"/>
      <c r="X34" s="449"/>
      <c r="Y34" s="1"/>
    </row>
    <row r="35" spans="12:26">
      <c r="L35" s="449"/>
      <c r="M35" s="451" t="s">
        <v>1705</v>
      </c>
      <c r="N35" s="855">
        <v>0.6</v>
      </c>
      <c r="O35" s="856" t="s">
        <v>4643</v>
      </c>
      <c r="P35" s="452" t="s">
        <v>1278</v>
      </c>
      <c r="Q35" s="452" t="s">
        <v>1282</v>
      </c>
      <c r="R35" s="452" t="s">
        <v>1283</v>
      </c>
      <c r="S35" s="1"/>
      <c r="T35" s="1"/>
      <c r="U35" s="1"/>
      <c r="V35" s="1"/>
      <c r="W35" s="1"/>
      <c r="X35" s="449"/>
      <c r="Y35" s="1"/>
    </row>
    <row r="36" spans="12:26">
      <c r="L36" s="449"/>
      <c r="M36" s="451"/>
      <c r="N36" s="471"/>
      <c r="O36" s="577"/>
      <c r="P36" s="454" t="s">
        <v>1279</v>
      </c>
      <c r="Q36" s="580">
        <v>1.45</v>
      </c>
      <c r="R36" s="581" t="s">
        <v>1291</v>
      </c>
      <c r="S36" s="1"/>
      <c r="T36" s="1"/>
      <c r="U36" s="1"/>
      <c r="V36" s="1"/>
      <c r="W36" s="1"/>
      <c r="X36" s="449"/>
      <c r="Y36" s="1"/>
    </row>
    <row r="37" spans="12:26">
      <c r="L37" s="449"/>
      <c r="M37" s="449"/>
      <c r="N37" s="449">
        <v>27</v>
      </c>
      <c r="O37" s="1"/>
      <c r="P37" s="454" t="s">
        <v>1280</v>
      </c>
      <c r="Q37" s="857">
        <v>1.1499999999999999</v>
      </c>
      <c r="R37" s="581" t="s">
        <v>1292</v>
      </c>
      <c r="S37" s="1"/>
      <c r="T37" s="1"/>
      <c r="U37" s="1"/>
      <c r="V37" s="1"/>
      <c r="W37" s="1"/>
      <c r="X37" s="449"/>
      <c r="Y37" s="1"/>
    </row>
    <row r="38" spans="12:26">
      <c r="L38" s="449"/>
      <c r="M38" s="449"/>
      <c r="N38" s="449">
        <v>30</v>
      </c>
      <c r="O38" s="1"/>
      <c r="P38" s="454" t="s">
        <v>1281</v>
      </c>
      <c r="Q38" s="857">
        <v>0.9</v>
      </c>
      <c r="R38" s="581" t="s">
        <v>1293</v>
      </c>
      <c r="S38" s="1"/>
      <c r="T38" s="1"/>
      <c r="U38" s="1"/>
      <c r="V38" s="1"/>
      <c r="W38" s="1"/>
      <c r="X38" s="449"/>
      <c r="Y38" s="1"/>
    </row>
    <row r="39" spans="12:26">
      <c r="L39" s="449"/>
      <c r="M39" s="449"/>
      <c r="N39" s="449">
        <v>31</v>
      </c>
      <c r="O39" s="1"/>
      <c r="P39" s="1"/>
      <c r="Q39" s="471"/>
      <c r="R39" s="1"/>
      <c r="S39" s="1"/>
      <c r="T39" s="1"/>
      <c r="U39" s="1"/>
      <c r="V39" s="1"/>
      <c r="W39" s="1"/>
      <c r="X39" s="1"/>
      <c r="Y39" s="1"/>
    </row>
    <row r="40" spans="12:26">
      <c r="L40" s="450" t="s">
        <v>1109</v>
      </c>
      <c r="M40" s="451" t="s">
        <v>318</v>
      </c>
      <c r="N40" s="295" t="str">
        <f>IF(OPEN!A15=0,"- Fill in Assessed Valuation for all funds, except General (cells F24 through F39) on Open tab","")</f>
        <v/>
      </c>
      <c r="O40" s="1"/>
      <c r="P40" s="1"/>
      <c r="Q40" s="451" t="s">
        <v>532</v>
      </c>
      <c r="R40" s="295" t="str">
        <f>IF(OPEN!A18=0,"- Fill in Assessed Valuation for Bond &amp; Interest #2 on the Open tab (cell A18)","")</f>
        <v>- Fill in Assessed Valuation for Bond &amp; Interest #2 on the Open tab (cell A18)</v>
      </c>
      <c r="S40" s="1"/>
      <c r="T40" s="1"/>
      <c r="U40" s="1"/>
      <c r="V40" s="1"/>
      <c r="W40" s="1"/>
      <c r="X40" s="1"/>
      <c r="Y40" s="1"/>
    </row>
    <row r="41" spans="12:26">
      <c r="L41" s="450" t="s">
        <v>1110</v>
      </c>
      <c r="M41" s="858" t="s">
        <v>1092</v>
      </c>
      <c r="N41" s="295" t="str">
        <f>IF(OPEN!A18=0,"Fill in Bond &amp; Interest #1 on the Open for USD 441 - Cell A17","")</f>
        <v>Fill in Bond &amp; Interest #1 on the Open for USD 441 - Cell A17</v>
      </c>
      <c r="O41" s="1"/>
      <c r="P41" s="1"/>
      <c r="Q41" s="1"/>
      <c r="R41" s="295" t="str">
        <f>IF(OPEN!A20=0,"Fill in Assessed Valuation (All funds except General) on the Open for USD 488 - cell A19","")</f>
        <v>Fill in Assessed Valuation (All funds except General) on the Open for USD 488 - cell A19</v>
      </c>
      <c r="S41" s="1"/>
      <c r="T41" s="1"/>
      <c r="U41" s="1"/>
      <c r="V41" s="1"/>
      <c r="W41" s="1"/>
      <c r="X41" s="1"/>
      <c r="Y41" s="1"/>
    </row>
    <row r="42" spans="12:26">
      <c r="L42" s="450"/>
      <c r="M42" s="451" t="s">
        <v>644</v>
      </c>
      <c r="N42" s="879" t="s">
        <v>4885</v>
      </c>
      <c r="O42" s="1"/>
      <c r="P42" s="1"/>
      <c r="Q42" s="451"/>
      <c r="R42" s="859" t="str">
        <f>IF(OPEN!A20=0,"Fill in Assessed Valuation for Recreation Commission (Claflin) on the Open - cell A19"," ")</f>
        <v>Fill in Assessed Valuation for Recreation Commission (Claflin) on the Open - cell A19</v>
      </c>
      <c r="S42" s="1"/>
      <c r="T42" s="1"/>
      <c r="U42" s="1"/>
      <c r="V42" s="1"/>
      <c r="W42" s="1"/>
      <c r="X42" s="1"/>
      <c r="Y42" s="1"/>
    </row>
    <row r="43" spans="12:26">
      <c r="L43" s="450"/>
      <c r="M43" s="449"/>
      <c r="N43" s="1"/>
      <c r="O43" s="860" t="s">
        <v>1103</v>
      </c>
      <c r="P43" s="1"/>
      <c r="Q43" s="1"/>
      <c r="R43" s="1"/>
      <c r="S43" s="1"/>
      <c r="T43" s="1"/>
      <c r="U43" s="1"/>
      <c r="V43" s="1"/>
      <c r="W43" s="1"/>
      <c r="X43" s="1"/>
      <c r="Y43" s="1"/>
    </row>
    <row r="44" spans="12:26">
      <c r="L44" s="450" t="s">
        <v>3046</v>
      </c>
      <c r="M44" s="858" t="s">
        <v>1094</v>
      </c>
      <c r="N44" s="861">
        <f>IF(OPEN!B4&lt;&gt;113,OPEN!A15,OPEN!A18)</f>
        <v>50987266</v>
      </c>
      <c r="O44" s="449" t="str">
        <f>IF(OPEN!B4=113,"Bond and Interest #1 - USD 441","Bond and Interest #1")</f>
        <v>Bond and Interest #1</v>
      </c>
      <c r="P44" s="1"/>
      <c r="Q44" s="1"/>
      <c r="R44" s="1"/>
      <c r="S44" s="1"/>
      <c r="T44" s="1"/>
      <c r="U44" s="1"/>
      <c r="V44" s="1"/>
      <c r="W44" s="1"/>
      <c r="X44" s="1"/>
      <c r="Y44" s="1"/>
    </row>
    <row r="45" spans="12:26">
      <c r="L45" s="450"/>
      <c r="M45" s="858"/>
      <c r="N45" s="861"/>
      <c r="O45" s="449"/>
      <c r="P45" s="1"/>
      <c r="Q45" s="1"/>
      <c r="R45" s="1"/>
      <c r="S45" s="1"/>
      <c r="T45" s="1"/>
      <c r="U45" s="1"/>
      <c r="V45" s="1"/>
      <c r="W45" s="1"/>
      <c r="X45" s="1"/>
      <c r="Y45" s="1"/>
    </row>
    <row r="46" spans="12:26">
      <c r="L46" s="862" t="s">
        <v>3045</v>
      </c>
      <c r="M46" s="858" t="s">
        <v>1095</v>
      </c>
      <c r="N46" s="846">
        <f>IF(OPEN!B4=113,OPEN!A20,OPEN!A18)</f>
        <v>0</v>
      </c>
      <c r="O46" s="449" t="str">
        <f>IF(OPEN!B4=113,"Bond and Interest #2 - USD 488","Bond and Interest #2")</f>
        <v>Bond and Interest #2</v>
      </c>
      <c r="P46" s="1"/>
      <c r="Q46" s="1"/>
      <c r="R46" s="1"/>
      <c r="S46" s="1"/>
      <c r="T46" s="1"/>
      <c r="U46" s="1"/>
      <c r="V46" s="1"/>
      <c r="W46" s="1"/>
      <c r="X46" s="1"/>
      <c r="Y46" s="1"/>
    </row>
    <row r="47" spans="12:26">
      <c r="L47" s="450"/>
      <c r="M47" s="451" t="s">
        <v>1706</v>
      </c>
      <c r="N47" s="4643">
        <v>1</v>
      </c>
      <c r="O47" s="4644" t="s">
        <v>1340</v>
      </c>
      <c r="P47" s="449" t="s">
        <v>1847</v>
      </c>
      <c r="Q47" s="1"/>
      <c r="R47" s="1"/>
      <c r="S47" s="1"/>
      <c r="T47" s="1"/>
      <c r="U47" s="1"/>
      <c r="V47" s="1"/>
      <c r="W47" s="1"/>
      <c r="X47" s="1"/>
      <c r="Y47" s="1"/>
    </row>
    <row r="48" spans="12:26">
      <c r="L48" s="450"/>
      <c r="M48" s="451"/>
      <c r="N48" s="585"/>
      <c r="O48" s="586"/>
      <c r="P48" s="449"/>
      <c r="Q48" s="1"/>
      <c r="R48" s="1"/>
      <c r="S48" s="1"/>
      <c r="T48" s="1"/>
      <c r="U48" s="1"/>
      <c r="V48" s="1"/>
      <c r="W48" s="1"/>
      <c r="X48" s="1"/>
      <c r="Y48" s="1"/>
    </row>
    <row r="49" spans="12:25">
      <c r="L49" s="588" t="s">
        <v>3048</v>
      </c>
      <c r="M49" s="449" t="s">
        <v>1707</v>
      </c>
      <c r="N49" s="863">
        <v>1</v>
      </c>
      <c r="O49" s="578" t="s">
        <v>1340</v>
      </c>
      <c r="P49" s="579" t="s">
        <v>3043</v>
      </c>
      <c r="Q49" s="1"/>
      <c r="R49" s="1"/>
      <c r="S49" s="1"/>
      <c r="T49" s="1"/>
      <c r="U49" s="1"/>
      <c r="V49" s="1"/>
      <c r="W49" s="1"/>
      <c r="X49" s="1"/>
      <c r="Y49" s="1"/>
    </row>
    <row r="50" spans="12:25">
      <c r="L50" s="588"/>
      <c r="M50" s="449"/>
      <c r="N50" s="863"/>
      <c r="O50" s="578"/>
      <c r="P50" s="579"/>
      <c r="Q50" s="1"/>
      <c r="R50" s="1"/>
      <c r="S50" s="1"/>
      <c r="T50" s="1"/>
      <c r="U50" s="1"/>
      <c r="V50" s="1"/>
      <c r="W50" s="1"/>
      <c r="X50" s="1"/>
      <c r="Y50" s="1"/>
    </row>
    <row r="51" spans="12:25">
      <c r="L51" s="588"/>
      <c r="M51" s="449"/>
      <c r="N51" s="863"/>
      <c r="O51" s="578"/>
      <c r="P51" s="579"/>
      <c r="Q51" s="1"/>
      <c r="R51" s="1"/>
      <c r="S51" s="1"/>
      <c r="T51" s="1"/>
      <c r="U51" s="1"/>
      <c r="V51" s="1"/>
      <c r="W51" s="1"/>
      <c r="X51" s="1"/>
      <c r="Y51" s="1"/>
    </row>
    <row r="52" spans="12:25">
      <c r="L52" s="450" t="s">
        <v>1150</v>
      </c>
      <c r="M52" s="449" t="s">
        <v>1097</v>
      </c>
      <c r="N52" s="1"/>
      <c r="O52" s="1"/>
      <c r="P52" s="1"/>
      <c r="Q52" s="860" t="s">
        <v>1104</v>
      </c>
      <c r="R52" s="1"/>
      <c r="S52" s="1"/>
      <c r="T52" s="1"/>
      <c r="U52" s="1"/>
      <c r="V52" s="1"/>
      <c r="W52" s="1"/>
      <c r="X52" s="1"/>
      <c r="Y52" s="1"/>
    </row>
    <row r="53" spans="12:25">
      <c r="L53" s="450"/>
      <c r="M53" s="449" t="s">
        <v>1098</v>
      </c>
      <c r="N53" s="1"/>
      <c r="O53" s="450" t="str">
        <f>IF(OPEN!B4=114,"Recreation Commission #406",IF(OPEN!B4=422,"Recreation Commission #422","Recreation Commission"))</f>
        <v>Recreation Commission</v>
      </c>
      <c r="P53" s="1"/>
      <c r="Q53" s="1"/>
      <c r="R53" s="1"/>
      <c r="S53" s="449" t="str">
        <f>IF(OPEN!B4=114,"RECREATION COMMISSION #406",IF(OPEN!B4=422,"RECREATION COMMISSION #422","RECREATION COMMISSION"))</f>
        <v>RECREATION COMMISSION</v>
      </c>
      <c r="T53" s="1"/>
      <c r="U53" s="1"/>
      <c r="V53" s="1"/>
      <c r="W53" s="1"/>
      <c r="X53" s="1"/>
      <c r="Y53" s="1"/>
    </row>
    <row r="54" spans="12:25">
      <c r="L54" s="450"/>
      <c r="M54" s="449"/>
      <c r="N54" s="1"/>
      <c r="O54" s="450"/>
      <c r="P54" s="1"/>
      <c r="Q54" s="1"/>
      <c r="R54" s="1"/>
      <c r="S54" s="449"/>
      <c r="T54" s="1"/>
      <c r="U54" s="1"/>
      <c r="V54" s="1"/>
      <c r="W54" s="1"/>
      <c r="X54" s="1"/>
      <c r="Y54" s="1"/>
    </row>
    <row r="55" spans="12:25">
      <c r="L55" s="450"/>
      <c r="M55" s="449" t="s">
        <v>1101</v>
      </c>
      <c r="N55" s="1"/>
      <c r="O55" s="450" t="str">
        <f>IF(OPEN!B4=114,"Recreation Commission #486",IF(OPEN!B4=422,"Recreation Commission #424","  Employee Benefits"))</f>
        <v xml:space="preserve">  Employee Benefits</v>
      </c>
      <c r="P55" s="1"/>
      <c r="Q55" s="449" t="str">
        <f>IF(OPEN!B4=114,"Recreation Commission #486",IF(OPEN!B4=422,"Recreation Commission #424","Rec Comm Emp Bnfts &amp; Spec Liab"))</f>
        <v>Rec Comm Emp Bnfts &amp; Spec Liab</v>
      </c>
      <c r="R55" s="1"/>
      <c r="S55" s="449" t="str">
        <f>IF(OR(OPEN!B4=114,OPEN!B4=422)," ","RECREATION COMMISSION EMPLOYEE")</f>
        <v>RECREATION COMMISSION EMPLOYEE</v>
      </c>
      <c r="T55" s="1"/>
      <c r="U55" s="1"/>
      <c r="V55" s="1"/>
      <c r="W55" s="1"/>
      <c r="X55" s="1"/>
      <c r="Y55" s="1"/>
    </row>
    <row r="56" spans="12:25">
      <c r="L56" s="450"/>
      <c r="M56" s="449"/>
      <c r="N56" s="1"/>
      <c r="O56" s="450"/>
      <c r="P56" s="1"/>
      <c r="Q56" s="449"/>
      <c r="R56" s="1"/>
      <c r="S56" s="449"/>
      <c r="T56" s="1"/>
      <c r="U56" s="1"/>
      <c r="V56" s="1"/>
      <c r="W56" s="1"/>
      <c r="X56" s="1"/>
      <c r="Y56" s="1"/>
    </row>
    <row r="57" spans="12:25">
      <c r="L57" s="450"/>
      <c r="M57" s="449"/>
      <c r="N57" s="1"/>
      <c r="O57" s="1"/>
      <c r="P57" s="1"/>
      <c r="Q57" s="449" t="str">
        <f>IF(OPEN!B4=114,"Recreation Commission #486",IF(OPEN!B4=422,"Recreation Commission #424","Rec Comm Emp Benefits &amp; Spec Liab"))</f>
        <v>Rec Comm Emp Benefits &amp; Spec Liab</v>
      </c>
      <c r="R57" s="1"/>
      <c r="S57" s="449" t="str">
        <f>IF(OPEN!B4=114,"RECREATION COMMISSION #486",IF(OPEN!B4=422,"RECREATION COMMISSION #424","BENEFITS &amp; SPECIAL LIABILITY"))</f>
        <v>BENEFITS &amp; SPECIAL LIABILITY</v>
      </c>
      <c r="T57" s="1"/>
      <c r="U57" s="1"/>
      <c r="V57" s="1"/>
      <c r="W57" s="1"/>
      <c r="X57" s="1"/>
      <c r="Y57" s="1"/>
    </row>
    <row r="58" spans="12:25">
      <c r="L58" s="450"/>
      <c r="M58" s="449"/>
      <c r="N58" s="1"/>
      <c r="O58" s="1"/>
      <c r="P58" s="1"/>
      <c r="Q58" s="449"/>
      <c r="R58" s="1"/>
      <c r="S58" s="449"/>
      <c r="T58" s="1"/>
      <c r="U58" s="1"/>
      <c r="V58" s="1"/>
      <c r="W58" s="1"/>
      <c r="X58" s="1"/>
      <c r="Y58" s="1"/>
    </row>
    <row r="59" spans="12:25">
      <c r="L59" s="862" t="s">
        <v>1149</v>
      </c>
      <c r="M59" s="846" t="s">
        <v>1141</v>
      </c>
      <c r="N59" s="861">
        <f>IF(AND(OPEN!B4&lt;&gt;105,OPEN!B4&lt;&gt;110,OPEN!B4&lt;&gt;112,OPEN!B4&lt;&gt;113,OPEN!B4&lt;&gt;114,OPEN!B4&lt;&gt;422),OPEN!A15,IF(OPEN!B4=113,OPEN!A18,IF(OR(OPEN!B4=114,OPEN!B4=422),OPEN!A15-OPEN!A20,OPEN!A20)))</f>
        <v>50987266</v>
      </c>
      <c r="O59" s="1"/>
      <c r="P59" s="1"/>
      <c r="Q59" s="449" t="str">
        <f>IF(OPEN!B4=114,"Recreation Commission #486",IF(OPEN!B4=422,"Recreation Commission #424","Recreation Commission Employee Benefits"))</f>
        <v>Recreation Commission Employee Benefits</v>
      </c>
      <c r="R59" s="1"/>
      <c r="S59" s="1"/>
      <c r="T59" s="1"/>
      <c r="U59" s="1"/>
      <c r="V59" s="1"/>
      <c r="W59" s="1"/>
      <c r="X59" s="1"/>
      <c r="Y59" s="1"/>
    </row>
    <row r="60" spans="12:25">
      <c r="L60" s="862"/>
      <c r="M60" s="846"/>
      <c r="N60" s="861"/>
      <c r="O60" s="1"/>
      <c r="P60" s="1"/>
      <c r="Q60" s="449"/>
      <c r="R60" s="1"/>
      <c r="S60" s="1"/>
      <c r="T60" s="1"/>
      <c r="U60" s="1"/>
      <c r="V60" s="1"/>
      <c r="W60" s="1"/>
      <c r="X60" s="1"/>
      <c r="Y60" s="1"/>
    </row>
    <row r="61" spans="12:25">
      <c r="L61" s="862"/>
      <c r="M61" s="846"/>
      <c r="N61" s="861"/>
      <c r="O61" s="1"/>
      <c r="P61" s="1"/>
      <c r="Q61" s="449"/>
      <c r="R61" s="1"/>
      <c r="S61" s="1"/>
      <c r="T61" s="1"/>
      <c r="U61" s="1"/>
      <c r="V61" s="1"/>
      <c r="W61" s="1"/>
      <c r="X61" s="1"/>
      <c r="Y61" s="1"/>
    </row>
    <row r="62" spans="12:25">
      <c r="L62" s="450" t="s">
        <v>1150</v>
      </c>
      <c r="M62" s="449" t="s">
        <v>1143</v>
      </c>
      <c r="N62" s="846">
        <f>IF(OR(OPEN!B4=114,OPEN!B4=422),OPEN!A20,OPEN!A15)</f>
        <v>50987266</v>
      </c>
      <c r="O62" s="1"/>
      <c r="P62" s="1"/>
      <c r="Q62" s="449" t="str">
        <f>IF(OPEN!B4=114,"Recreation Commission #486",IF(OPEN!B4=422,"Recreation Commission #424","Rec Comm Employee Bnfts"))</f>
        <v>Rec Comm Employee Bnfts</v>
      </c>
      <c r="R62" s="1"/>
      <c r="S62" s="1"/>
      <c r="T62" s="1"/>
      <c r="U62" s="1"/>
      <c r="V62" s="1"/>
      <c r="W62" s="1"/>
      <c r="X62" s="1"/>
      <c r="Y62" s="1"/>
    </row>
    <row r="63" spans="12:25">
      <c r="L63" s="449"/>
      <c r="M63" s="449"/>
      <c r="N63" s="1"/>
      <c r="O63" s="1"/>
      <c r="P63" s="1"/>
      <c r="Q63" s="1"/>
      <c r="R63" s="1"/>
      <c r="S63" s="1"/>
      <c r="T63" s="1"/>
      <c r="U63" s="1"/>
      <c r="V63" s="1"/>
      <c r="W63" s="1"/>
      <c r="X63" s="1"/>
      <c r="Y63" s="1"/>
    </row>
    <row r="64" spans="12:25">
      <c r="L64" s="864" t="s">
        <v>4478</v>
      </c>
      <c r="M64" s="449"/>
      <c r="N64" s="471"/>
      <c r="O64" s="1"/>
      <c r="P64" s="1"/>
      <c r="Q64" s="1"/>
      <c r="R64" s="1"/>
      <c r="S64" s="1"/>
      <c r="T64" s="1"/>
      <c r="U64" s="1"/>
      <c r="V64" s="1"/>
      <c r="W64" s="1"/>
      <c r="X64" s="1"/>
      <c r="Y64" s="1"/>
    </row>
    <row r="65" spans="12:25">
      <c r="L65" s="850" t="s">
        <v>834</v>
      </c>
      <c r="M65" s="449" t="s">
        <v>1140</v>
      </c>
      <c r="N65" s="1"/>
      <c r="O65" s="1"/>
      <c r="P65" s="1"/>
      <c r="Q65" s="1"/>
      <c r="R65" s="1"/>
      <c r="S65" s="1"/>
      <c r="T65" s="1"/>
      <c r="U65" s="1"/>
      <c r="V65" s="1"/>
      <c r="W65" s="1"/>
      <c r="X65" s="1"/>
      <c r="Y65" s="1"/>
    </row>
    <row r="66" spans="12:25">
      <c r="L66" s="449">
        <v>105</v>
      </c>
      <c r="M66" s="582" t="str">
        <f>Q5 &amp; " Assessed Valuation for Recreation Commission (#318 Atwood)"</f>
        <v>2021 Assessed Valuation for Recreation Commission (#318 Atwood)</v>
      </c>
      <c r="N66" s="1"/>
      <c r="O66" s="1"/>
      <c r="P66" s="1"/>
      <c r="Q66" s="1"/>
      <c r="R66" s="1"/>
      <c r="S66" s="1"/>
      <c r="T66" s="1"/>
      <c r="U66" s="1"/>
      <c r="V66" s="1"/>
      <c r="W66" s="1"/>
      <c r="X66" s="1"/>
      <c r="Y66" s="1"/>
    </row>
    <row r="67" spans="12:25">
      <c r="L67" s="449">
        <v>110</v>
      </c>
      <c r="M67" s="582" t="str">
        <f>Q5 &amp; " Assessed Valuation for Recreation Commission #238"</f>
        <v>2021 Assessed Valuation for Recreation Commission #238</v>
      </c>
      <c r="N67" s="1"/>
      <c r="O67" s="1"/>
      <c r="P67" s="1"/>
      <c r="Q67" s="1"/>
      <c r="R67" s="1"/>
      <c r="S67" s="1"/>
      <c r="T67" s="1"/>
      <c r="U67" s="1"/>
      <c r="V67" s="1"/>
      <c r="W67" s="1"/>
      <c r="X67" s="1"/>
      <c r="Y67" s="1"/>
    </row>
    <row r="68" spans="12:25">
      <c r="L68" s="449">
        <v>112</v>
      </c>
      <c r="M68" s="582" t="str">
        <f>Q5 &amp; " Assessed Valuation for Recreation Commission (#354 Claflin)"</f>
        <v>2021 Assessed Valuation for Recreation Commission (#354 Claflin)</v>
      </c>
      <c r="N68" s="1"/>
      <c r="O68" s="1"/>
      <c r="P68" s="1"/>
      <c r="Q68" s="1"/>
      <c r="R68" s="1"/>
      <c r="S68" s="1"/>
      <c r="T68" s="1"/>
      <c r="U68" s="1"/>
      <c r="V68" s="1"/>
      <c r="W68" s="1"/>
      <c r="X68" s="1"/>
      <c r="Y68" s="1"/>
    </row>
    <row r="69" spans="12:25">
      <c r="L69" s="471">
        <v>113</v>
      </c>
      <c r="M69" s="471" t="str">
        <f>Q5 &amp; " Assessed Valuation for Bond and Interest #2 for USD 488"</f>
        <v>2021 Assessed Valuation for Bond and Interest #2 for USD 488</v>
      </c>
      <c r="N69" s="471"/>
      <c r="O69" s="471"/>
      <c r="P69" s="471"/>
      <c r="Q69" s="1"/>
      <c r="R69" s="1"/>
      <c r="S69" s="1"/>
      <c r="T69" s="1"/>
      <c r="U69" s="1"/>
      <c r="V69" s="1"/>
      <c r="W69" s="1"/>
      <c r="X69" s="1"/>
      <c r="Y69" s="1"/>
    </row>
    <row r="70" spans="12:25">
      <c r="L70" s="449">
        <v>114</v>
      </c>
      <c r="M70" s="582" t="str">
        <f>Q5 &amp; " Assessed Valuation for Recreation Commission #486"</f>
        <v>2021 Assessed Valuation for Recreation Commission #486</v>
      </c>
      <c r="N70" s="1"/>
      <c r="O70" s="1"/>
      <c r="P70" s="1"/>
      <c r="Q70" s="1"/>
      <c r="R70" s="1"/>
      <c r="S70" s="1"/>
      <c r="T70" s="1"/>
      <c r="U70" s="1"/>
      <c r="V70" s="1"/>
      <c r="W70" s="1"/>
      <c r="X70" s="1"/>
      <c r="Y70" s="1"/>
    </row>
    <row r="71" spans="12:25">
      <c r="L71" s="449">
        <v>422</v>
      </c>
      <c r="M71" s="582" t="str">
        <f>Q5 &amp; " Assessed Valuation for Recreation Commission #424"</f>
        <v>2021 Assessed Valuation for Recreation Commission #424</v>
      </c>
      <c r="N71" s="1"/>
      <c r="O71" s="1"/>
      <c r="P71" s="1"/>
      <c r="Q71" s="1"/>
      <c r="R71" s="1"/>
      <c r="S71" s="1"/>
      <c r="T71" s="1"/>
      <c r="U71" s="1"/>
      <c r="V71" s="1"/>
      <c r="W71" s="1"/>
      <c r="X71" s="1"/>
      <c r="Y71" s="1"/>
    </row>
    <row r="72" spans="12:25">
      <c r="L72" s="449"/>
      <c r="M72" s="449"/>
      <c r="N72" s="1"/>
      <c r="O72" s="1"/>
      <c r="P72" s="1"/>
      <c r="Q72" s="1"/>
      <c r="R72" s="1"/>
      <c r="S72" s="1"/>
      <c r="T72" s="1"/>
      <c r="U72" s="1"/>
      <c r="V72" s="1"/>
      <c r="W72" s="1"/>
      <c r="X72" s="1"/>
      <c r="Y72" s="1"/>
    </row>
    <row r="73" spans="12:25">
      <c r="L73" s="449"/>
      <c r="M73" s="449"/>
      <c r="N73" s="1"/>
      <c r="O73" s="1"/>
      <c r="P73" s="1"/>
      <c r="Q73" s="1"/>
      <c r="R73" s="1"/>
      <c r="S73" s="1"/>
      <c r="T73" s="1"/>
      <c r="U73" s="1"/>
      <c r="V73" s="1"/>
      <c r="W73" s="1"/>
      <c r="X73" s="1"/>
      <c r="Y73" s="1"/>
    </row>
    <row r="74" spans="12:25">
      <c r="L74" s="449"/>
      <c r="M74" s="449"/>
      <c r="N74" s="1"/>
      <c r="O74" s="1"/>
      <c r="P74" s="1"/>
      <c r="Q74" s="1"/>
      <c r="R74" s="1"/>
      <c r="S74" s="1"/>
      <c r="T74" s="1"/>
      <c r="U74" s="1"/>
      <c r="V74" s="1"/>
      <c r="W74" s="1"/>
      <c r="X74" s="1"/>
      <c r="Y74" s="1"/>
    </row>
    <row r="75" spans="12:25">
      <c r="L75" s="4645" t="s">
        <v>1333</v>
      </c>
      <c r="M75" s="4646">
        <v>1.8</v>
      </c>
      <c r="N75" s="4647" t="s">
        <v>1811</v>
      </c>
      <c r="O75" s="452"/>
      <c r="P75" s="452"/>
      <c r="Q75" s="4646">
        <f>M75/100</f>
        <v>1.7999999999999999E-2</v>
      </c>
      <c r="R75" s="4648" t="s">
        <v>5267</v>
      </c>
      <c r="S75" s="1"/>
      <c r="T75" s="1"/>
      <c r="U75" s="1"/>
      <c r="V75" s="1"/>
      <c r="W75" s="1"/>
      <c r="X75" s="1"/>
      <c r="Y75" s="1"/>
    </row>
    <row r="76" spans="12:25">
      <c r="L76" s="449"/>
      <c r="M76" s="449"/>
      <c r="N76" s="1"/>
      <c r="O76" s="1"/>
      <c r="P76" s="1"/>
      <c r="Q76" s="1"/>
      <c r="R76" s="1"/>
      <c r="S76" s="1"/>
      <c r="T76" s="1"/>
      <c r="U76" s="1"/>
      <c r="V76" s="1"/>
      <c r="W76" s="1"/>
      <c r="X76" s="1"/>
      <c r="Y76" s="1"/>
    </row>
    <row r="77" spans="12:25">
      <c r="L77" s="449"/>
      <c r="M77" s="449"/>
      <c r="N77" s="1"/>
      <c r="O77" s="1"/>
      <c r="P77" s="1"/>
      <c r="Q77" s="1"/>
      <c r="R77" s="1"/>
      <c r="S77" s="1"/>
      <c r="T77" s="1"/>
      <c r="U77" s="1"/>
      <c r="V77" s="1"/>
      <c r="W77" s="1"/>
      <c r="X77" s="1"/>
      <c r="Y77" s="1"/>
    </row>
    <row r="78" spans="12:25">
      <c r="L78" s="449"/>
      <c r="M78" s="449"/>
      <c r="N78" s="1"/>
      <c r="O78" s="1"/>
      <c r="P78" s="1"/>
      <c r="Q78" s="1"/>
      <c r="R78" s="1"/>
      <c r="S78" s="1"/>
      <c r="T78" s="1"/>
      <c r="U78" s="1"/>
      <c r="V78" s="1"/>
      <c r="W78" s="1"/>
      <c r="X78" s="1"/>
      <c r="Y78" s="1"/>
    </row>
    <row r="79" spans="12:25">
      <c r="L79" s="449"/>
      <c r="M79" s="449"/>
      <c r="N79" s="1"/>
      <c r="O79" s="1"/>
      <c r="P79" s="1"/>
      <c r="Q79" s="1"/>
      <c r="R79" s="1"/>
      <c r="S79" s="1"/>
      <c r="T79" s="1"/>
      <c r="U79" s="1"/>
      <c r="V79" s="1"/>
      <c r="W79" s="1"/>
      <c r="X79" s="1"/>
      <c r="Y79" s="1"/>
    </row>
    <row r="80" spans="12:25">
      <c r="L80" s="449"/>
      <c r="M80" s="449"/>
      <c r="N80" s="1"/>
      <c r="O80" s="1"/>
      <c r="P80" s="1"/>
      <c r="Q80" s="1"/>
      <c r="R80" s="1"/>
      <c r="S80" s="1"/>
      <c r="T80" s="1"/>
      <c r="U80" s="1"/>
      <c r="V80" s="1"/>
      <c r="W80" s="1"/>
      <c r="X80" s="1"/>
      <c r="Y80" s="1"/>
    </row>
    <row r="81" spans="12:25">
      <c r="L81" s="449"/>
      <c r="M81" s="449"/>
      <c r="N81" s="1"/>
      <c r="O81" s="1"/>
      <c r="P81" s="1"/>
      <c r="Q81" s="1"/>
      <c r="R81" s="1"/>
      <c r="S81" s="1"/>
      <c r="T81" s="1"/>
      <c r="U81" s="1"/>
      <c r="V81" s="1"/>
      <c r="W81" s="1"/>
      <c r="X81" s="1"/>
      <c r="Y81" s="1"/>
    </row>
    <row r="82" spans="12:25">
      <c r="L82" s="449"/>
      <c r="M82" s="449"/>
      <c r="N82" s="1"/>
      <c r="O82" s="1"/>
      <c r="P82" s="1"/>
      <c r="Q82" s="1"/>
      <c r="R82" s="1"/>
      <c r="S82" s="1"/>
      <c r="T82" s="1"/>
      <c r="U82" s="1"/>
      <c r="V82" s="1"/>
      <c r="W82" s="1"/>
      <c r="X82" s="1"/>
      <c r="Y82" s="1"/>
    </row>
    <row r="83" spans="12:25">
      <c r="L83" s="449"/>
      <c r="M83" s="449"/>
      <c r="N83" s="1"/>
      <c r="O83" s="1"/>
      <c r="P83" s="1"/>
      <c r="Q83" s="1"/>
      <c r="R83" s="1"/>
      <c r="S83" s="1"/>
      <c r="T83" s="1"/>
      <c r="U83" s="1"/>
      <c r="V83" s="1"/>
      <c r="W83" s="1"/>
      <c r="X83" s="1"/>
      <c r="Y83" s="1"/>
    </row>
    <row r="84" spans="12:25">
      <c r="L84" s="449"/>
      <c r="M84" s="449"/>
      <c r="N84" s="1"/>
      <c r="O84" s="1"/>
      <c r="P84" s="1"/>
      <c r="Q84" s="1"/>
      <c r="R84" s="1"/>
      <c r="S84" s="1"/>
      <c r="T84" s="1"/>
      <c r="U84" s="1"/>
      <c r="V84" s="1"/>
      <c r="W84" s="1"/>
      <c r="X84" s="1"/>
      <c r="Y84" s="1"/>
    </row>
    <row r="85" spans="12:25">
      <c r="L85" s="449"/>
      <c r="M85" s="449"/>
      <c r="N85" s="1"/>
      <c r="O85" s="1"/>
      <c r="P85" s="1"/>
      <c r="Q85" s="1"/>
      <c r="R85" s="1"/>
      <c r="S85" s="1"/>
      <c r="T85" s="1"/>
      <c r="U85" s="1"/>
      <c r="V85" s="1"/>
      <c r="W85" s="1"/>
      <c r="X85" s="1"/>
      <c r="Y85" s="1"/>
    </row>
    <row r="86" spans="12:25">
      <c r="L86" s="1"/>
      <c r="M86" s="449"/>
      <c r="N86" s="1"/>
      <c r="O86" s="1"/>
      <c r="P86" s="1"/>
      <c r="Q86" s="1"/>
      <c r="R86" s="1"/>
      <c r="S86" s="1"/>
      <c r="T86" s="1"/>
      <c r="U86" s="1"/>
      <c r="V86" s="1"/>
      <c r="W86" s="1"/>
      <c r="X86" s="1"/>
      <c r="Y86" s="1"/>
    </row>
    <row r="87" spans="12:25">
      <c r="L87" s="1"/>
      <c r="M87" s="449"/>
      <c r="N87" s="1"/>
      <c r="O87" s="1"/>
      <c r="P87" s="1"/>
      <c r="Q87" s="1"/>
      <c r="R87" s="1"/>
      <c r="S87" s="1"/>
      <c r="T87" s="1"/>
      <c r="U87" s="1"/>
      <c r="V87" s="1"/>
      <c r="W87" s="1"/>
      <c r="X87" s="1"/>
      <c r="Y87" s="1"/>
    </row>
    <row r="88" spans="12:25">
      <c r="L88" s="1"/>
      <c r="M88" s="449"/>
      <c r="N88" s="1"/>
      <c r="O88" s="1"/>
      <c r="P88" s="1"/>
      <c r="Q88" s="1"/>
      <c r="R88" s="1"/>
      <c r="S88" s="1"/>
      <c r="T88" s="1"/>
      <c r="U88" s="1"/>
      <c r="V88" s="1"/>
      <c r="W88" s="1"/>
      <c r="X88" s="1"/>
      <c r="Y88" s="1"/>
    </row>
    <row r="89" spans="12:25">
      <c r="L89" s="1"/>
      <c r="M89" s="449"/>
      <c r="N89" s="1"/>
      <c r="O89" s="1"/>
      <c r="P89" s="1"/>
      <c r="Q89" s="1"/>
      <c r="R89" s="1"/>
      <c r="S89" s="1"/>
      <c r="T89" s="1"/>
      <c r="U89" s="1"/>
      <c r="V89" s="1"/>
      <c r="W89" s="1"/>
      <c r="X89" s="1"/>
      <c r="Y89" s="1"/>
    </row>
    <row r="90" spans="12:25">
      <c r="L90" s="1"/>
      <c r="M90" s="449"/>
      <c r="N90" s="1"/>
      <c r="O90" s="1"/>
      <c r="P90" s="1"/>
      <c r="Q90" s="1"/>
      <c r="R90" s="1"/>
      <c r="S90" s="1"/>
      <c r="T90" s="1"/>
      <c r="U90" s="1"/>
      <c r="V90" s="1"/>
      <c r="W90" s="1"/>
      <c r="X90" s="1"/>
      <c r="Y90" s="1"/>
    </row>
    <row r="91" spans="12:25">
      <c r="L91" s="1"/>
      <c r="M91" s="449"/>
      <c r="N91" s="1"/>
      <c r="O91" s="1"/>
      <c r="P91" s="1"/>
      <c r="Q91" s="1"/>
      <c r="R91" s="1"/>
      <c r="S91" s="1"/>
      <c r="T91" s="1"/>
      <c r="U91" s="1"/>
      <c r="V91" s="1"/>
      <c r="W91" s="1"/>
      <c r="X91" s="1"/>
      <c r="Y91" s="1"/>
    </row>
    <row r="92" spans="12:25">
      <c r="L92" s="1"/>
      <c r="M92" s="449"/>
      <c r="N92" s="1"/>
      <c r="O92" s="1"/>
      <c r="P92" s="1"/>
      <c r="Q92" s="1"/>
      <c r="R92" s="1"/>
      <c r="S92" s="1"/>
      <c r="T92" s="1"/>
      <c r="U92" s="1"/>
      <c r="V92" s="1"/>
      <c r="W92" s="1"/>
      <c r="X92" s="1"/>
      <c r="Y92" s="1"/>
    </row>
    <row r="93" spans="12:25">
      <c r="L93" s="1"/>
      <c r="M93" s="449"/>
      <c r="N93" s="1"/>
      <c r="O93" s="1"/>
      <c r="P93" s="1"/>
      <c r="Q93" s="1"/>
      <c r="R93" s="1"/>
      <c r="S93" s="1"/>
      <c r="T93" s="1"/>
      <c r="U93" s="1"/>
      <c r="V93" s="1"/>
      <c r="W93" s="1"/>
      <c r="X93" s="1"/>
      <c r="Y93" s="1"/>
    </row>
    <row r="94" spans="12:25">
      <c r="L94" s="1"/>
      <c r="M94" s="449"/>
      <c r="N94" s="1"/>
      <c r="O94" s="1"/>
      <c r="P94" s="1"/>
      <c r="Q94" s="1"/>
      <c r="R94" s="1"/>
      <c r="S94" s="1"/>
      <c r="T94" s="1"/>
      <c r="U94" s="1"/>
      <c r="V94" s="1"/>
      <c r="W94" s="1"/>
      <c r="X94" s="1"/>
      <c r="Y94" s="1"/>
    </row>
    <row r="95" spans="12:25">
      <c r="L95" s="1"/>
      <c r="M95" s="449"/>
      <c r="N95" s="1"/>
      <c r="O95" s="1"/>
      <c r="P95" s="1"/>
      <c r="Q95" s="1"/>
      <c r="R95" s="1"/>
      <c r="S95" s="1"/>
      <c r="T95" s="1"/>
      <c r="U95" s="1"/>
      <c r="V95" s="1"/>
      <c r="W95" s="1"/>
      <c r="X95" s="1"/>
      <c r="Y95" s="1"/>
    </row>
    <row r="96" spans="12:25">
      <c r="L96" s="1"/>
      <c r="M96" s="449"/>
      <c r="N96" s="1"/>
      <c r="O96" s="1"/>
      <c r="P96" s="1"/>
      <c r="Q96" s="1"/>
      <c r="R96" s="1"/>
      <c r="S96" s="1"/>
      <c r="T96" s="1"/>
      <c r="U96" s="1"/>
      <c r="V96" s="1"/>
      <c r="W96" s="1"/>
      <c r="X96" s="1"/>
      <c r="Y96" s="1"/>
    </row>
    <row r="97" spans="12:25">
      <c r="L97" s="1"/>
      <c r="M97" s="449"/>
      <c r="N97" s="1"/>
      <c r="O97" s="1"/>
      <c r="P97" s="1"/>
      <c r="Q97" s="1"/>
      <c r="R97" s="1"/>
      <c r="S97" s="1"/>
      <c r="T97" s="1"/>
      <c r="U97" s="1"/>
      <c r="V97" s="1"/>
      <c r="W97" s="1"/>
      <c r="X97" s="1"/>
      <c r="Y97" s="1"/>
    </row>
    <row r="98" spans="12:25">
      <c r="L98" s="1"/>
      <c r="M98" s="449"/>
      <c r="N98" s="1"/>
      <c r="O98" s="1"/>
      <c r="P98" s="1"/>
      <c r="Q98" s="1"/>
      <c r="R98" s="1"/>
      <c r="S98" s="1"/>
      <c r="T98" s="1"/>
      <c r="U98" s="1"/>
      <c r="V98" s="1"/>
      <c r="W98" s="1"/>
      <c r="X98" s="1"/>
      <c r="Y98" s="1"/>
    </row>
    <row r="99" spans="12:25">
      <c r="L99" s="1"/>
      <c r="M99" s="449"/>
      <c r="N99" s="1"/>
      <c r="O99" s="1"/>
      <c r="P99" s="1"/>
      <c r="Q99" s="1"/>
      <c r="R99" s="1"/>
      <c r="S99" s="1"/>
      <c r="T99" s="1"/>
      <c r="U99" s="1"/>
      <c r="V99" s="1"/>
      <c r="W99" s="1"/>
      <c r="X99" s="1"/>
      <c r="Y99" s="1"/>
    </row>
    <row r="100" spans="12:25">
      <c r="L100" s="1"/>
      <c r="M100" s="449"/>
      <c r="N100" s="1"/>
      <c r="O100" s="1"/>
      <c r="P100" s="1"/>
      <c r="Q100" s="1"/>
      <c r="R100" s="1"/>
      <c r="S100" s="1"/>
      <c r="T100" s="1"/>
      <c r="U100" s="1"/>
      <c r="V100" s="1"/>
      <c r="W100" s="1"/>
      <c r="X100" s="1"/>
      <c r="Y100" s="1"/>
    </row>
    <row r="101" spans="12:25">
      <c r="L101" s="1"/>
      <c r="M101" s="449"/>
      <c r="N101" s="1"/>
      <c r="O101" s="1"/>
      <c r="P101" s="1"/>
      <c r="Q101" s="1"/>
      <c r="R101" s="1"/>
      <c r="S101" s="1"/>
      <c r="T101" s="1"/>
      <c r="U101" s="1"/>
      <c r="V101" s="1"/>
      <c r="W101" s="1"/>
      <c r="X101" s="1"/>
      <c r="Y101" s="1"/>
    </row>
    <row r="102" spans="12:25">
      <c r="L102" s="1"/>
      <c r="M102" s="449"/>
      <c r="N102" s="1"/>
      <c r="O102" s="1"/>
      <c r="P102" s="1"/>
      <c r="Q102" s="1"/>
      <c r="R102" s="1"/>
      <c r="S102" s="1"/>
      <c r="T102" s="1"/>
      <c r="U102" s="1"/>
      <c r="V102" s="1"/>
      <c r="W102" s="1"/>
      <c r="X102" s="1"/>
      <c r="Y102" s="1"/>
    </row>
    <row r="103" spans="12:25">
      <c r="L103" s="1"/>
      <c r="M103" s="449"/>
      <c r="N103" s="1"/>
      <c r="O103" s="1"/>
      <c r="P103" s="1"/>
      <c r="Q103" s="1"/>
      <c r="R103" s="1"/>
      <c r="S103" s="1"/>
      <c r="T103" s="1"/>
      <c r="U103" s="1"/>
      <c r="V103" s="1"/>
      <c r="W103" s="1"/>
      <c r="X103" s="1"/>
      <c r="Y103" s="1"/>
    </row>
    <row r="104" spans="12:25">
      <c r="L104" s="1"/>
      <c r="M104" s="449"/>
      <c r="N104" s="1"/>
      <c r="O104" s="1"/>
      <c r="P104" s="1"/>
      <c r="Q104" s="1"/>
      <c r="R104" s="1"/>
      <c r="S104" s="1"/>
      <c r="T104" s="1"/>
      <c r="U104" s="1"/>
      <c r="V104" s="1"/>
      <c r="W104" s="1"/>
      <c r="X104" s="1"/>
      <c r="Y104" s="1"/>
    </row>
    <row r="105" spans="12:25">
      <c r="L105" s="1"/>
      <c r="M105" s="449"/>
      <c r="N105" s="1"/>
      <c r="O105" s="1"/>
      <c r="P105" s="1"/>
      <c r="Q105" s="1"/>
      <c r="R105" s="1"/>
      <c r="S105" s="1"/>
      <c r="T105" s="1"/>
      <c r="U105" s="1"/>
      <c r="V105" s="1"/>
      <c r="W105" s="1"/>
      <c r="X105" s="1"/>
      <c r="Y105" s="1"/>
    </row>
    <row r="106" spans="12:25">
      <c r="L106" s="1"/>
      <c r="M106" s="449"/>
      <c r="N106" s="1"/>
      <c r="O106" s="1"/>
      <c r="P106" s="1"/>
      <c r="Q106" s="1"/>
      <c r="R106" s="1"/>
      <c r="S106" s="1"/>
      <c r="T106" s="1"/>
      <c r="U106" s="1"/>
      <c r="V106" s="1"/>
      <c r="W106" s="1"/>
      <c r="X106" s="1"/>
      <c r="Y106" s="1"/>
    </row>
    <row r="107" spans="12:25">
      <c r="L107" s="1"/>
      <c r="M107" s="449"/>
      <c r="N107" s="1"/>
      <c r="O107" s="1"/>
      <c r="P107" s="1"/>
      <c r="Q107" s="1"/>
      <c r="R107" s="1"/>
      <c r="S107" s="1"/>
      <c r="T107" s="1"/>
      <c r="U107" s="1"/>
      <c r="V107" s="1"/>
      <c r="W107" s="1"/>
      <c r="X107" s="1"/>
      <c r="Y107" s="1"/>
    </row>
    <row r="108" spans="12:25">
      <c r="L108" s="1"/>
      <c r="M108" s="449" t="s">
        <v>4437</v>
      </c>
      <c r="N108" s="449"/>
      <c r="O108" s="449"/>
      <c r="P108" s="1"/>
      <c r="Q108" s="1"/>
      <c r="R108" s="1"/>
      <c r="S108" s="1"/>
      <c r="T108" s="1"/>
      <c r="U108" s="1"/>
      <c r="V108" s="1"/>
      <c r="W108" s="1"/>
      <c r="X108" s="1"/>
      <c r="Y108" s="1"/>
    </row>
    <row r="109" spans="12:25">
      <c r="L109" s="1"/>
      <c r="M109" s="607" t="s">
        <v>4434</v>
      </c>
      <c r="N109" s="857">
        <v>1</v>
      </c>
      <c r="O109" s="449"/>
      <c r="P109" s="1"/>
      <c r="Q109" s="1"/>
      <c r="R109" s="1"/>
      <c r="S109" s="1"/>
      <c r="T109" s="1"/>
      <c r="U109" s="1"/>
      <c r="V109" s="1"/>
      <c r="W109" s="1"/>
      <c r="X109" s="1"/>
      <c r="Y109" s="1"/>
    </row>
    <row r="110" spans="12:25">
      <c r="L110" s="1"/>
      <c r="M110" s="607" t="s">
        <v>4435</v>
      </c>
      <c r="N110" s="449">
        <f>N25</f>
        <v>4706</v>
      </c>
      <c r="O110" s="449" t="s">
        <v>4439</v>
      </c>
      <c r="P110" s="1"/>
      <c r="Q110" s="1"/>
      <c r="R110" s="1"/>
      <c r="S110" s="1"/>
      <c r="T110" s="1"/>
      <c r="U110" s="1"/>
      <c r="V110" s="1"/>
      <c r="W110" s="1"/>
      <c r="X110" s="1"/>
      <c r="Y110" s="1"/>
    </row>
    <row r="111" spans="12:25">
      <c r="L111" s="1"/>
      <c r="M111" s="638" t="s">
        <v>4479</v>
      </c>
      <c r="N111" s="449">
        <v>4165</v>
      </c>
      <c r="O111" s="449" t="s">
        <v>4438</v>
      </c>
      <c r="P111" s="1"/>
      <c r="Q111" s="1"/>
      <c r="R111" s="1"/>
      <c r="S111" s="1"/>
      <c r="T111" s="1"/>
      <c r="U111" s="1"/>
      <c r="V111" s="1"/>
      <c r="W111" s="1"/>
      <c r="X111" s="1"/>
      <c r="Y111" s="1"/>
    </row>
    <row r="112" spans="12:25">
      <c r="L112" s="1"/>
      <c r="M112" s="449"/>
      <c r="N112" s="582"/>
      <c r="O112" s="449"/>
      <c r="P112" s="1"/>
      <c r="Q112" s="1"/>
      <c r="R112" s="1"/>
      <c r="S112" s="1"/>
      <c r="T112" s="1"/>
      <c r="U112" s="1"/>
      <c r="V112" s="1"/>
      <c r="W112" s="1"/>
      <c r="X112" s="1"/>
      <c r="Y112" s="1"/>
    </row>
    <row r="113" spans="12:25">
      <c r="L113" s="1"/>
      <c r="M113" s="449"/>
      <c r="N113" s="582"/>
      <c r="O113" s="449"/>
      <c r="P113" s="1"/>
      <c r="Q113" s="1"/>
      <c r="R113" s="1"/>
      <c r="S113" s="1"/>
      <c r="T113" s="1"/>
      <c r="U113" s="1"/>
      <c r="V113" s="1"/>
      <c r="W113" s="1"/>
      <c r="X113" s="1"/>
      <c r="Y113" s="1"/>
    </row>
    <row r="168" spans="1:33" s="601" customFormat="1">
      <c r="A168" s="282"/>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282"/>
      <c r="AE168" s="282"/>
      <c r="AF168" s="282"/>
      <c r="AG168" s="282"/>
    </row>
    <row r="169" spans="1:33" s="601" customFormat="1">
      <c r="A169" s="282"/>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282"/>
      <c r="AE169" s="282"/>
      <c r="AF169" s="282"/>
      <c r="AG169" s="282"/>
    </row>
    <row r="170" spans="1:33">
      <c r="A170" s="1" t="s">
        <v>3047</v>
      </c>
    </row>
    <row r="171" spans="1:33" ht="32.4">
      <c r="A171" s="6366" t="str">
        <f>"USD " &amp;  OPEN!B3</f>
        <v>USD 237 - Smith Center</v>
      </c>
      <c r="B171" s="6366"/>
      <c r="C171" s="6366"/>
      <c r="D171" s="6366"/>
      <c r="E171" s="6366"/>
      <c r="F171" s="6366"/>
      <c r="G171" s="6366"/>
      <c r="H171" s="6366"/>
      <c r="I171" s="6366"/>
      <c r="J171" s="6366"/>
      <c r="K171" s="6366"/>
    </row>
  </sheetData>
  <sheetProtection algorithmName="SHA-512" hashValue="K3731pt2LETLbVE3zrxvzdbsRyPGabUjg02jf3fMPjxmwRTTOrhuyB7XcyH/yF+MAu4RWFEMdN1ti0fXsAlS8w==" saltValue="2uHoQNAnNn+eKcIVK5myQA==" spinCount="100000" sheet="1" objects="1" scenarios="1"/>
  <mergeCells count="2">
    <mergeCell ref="A171:K171"/>
    <mergeCell ref="D3:L3"/>
  </mergeCells>
  <printOptions horizontalCentered="1"/>
  <pageMargins left="0.75" right="0.75" top="0.5" bottom="0.5" header="0.3" footer="0.3"/>
  <pageSetup scale="44" orientation="portrait" r:id="rId1"/>
  <headerFooter alignWithMargins="0">
    <oddHeader>&amp;CBUDGET CONTENTS - FUNDS</oddHeader>
    <oddFooter>&amp;L&amp;F(&amp;A)</oddFooter>
  </headerFooter>
  <drawing r:id="rId2"/>
  <legacyDrawing r:id="rId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pageSetUpPr fitToPage="1"/>
  </sheetPr>
  <dimension ref="A1:BQ291"/>
  <sheetViews>
    <sheetView workbookViewId="0">
      <pane xSplit="1" ySplit="3" topLeftCell="B4" activePane="bottomRight" state="frozen"/>
      <selection pane="topRight" activeCell="B1" sqref="B1"/>
      <selection pane="bottomLeft" activeCell="A4" sqref="A4"/>
      <selection pane="bottomRight"/>
    </sheetView>
  </sheetViews>
  <sheetFormatPr defaultColWidth="9.109375" defaultRowHeight="13.8"/>
  <cols>
    <col min="1" max="1" width="9.44140625" style="428" bestFit="1" customWidth="1"/>
    <col min="2" max="2" width="25.88671875" style="428" bestFit="1" customWidth="1"/>
    <col min="3" max="3" width="11.88671875" style="428" bestFit="1" customWidth="1"/>
    <col min="4" max="4" width="12.44140625" style="428" bestFit="1" customWidth="1"/>
    <col min="5" max="5" width="12.33203125" style="428" bestFit="1" customWidth="1"/>
    <col min="6" max="6" width="12.44140625" style="428" bestFit="1" customWidth="1"/>
    <col min="7" max="7" width="12.33203125" style="428" bestFit="1" customWidth="1"/>
    <col min="8" max="9" width="19" style="428" bestFit="1" customWidth="1"/>
    <col min="10" max="10" width="9.5546875" style="428" bestFit="1" customWidth="1"/>
    <col min="11" max="11" width="15.44140625" style="428" bestFit="1" customWidth="1"/>
    <col min="12" max="15" width="16.88671875" style="428" bestFit="1" customWidth="1"/>
    <col min="16" max="17" width="11.6640625" style="428" bestFit="1" customWidth="1"/>
    <col min="18" max="18" width="14.109375" style="428" bestFit="1" customWidth="1"/>
    <col min="19" max="19" width="12.6640625" style="428" bestFit="1" customWidth="1"/>
    <col min="20" max="21" width="18.88671875" style="428" bestFit="1" customWidth="1"/>
    <col min="22" max="22" width="5.88671875" style="428" bestFit="1" customWidth="1"/>
    <col min="23" max="23" width="10.109375" style="428" bestFit="1" customWidth="1"/>
    <col min="24" max="25" width="13.5546875" style="428" bestFit="1" customWidth="1"/>
    <col min="26" max="26" width="13.44140625" style="428" bestFit="1" customWidth="1"/>
    <col min="27" max="27" width="13.109375" style="428" bestFit="1" customWidth="1"/>
    <col min="28" max="28" width="10.88671875" style="428" bestFit="1" customWidth="1"/>
    <col min="29" max="30" width="12.6640625" style="428" bestFit="1" customWidth="1"/>
    <col min="31" max="31" width="13.44140625" style="428" bestFit="1" customWidth="1"/>
    <col min="32" max="35" width="19.33203125" style="428" bestFit="1" customWidth="1"/>
    <col min="36" max="36" width="9.44140625" style="428" bestFit="1" customWidth="1"/>
    <col min="37" max="38" width="5.88671875" style="428" bestFit="1" customWidth="1"/>
    <col min="39" max="39" width="20.33203125" style="428" bestFit="1" customWidth="1"/>
    <col min="40" max="40" width="16.5546875" style="428" bestFit="1" customWidth="1"/>
    <col min="41" max="41" width="19" style="428" bestFit="1" customWidth="1"/>
    <col min="42" max="42" width="5.88671875" style="428" bestFit="1" customWidth="1"/>
    <col min="43" max="43" width="18.6640625" style="428" bestFit="1" customWidth="1"/>
    <col min="44" max="45" width="5.88671875" style="428" bestFit="1" customWidth="1"/>
    <col min="46" max="47" width="18.6640625" style="428" bestFit="1" customWidth="1"/>
    <col min="48" max="48" width="10.88671875" style="428" bestFit="1" customWidth="1"/>
    <col min="49" max="50" width="10.44140625" style="428" bestFit="1" customWidth="1"/>
    <col min="51" max="51" width="11.109375" style="428" bestFit="1" customWidth="1"/>
    <col min="52" max="52" width="5.88671875" style="428" bestFit="1" customWidth="1"/>
    <col min="53" max="53" width="15.88671875" style="428" bestFit="1" customWidth="1"/>
    <col min="54" max="55" width="11" style="428" bestFit="1" customWidth="1"/>
    <col min="56" max="56" width="5.88671875" style="428" bestFit="1" customWidth="1"/>
    <col min="57" max="57" width="10.88671875" style="428" bestFit="1" customWidth="1"/>
    <col min="58" max="59" width="10.5546875" style="428" bestFit="1" customWidth="1"/>
    <col min="60" max="60" width="8.88671875" style="428"/>
    <col min="61" max="62" width="12.33203125" style="428" bestFit="1" customWidth="1"/>
    <col min="63" max="63" width="9.88671875" style="428" bestFit="1" customWidth="1"/>
    <col min="64" max="64" width="14.44140625" style="428" bestFit="1" customWidth="1"/>
    <col min="65" max="65" width="14.33203125" style="428" bestFit="1" customWidth="1"/>
    <col min="66" max="66" width="14.5546875" style="428" bestFit="1" customWidth="1"/>
    <col min="67" max="67" width="14.44140625" style="428" bestFit="1" customWidth="1"/>
    <col min="68" max="68" width="14.33203125" style="428" bestFit="1" customWidth="1"/>
    <col min="69" max="69" width="14.5546875" style="428" bestFit="1" customWidth="1"/>
    <col min="70" max="16384" width="9.109375" style="428"/>
  </cols>
  <sheetData>
    <row r="1" spans="1:69">
      <c r="A1" s="882" t="s">
        <v>1841</v>
      </c>
      <c r="B1" s="620"/>
      <c r="C1" s="620">
        <v>3</v>
      </c>
      <c r="D1" s="620">
        <v>4</v>
      </c>
      <c r="E1" s="620">
        <v>5</v>
      </c>
      <c r="F1" s="620">
        <v>6</v>
      </c>
      <c r="G1" s="620">
        <v>7</v>
      </c>
      <c r="H1" s="620">
        <v>8</v>
      </c>
      <c r="I1" s="620">
        <v>9</v>
      </c>
      <c r="J1" s="620">
        <v>10</v>
      </c>
      <c r="K1" s="620">
        <v>11</v>
      </c>
      <c r="L1" s="620">
        <v>12</v>
      </c>
      <c r="M1" s="620">
        <v>13</v>
      </c>
      <c r="N1" s="620">
        <v>14</v>
      </c>
      <c r="O1" s="620">
        <v>15</v>
      </c>
      <c r="P1" s="620">
        <v>16</v>
      </c>
      <c r="Q1" s="620">
        <v>17</v>
      </c>
      <c r="R1" s="620">
        <v>18</v>
      </c>
      <c r="S1" s="620">
        <v>19</v>
      </c>
      <c r="T1" s="620">
        <v>20</v>
      </c>
      <c r="U1" s="620">
        <v>21</v>
      </c>
      <c r="V1" s="620">
        <v>22</v>
      </c>
      <c r="W1" s="620">
        <v>23</v>
      </c>
      <c r="X1" s="620">
        <v>24</v>
      </c>
      <c r="Y1" s="620">
        <v>25</v>
      </c>
      <c r="Z1" s="620">
        <v>26</v>
      </c>
      <c r="AA1" s="620">
        <v>27</v>
      </c>
      <c r="AB1" s="620">
        <v>28</v>
      </c>
      <c r="AC1" s="620">
        <v>29</v>
      </c>
      <c r="AD1" s="620">
        <v>30</v>
      </c>
      <c r="AE1" s="620">
        <v>31</v>
      </c>
      <c r="AF1" s="620">
        <v>32</v>
      </c>
      <c r="AG1" s="620">
        <v>33</v>
      </c>
      <c r="AH1" s="620">
        <v>34</v>
      </c>
      <c r="AI1" s="620">
        <v>35</v>
      </c>
      <c r="AJ1" s="620">
        <v>36</v>
      </c>
      <c r="AK1" s="620">
        <v>37</v>
      </c>
      <c r="AL1" s="620">
        <v>38</v>
      </c>
      <c r="AM1" s="620">
        <v>39</v>
      </c>
      <c r="AN1" s="620">
        <v>40</v>
      </c>
      <c r="AO1" s="620">
        <v>41</v>
      </c>
      <c r="AP1" s="620">
        <v>42</v>
      </c>
      <c r="AQ1" s="620">
        <v>43</v>
      </c>
      <c r="AR1" s="620">
        <v>44</v>
      </c>
      <c r="AS1" s="620">
        <v>45</v>
      </c>
      <c r="AT1" s="620">
        <v>46</v>
      </c>
      <c r="AU1" s="620">
        <v>47</v>
      </c>
      <c r="AV1" s="620">
        <v>48</v>
      </c>
      <c r="AW1" s="620">
        <v>49</v>
      </c>
      <c r="AX1" s="620">
        <v>50</v>
      </c>
      <c r="AY1" s="620">
        <v>51</v>
      </c>
      <c r="AZ1" s="620">
        <v>52</v>
      </c>
      <c r="BA1" s="620">
        <v>53</v>
      </c>
      <c r="BB1" s="620">
        <v>54</v>
      </c>
      <c r="BC1" s="620">
        <v>55</v>
      </c>
      <c r="BD1" s="620">
        <v>56</v>
      </c>
      <c r="BE1" s="620">
        <v>57</v>
      </c>
      <c r="BF1" s="620">
        <v>58</v>
      </c>
      <c r="BG1" s="620">
        <v>59</v>
      </c>
      <c r="BH1" s="4589">
        <v>60</v>
      </c>
      <c r="BI1" s="620">
        <v>61</v>
      </c>
      <c r="BJ1" s="620">
        <v>62</v>
      </c>
      <c r="BK1" s="620">
        <v>63</v>
      </c>
      <c r="BL1" s="620">
        <v>64</v>
      </c>
      <c r="BM1" s="620">
        <v>65</v>
      </c>
      <c r="BN1" s="620">
        <v>66</v>
      </c>
      <c r="BO1" s="620">
        <v>67</v>
      </c>
      <c r="BP1" s="620">
        <v>68</v>
      </c>
      <c r="BQ1" s="620">
        <v>69</v>
      </c>
    </row>
    <row r="2" spans="1:69">
      <c r="A2" s="883" t="s">
        <v>1125</v>
      </c>
      <c r="B2" s="884" t="s">
        <v>1274</v>
      </c>
      <c r="C2" s="884" t="s">
        <v>1698</v>
      </c>
      <c r="D2" s="643" t="s">
        <v>4561</v>
      </c>
      <c r="E2" s="643" t="s">
        <v>1126</v>
      </c>
      <c r="F2" s="643" t="s">
        <v>1128</v>
      </c>
      <c r="G2" s="643" t="s">
        <v>1129</v>
      </c>
      <c r="H2" s="643" t="s">
        <v>4617</v>
      </c>
      <c r="I2" s="643" t="s">
        <v>4618</v>
      </c>
      <c r="J2" s="643" t="s">
        <v>4619</v>
      </c>
      <c r="K2" s="643" t="s">
        <v>4620</v>
      </c>
      <c r="L2" s="643" t="s">
        <v>4621</v>
      </c>
      <c r="M2" s="643" t="s">
        <v>4622</v>
      </c>
      <c r="N2" s="643" t="s">
        <v>4562</v>
      </c>
      <c r="O2" s="643" t="s">
        <v>4563</v>
      </c>
      <c r="P2" s="643" t="s">
        <v>4564</v>
      </c>
      <c r="Q2" s="643" t="s">
        <v>4565</v>
      </c>
      <c r="R2" s="646" t="s">
        <v>1390</v>
      </c>
      <c r="S2" s="646" t="s">
        <v>4566</v>
      </c>
      <c r="T2" s="885" t="s">
        <v>1344</v>
      </c>
      <c r="U2" s="644" t="s">
        <v>1345</v>
      </c>
      <c r="V2" s="884"/>
      <c r="W2" s="643" t="s">
        <v>5199</v>
      </c>
      <c r="X2" s="886" t="s">
        <v>5264</v>
      </c>
      <c r="Y2" s="887" t="s">
        <v>5265</v>
      </c>
      <c r="Z2" s="643" t="s">
        <v>1391</v>
      </c>
      <c r="AA2" s="644" t="s">
        <v>4623</v>
      </c>
      <c r="AB2" s="644" t="s">
        <v>1709</v>
      </c>
      <c r="AC2" s="643" t="s">
        <v>1275</v>
      </c>
      <c r="AD2" s="643" t="s">
        <v>1276</v>
      </c>
      <c r="AE2" s="643" t="s">
        <v>1820</v>
      </c>
      <c r="AF2" s="643" t="s">
        <v>5260</v>
      </c>
      <c r="AG2" s="643" t="s">
        <v>5261</v>
      </c>
      <c r="AH2" s="643" t="s">
        <v>5262</v>
      </c>
      <c r="AI2" s="643" t="s">
        <v>5263</v>
      </c>
      <c r="AJ2" s="643" t="s">
        <v>4567</v>
      </c>
      <c r="AK2" s="884"/>
      <c r="AL2" s="884"/>
      <c r="AM2" s="643" t="s">
        <v>4624</v>
      </c>
      <c r="AN2" s="643" t="s">
        <v>4568</v>
      </c>
      <c r="AO2" s="643" t="s">
        <v>1130</v>
      </c>
      <c r="AP2" s="884"/>
      <c r="AQ2" s="645" t="s">
        <v>4625</v>
      </c>
      <c r="AR2" s="884"/>
      <c r="AS2" s="884"/>
      <c r="AT2" s="643" t="s">
        <v>4626</v>
      </c>
      <c r="AU2" s="643" t="s">
        <v>4627</v>
      </c>
      <c r="AV2" s="646" t="s">
        <v>4569</v>
      </c>
      <c r="AW2" s="643" t="s">
        <v>4407</v>
      </c>
      <c r="AX2" s="643" t="s">
        <v>1399</v>
      </c>
      <c r="AY2" s="643" t="s">
        <v>4408</v>
      </c>
      <c r="AZ2" s="884"/>
      <c r="BA2" s="643" t="s">
        <v>4570</v>
      </c>
      <c r="BB2" s="643" t="s">
        <v>4422</v>
      </c>
      <c r="BC2" s="643" t="s">
        <v>4423</v>
      </c>
      <c r="BD2" s="884"/>
      <c r="BE2" s="646" t="s">
        <v>4571</v>
      </c>
      <c r="BF2" s="647" t="s">
        <v>4427</v>
      </c>
      <c r="BG2" s="647" t="s">
        <v>4428</v>
      </c>
      <c r="BH2" s="4590" t="s">
        <v>4572</v>
      </c>
      <c r="BI2" s="647" t="s">
        <v>1127</v>
      </c>
      <c r="BJ2" s="647" t="s">
        <v>4573</v>
      </c>
      <c r="BK2" s="642" t="s">
        <v>4589</v>
      </c>
      <c r="BL2" s="647" t="s">
        <v>5200</v>
      </c>
      <c r="BM2" s="647" t="s">
        <v>5201</v>
      </c>
      <c r="BN2" s="647" t="s">
        <v>5202</v>
      </c>
      <c r="BO2" s="647" t="s">
        <v>5203</v>
      </c>
      <c r="BP2" s="647" t="s">
        <v>5204</v>
      </c>
      <c r="BQ2" s="647" t="s">
        <v>5205</v>
      </c>
    </row>
    <row r="3" spans="1:69" ht="14.4" thickBot="1">
      <c r="A3" s="4591" t="s">
        <v>835</v>
      </c>
      <c r="B3" s="4592" t="s">
        <v>1131</v>
      </c>
      <c r="C3" s="4592" t="s">
        <v>1132</v>
      </c>
      <c r="D3" s="4593" t="s">
        <v>4628</v>
      </c>
      <c r="E3" s="4593" t="s">
        <v>4629</v>
      </c>
      <c r="F3" s="4593" t="s">
        <v>5206</v>
      </c>
      <c r="G3" s="4593" t="s">
        <v>5207</v>
      </c>
      <c r="H3" s="4593" t="s">
        <v>4558</v>
      </c>
      <c r="I3" s="4593" t="s">
        <v>4636</v>
      </c>
      <c r="J3" s="4593" t="s">
        <v>1133</v>
      </c>
      <c r="K3" s="4593" t="s">
        <v>5208</v>
      </c>
      <c r="L3" s="4594" t="s">
        <v>4409</v>
      </c>
      <c r="M3" s="4594" t="s">
        <v>4556</v>
      </c>
      <c r="N3" s="4594" t="s">
        <v>4630</v>
      </c>
      <c r="O3" s="4594" t="s">
        <v>5209</v>
      </c>
      <c r="P3" s="4593" t="s">
        <v>4631</v>
      </c>
      <c r="Q3" s="4593" t="s">
        <v>5210</v>
      </c>
      <c r="R3" s="4593" t="s">
        <v>5211</v>
      </c>
      <c r="S3" s="4593" t="s">
        <v>1843</v>
      </c>
      <c r="T3" s="4595" t="s">
        <v>4632</v>
      </c>
      <c r="U3" s="4596" t="s">
        <v>5212</v>
      </c>
      <c r="V3" s="4592" t="s">
        <v>1392</v>
      </c>
      <c r="W3" s="4593" t="s">
        <v>4633</v>
      </c>
      <c r="X3" s="4597" t="s">
        <v>5213</v>
      </c>
      <c r="Y3" s="4598" t="s">
        <v>5214</v>
      </c>
      <c r="Z3" s="4593" t="s">
        <v>1135</v>
      </c>
      <c r="AA3" s="4596" t="s">
        <v>1136</v>
      </c>
      <c r="AB3" s="4596" t="s">
        <v>1710</v>
      </c>
      <c r="AC3" s="4593" t="s">
        <v>4634</v>
      </c>
      <c r="AD3" s="4593" t="s">
        <v>5215</v>
      </c>
      <c r="AE3" s="4593" t="s">
        <v>5216</v>
      </c>
      <c r="AF3" s="4593" t="s">
        <v>4410</v>
      </c>
      <c r="AG3" s="4593" t="s">
        <v>4557</v>
      </c>
      <c r="AH3" s="4593" t="s">
        <v>4635</v>
      </c>
      <c r="AI3" s="4593" t="s">
        <v>5217</v>
      </c>
      <c r="AJ3" s="4593" t="s">
        <v>5218</v>
      </c>
      <c r="AK3" s="4592" t="s">
        <v>1392</v>
      </c>
      <c r="AL3" s="4592" t="s">
        <v>1392</v>
      </c>
      <c r="AM3" s="4593" t="s">
        <v>5219</v>
      </c>
      <c r="AN3" s="4593" t="s">
        <v>5220</v>
      </c>
      <c r="AO3" s="4593" t="s">
        <v>5221</v>
      </c>
      <c r="AP3" s="4592" t="s">
        <v>1392</v>
      </c>
      <c r="AQ3" s="4593" t="s">
        <v>4559</v>
      </c>
      <c r="AR3" s="4592" t="s">
        <v>1392</v>
      </c>
      <c r="AS3" s="4592" t="s">
        <v>1392</v>
      </c>
      <c r="AT3" s="4593" t="s">
        <v>4637</v>
      </c>
      <c r="AU3" s="4593" t="s">
        <v>5222</v>
      </c>
      <c r="AV3" s="4593" t="s">
        <v>4640</v>
      </c>
      <c r="AW3" s="4593" t="s">
        <v>4638</v>
      </c>
      <c r="AX3" s="4593" t="s">
        <v>5223</v>
      </c>
      <c r="AY3" s="4593" t="s">
        <v>5224</v>
      </c>
      <c r="AZ3" s="4592" t="s">
        <v>1392</v>
      </c>
      <c r="BA3" s="4593" t="s">
        <v>4424</v>
      </c>
      <c r="BB3" s="4593" t="s">
        <v>4639</v>
      </c>
      <c r="BC3" s="4593" t="s">
        <v>5225</v>
      </c>
      <c r="BD3" s="4592" t="s">
        <v>1392</v>
      </c>
      <c r="BE3" s="4593" t="s">
        <v>5226</v>
      </c>
      <c r="BF3" s="4599" t="s">
        <v>4641</v>
      </c>
      <c r="BG3" s="4599" t="s">
        <v>5227</v>
      </c>
      <c r="BH3" s="4600" t="s">
        <v>4574</v>
      </c>
      <c r="BI3" s="4599" t="s">
        <v>4642</v>
      </c>
      <c r="BJ3" s="4599" t="s">
        <v>5228</v>
      </c>
      <c r="BK3" s="4601" t="s">
        <v>5229</v>
      </c>
      <c r="BL3" s="4599" t="s">
        <v>5230</v>
      </c>
      <c r="BM3" s="4599" t="s">
        <v>5231</v>
      </c>
      <c r="BN3" s="4599" t="s">
        <v>5232</v>
      </c>
      <c r="BO3" s="4599" t="s">
        <v>5233</v>
      </c>
      <c r="BP3" s="4599" t="s">
        <v>5234</v>
      </c>
      <c r="BQ3" s="4599" t="s">
        <v>5235</v>
      </c>
    </row>
    <row r="4" spans="1:69">
      <c r="A4" s="888">
        <v>101</v>
      </c>
      <c r="B4" s="889" t="s">
        <v>335</v>
      </c>
      <c r="C4" s="890" t="s">
        <v>127</v>
      </c>
      <c r="D4" s="621">
        <v>32746163</v>
      </c>
      <c r="E4" s="621">
        <v>29273364</v>
      </c>
      <c r="F4" s="621">
        <v>31942208</v>
      </c>
      <c r="G4" s="621">
        <v>28479058</v>
      </c>
      <c r="H4" s="648">
        <v>491.5</v>
      </c>
      <c r="I4" s="648">
        <v>467</v>
      </c>
      <c r="J4" s="649">
        <v>325</v>
      </c>
      <c r="K4" s="621">
        <v>4549931</v>
      </c>
      <c r="L4" s="484">
        <v>526</v>
      </c>
      <c r="M4" s="648">
        <v>491.5</v>
      </c>
      <c r="N4" s="649">
        <v>471</v>
      </c>
      <c r="O4" s="648">
        <v>424.5</v>
      </c>
      <c r="P4" s="621">
        <v>659184</v>
      </c>
      <c r="Q4" s="621">
        <v>663384</v>
      </c>
      <c r="R4" s="621">
        <v>740035</v>
      </c>
      <c r="S4" s="621">
        <v>731167</v>
      </c>
      <c r="T4" s="621">
        <v>4558</v>
      </c>
      <c r="U4" s="621">
        <v>0</v>
      </c>
      <c r="V4" s="621"/>
      <c r="W4" s="650">
        <v>0.38</v>
      </c>
      <c r="X4" s="621">
        <v>176</v>
      </c>
      <c r="Y4" s="621">
        <v>54</v>
      </c>
      <c r="Z4" s="650">
        <v>0.37</v>
      </c>
      <c r="AA4" s="650">
        <v>0.01</v>
      </c>
      <c r="AB4" s="651">
        <v>0.49540000000000001</v>
      </c>
      <c r="AC4" s="621">
        <v>456084</v>
      </c>
      <c r="AD4" s="621">
        <v>411355</v>
      </c>
      <c r="AE4" s="621">
        <v>411355</v>
      </c>
      <c r="AF4" s="484">
        <v>521.5</v>
      </c>
      <c r="AG4" s="649">
        <v>491.5</v>
      </c>
      <c r="AH4" s="4602">
        <v>471</v>
      </c>
      <c r="AI4" s="649">
        <v>424.5</v>
      </c>
      <c r="AJ4" s="652">
        <v>0</v>
      </c>
      <c r="AK4" s="621"/>
      <c r="AL4" s="621"/>
      <c r="AM4" s="621">
        <v>1</v>
      </c>
      <c r="AN4" s="621">
        <v>0</v>
      </c>
      <c r="AO4" s="649">
        <v>422.5</v>
      </c>
      <c r="AP4" s="649"/>
      <c r="AQ4" s="4603">
        <v>0</v>
      </c>
      <c r="AR4" s="652"/>
      <c r="AS4" s="648"/>
      <c r="AT4" s="649">
        <v>0</v>
      </c>
      <c r="AU4" s="653">
        <v>0</v>
      </c>
      <c r="AV4" s="621">
        <v>4043420</v>
      </c>
      <c r="AW4" s="621">
        <v>56324</v>
      </c>
      <c r="AX4" s="621">
        <v>97104</v>
      </c>
      <c r="AY4" s="621">
        <v>756319</v>
      </c>
      <c r="AZ4" s="621"/>
      <c r="BA4" s="428">
        <v>1</v>
      </c>
      <c r="BB4" s="621">
        <v>0</v>
      </c>
      <c r="BC4" s="621">
        <v>0</v>
      </c>
      <c r="BE4" s="621">
        <v>3886521</v>
      </c>
      <c r="BF4" s="621">
        <v>0</v>
      </c>
      <c r="BG4" s="621">
        <v>0</v>
      </c>
      <c r="BH4" s="4604">
        <v>31</v>
      </c>
      <c r="BI4" s="621">
        <v>32746163</v>
      </c>
      <c r="BJ4" s="621">
        <v>31942208</v>
      </c>
      <c r="BK4" s="621">
        <v>0</v>
      </c>
      <c r="BL4" s="4605">
        <v>270</v>
      </c>
      <c r="BM4" s="621">
        <v>236</v>
      </c>
      <c r="BN4" s="621">
        <v>194</v>
      </c>
      <c r="BO4" s="621">
        <v>54</v>
      </c>
      <c r="BP4" s="621">
        <v>55</v>
      </c>
      <c r="BQ4" s="621">
        <v>75</v>
      </c>
    </row>
    <row r="5" spans="1:69">
      <c r="A5" s="888">
        <v>102</v>
      </c>
      <c r="B5" s="889" t="s">
        <v>336</v>
      </c>
      <c r="C5" s="890" t="s">
        <v>128</v>
      </c>
      <c r="D5" s="621">
        <v>58652270</v>
      </c>
      <c r="E5" s="621">
        <v>55865537</v>
      </c>
      <c r="F5" s="621">
        <v>60216738</v>
      </c>
      <c r="G5" s="621">
        <v>57411446</v>
      </c>
      <c r="H5" s="648">
        <v>659.1</v>
      </c>
      <c r="I5" s="648">
        <v>654.4</v>
      </c>
      <c r="J5" s="649">
        <v>538</v>
      </c>
      <c r="K5" s="621">
        <v>5483257</v>
      </c>
      <c r="L5" s="484">
        <v>644.70000000000005</v>
      </c>
      <c r="M5" s="648">
        <v>667.6</v>
      </c>
      <c r="N5" s="649">
        <v>661.9</v>
      </c>
      <c r="O5" s="648">
        <v>637.5</v>
      </c>
      <c r="P5" s="621">
        <v>482471</v>
      </c>
      <c r="Q5" s="621">
        <v>543290</v>
      </c>
      <c r="R5" s="621">
        <v>618962</v>
      </c>
      <c r="S5" s="621">
        <v>538383</v>
      </c>
      <c r="T5" s="621">
        <v>0</v>
      </c>
      <c r="U5" s="621">
        <v>0</v>
      </c>
      <c r="V5" s="621"/>
      <c r="W5" s="650">
        <v>0.18</v>
      </c>
      <c r="X5" s="621">
        <v>190</v>
      </c>
      <c r="Y5" s="621">
        <v>108</v>
      </c>
      <c r="Z5" s="650">
        <v>0.18</v>
      </c>
      <c r="AA5" s="650">
        <v>0</v>
      </c>
      <c r="AB5" s="651">
        <v>0.3639</v>
      </c>
      <c r="AC5" s="621">
        <v>674154</v>
      </c>
      <c r="AD5" s="621">
        <v>670396</v>
      </c>
      <c r="AE5" s="621">
        <v>670396</v>
      </c>
      <c r="AF5" s="484">
        <v>644.70000000000005</v>
      </c>
      <c r="AG5" s="649">
        <v>667.6</v>
      </c>
      <c r="AH5" s="4602">
        <v>661.9</v>
      </c>
      <c r="AI5" s="649">
        <v>637.5</v>
      </c>
      <c r="AJ5" s="652">
        <v>0</v>
      </c>
      <c r="AK5" s="621"/>
      <c r="AL5" s="621"/>
      <c r="AM5" s="621">
        <v>0</v>
      </c>
      <c r="AN5" s="621">
        <v>0</v>
      </c>
      <c r="AO5" s="649">
        <v>633</v>
      </c>
      <c r="AP5" s="649"/>
      <c r="AQ5" s="892">
        <v>0</v>
      </c>
      <c r="AR5" s="652"/>
      <c r="AS5" s="648"/>
      <c r="AT5" s="649">
        <v>0</v>
      </c>
      <c r="AU5" s="653">
        <v>0</v>
      </c>
      <c r="AV5" s="621">
        <v>4889431</v>
      </c>
      <c r="AW5" s="621">
        <v>61946</v>
      </c>
      <c r="AX5" s="621">
        <v>56358</v>
      </c>
      <c r="AY5" s="621">
        <v>606190</v>
      </c>
      <c r="AZ5" s="621"/>
      <c r="BA5" s="428">
        <v>1</v>
      </c>
      <c r="BB5" s="621">
        <v>0</v>
      </c>
      <c r="BC5" s="621">
        <v>0</v>
      </c>
      <c r="BE5" s="621">
        <v>4937411</v>
      </c>
      <c r="BF5" s="621">
        <v>0</v>
      </c>
      <c r="BG5" s="621">
        <v>0</v>
      </c>
      <c r="BH5" s="4604">
        <v>31</v>
      </c>
      <c r="BI5" s="621">
        <v>57794342</v>
      </c>
      <c r="BJ5" s="621">
        <v>59637857</v>
      </c>
      <c r="BK5" s="621">
        <v>0</v>
      </c>
      <c r="BL5" s="4605">
        <v>215</v>
      </c>
      <c r="BM5" s="621">
        <v>212</v>
      </c>
      <c r="BN5" s="621">
        <v>204</v>
      </c>
      <c r="BO5" s="621">
        <v>71</v>
      </c>
      <c r="BP5" s="621">
        <v>90</v>
      </c>
      <c r="BQ5" s="621">
        <v>94</v>
      </c>
    </row>
    <row r="6" spans="1:69">
      <c r="A6" s="888">
        <v>103</v>
      </c>
      <c r="B6" s="889" t="s">
        <v>337</v>
      </c>
      <c r="C6" s="890" t="s">
        <v>129</v>
      </c>
      <c r="D6" s="621">
        <v>46736364</v>
      </c>
      <c r="E6" s="621">
        <v>45511487</v>
      </c>
      <c r="F6" s="621">
        <v>43152153</v>
      </c>
      <c r="G6" s="621">
        <v>41924030</v>
      </c>
      <c r="H6" s="648">
        <v>126.5</v>
      </c>
      <c r="I6" s="648">
        <v>143</v>
      </c>
      <c r="J6" s="649">
        <v>688</v>
      </c>
      <c r="K6" s="621">
        <v>1702866</v>
      </c>
      <c r="L6" s="484">
        <v>128.5</v>
      </c>
      <c r="M6" s="648">
        <v>126.5</v>
      </c>
      <c r="N6" s="649">
        <v>143</v>
      </c>
      <c r="O6" s="648">
        <v>144</v>
      </c>
      <c r="P6" s="621">
        <v>121898</v>
      </c>
      <c r="Q6" s="621">
        <v>119732</v>
      </c>
      <c r="R6" s="621">
        <v>0</v>
      </c>
      <c r="S6" s="621">
        <v>190255</v>
      </c>
      <c r="T6" s="621">
        <v>0</v>
      </c>
      <c r="U6" s="621">
        <v>0</v>
      </c>
      <c r="V6" s="621"/>
      <c r="W6" s="650">
        <v>0</v>
      </c>
      <c r="X6" s="621">
        <v>67</v>
      </c>
      <c r="Y6" s="621">
        <v>17</v>
      </c>
      <c r="Z6" s="650">
        <v>0</v>
      </c>
      <c r="AA6" s="650">
        <v>0</v>
      </c>
      <c r="AB6" s="651">
        <v>0</v>
      </c>
      <c r="AC6" s="621">
        <v>153301</v>
      </c>
      <c r="AD6" s="621">
        <v>140451</v>
      </c>
      <c r="AE6" s="621">
        <v>140451</v>
      </c>
      <c r="AF6" s="484">
        <v>128.5</v>
      </c>
      <c r="AG6" s="649">
        <v>126.5</v>
      </c>
      <c r="AH6" s="4602">
        <v>143</v>
      </c>
      <c r="AI6" s="649">
        <v>144</v>
      </c>
      <c r="AJ6" s="652">
        <v>0</v>
      </c>
      <c r="AK6" s="621"/>
      <c r="AL6" s="621"/>
      <c r="AM6" s="621">
        <v>0</v>
      </c>
      <c r="AN6" s="621">
        <v>0</v>
      </c>
      <c r="AO6" s="649">
        <v>144</v>
      </c>
      <c r="AP6" s="649"/>
      <c r="AQ6" s="892">
        <v>0</v>
      </c>
      <c r="AR6" s="652"/>
      <c r="AS6" s="648"/>
      <c r="AT6" s="649">
        <v>0</v>
      </c>
      <c r="AU6" s="653">
        <v>0</v>
      </c>
      <c r="AV6" s="621">
        <v>1427605</v>
      </c>
      <c r="AW6" s="621">
        <v>0</v>
      </c>
      <c r="AX6" s="621">
        <v>0</v>
      </c>
      <c r="AY6" s="621">
        <v>0</v>
      </c>
      <c r="AZ6" s="621"/>
      <c r="BA6" s="428">
        <v>1</v>
      </c>
      <c r="BB6" s="621">
        <v>0</v>
      </c>
      <c r="BC6" s="621">
        <v>0</v>
      </c>
      <c r="BE6" s="621">
        <v>1576748</v>
      </c>
      <c r="BF6" s="621">
        <v>191</v>
      </c>
      <c r="BG6" s="621">
        <v>0</v>
      </c>
      <c r="BH6" s="4604">
        <v>31</v>
      </c>
      <c r="BI6" s="621">
        <v>46353285</v>
      </c>
      <c r="BJ6" s="621">
        <v>42806226</v>
      </c>
      <c r="BK6" s="621">
        <v>0</v>
      </c>
      <c r="BL6" s="4605">
        <v>69</v>
      </c>
      <c r="BM6" s="621">
        <v>59</v>
      </c>
      <c r="BN6" s="621">
        <v>66</v>
      </c>
      <c r="BO6" s="621">
        <v>3</v>
      </c>
      <c r="BP6" s="621">
        <v>11</v>
      </c>
      <c r="BQ6" s="621">
        <v>15</v>
      </c>
    </row>
    <row r="7" spans="1:69">
      <c r="A7" s="888">
        <v>105</v>
      </c>
      <c r="B7" s="889" t="s">
        <v>338</v>
      </c>
      <c r="C7" s="890" t="s">
        <v>130</v>
      </c>
      <c r="D7" s="621">
        <v>50727569</v>
      </c>
      <c r="E7" s="621">
        <v>48306131</v>
      </c>
      <c r="F7" s="621">
        <v>51508028</v>
      </c>
      <c r="G7" s="621">
        <v>49088409</v>
      </c>
      <c r="H7" s="648">
        <v>353.9</v>
      </c>
      <c r="I7" s="648">
        <v>364</v>
      </c>
      <c r="J7" s="649">
        <v>740.1</v>
      </c>
      <c r="K7" s="621">
        <v>3263637</v>
      </c>
      <c r="L7" s="484">
        <v>329.5</v>
      </c>
      <c r="M7" s="648">
        <v>353.9</v>
      </c>
      <c r="N7" s="649">
        <v>364</v>
      </c>
      <c r="O7" s="648">
        <v>341</v>
      </c>
      <c r="P7" s="621">
        <v>319337</v>
      </c>
      <c r="Q7" s="621">
        <v>316909</v>
      </c>
      <c r="R7" s="621">
        <v>28459</v>
      </c>
      <c r="S7" s="621">
        <v>333603</v>
      </c>
      <c r="T7" s="621">
        <v>0</v>
      </c>
      <c r="U7" s="621">
        <v>0</v>
      </c>
      <c r="V7" s="621"/>
      <c r="W7" s="650">
        <v>0</v>
      </c>
      <c r="X7" s="621">
        <v>109</v>
      </c>
      <c r="Y7" s="621">
        <v>60</v>
      </c>
      <c r="Z7" s="650">
        <v>0</v>
      </c>
      <c r="AA7" s="650">
        <v>0</v>
      </c>
      <c r="AB7" s="651">
        <v>2.5899999999999999E-2</v>
      </c>
      <c r="AC7" s="621">
        <v>358375</v>
      </c>
      <c r="AD7" s="621">
        <v>359175</v>
      </c>
      <c r="AE7" s="621">
        <v>359175</v>
      </c>
      <c r="AF7" s="484">
        <v>329.5</v>
      </c>
      <c r="AG7" s="649">
        <v>353.9</v>
      </c>
      <c r="AH7" s="891">
        <v>364</v>
      </c>
      <c r="AI7" s="649">
        <v>341</v>
      </c>
      <c r="AJ7" s="652">
        <v>0</v>
      </c>
      <c r="AK7" s="621"/>
      <c r="AL7" s="621"/>
      <c r="AM7" s="621">
        <v>0</v>
      </c>
      <c r="AN7" s="621">
        <v>0</v>
      </c>
      <c r="AO7" s="649">
        <v>341</v>
      </c>
      <c r="AP7" s="649"/>
      <c r="AQ7" s="892">
        <v>0</v>
      </c>
      <c r="AR7" s="652"/>
      <c r="AS7" s="648"/>
      <c r="AT7" s="649">
        <v>0</v>
      </c>
      <c r="AU7" s="653">
        <v>0</v>
      </c>
      <c r="AV7" s="621">
        <v>2849548</v>
      </c>
      <c r="AW7" s="621">
        <v>0</v>
      </c>
      <c r="AX7" s="621">
        <v>0</v>
      </c>
      <c r="AY7" s="621">
        <v>31070</v>
      </c>
      <c r="AZ7" s="621"/>
      <c r="BA7" s="428">
        <v>1</v>
      </c>
      <c r="BB7" s="621">
        <v>0</v>
      </c>
      <c r="BC7" s="621">
        <v>0</v>
      </c>
      <c r="BE7" s="621">
        <v>2943523</v>
      </c>
      <c r="BF7" s="621">
        <v>1413</v>
      </c>
      <c r="BG7" s="621">
        <v>3285</v>
      </c>
      <c r="BH7" s="4604">
        <v>31</v>
      </c>
      <c r="BI7" s="621">
        <v>48616435</v>
      </c>
      <c r="BJ7" s="621">
        <v>49485924</v>
      </c>
      <c r="BK7" s="621">
        <v>0</v>
      </c>
      <c r="BL7" s="4605">
        <v>118</v>
      </c>
      <c r="BM7" s="621">
        <v>152</v>
      </c>
      <c r="BN7" s="621">
        <v>128</v>
      </c>
      <c r="BO7" s="621">
        <v>62</v>
      </c>
      <c r="BP7" s="621">
        <v>57</v>
      </c>
      <c r="BQ7" s="621">
        <v>70</v>
      </c>
    </row>
    <row r="8" spans="1:69">
      <c r="A8" s="888">
        <v>106</v>
      </c>
      <c r="B8" s="889" t="s">
        <v>339</v>
      </c>
      <c r="C8" s="890" t="s">
        <v>131</v>
      </c>
      <c r="D8" s="621">
        <v>38265279</v>
      </c>
      <c r="E8" s="621">
        <v>36723008</v>
      </c>
      <c r="F8" s="621">
        <v>32472598</v>
      </c>
      <c r="G8" s="621">
        <v>30936848</v>
      </c>
      <c r="H8" s="648">
        <v>99.5</v>
      </c>
      <c r="I8" s="648">
        <v>109.5</v>
      </c>
      <c r="J8" s="649">
        <v>601.20000000000005</v>
      </c>
      <c r="K8" s="621">
        <v>1369282</v>
      </c>
      <c r="L8" s="484">
        <v>96.5</v>
      </c>
      <c r="M8" s="648">
        <v>102.5</v>
      </c>
      <c r="N8" s="649">
        <v>111</v>
      </c>
      <c r="O8" s="648">
        <v>106</v>
      </c>
      <c r="P8" s="621">
        <v>72563</v>
      </c>
      <c r="Q8" s="621">
        <v>86928</v>
      </c>
      <c r="R8" s="621">
        <v>0</v>
      </c>
      <c r="S8" s="621">
        <v>151342</v>
      </c>
      <c r="T8" s="621">
        <v>0</v>
      </c>
      <c r="U8" s="621">
        <v>0</v>
      </c>
      <c r="V8" s="621"/>
      <c r="W8" s="650">
        <v>0</v>
      </c>
      <c r="X8" s="621">
        <v>58</v>
      </c>
      <c r="Y8" s="621">
        <v>11</v>
      </c>
      <c r="Z8" s="650">
        <v>0</v>
      </c>
      <c r="AA8" s="650">
        <v>0</v>
      </c>
      <c r="AB8" s="651">
        <v>0</v>
      </c>
      <c r="AC8" s="621">
        <v>179190</v>
      </c>
      <c r="AD8" s="621">
        <v>164273</v>
      </c>
      <c r="AE8" s="621">
        <v>164273</v>
      </c>
      <c r="AF8" s="484">
        <v>96.5</v>
      </c>
      <c r="AG8" s="649">
        <v>102.5</v>
      </c>
      <c r="AH8" s="891">
        <v>111</v>
      </c>
      <c r="AI8" s="649">
        <v>106</v>
      </c>
      <c r="AJ8" s="652">
        <v>0</v>
      </c>
      <c r="AK8" s="621"/>
      <c r="AL8" s="621"/>
      <c r="AM8" s="621">
        <v>0</v>
      </c>
      <c r="AN8" s="621">
        <v>0</v>
      </c>
      <c r="AO8" s="649">
        <v>104.5</v>
      </c>
      <c r="AP8" s="649"/>
      <c r="AQ8" s="892">
        <v>0</v>
      </c>
      <c r="AR8" s="652"/>
      <c r="AS8" s="648"/>
      <c r="AT8" s="649">
        <v>0</v>
      </c>
      <c r="AU8" s="653">
        <v>0</v>
      </c>
      <c r="AV8" s="621">
        <v>1184959</v>
      </c>
      <c r="AW8" s="621">
        <v>0</v>
      </c>
      <c r="AX8" s="621">
        <v>0</v>
      </c>
      <c r="AY8" s="621">
        <v>0</v>
      </c>
      <c r="AZ8" s="621"/>
      <c r="BA8" s="428">
        <v>1</v>
      </c>
      <c r="BB8" s="621">
        <v>0</v>
      </c>
      <c r="BC8" s="621">
        <v>0</v>
      </c>
      <c r="BE8" s="621">
        <v>1268011</v>
      </c>
      <c r="BF8" s="621">
        <v>0</v>
      </c>
      <c r="BG8" s="621">
        <v>0</v>
      </c>
      <c r="BH8" s="4604">
        <v>33</v>
      </c>
      <c r="BI8" s="621">
        <v>38054856</v>
      </c>
      <c r="BJ8" s="621">
        <v>32259144</v>
      </c>
      <c r="BK8" s="621">
        <v>0</v>
      </c>
      <c r="BL8" s="4605">
        <v>57</v>
      </c>
      <c r="BM8" s="621">
        <v>66</v>
      </c>
      <c r="BN8" s="621">
        <v>67</v>
      </c>
      <c r="BO8" s="621">
        <v>6</v>
      </c>
      <c r="BP8" s="621">
        <v>11</v>
      </c>
      <c r="BQ8" s="621">
        <v>6</v>
      </c>
    </row>
    <row r="9" spans="1:69">
      <c r="A9" s="888">
        <v>107</v>
      </c>
      <c r="B9" s="889" t="s">
        <v>340</v>
      </c>
      <c r="C9" s="890" t="s">
        <v>132</v>
      </c>
      <c r="D9" s="621">
        <v>56679772</v>
      </c>
      <c r="E9" s="621">
        <v>53406203</v>
      </c>
      <c r="F9" s="621">
        <v>59459178</v>
      </c>
      <c r="G9" s="621">
        <v>56157136</v>
      </c>
      <c r="H9" s="648">
        <v>293.5</v>
      </c>
      <c r="I9" s="648">
        <v>316</v>
      </c>
      <c r="J9" s="649">
        <v>762</v>
      </c>
      <c r="K9" s="621">
        <v>3097782</v>
      </c>
      <c r="L9" s="484">
        <v>307</v>
      </c>
      <c r="M9" s="648">
        <v>299</v>
      </c>
      <c r="N9" s="649">
        <v>321</v>
      </c>
      <c r="O9" s="648">
        <v>332.2</v>
      </c>
      <c r="P9" s="621">
        <v>375064</v>
      </c>
      <c r="Q9" s="621">
        <v>377018</v>
      </c>
      <c r="R9" s="621">
        <v>0</v>
      </c>
      <c r="S9" s="621">
        <v>323214</v>
      </c>
      <c r="T9" s="621">
        <v>0</v>
      </c>
      <c r="U9" s="621">
        <v>0</v>
      </c>
      <c r="V9" s="621"/>
      <c r="W9" s="650">
        <v>0</v>
      </c>
      <c r="X9" s="621">
        <v>129</v>
      </c>
      <c r="Y9" s="621">
        <v>42</v>
      </c>
      <c r="Z9" s="650">
        <v>0</v>
      </c>
      <c r="AA9" s="650">
        <v>0</v>
      </c>
      <c r="AB9" s="651">
        <v>0</v>
      </c>
      <c r="AC9" s="621">
        <v>325658</v>
      </c>
      <c r="AD9" s="621">
        <v>315260</v>
      </c>
      <c r="AE9" s="621">
        <v>315260</v>
      </c>
      <c r="AF9" s="484">
        <v>307</v>
      </c>
      <c r="AG9" s="649">
        <v>298</v>
      </c>
      <c r="AH9" s="891">
        <v>320</v>
      </c>
      <c r="AI9" s="649">
        <v>332.2</v>
      </c>
      <c r="AJ9" s="652">
        <v>0</v>
      </c>
      <c r="AK9" s="621"/>
      <c r="AL9" s="621"/>
      <c r="AM9" s="621">
        <v>1</v>
      </c>
      <c r="AN9" s="621">
        <v>0</v>
      </c>
      <c r="AO9" s="649">
        <v>328.2</v>
      </c>
      <c r="AP9" s="649"/>
      <c r="AQ9" s="892">
        <v>0</v>
      </c>
      <c r="AR9" s="652"/>
      <c r="AS9" s="648"/>
      <c r="AT9" s="649">
        <v>0</v>
      </c>
      <c r="AU9" s="653">
        <v>0</v>
      </c>
      <c r="AV9" s="621">
        <v>2653779</v>
      </c>
      <c r="AW9" s="621">
        <v>0</v>
      </c>
      <c r="AX9" s="621">
        <v>0</v>
      </c>
      <c r="AY9" s="621">
        <v>0</v>
      </c>
      <c r="AZ9" s="621"/>
      <c r="BA9" s="428">
        <v>1</v>
      </c>
      <c r="BB9" s="621">
        <v>0</v>
      </c>
      <c r="BC9" s="621">
        <v>0</v>
      </c>
      <c r="BE9" s="621">
        <v>2718918</v>
      </c>
      <c r="BF9" s="621">
        <v>446</v>
      </c>
      <c r="BG9" s="621">
        <v>1440</v>
      </c>
      <c r="BH9" s="4604">
        <v>31</v>
      </c>
      <c r="BI9" s="621">
        <v>56679772</v>
      </c>
      <c r="BJ9" s="621">
        <v>59459178</v>
      </c>
      <c r="BK9" s="621">
        <v>0</v>
      </c>
      <c r="BL9" s="4605">
        <v>140</v>
      </c>
      <c r="BM9" s="621">
        <v>143</v>
      </c>
      <c r="BN9" s="621">
        <v>150</v>
      </c>
      <c r="BO9" s="621">
        <v>41</v>
      </c>
      <c r="BP9" s="621">
        <v>38</v>
      </c>
      <c r="BQ9" s="621">
        <v>38</v>
      </c>
    </row>
    <row r="10" spans="1:69">
      <c r="A10" s="888">
        <v>108</v>
      </c>
      <c r="B10" s="889" t="s">
        <v>341</v>
      </c>
      <c r="C10" s="890" t="s">
        <v>133</v>
      </c>
      <c r="D10" s="621">
        <v>44305972</v>
      </c>
      <c r="E10" s="621">
        <v>41658066</v>
      </c>
      <c r="F10" s="621">
        <v>48392621</v>
      </c>
      <c r="G10" s="621">
        <v>45699457</v>
      </c>
      <c r="H10" s="648">
        <v>327.3</v>
      </c>
      <c r="I10" s="648">
        <v>350.7</v>
      </c>
      <c r="J10" s="649">
        <v>389</v>
      </c>
      <c r="K10" s="621">
        <v>3246667</v>
      </c>
      <c r="L10" s="484">
        <v>329.2</v>
      </c>
      <c r="M10" s="648">
        <v>327.3</v>
      </c>
      <c r="N10" s="649">
        <v>350.7</v>
      </c>
      <c r="O10" s="648">
        <v>365.1</v>
      </c>
      <c r="P10" s="621">
        <v>310808</v>
      </c>
      <c r="Q10" s="621">
        <v>329487</v>
      </c>
      <c r="R10" s="621">
        <v>87613</v>
      </c>
      <c r="S10" s="621">
        <v>548331</v>
      </c>
      <c r="T10" s="621">
        <v>0</v>
      </c>
      <c r="U10" s="621">
        <v>0</v>
      </c>
      <c r="V10" s="621"/>
      <c r="W10" s="650">
        <v>0</v>
      </c>
      <c r="X10" s="621">
        <v>131</v>
      </c>
      <c r="Y10" s="621">
        <v>63</v>
      </c>
      <c r="Z10" s="650">
        <v>0</v>
      </c>
      <c r="AA10" s="650">
        <v>0</v>
      </c>
      <c r="AB10" s="651">
        <v>7.0800000000000002E-2</v>
      </c>
      <c r="AC10" s="621">
        <v>345566</v>
      </c>
      <c r="AD10" s="621">
        <v>344894</v>
      </c>
      <c r="AE10" s="621">
        <v>344894</v>
      </c>
      <c r="AF10" s="484">
        <v>329.2</v>
      </c>
      <c r="AG10" s="649">
        <v>327.3</v>
      </c>
      <c r="AH10" s="891">
        <v>350.7</v>
      </c>
      <c r="AI10" s="649">
        <v>365.1</v>
      </c>
      <c r="AJ10" s="652">
        <v>0</v>
      </c>
      <c r="AK10" s="621"/>
      <c r="AL10" s="621"/>
      <c r="AM10" s="621">
        <v>0</v>
      </c>
      <c r="AN10" s="621">
        <v>0</v>
      </c>
      <c r="AO10" s="649">
        <v>365.1</v>
      </c>
      <c r="AP10" s="649"/>
      <c r="AQ10" s="892">
        <v>0</v>
      </c>
      <c r="AR10" s="652"/>
      <c r="AS10" s="648"/>
      <c r="AT10" s="649">
        <v>0</v>
      </c>
      <c r="AU10" s="653">
        <v>0</v>
      </c>
      <c r="AV10" s="621">
        <v>2716323</v>
      </c>
      <c r="AW10" s="621">
        <v>0</v>
      </c>
      <c r="AX10" s="621">
        <v>0</v>
      </c>
      <c r="AY10" s="621">
        <v>85785</v>
      </c>
      <c r="AZ10" s="621"/>
      <c r="BA10" s="428">
        <v>1</v>
      </c>
      <c r="BB10" s="621">
        <v>0</v>
      </c>
      <c r="BC10" s="621">
        <v>0</v>
      </c>
      <c r="BE10" s="621">
        <v>2917180</v>
      </c>
      <c r="BF10" s="621">
        <v>1663</v>
      </c>
      <c r="BG10" s="621">
        <v>1713</v>
      </c>
      <c r="BH10" s="4604">
        <v>31</v>
      </c>
      <c r="BI10" s="621">
        <v>44305972</v>
      </c>
      <c r="BJ10" s="621">
        <v>48219619</v>
      </c>
      <c r="BK10" s="621">
        <v>0</v>
      </c>
      <c r="BL10" s="4605">
        <v>127</v>
      </c>
      <c r="BM10" s="621">
        <v>111</v>
      </c>
      <c r="BN10" s="621">
        <v>138</v>
      </c>
      <c r="BO10" s="621">
        <v>54</v>
      </c>
      <c r="BP10" s="621">
        <v>63</v>
      </c>
      <c r="BQ10" s="621">
        <v>65</v>
      </c>
    </row>
    <row r="11" spans="1:69">
      <c r="A11" s="888">
        <v>109</v>
      </c>
      <c r="B11" s="889" t="s">
        <v>342</v>
      </c>
      <c r="C11" s="890" t="s">
        <v>134</v>
      </c>
      <c r="D11" s="621">
        <v>62802333</v>
      </c>
      <c r="E11" s="621">
        <v>58989878</v>
      </c>
      <c r="F11" s="621">
        <v>65868786</v>
      </c>
      <c r="G11" s="621">
        <v>62058493</v>
      </c>
      <c r="H11" s="648">
        <v>515.4</v>
      </c>
      <c r="I11" s="648">
        <v>514.70000000000005</v>
      </c>
      <c r="J11" s="649">
        <v>560</v>
      </c>
      <c r="K11" s="621">
        <v>4513929</v>
      </c>
      <c r="L11" s="484">
        <v>513.20000000000005</v>
      </c>
      <c r="M11" s="648">
        <v>515.4</v>
      </c>
      <c r="N11" s="649">
        <v>517.20000000000005</v>
      </c>
      <c r="O11" s="648">
        <v>480.9</v>
      </c>
      <c r="P11" s="621">
        <v>486952</v>
      </c>
      <c r="Q11" s="621">
        <v>482036</v>
      </c>
      <c r="R11" s="621">
        <v>211304</v>
      </c>
      <c r="S11" s="621">
        <v>615260</v>
      </c>
      <c r="T11" s="621">
        <v>0</v>
      </c>
      <c r="U11" s="621">
        <v>0</v>
      </c>
      <c r="V11" s="621"/>
      <c r="W11" s="650">
        <v>0</v>
      </c>
      <c r="X11" s="621">
        <v>180</v>
      </c>
      <c r="Y11" s="621">
        <v>64</v>
      </c>
      <c r="Z11" s="650">
        <v>0</v>
      </c>
      <c r="AA11" s="650">
        <v>0</v>
      </c>
      <c r="AB11" s="651">
        <v>0.108</v>
      </c>
      <c r="AC11" s="621">
        <v>467342</v>
      </c>
      <c r="AD11" s="621">
        <v>463947</v>
      </c>
      <c r="AE11" s="621">
        <v>463947</v>
      </c>
      <c r="AF11" s="484">
        <v>511</v>
      </c>
      <c r="AG11" s="649">
        <v>515.4</v>
      </c>
      <c r="AH11" s="891">
        <v>517.20000000000005</v>
      </c>
      <c r="AI11" s="649">
        <v>480.9</v>
      </c>
      <c r="AJ11" s="652">
        <v>0</v>
      </c>
      <c r="AK11" s="621"/>
      <c r="AL11" s="621"/>
      <c r="AM11" s="621">
        <v>0</v>
      </c>
      <c r="AN11" s="621">
        <v>0</v>
      </c>
      <c r="AO11" s="649">
        <v>477.4</v>
      </c>
      <c r="AP11" s="649"/>
      <c r="AQ11" s="892">
        <v>0</v>
      </c>
      <c r="AR11" s="652"/>
      <c r="AS11" s="648"/>
      <c r="AT11" s="649">
        <v>0</v>
      </c>
      <c r="AU11" s="653">
        <v>0</v>
      </c>
      <c r="AV11" s="621">
        <v>3921996</v>
      </c>
      <c r="AW11" s="621">
        <v>0</v>
      </c>
      <c r="AX11" s="621">
        <v>0</v>
      </c>
      <c r="AY11" s="621">
        <v>223170</v>
      </c>
      <c r="AZ11" s="621"/>
      <c r="BA11" s="428">
        <v>1</v>
      </c>
      <c r="BB11" s="621">
        <v>0</v>
      </c>
      <c r="BC11" s="621">
        <v>0</v>
      </c>
      <c r="BE11" s="621">
        <v>4031893</v>
      </c>
      <c r="BF11" s="621">
        <v>3854</v>
      </c>
      <c r="BG11" s="621">
        <v>5898</v>
      </c>
      <c r="BH11" s="4604">
        <v>30</v>
      </c>
      <c r="BI11" s="621">
        <v>61996166</v>
      </c>
      <c r="BJ11" s="621">
        <v>65203098</v>
      </c>
      <c r="BK11" s="621">
        <v>0</v>
      </c>
      <c r="BL11" s="4605">
        <v>211</v>
      </c>
      <c r="BM11" s="621">
        <v>186</v>
      </c>
      <c r="BN11" s="621">
        <v>180</v>
      </c>
      <c r="BO11" s="621">
        <v>65</v>
      </c>
      <c r="BP11" s="621">
        <v>80</v>
      </c>
      <c r="BQ11" s="621">
        <v>88</v>
      </c>
    </row>
    <row r="12" spans="1:69">
      <c r="A12" s="888">
        <v>110</v>
      </c>
      <c r="B12" s="889" t="s">
        <v>1087</v>
      </c>
      <c r="C12" s="890" t="s">
        <v>175</v>
      </c>
      <c r="D12" s="621">
        <v>28813734</v>
      </c>
      <c r="E12" s="621">
        <v>27141343</v>
      </c>
      <c r="F12" s="621">
        <v>29802086</v>
      </c>
      <c r="G12" s="621">
        <v>28116030</v>
      </c>
      <c r="H12" s="648">
        <v>196</v>
      </c>
      <c r="I12" s="648">
        <v>190.1</v>
      </c>
      <c r="J12" s="649">
        <v>491</v>
      </c>
      <c r="K12" s="621">
        <v>2223732</v>
      </c>
      <c r="L12" s="484">
        <v>206.1</v>
      </c>
      <c r="M12" s="648">
        <v>197</v>
      </c>
      <c r="N12" s="649">
        <v>191.1</v>
      </c>
      <c r="O12" s="648">
        <v>178</v>
      </c>
      <c r="P12" s="621">
        <v>239286</v>
      </c>
      <c r="Q12" s="621">
        <v>251200</v>
      </c>
      <c r="R12" s="621">
        <v>0</v>
      </c>
      <c r="S12" s="621">
        <v>333931</v>
      </c>
      <c r="T12" s="621">
        <v>0</v>
      </c>
      <c r="U12" s="621">
        <v>0</v>
      </c>
      <c r="V12" s="621"/>
      <c r="W12" s="650">
        <v>0</v>
      </c>
      <c r="X12" s="621">
        <v>67</v>
      </c>
      <c r="Y12" s="621">
        <v>33</v>
      </c>
      <c r="Z12" s="650">
        <v>0</v>
      </c>
      <c r="AA12" s="650">
        <v>0</v>
      </c>
      <c r="AB12" s="651">
        <v>0</v>
      </c>
      <c r="AC12" s="621">
        <v>238784</v>
      </c>
      <c r="AD12" s="621">
        <v>239398</v>
      </c>
      <c r="AE12" s="621">
        <v>239398</v>
      </c>
      <c r="AF12" s="484">
        <v>197.5</v>
      </c>
      <c r="AG12" s="649">
        <v>197</v>
      </c>
      <c r="AH12" s="891">
        <v>191.1</v>
      </c>
      <c r="AI12" s="649">
        <v>178</v>
      </c>
      <c r="AJ12" s="652">
        <v>0</v>
      </c>
      <c r="AK12" s="621"/>
      <c r="AL12" s="621"/>
      <c r="AM12" s="621">
        <v>0</v>
      </c>
      <c r="AN12" s="621">
        <v>37244</v>
      </c>
      <c r="AO12" s="649">
        <v>178</v>
      </c>
      <c r="AP12" s="649"/>
      <c r="AQ12" s="892">
        <v>0</v>
      </c>
      <c r="AR12" s="652"/>
      <c r="AS12" s="648"/>
      <c r="AT12" s="649">
        <v>0</v>
      </c>
      <c r="AU12" s="653">
        <v>0</v>
      </c>
      <c r="AV12" s="621">
        <v>1943687</v>
      </c>
      <c r="AW12" s="621">
        <v>0</v>
      </c>
      <c r="AX12" s="621">
        <v>0</v>
      </c>
      <c r="AY12" s="621">
        <v>27652</v>
      </c>
      <c r="AZ12" s="621"/>
      <c r="BA12" s="428">
        <v>1</v>
      </c>
      <c r="BB12" s="621">
        <v>0</v>
      </c>
      <c r="BC12" s="621">
        <v>0</v>
      </c>
      <c r="BE12" s="621">
        <v>1935287</v>
      </c>
      <c r="BF12" s="621">
        <v>766</v>
      </c>
      <c r="BG12" s="621">
        <v>1474</v>
      </c>
      <c r="BH12" s="4604">
        <v>31</v>
      </c>
      <c r="BI12" s="621">
        <v>28799114</v>
      </c>
      <c r="BJ12" s="621">
        <v>29802086</v>
      </c>
      <c r="BK12" s="621">
        <v>0</v>
      </c>
      <c r="BL12" s="4605">
        <v>97</v>
      </c>
      <c r="BM12" s="621">
        <v>81</v>
      </c>
      <c r="BN12" s="621">
        <v>83</v>
      </c>
      <c r="BO12" s="621">
        <v>26</v>
      </c>
      <c r="BP12" s="621">
        <v>37</v>
      </c>
      <c r="BQ12" s="621">
        <v>26</v>
      </c>
    </row>
    <row r="13" spans="1:69">
      <c r="A13" s="888">
        <v>111</v>
      </c>
      <c r="B13" s="889" t="s">
        <v>1088</v>
      </c>
      <c r="C13" s="890" t="s">
        <v>214</v>
      </c>
      <c r="D13" s="621">
        <v>76418653</v>
      </c>
      <c r="E13" s="621">
        <v>74169340</v>
      </c>
      <c r="F13" s="621">
        <v>82413932</v>
      </c>
      <c r="G13" s="621">
        <v>80155498</v>
      </c>
      <c r="H13" s="648">
        <v>316</v>
      </c>
      <c r="I13" s="648">
        <v>318.7</v>
      </c>
      <c r="J13" s="649">
        <v>229</v>
      </c>
      <c r="K13" s="621">
        <v>2888367</v>
      </c>
      <c r="L13" s="484">
        <v>363</v>
      </c>
      <c r="M13" s="648">
        <v>323</v>
      </c>
      <c r="N13" s="649">
        <v>322.7</v>
      </c>
      <c r="O13" s="648">
        <v>293.5</v>
      </c>
      <c r="P13" s="621">
        <v>287885</v>
      </c>
      <c r="Q13" s="621">
        <v>345823</v>
      </c>
      <c r="R13" s="621">
        <v>0</v>
      </c>
      <c r="S13" s="621">
        <v>555221</v>
      </c>
      <c r="T13" s="621">
        <v>20207</v>
      </c>
      <c r="U13" s="621">
        <v>0</v>
      </c>
      <c r="V13" s="621"/>
      <c r="W13" s="650">
        <v>0</v>
      </c>
      <c r="X13" s="621">
        <v>67</v>
      </c>
      <c r="Y13" s="621">
        <v>22</v>
      </c>
      <c r="Z13" s="650">
        <v>0</v>
      </c>
      <c r="AA13" s="650">
        <v>0</v>
      </c>
      <c r="AB13" s="651">
        <v>0</v>
      </c>
      <c r="AC13" s="621">
        <v>373823</v>
      </c>
      <c r="AD13" s="621">
        <v>364553</v>
      </c>
      <c r="AE13" s="621">
        <v>364553</v>
      </c>
      <c r="AF13" s="484">
        <v>316</v>
      </c>
      <c r="AG13" s="649">
        <v>323</v>
      </c>
      <c r="AH13" s="891">
        <v>322.7</v>
      </c>
      <c r="AI13" s="649">
        <v>293.5</v>
      </c>
      <c r="AJ13" s="652">
        <v>0</v>
      </c>
      <c r="AK13" s="621"/>
      <c r="AL13" s="621"/>
      <c r="AM13" s="621">
        <v>0</v>
      </c>
      <c r="AN13" s="621">
        <v>0</v>
      </c>
      <c r="AO13" s="649">
        <v>290.5</v>
      </c>
      <c r="AP13" s="649"/>
      <c r="AQ13" s="892">
        <v>0</v>
      </c>
      <c r="AR13" s="652"/>
      <c r="AS13" s="648"/>
      <c r="AT13" s="649">
        <v>0</v>
      </c>
      <c r="AU13" s="653">
        <v>0</v>
      </c>
      <c r="AV13" s="621">
        <v>2547106</v>
      </c>
      <c r="AW13" s="621">
        <v>0</v>
      </c>
      <c r="AX13" s="621">
        <v>0</v>
      </c>
      <c r="AY13" s="621">
        <v>0</v>
      </c>
      <c r="AZ13" s="621"/>
      <c r="BA13" s="428">
        <v>1</v>
      </c>
      <c r="BB13" s="621">
        <v>0</v>
      </c>
      <c r="BC13" s="621">
        <v>0</v>
      </c>
      <c r="BE13" s="621">
        <v>2542544</v>
      </c>
      <c r="BF13" s="621">
        <v>4013</v>
      </c>
      <c r="BG13" s="621">
        <v>3557</v>
      </c>
      <c r="BH13" s="4604">
        <v>31</v>
      </c>
      <c r="BI13" s="621">
        <v>73567381</v>
      </c>
      <c r="BJ13" s="621">
        <v>81145735</v>
      </c>
      <c r="BK13" s="621">
        <v>0</v>
      </c>
      <c r="BL13" s="4605">
        <v>84</v>
      </c>
      <c r="BM13" s="621">
        <v>107</v>
      </c>
      <c r="BN13" s="621">
        <v>96</v>
      </c>
      <c r="BO13" s="621">
        <v>38</v>
      </c>
      <c r="BP13" s="621">
        <v>46</v>
      </c>
      <c r="BQ13" s="621">
        <v>26</v>
      </c>
    </row>
    <row r="14" spans="1:69">
      <c r="A14" s="888">
        <v>112</v>
      </c>
      <c r="B14" s="889" t="s">
        <v>1089</v>
      </c>
      <c r="C14" s="890" t="s">
        <v>176</v>
      </c>
      <c r="D14" s="621">
        <v>104496226</v>
      </c>
      <c r="E14" s="621">
        <v>100443397</v>
      </c>
      <c r="F14" s="621">
        <v>98680541</v>
      </c>
      <c r="G14" s="621">
        <v>94634219</v>
      </c>
      <c r="H14" s="648">
        <v>456</v>
      </c>
      <c r="I14" s="648">
        <v>428</v>
      </c>
      <c r="J14" s="649">
        <v>582.79999999999995</v>
      </c>
      <c r="K14" s="621">
        <v>5897213</v>
      </c>
      <c r="L14" s="484">
        <v>471.5</v>
      </c>
      <c r="M14" s="648">
        <v>489.6</v>
      </c>
      <c r="N14" s="649">
        <v>449.3</v>
      </c>
      <c r="O14" s="648">
        <v>827.1</v>
      </c>
      <c r="P14" s="621">
        <v>532320</v>
      </c>
      <c r="Q14" s="621">
        <v>516291</v>
      </c>
      <c r="R14" s="621">
        <v>0</v>
      </c>
      <c r="S14" s="621">
        <v>685976</v>
      </c>
      <c r="T14" s="621">
        <v>0</v>
      </c>
      <c r="U14" s="621">
        <v>0</v>
      </c>
      <c r="V14" s="621"/>
      <c r="W14" s="650">
        <v>0</v>
      </c>
      <c r="X14" s="621">
        <v>169</v>
      </c>
      <c r="Y14" s="621">
        <v>33</v>
      </c>
      <c r="Z14" s="650">
        <v>0</v>
      </c>
      <c r="AA14" s="650">
        <v>0</v>
      </c>
      <c r="AB14" s="651">
        <v>0</v>
      </c>
      <c r="AC14" s="621">
        <v>528251</v>
      </c>
      <c r="AD14" s="621">
        <v>495051</v>
      </c>
      <c r="AE14" s="621">
        <v>495051</v>
      </c>
      <c r="AF14" s="484">
        <v>460.6</v>
      </c>
      <c r="AG14" s="649">
        <v>458.5</v>
      </c>
      <c r="AH14" s="891">
        <v>435.5</v>
      </c>
      <c r="AI14" s="649">
        <v>440</v>
      </c>
      <c r="AJ14" s="652">
        <v>0</v>
      </c>
      <c r="AK14" s="621"/>
      <c r="AL14" s="621"/>
      <c r="AM14" s="621">
        <v>0</v>
      </c>
      <c r="AN14" s="621">
        <v>0</v>
      </c>
      <c r="AO14" s="649">
        <v>433.5</v>
      </c>
      <c r="AP14" s="649"/>
      <c r="AQ14" s="892">
        <v>0</v>
      </c>
      <c r="AR14" s="652"/>
      <c r="AS14" s="648"/>
      <c r="AT14" s="649">
        <v>0</v>
      </c>
      <c r="AU14" s="653">
        <v>0</v>
      </c>
      <c r="AV14" s="621">
        <v>3651460</v>
      </c>
      <c r="AW14" s="621">
        <v>0</v>
      </c>
      <c r="AX14" s="621">
        <v>0</v>
      </c>
      <c r="AY14" s="621">
        <v>0</v>
      </c>
      <c r="AZ14" s="621"/>
      <c r="BA14" s="428">
        <v>1</v>
      </c>
      <c r="BB14" s="621">
        <v>0</v>
      </c>
      <c r="BC14" s="621">
        <v>0</v>
      </c>
      <c r="BE14" s="621">
        <v>5375388</v>
      </c>
      <c r="BF14" s="621">
        <v>2480</v>
      </c>
      <c r="BG14" s="621">
        <v>2659</v>
      </c>
      <c r="BH14" s="4604">
        <v>33</v>
      </c>
      <c r="BI14" s="621">
        <v>103977524</v>
      </c>
      <c r="BJ14" s="621">
        <v>98300483</v>
      </c>
      <c r="BK14" s="621">
        <v>0</v>
      </c>
      <c r="BL14" s="4605">
        <v>178</v>
      </c>
      <c r="BM14" s="621">
        <v>156</v>
      </c>
      <c r="BN14" s="621">
        <v>153</v>
      </c>
      <c r="BO14" s="621">
        <v>51</v>
      </c>
      <c r="BP14" s="621">
        <v>62</v>
      </c>
      <c r="BQ14" s="621">
        <v>54</v>
      </c>
    </row>
    <row r="15" spans="1:69">
      <c r="A15" s="888">
        <v>113</v>
      </c>
      <c r="B15" s="889" t="s">
        <v>1105</v>
      </c>
      <c r="C15" s="890" t="s">
        <v>221</v>
      </c>
      <c r="D15" s="621">
        <v>129060222</v>
      </c>
      <c r="E15" s="621">
        <v>123115967</v>
      </c>
      <c r="F15" s="621">
        <v>134958212</v>
      </c>
      <c r="G15" s="621">
        <v>129012149</v>
      </c>
      <c r="H15" s="648">
        <v>1072.3</v>
      </c>
      <c r="I15" s="648">
        <v>1053.5</v>
      </c>
      <c r="J15" s="649">
        <v>543</v>
      </c>
      <c r="K15" s="621">
        <v>7887266</v>
      </c>
      <c r="L15" s="484">
        <v>1080.7</v>
      </c>
      <c r="M15" s="648">
        <v>1085.8</v>
      </c>
      <c r="N15" s="649">
        <v>1068.5</v>
      </c>
      <c r="O15" s="648">
        <v>1055.7</v>
      </c>
      <c r="P15" s="621">
        <v>772022</v>
      </c>
      <c r="Q15" s="621">
        <v>752922</v>
      </c>
      <c r="R15" s="621">
        <v>458826</v>
      </c>
      <c r="S15" s="621">
        <v>1100793</v>
      </c>
      <c r="T15" s="621">
        <v>12766</v>
      </c>
      <c r="U15" s="621">
        <v>0</v>
      </c>
      <c r="V15" s="621"/>
      <c r="W15" s="650">
        <v>0</v>
      </c>
      <c r="X15" s="621">
        <v>245</v>
      </c>
      <c r="Y15" s="621">
        <v>121</v>
      </c>
      <c r="Z15" s="657">
        <v>0.17</v>
      </c>
      <c r="AA15" s="650">
        <v>0</v>
      </c>
      <c r="AB15" s="651">
        <v>0.1399</v>
      </c>
      <c r="AC15" s="621">
        <v>1042929</v>
      </c>
      <c r="AD15" s="621">
        <v>996281</v>
      </c>
      <c r="AE15" s="621">
        <v>996281</v>
      </c>
      <c r="AF15" s="484">
        <v>1064.0999999999999</v>
      </c>
      <c r="AG15" s="649">
        <v>1085.8</v>
      </c>
      <c r="AH15" s="891">
        <v>1068.5</v>
      </c>
      <c r="AI15" s="649">
        <v>1055.7</v>
      </c>
      <c r="AJ15" s="652">
        <v>0</v>
      </c>
      <c r="AK15" s="621"/>
      <c r="AL15" s="621"/>
      <c r="AM15" s="621">
        <v>6</v>
      </c>
      <c r="AN15" s="621">
        <v>0</v>
      </c>
      <c r="AO15" s="649">
        <v>1044.2</v>
      </c>
      <c r="AP15" s="649"/>
      <c r="AQ15" s="892">
        <v>0</v>
      </c>
      <c r="AR15" s="652"/>
      <c r="AS15" s="648"/>
      <c r="AT15" s="649">
        <v>0</v>
      </c>
      <c r="AU15" s="653">
        <v>0</v>
      </c>
      <c r="AV15" s="621">
        <v>7034088</v>
      </c>
      <c r="AW15" s="621">
        <v>0</v>
      </c>
      <c r="AX15" s="621">
        <v>0</v>
      </c>
      <c r="AY15" s="621">
        <v>515729</v>
      </c>
      <c r="AZ15" s="621"/>
      <c r="BA15" s="428">
        <v>1</v>
      </c>
      <c r="BB15" s="621">
        <v>0</v>
      </c>
      <c r="BC15" s="621">
        <v>0</v>
      </c>
      <c r="BE15" s="621">
        <v>7133541</v>
      </c>
      <c r="BF15" s="621">
        <v>4998</v>
      </c>
      <c r="BG15" s="621">
        <v>3722</v>
      </c>
      <c r="BH15" s="4604">
        <v>33</v>
      </c>
      <c r="BI15" s="621">
        <v>127067348</v>
      </c>
      <c r="BJ15" s="621">
        <v>132967351</v>
      </c>
      <c r="BK15" s="621">
        <v>0</v>
      </c>
      <c r="BL15" s="4605">
        <v>311</v>
      </c>
      <c r="BM15" s="621">
        <v>270</v>
      </c>
      <c r="BN15" s="621">
        <v>279</v>
      </c>
      <c r="BO15" s="621">
        <v>89</v>
      </c>
      <c r="BP15" s="621">
        <v>129</v>
      </c>
      <c r="BQ15" s="621">
        <v>111</v>
      </c>
    </row>
    <row r="16" spans="1:69">
      <c r="A16" s="888">
        <v>114</v>
      </c>
      <c r="B16" s="889" t="s">
        <v>1102</v>
      </c>
      <c r="C16" s="890" t="s">
        <v>214</v>
      </c>
      <c r="D16" s="621">
        <v>42978523</v>
      </c>
      <c r="E16" s="621">
        <v>39975308</v>
      </c>
      <c r="F16" s="621">
        <v>43183632</v>
      </c>
      <c r="G16" s="621">
        <v>40183961</v>
      </c>
      <c r="H16" s="648">
        <v>580</v>
      </c>
      <c r="I16" s="648">
        <v>563.4</v>
      </c>
      <c r="J16" s="649">
        <v>88</v>
      </c>
      <c r="K16" s="621">
        <v>5320477</v>
      </c>
      <c r="L16" s="484">
        <v>592</v>
      </c>
      <c r="M16" s="648">
        <v>591</v>
      </c>
      <c r="N16" s="649">
        <v>578.20000000000005</v>
      </c>
      <c r="O16" s="648">
        <v>590.1</v>
      </c>
      <c r="P16" s="621">
        <v>651002</v>
      </c>
      <c r="Q16" s="621">
        <v>659351</v>
      </c>
      <c r="R16" s="621">
        <v>823425</v>
      </c>
      <c r="S16" s="621">
        <v>631555</v>
      </c>
      <c r="T16" s="621">
        <v>20010</v>
      </c>
      <c r="U16" s="621">
        <v>0</v>
      </c>
      <c r="V16" s="621"/>
      <c r="W16" s="650">
        <v>0.42</v>
      </c>
      <c r="X16" s="621">
        <v>245</v>
      </c>
      <c r="Y16" s="621">
        <v>51</v>
      </c>
      <c r="Z16" s="650">
        <v>0.43</v>
      </c>
      <c r="AA16" s="650">
        <v>7.0000000000000007E-2</v>
      </c>
      <c r="AB16" s="651">
        <v>0.50319999999999998</v>
      </c>
      <c r="AC16" s="621">
        <v>590471</v>
      </c>
      <c r="AD16" s="621">
        <v>554924</v>
      </c>
      <c r="AE16" s="621">
        <v>554924</v>
      </c>
      <c r="AF16" s="484">
        <v>592</v>
      </c>
      <c r="AG16" s="649">
        <v>585.5</v>
      </c>
      <c r="AH16" s="891">
        <v>571.9</v>
      </c>
      <c r="AI16" s="649">
        <v>583.29999999999995</v>
      </c>
      <c r="AJ16" s="652">
        <v>0</v>
      </c>
      <c r="AK16" s="621"/>
      <c r="AL16" s="621"/>
      <c r="AM16" s="621">
        <v>0</v>
      </c>
      <c r="AN16" s="621">
        <v>0</v>
      </c>
      <c r="AO16" s="649">
        <v>577.29999999999995</v>
      </c>
      <c r="AP16" s="649"/>
      <c r="AQ16" s="892">
        <v>0</v>
      </c>
      <c r="AR16" s="652"/>
      <c r="AS16" s="648"/>
      <c r="AT16" s="649">
        <v>0</v>
      </c>
      <c r="AU16" s="653">
        <v>0</v>
      </c>
      <c r="AV16" s="621">
        <v>4638013</v>
      </c>
      <c r="AW16" s="621">
        <v>61682</v>
      </c>
      <c r="AX16" s="621">
        <v>56051</v>
      </c>
      <c r="AY16" s="621">
        <v>834950</v>
      </c>
      <c r="AZ16" s="621"/>
      <c r="BA16" s="428">
        <v>1</v>
      </c>
      <c r="BB16" s="621">
        <v>0</v>
      </c>
      <c r="BC16" s="621">
        <v>0</v>
      </c>
      <c r="BE16" s="621">
        <v>4661126</v>
      </c>
      <c r="BF16" s="621">
        <v>699</v>
      </c>
      <c r="BG16" s="621">
        <v>1420</v>
      </c>
      <c r="BH16" s="4604">
        <v>31</v>
      </c>
      <c r="BI16" s="621">
        <v>40806266</v>
      </c>
      <c r="BJ16" s="621">
        <v>42080474</v>
      </c>
      <c r="BK16" s="621">
        <v>0</v>
      </c>
      <c r="BL16" s="4605">
        <v>278</v>
      </c>
      <c r="BM16" s="621">
        <v>236</v>
      </c>
      <c r="BN16" s="621">
        <v>258</v>
      </c>
      <c r="BO16" s="621">
        <v>77</v>
      </c>
      <c r="BP16" s="621">
        <v>62</v>
      </c>
      <c r="BQ16" s="621">
        <v>64</v>
      </c>
    </row>
    <row r="17" spans="1:69">
      <c r="A17" s="888">
        <v>115</v>
      </c>
      <c r="B17" s="889" t="s">
        <v>1134</v>
      </c>
      <c r="C17" s="890" t="s">
        <v>221</v>
      </c>
      <c r="D17" s="621">
        <v>93010879</v>
      </c>
      <c r="E17" s="621">
        <v>89128696</v>
      </c>
      <c r="F17" s="621">
        <v>96706982</v>
      </c>
      <c r="G17" s="621">
        <v>92803317</v>
      </c>
      <c r="H17" s="648">
        <v>564.4</v>
      </c>
      <c r="I17" s="648">
        <v>595.29999999999995</v>
      </c>
      <c r="J17" s="649">
        <v>222</v>
      </c>
      <c r="K17" s="621">
        <v>4976729</v>
      </c>
      <c r="L17" s="484">
        <v>564.20000000000005</v>
      </c>
      <c r="M17" s="648">
        <v>577.9</v>
      </c>
      <c r="N17" s="649">
        <v>608.79999999999995</v>
      </c>
      <c r="O17" s="648">
        <v>608.6</v>
      </c>
      <c r="P17" s="621">
        <v>475199</v>
      </c>
      <c r="Q17" s="621">
        <v>553013</v>
      </c>
      <c r="R17" s="621">
        <v>0</v>
      </c>
      <c r="S17" s="621">
        <v>577233</v>
      </c>
      <c r="T17" s="621">
        <v>0</v>
      </c>
      <c r="U17" s="621">
        <v>0</v>
      </c>
      <c r="V17" s="621"/>
      <c r="W17" s="650">
        <v>0</v>
      </c>
      <c r="X17" s="621">
        <v>115</v>
      </c>
      <c r="Y17" s="621">
        <v>56</v>
      </c>
      <c r="Z17" s="650">
        <v>0</v>
      </c>
      <c r="AA17" s="650">
        <v>0</v>
      </c>
      <c r="AB17" s="651">
        <v>0</v>
      </c>
      <c r="AC17" s="621">
        <v>712473</v>
      </c>
      <c r="AD17" s="621">
        <v>711784</v>
      </c>
      <c r="AE17" s="621">
        <v>711784</v>
      </c>
      <c r="AF17" s="484">
        <v>564.20000000000005</v>
      </c>
      <c r="AG17" s="649">
        <v>577.9</v>
      </c>
      <c r="AH17" s="891">
        <v>608.79999999999995</v>
      </c>
      <c r="AI17" s="649">
        <v>608.6</v>
      </c>
      <c r="AJ17" s="652">
        <v>0</v>
      </c>
      <c r="AK17" s="621"/>
      <c r="AL17" s="621"/>
      <c r="AM17" s="621">
        <v>0</v>
      </c>
      <c r="AN17" s="621">
        <v>0</v>
      </c>
      <c r="AO17" s="649">
        <v>591.6</v>
      </c>
      <c r="AP17" s="649"/>
      <c r="AQ17" s="892">
        <v>0</v>
      </c>
      <c r="AR17" s="652"/>
      <c r="AS17" s="648"/>
      <c r="AT17" s="649">
        <v>0</v>
      </c>
      <c r="AU17" s="653">
        <v>0</v>
      </c>
      <c r="AV17" s="621">
        <v>4128464</v>
      </c>
      <c r="AW17" s="621">
        <v>0</v>
      </c>
      <c r="AX17" s="621">
        <v>0</v>
      </c>
      <c r="AY17" s="621">
        <v>0</v>
      </c>
      <c r="AZ17" s="621"/>
      <c r="BA17" s="428">
        <v>1</v>
      </c>
      <c r="BB17" s="621">
        <v>0</v>
      </c>
      <c r="BC17" s="621">
        <v>0</v>
      </c>
      <c r="BE17" s="621">
        <v>4423712</v>
      </c>
      <c r="BF17" s="621">
        <v>2308</v>
      </c>
      <c r="BG17" s="621">
        <v>2379</v>
      </c>
      <c r="BH17" s="4604">
        <v>31</v>
      </c>
      <c r="BI17" s="621">
        <v>89772802</v>
      </c>
      <c r="BJ17" s="621">
        <v>92820020</v>
      </c>
      <c r="BK17" s="621">
        <v>0</v>
      </c>
      <c r="BL17" s="4605">
        <v>95</v>
      </c>
      <c r="BM17" s="621">
        <v>114</v>
      </c>
      <c r="BN17" s="621">
        <v>123</v>
      </c>
      <c r="BO17" s="621">
        <v>52</v>
      </c>
      <c r="BP17" s="621">
        <v>44</v>
      </c>
      <c r="BQ17" s="621">
        <v>42</v>
      </c>
    </row>
    <row r="18" spans="1:69">
      <c r="A18" s="888">
        <v>200</v>
      </c>
      <c r="B18" s="889" t="s">
        <v>343</v>
      </c>
      <c r="C18" s="890" t="s">
        <v>135</v>
      </c>
      <c r="D18" s="621">
        <v>38653872</v>
      </c>
      <c r="E18" s="621">
        <v>37274841</v>
      </c>
      <c r="F18" s="621">
        <v>35903271</v>
      </c>
      <c r="G18" s="621">
        <v>34536990</v>
      </c>
      <c r="H18" s="648">
        <v>250</v>
      </c>
      <c r="I18" s="648">
        <v>234.2</v>
      </c>
      <c r="J18" s="649">
        <v>780</v>
      </c>
      <c r="K18" s="621">
        <v>2438932</v>
      </c>
      <c r="L18" s="484">
        <v>257.10000000000002</v>
      </c>
      <c r="M18" s="648">
        <v>253</v>
      </c>
      <c r="N18" s="649">
        <v>236.2</v>
      </c>
      <c r="O18" s="648">
        <v>238.6</v>
      </c>
      <c r="P18" s="621">
        <v>159130</v>
      </c>
      <c r="Q18" s="621">
        <v>163431</v>
      </c>
      <c r="R18" s="621">
        <v>0</v>
      </c>
      <c r="S18" s="621">
        <v>165851</v>
      </c>
      <c r="T18" s="621">
        <v>0</v>
      </c>
      <c r="U18" s="621">
        <v>0</v>
      </c>
      <c r="V18" s="621"/>
      <c r="W18" s="650">
        <v>0</v>
      </c>
      <c r="X18" s="621">
        <v>93</v>
      </c>
      <c r="Y18" s="621">
        <v>30</v>
      </c>
      <c r="Z18" s="650">
        <v>0</v>
      </c>
      <c r="AA18" s="650">
        <v>0</v>
      </c>
      <c r="AB18" s="651">
        <v>0</v>
      </c>
      <c r="AC18" s="621">
        <v>254068</v>
      </c>
      <c r="AD18" s="621">
        <v>240733</v>
      </c>
      <c r="AE18" s="621">
        <v>240733</v>
      </c>
      <c r="AF18" s="484">
        <v>257.10000000000002</v>
      </c>
      <c r="AG18" s="649">
        <v>253</v>
      </c>
      <c r="AH18" s="891">
        <v>236.2</v>
      </c>
      <c r="AI18" s="649">
        <v>238.6</v>
      </c>
      <c r="AJ18" s="652">
        <v>0</v>
      </c>
      <c r="AK18" s="621"/>
      <c r="AL18" s="621"/>
      <c r="AM18" s="621">
        <v>0</v>
      </c>
      <c r="AN18" s="621">
        <v>0</v>
      </c>
      <c r="AO18" s="649">
        <v>234.6</v>
      </c>
      <c r="AP18" s="649"/>
      <c r="AQ18" s="892">
        <v>0</v>
      </c>
      <c r="AR18" s="652"/>
      <c r="AS18" s="648"/>
      <c r="AT18" s="649">
        <v>0</v>
      </c>
      <c r="AU18" s="653">
        <v>0</v>
      </c>
      <c r="AV18" s="621">
        <v>2160569</v>
      </c>
      <c r="AW18" s="621">
        <v>0</v>
      </c>
      <c r="AX18" s="621">
        <v>0</v>
      </c>
      <c r="AY18" s="621">
        <v>0</v>
      </c>
      <c r="AZ18" s="621"/>
      <c r="BA18" s="428">
        <v>1</v>
      </c>
      <c r="BB18" s="621">
        <v>0</v>
      </c>
      <c r="BC18" s="621">
        <v>0</v>
      </c>
      <c r="BE18" s="621">
        <v>2270271</v>
      </c>
      <c r="BF18" s="621">
        <v>0</v>
      </c>
      <c r="BG18" s="621">
        <v>0</v>
      </c>
      <c r="BH18" s="4604">
        <v>31</v>
      </c>
      <c r="BI18" s="621">
        <v>38222461</v>
      </c>
      <c r="BJ18" s="621">
        <v>35585996</v>
      </c>
      <c r="BK18" s="621">
        <v>0</v>
      </c>
      <c r="BL18" s="4605">
        <v>106</v>
      </c>
      <c r="BM18" s="621">
        <v>101</v>
      </c>
      <c r="BN18" s="621">
        <v>81</v>
      </c>
      <c r="BO18" s="621">
        <v>44</v>
      </c>
      <c r="BP18" s="621">
        <v>39</v>
      </c>
      <c r="BQ18" s="621">
        <v>37</v>
      </c>
    </row>
    <row r="19" spans="1:69">
      <c r="A19" s="888">
        <v>202</v>
      </c>
      <c r="B19" s="889" t="s">
        <v>344</v>
      </c>
      <c r="C19" s="890" t="s">
        <v>136</v>
      </c>
      <c r="D19" s="621">
        <v>149364336</v>
      </c>
      <c r="E19" s="621">
        <v>135018302</v>
      </c>
      <c r="F19" s="621">
        <v>160498168</v>
      </c>
      <c r="G19" s="621">
        <v>146149066</v>
      </c>
      <c r="H19" s="648">
        <v>3899.5</v>
      </c>
      <c r="I19" s="648">
        <v>3839.8</v>
      </c>
      <c r="J19" s="649">
        <v>17</v>
      </c>
      <c r="K19" s="621">
        <v>29848089</v>
      </c>
      <c r="L19" s="484">
        <v>4037.5</v>
      </c>
      <c r="M19" s="648">
        <v>3995.5</v>
      </c>
      <c r="N19" s="649">
        <v>3937.8</v>
      </c>
      <c r="O19" s="648">
        <v>3758</v>
      </c>
      <c r="P19" s="621">
        <v>3304009</v>
      </c>
      <c r="Q19" s="621">
        <v>3237825</v>
      </c>
      <c r="R19" s="621">
        <v>6647890</v>
      </c>
      <c r="S19" s="621">
        <v>3234002</v>
      </c>
      <c r="T19" s="621">
        <v>4512</v>
      </c>
      <c r="U19" s="621">
        <v>0</v>
      </c>
      <c r="V19" s="621"/>
      <c r="W19" s="650">
        <v>0.71</v>
      </c>
      <c r="X19" s="621">
        <v>2271</v>
      </c>
      <c r="Y19" s="621">
        <v>454</v>
      </c>
      <c r="Z19" s="650">
        <v>0.7</v>
      </c>
      <c r="AA19" s="650">
        <v>0.34</v>
      </c>
      <c r="AB19" s="651">
        <v>0.72409999999999997</v>
      </c>
      <c r="AC19" s="621">
        <v>4266734</v>
      </c>
      <c r="AD19" s="621">
        <v>4153096</v>
      </c>
      <c r="AE19" s="621">
        <v>4153096</v>
      </c>
      <c r="AF19" s="484">
        <v>4037.5</v>
      </c>
      <c r="AG19" s="649">
        <v>3971</v>
      </c>
      <c r="AH19" s="891">
        <v>3917.3</v>
      </c>
      <c r="AI19" s="649">
        <v>3739.8</v>
      </c>
      <c r="AJ19" s="652">
        <v>0</v>
      </c>
      <c r="AK19" s="621"/>
      <c r="AL19" s="621"/>
      <c r="AM19" s="621">
        <v>0</v>
      </c>
      <c r="AN19" s="621">
        <v>0</v>
      </c>
      <c r="AO19" s="649">
        <v>3681.8</v>
      </c>
      <c r="AP19" s="649"/>
      <c r="AQ19" s="892">
        <v>0</v>
      </c>
      <c r="AR19" s="652"/>
      <c r="AS19" s="648"/>
      <c r="AT19" s="649">
        <v>0</v>
      </c>
      <c r="AU19" s="653">
        <v>0</v>
      </c>
      <c r="AV19" s="621">
        <v>26763724</v>
      </c>
      <c r="AW19" s="621">
        <v>860847</v>
      </c>
      <c r="AX19" s="621">
        <v>899770</v>
      </c>
      <c r="AY19" s="621">
        <v>6828796</v>
      </c>
      <c r="AZ19" s="621"/>
      <c r="BA19" s="428">
        <v>1</v>
      </c>
      <c r="BB19" s="621">
        <v>0</v>
      </c>
      <c r="BC19" s="621">
        <v>0</v>
      </c>
      <c r="BE19" s="621">
        <v>26610264</v>
      </c>
      <c r="BF19" s="621">
        <v>11382</v>
      </c>
      <c r="BG19" s="621">
        <v>4352</v>
      </c>
      <c r="BH19" s="4604">
        <v>31</v>
      </c>
      <c r="BI19" s="621">
        <v>147405399</v>
      </c>
      <c r="BJ19" s="621">
        <v>158410236</v>
      </c>
      <c r="BK19" s="621">
        <v>0</v>
      </c>
      <c r="BL19" s="4605">
        <v>2529</v>
      </c>
      <c r="BM19" s="621">
        <v>2509</v>
      </c>
      <c r="BN19" s="621">
        <v>2439</v>
      </c>
      <c r="BO19" s="621">
        <v>509</v>
      </c>
      <c r="BP19" s="621">
        <v>473</v>
      </c>
      <c r="BQ19" s="621">
        <v>497</v>
      </c>
    </row>
    <row r="20" spans="1:69">
      <c r="A20" s="888">
        <v>203</v>
      </c>
      <c r="B20" s="889" t="s">
        <v>345</v>
      </c>
      <c r="C20" s="890" t="s">
        <v>136</v>
      </c>
      <c r="D20" s="621">
        <v>227952201</v>
      </c>
      <c r="E20" s="621">
        <v>217742317</v>
      </c>
      <c r="F20" s="621">
        <v>237898555</v>
      </c>
      <c r="G20" s="621">
        <v>227474811</v>
      </c>
      <c r="H20" s="648">
        <v>2314</v>
      </c>
      <c r="I20" s="648">
        <v>2435.5</v>
      </c>
      <c r="J20" s="649">
        <v>31.4</v>
      </c>
      <c r="K20" s="621">
        <v>16258900</v>
      </c>
      <c r="L20" s="484">
        <v>2269.6</v>
      </c>
      <c r="M20" s="648">
        <v>2321.1999999999998</v>
      </c>
      <c r="N20" s="649">
        <v>2455.4</v>
      </c>
      <c r="O20" s="648">
        <v>2487.4</v>
      </c>
      <c r="P20" s="621">
        <v>2712101</v>
      </c>
      <c r="Q20" s="621">
        <v>2637316</v>
      </c>
      <c r="R20" s="621">
        <v>1911093</v>
      </c>
      <c r="S20" s="621">
        <v>1285790</v>
      </c>
      <c r="T20" s="621">
        <v>1307</v>
      </c>
      <c r="U20" s="621">
        <v>0</v>
      </c>
      <c r="V20" s="621"/>
      <c r="W20" s="650">
        <v>0.21</v>
      </c>
      <c r="X20" s="621">
        <v>301</v>
      </c>
      <c r="Y20" s="621">
        <v>117</v>
      </c>
      <c r="Z20" s="650">
        <v>0.21</v>
      </c>
      <c r="AA20" s="650">
        <v>0</v>
      </c>
      <c r="AB20" s="651">
        <v>0.35520000000000002</v>
      </c>
      <c r="AC20" s="621">
        <v>1976295</v>
      </c>
      <c r="AD20" s="621">
        <v>1962810</v>
      </c>
      <c r="AE20" s="621">
        <v>1962810</v>
      </c>
      <c r="AF20" s="484">
        <v>2265.3000000000002</v>
      </c>
      <c r="AG20" s="649">
        <v>2319.5</v>
      </c>
      <c r="AH20" s="891">
        <v>2441.5</v>
      </c>
      <c r="AI20" s="649">
        <v>2466.6999999999998</v>
      </c>
      <c r="AJ20" s="652">
        <v>1.9900000000000001E-2</v>
      </c>
      <c r="AK20" s="621"/>
      <c r="AL20" s="621"/>
      <c r="AM20" s="621">
        <v>121</v>
      </c>
      <c r="AN20" s="621">
        <v>0</v>
      </c>
      <c r="AO20" s="649">
        <v>2465.1999999999998</v>
      </c>
      <c r="AP20" s="649"/>
      <c r="AQ20" s="892">
        <v>0</v>
      </c>
      <c r="AR20" s="652"/>
      <c r="AS20" s="648"/>
      <c r="AT20" s="649">
        <v>0</v>
      </c>
      <c r="AU20" s="653">
        <v>0</v>
      </c>
      <c r="AV20" s="621">
        <v>12750898</v>
      </c>
      <c r="AW20" s="621">
        <v>320319</v>
      </c>
      <c r="AX20" s="621">
        <v>345489</v>
      </c>
      <c r="AY20" s="621">
        <v>1546120</v>
      </c>
      <c r="AZ20" s="621"/>
      <c r="BA20" s="428">
        <v>1</v>
      </c>
      <c r="BB20" s="621">
        <v>0</v>
      </c>
      <c r="BC20" s="621">
        <v>0</v>
      </c>
      <c r="BE20" s="621">
        <v>13621584</v>
      </c>
      <c r="BF20" s="621">
        <v>8677</v>
      </c>
      <c r="BG20" s="621">
        <v>3169</v>
      </c>
      <c r="BH20" s="4604">
        <v>33</v>
      </c>
      <c r="BI20" s="621">
        <v>217730722</v>
      </c>
      <c r="BJ20" s="621">
        <v>227295360</v>
      </c>
      <c r="BK20" s="621">
        <v>0</v>
      </c>
      <c r="BL20" s="4605">
        <v>356</v>
      </c>
      <c r="BM20" s="621">
        <v>309</v>
      </c>
      <c r="BN20" s="621">
        <v>334</v>
      </c>
      <c r="BO20" s="621">
        <v>139</v>
      </c>
      <c r="BP20" s="621">
        <v>149</v>
      </c>
      <c r="BQ20" s="621">
        <v>115</v>
      </c>
    </row>
    <row r="21" spans="1:69">
      <c r="A21" s="888">
        <v>204</v>
      </c>
      <c r="B21" s="889" t="s">
        <v>346</v>
      </c>
      <c r="C21" s="890" t="s">
        <v>136</v>
      </c>
      <c r="D21" s="621">
        <v>203614997</v>
      </c>
      <c r="E21" s="621">
        <v>192289977</v>
      </c>
      <c r="F21" s="621">
        <v>216564018</v>
      </c>
      <c r="G21" s="621">
        <v>205190161</v>
      </c>
      <c r="H21" s="648">
        <v>2591.3000000000002</v>
      </c>
      <c r="I21" s="648">
        <v>2621.5</v>
      </c>
      <c r="J21" s="649">
        <v>38</v>
      </c>
      <c r="K21" s="621">
        <v>19107019</v>
      </c>
      <c r="L21" s="484">
        <v>3723.8</v>
      </c>
      <c r="M21" s="648">
        <v>2665.3</v>
      </c>
      <c r="N21" s="649">
        <v>2689.4</v>
      </c>
      <c r="O21" s="648">
        <v>2558.9</v>
      </c>
      <c r="P21" s="621">
        <v>3780960</v>
      </c>
      <c r="Q21" s="621">
        <v>3638050</v>
      </c>
      <c r="R21" s="621">
        <v>2937291</v>
      </c>
      <c r="S21" s="621">
        <v>2016420</v>
      </c>
      <c r="T21" s="621">
        <v>2790</v>
      </c>
      <c r="U21" s="621">
        <v>0</v>
      </c>
      <c r="V21" s="621"/>
      <c r="W21" s="650">
        <v>0.31</v>
      </c>
      <c r="X21" s="621">
        <v>869</v>
      </c>
      <c r="Y21" s="621">
        <v>265</v>
      </c>
      <c r="Z21" s="650">
        <v>0.3</v>
      </c>
      <c r="AA21" s="650">
        <v>0</v>
      </c>
      <c r="AB21" s="651">
        <v>0.44319999999999998</v>
      </c>
      <c r="AC21" s="621">
        <v>2948977</v>
      </c>
      <c r="AD21" s="621">
        <v>2804628</v>
      </c>
      <c r="AE21" s="621">
        <v>2804628</v>
      </c>
      <c r="AF21" s="484">
        <v>2626.7</v>
      </c>
      <c r="AG21" s="649">
        <v>2607.8000000000002</v>
      </c>
      <c r="AH21" s="891">
        <v>2642.5</v>
      </c>
      <c r="AI21" s="649">
        <v>2526.4</v>
      </c>
      <c r="AJ21" s="652">
        <v>0</v>
      </c>
      <c r="AK21" s="621"/>
      <c r="AL21" s="621"/>
      <c r="AM21" s="621">
        <v>3</v>
      </c>
      <c r="AN21" s="621">
        <v>0</v>
      </c>
      <c r="AO21" s="649">
        <v>2515.9</v>
      </c>
      <c r="AP21" s="649"/>
      <c r="AQ21" s="892">
        <v>0</v>
      </c>
      <c r="AR21" s="652"/>
      <c r="AS21" s="648"/>
      <c r="AT21" s="649">
        <v>0</v>
      </c>
      <c r="AU21" s="653">
        <v>0</v>
      </c>
      <c r="AV21" s="621">
        <v>15422189</v>
      </c>
      <c r="AW21" s="621">
        <v>525673</v>
      </c>
      <c r="AX21" s="621">
        <v>544981</v>
      </c>
      <c r="AY21" s="621">
        <v>2921486</v>
      </c>
      <c r="AZ21" s="621"/>
      <c r="BA21" s="428">
        <v>1</v>
      </c>
      <c r="BB21" s="621">
        <v>18837</v>
      </c>
      <c r="BC21" s="621">
        <v>18837</v>
      </c>
      <c r="BE21" s="621">
        <v>15468969</v>
      </c>
      <c r="BF21" s="621">
        <v>5083</v>
      </c>
      <c r="BG21" s="621">
        <v>3195</v>
      </c>
      <c r="BH21" s="4604">
        <v>33</v>
      </c>
      <c r="BI21" s="621">
        <v>199118681</v>
      </c>
      <c r="BJ21" s="621">
        <v>210628735</v>
      </c>
      <c r="BK21" s="621">
        <v>18837</v>
      </c>
      <c r="BL21" s="4605">
        <v>987</v>
      </c>
      <c r="BM21" s="621">
        <v>939</v>
      </c>
      <c r="BN21" s="621">
        <v>993</v>
      </c>
      <c r="BO21" s="621">
        <v>375</v>
      </c>
      <c r="BP21" s="621">
        <v>375</v>
      </c>
      <c r="BQ21" s="621">
        <v>326</v>
      </c>
    </row>
    <row r="22" spans="1:69">
      <c r="A22" s="888">
        <v>205</v>
      </c>
      <c r="B22" s="889" t="s">
        <v>347</v>
      </c>
      <c r="C22" s="890" t="s">
        <v>137</v>
      </c>
      <c r="D22" s="621">
        <v>40169474</v>
      </c>
      <c r="E22" s="621">
        <v>36566438</v>
      </c>
      <c r="F22" s="621">
        <v>41655797</v>
      </c>
      <c r="G22" s="621">
        <v>38023944</v>
      </c>
      <c r="H22" s="648">
        <v>496</v>
      </c>
      <c r="I22" s="648">
        <v>483.2</v>
      </c>
      <c r="J22" s="649">
        <v>348.6</v>
      </c>
      <c r="K22" s="621">
        <v>4496617</v>
      </c>
      <c r="L22" s="484">
        <v>475.5</v>
      </c>
      <c r="M22" s="648">
        <v>496</v>
      </c>
      <c r="N22" s="649">
        <v>483.2</v>
      </c>
      <c r="O22" s="648">
        <v>483.6</v>
      </c>
      <c r="P22" s="621">
        <v>540315</v>
      </c>
      <c r="Q22" s="621">
        <v>567749</v>
      </c>
      <c r="R22" s="621">
        <v>556441</v>
      </c>
      <c r="S22" s="621">
        <v>606474</v>
      </c>
      <c r="T22" s="621">
        <v>14277</v>
      </c>
      <c r="U22" s="621">
        <v>0</v>
      </c>
      <c r="V22" s="621"/>
      <c r="W22" s="650">
        <v>0.27</v>
      </c>
      <c r="X22" s="621">
        <v>163</v>
      </c>
      <c r="Y22" s="621">
        <v>38</v>
      </c>
      <c r="Z22" s="650">
        <v>0.26</v>
      </c>
      <c r="AA22" s="650">
        <v>0</v>
      </c>
      <c r="AB22" s="651">
        <v>0.4012</v>
      </c>
      <c r="AC22" s="621">
        <v>520819</v>
      </c>
      <c r="AD22" s="621">
        <v>502569</v>
      </c>
      <c r="AE22" s="621">
        <v>502569</v>
      </c>
      <c r="AF22" s="484">
        <v>475.5</v>
      </c>
      <c r="AG22" s="649">
        <v>496</v>
      </c>
      <c r="AH22" s="891">
        <v>483.2</v>
      </c>
      <c r="AI22" s="649">
        <v>476.6</v>
      </c>
      <c r="AJ22" s="652">
        <v>0</v>
      </c>
      <c r="AK22" s="621"/>
      <c r="AL22" s="621"/>
      <c r="AM22" s="621">
        <v>2</v>
      </c>
      <c r="AN22" s="621">
        <v>0</v>
      </c>
      <c r="AO22" s="649">
        <v>476.6</v>
      </c>
      <c r="AP22" s="649"/>
      <c r="AQ22" s="892">
        <v>0</v>
      </c>
      <c r="AR22" s="652"/>
      <c r="AS22" s="648"/>
      <c r="AT22" s="649">
        <v>0</v>
      </c>
      <c r="AU22" s="653">
        <v>0</v>
      </c>
      <c r="AV22" s="621">
        <v>3819687</v>
      </c>
      <c r="AW22" s="621">
        <v>92296</v>
      </c>
      <c r="AX22" s="621">
        <v>83288</v>
      </c>
      <c r="AY22" s="621">
        <v>550417</v>
      </c>
      <c r="AZ22" s="621"/>
      <c r="BA22" s="428">
        <v>1</v>
      </c>
      <c r="BB22" s="621">
        <v>0</v>
      </c>
      <c r="BC22" s="621">
        <v>0</v>
      </c>
      <c r="BE22" s="621">
        <v>3926749</v>
      </c>
      <c r="BF22" s="621">
        <v>0</v>
      </c>
      <c r="BG22" s="621">
        <v>8623</v>
      </c>
      <c r="BH22" s="4604">
        <v>33</v>
      </c>
      <c r="BI22" s="621">
        <v>40169474</v>
      </c>
      <c r="BJ22" s="621">
        <v>41655797</v>
      </c>
      <c r="BK22" s="621">
        <v>0</v>
      </c>
      <c r="BL22" s="4605">
        <v>202</v>
      </c>
      <c r="BM22" s="621">
        <v>184</v>
      </c>
      <c r="BN22" s="621">
        <v>172</v>
      </c>
      <c r="BO22" s="621">
        <v>52</v>
      </c>
      <c r="BP22" s="621">
        <v>48</v>
      </c>
      <c r="BQ22" s="621">
        <v>48</v>
      </c>
    </row>
    <row r="23" spans="1:69">
      <c r="A23" s="888">
        <v>206</v>
      </c>
      <c r="B23" s="889" t="s">
        <v>348</v>
      </c>
      <c r="C23" s="890" t="s">
        <v>137</v>
      </c>
      <c r="D23" s="621">
        <v>55155147</v>
      </c>
      <c r="E23" s="621">
        <v>52010850</v>
      </c>
      <c r="F23" s="621">
        <v>57198105</v>
      </c>
      <c r="G23" s="621">
        <v>54053026</v>
      </c>
      <c r="H23" s="648">
        <v>492.9</v>
      </c>
      <c r="I23" s="648">
        <v>460.8</v>
      </c>
      <c r="J23" s="649">
        <v>253</v>
      </c>
      <c r="K23" s="621">
        <v>4363080</v>
      </c>
      <c r="L23" s="484">
        <v>514</v>
      </c>
      <c r="M23" s="648">
        <v>497.4</v>
      </c>
      <c r="N23" s="649">
        <v>467.8</v>
      </c>
      <c r="O23" s="648">
        <v>457</v>
      </c>
      <c r="P23" s="621">
        <v>598595</v>
      </c>
      <c r="Q23" s="621">
        <v>565349</v>
      </c>
      <c r="R23" s="621">
        <v>306453</v>
      </c>
      <c r="S23" s="621">
        <v>531708</v>
      </c>
      <c r="T23" s="621">
        <v>0</v>
      </c>
      <c r="U23" s="621">
        <v>0</v>
      </c>
      <c r="V23" s="621"/>
      <c r="W23" s="650">
        <v>0</v>
      </c>
      <c r="X23" s="621">
        <v>128</v>
      </c>
      <c r="Y23" s="621">
        <v>50</v>
      </c>
      <c r="Z23" s="650">
        <v>0</v>
      </c>
      <c r="AA23" s="650">
        <v>0</v>
      </c>
      <c r="AB23" s="651">
        <v>0.15939999999999999</v>
      </c>
      <c r="AC23" s="621">
        <v>533272</v>
      </c>
      <c r="AD23" s="621">
        <v>511974</v>
      </c>
      <c r="AE23" s="621">
        <v>511974</v>
      </c>
      <c r="AF23" s="484">
        <v>510.2</v>
      </c>
      <c r="AG23" s="649">
        <v>497.4</v>
      </c>
      <c r="AH23" s="891">
        <v>467.8</v>
      </c>
      <c r="AI23" s="649">
        <v>457</v>
      </c>
      <c r="AJ23" s="652">
        <v>0</v>
      </c>
      <c r="AK23" s="621"/>
      <c r="AL23" s="621"/>
      <c r="AM23" s="621">
        <v>0</v>
      </c>
      <c r="AN23" s="621">
        <v>0</v>
      </c>
      <c r="AO23" s="649">
        <v>454</v>
      </c>
      <c r="AP23" s="649"/>
      <c r="AQ23" s="892">
        <v>0</v>
      </c>
      <c r="AR23" s="652"/>
      <c r="AS23" s="648"/>
      <c r="AT23" s="649">
        <v>0</v>
      </c>
      <c r="AU23" s="653">
        <v>0</v>
      </c>
      <c r="AV23" s="621">
        <v>3781018</v>
      </c>
      <c r="AW23" s="621">
        <v>6071</v>
      </c>
      <c r="AX23" s="621">
        <v>0</v>
      </c>
      <c r="AY23" s="621">
        <v>334973</v>
      </c>
      <c r="AZ23" s="621"/>
      <c r="BA23" s="428">
        <v>1</v>
      </c>
      <c r="BB23" s="621">
        <v>0</v>
      </c>
      <c r="BC23" s="621">
        <v>0</v>
      </c>
      <c r="BE23" s="621">
        <v>3796478</v>
      </c>
      <c r="BF23" s="621">
        <v>1997</v>
      </c>
      <c r="BG23" s="621">
        <v>1621</v>
      </c>
      <c r="BH23" s="4604">
        <v>33</v>
      </c>
      <c r="BI23" s="621">
        <v>55155147</v>
      </c>
      <c r="BJ23" s="621">
        <v>57198105</v>
      </c>
      <c r="BK23" s="621">
        <v>0</v>
      </c>
      <c r="BL23" s="4605">
        <v>124</v>
      </c>
      <c r="BM23" s="621">
        <v>130</v>
      </c>
      <c r="BN23" s="621">
        <v>124</v>
      </c>
      <c r="BO23" s="621">
        <v>70</v>
      </c>
      <c r="BP23" s="621">
        <v>66</v>
      </c>
      <c r="BQ23" s="621">
        <v>55</v>
      </c>
    </row>
    <row r="24" spans="1:69">
      <c r="A24" s="888">
        <v>207</v>
      </c>
      <c r="B24" s="889" t="s">
        <v>349</v>
      </c>
      <c r="C24" s="890" t="s">
        <v>138</v>
      </c>
      <c r="D24" s="621">
        <v>2011690</v>
      </c>
      <c r="E24" s="621">
        <v>2011690</v>
      </c>
      <c r="F24" s="621">
        <v>1884286</v>
      </c>
      <c r="G24" s="621">
        <v>1884286</v>
      </c>
      <c r="H24" s="648">
        <v>1695.5</v>
      </c>
      <c r="I24" s="648">
        <v>1649.2</v>
      </c>
      <c r="J24" s="649">
        <v>8.5</v>
      </c>
      <c r="K24" s="621">
        <v>9667547</v>
      </c>
      <c r="L24" s="484">
        <v>1980.4</v>
      </c>
      <c r="M24" s="648">
        <v>1756.5</v>
      </c>
      <c r="N24" s="649">
        <v>1716</v>
      </c>
      <c r="O24" s="648">
        <v>1429.3</v>
      </c>
      <c r="P24" s="621">
        <v>1236655</v>
      </c>
      <c r="Q24" s="621">
        <v>1132656</v>
      </c>
      <c r="R24" s="621">
        <v>3221352</v>
      </c>
      <c r="S24" s="621">
        <v>1239600</v>
      </c>
      <c r="T24" s="621">
        <v>0</v>
      </c>
      <c r="U24" s="621">
        <v>0</v>
      </c>
      <c r="V24" s="621"/>
      <c r="W24" s="657">
        <v>1</v>
      </c>
      <c r="X24" s="621">
        <v>21</v>
      </c>
      <c r="Y24" s="621">
        <v>78</v>
      </c>
      <c r="Z24" s="650">
        <v>1</v>
      </c>
      <c r="AA24" s="650">
        <v>0.75</v>
      </c>
      <c r="AB24" s="651">
        <v>0.99109999999999998</v>
      </c>
      <c r="AC24" s="621">
        <v>1998575</v>
      </c>
      <c r="AD24" s="621">
        <v>1832473</v>
      </c>
      <c r="AE24" s="621">
        <v>1832473</v>
      </c>
      <c r="AF24" s="484">
        <v>1823.6</v>
      </c>
      <c r="AG24" s="649">
        <v>1756.5</v>
      </c>
      <c r="AH24" s="891">
        <v>1716</v>
      </c>
      <c r="AI24" s="649">
        <v>1429.3</v>
      </c>
      <c r="AJ24" s="652">
        <v>0</v>
      </c>
      <c r="AK24" s="621"/>
      <c r="AL24" s="621"/>
      <c r="AM24" s="621">
        <v>2895</v>
      </c>
      <c r="AN24" s="621">
        <v>5818880</v>
      </c>
      <c r="AO24" s="649">
        <v>1350.8</v>
      </c>
      <c r="AP24" s="649"/>
      <c r="AQ24" s="892">
        <v>61</v>
      </c>
      <c r="AR24" s="652"/>
      <c r="AS24" s="648"/>
      <c r="AT24" s="649">
        <v>66.8</v>
      </c>
      <c r="AU24" s="653">
        <v>78.5</v>
      </c>
      <c r="AV24" s="621">
        <v>2829019</v>
      </c>
      <c r="AW24" s="621">
        <v>7974</v>
      </c>
      <c r="AX24" s="621">
        <v>7482</v>
      </c>
      <c r="AY24" s="621">
        <v>3305069</v>
      </c>
      <c r="AZ24" s="621"/>
      <c r="BA24" s="428">
        <v>1</v>
      </c>
      <c r="BB24" s="621">
        <v>0</v>
      </c>
      <c r="BC24" s="621">
        <v>0</v>
      </c>
      <c r="BE24" s="621">
        <v>2702058</v>
      </c>
      <c r="BF24" s="621">
        <v>1470</v>
      </c>
      <c r="BG24" s="621">
        <v>4116</v>
      </c>
      <c r="BH24" s="4604">
        <v>33</v>
      </c>
      <c r="BI24" s="621">
        <v>2011690</v>
      </c>
      <c r="BJ24" s="621">
        <v>1884286</v>
      </c>
      <c r="BK24" s="621">
        <v>0</v>
      </c>
      <c r="BL24" s="4605">
        <v>70</v>
      </c>
      <c r="BM24" s="621">
        <v>68</v>
      </c>
      <c r="BN24" s="621">
        <v>47</v>
      </c>
      <c r="BO24" s="621">
        <v>104</v>
      </c>
      <c r="BP24" s="621">
        <v>101</v>
      </c>
      <c r="BQ24" s="621">
        <v>98</v>
      </c>
    </row>
    <row r="25" spans="1:69">
      <c r="A25" s="888">
        <v>208</v>
      </c>
      <c r="B25" s="889" t="s">
        <v>350</v>
      </c>
      <c r="C25" s="890" t="s">
        <v>139</v>
      </c>
      <c r="D25" s="621">
        <v>65474666</v>
      </c>
      <c r="E25" s="621">
        <v>62222391</v>
      </c>
      <c r="F25" s="621">
        <v>62170578</v>
      </c>
      <c r="G25" s="621">
        <v>58900142</v>
      </c>
      <c r="H25" s="648">
        <v>375.5</v>
      </c>
      <c r="I25" s="648">
        <v>384.5</v>
      </c>
      <c r="J25" s="649">
        <v>706.7</v>
      </c>
      <c r="K25" s="621">
        <v>3350905</v>
      </c>
      <c r="L25" s="484">
        <v>436.7</v>
      </c>
      <c r="M25" s="648">
        <v>375.5</v>
      </c>
      <c r="N25" s="649">
        <v>387.5</v>
      </c>
      <c r="O25" s="648">
        <v>356.6</v>
      </c>
      <c r="P25" s="621">
        <v>431130</v>
      </c>
      <c r="Q25" s="621">
        <v>406648</v>
      </c>
      <c r="R25" s="621">
        <v>0</v>
      </c>
      <c r="S25" s="621">
        <v>509998</v>
      </c>
      <c r="T25" s="621">
        <v>0</v>
      </c>
      <c r="U25" s="621">
        <v>0</v>
      </c>
      <c r="V25" s="621"/>
      <c r="W25" s="650">
        <v>0</v>
      </c>
      <c r="X25" s="621">
        <v>83</v>
      </c>
      <c r="Y25" s="621">
        <v>50</v>
      </c>
      <c r="Z25" s="650">
        <v>0</v>
      </c>
      <c r="AA25" s="650">
        <v>0</v>
      </c>
      <c r="AB25" s="651">
        <v>0</v>
      </c>
      <c r="AC25" s="621">
        <v>415467</v>
      </c>
      <c r="AD25" s="621">
        <v>405628</v>
      </c>
      <c r="AE25" s="621">
        <v>405628</v>
      </c>
      <c r="AF25" s="484">
        <v>385.3</v>
      </c>
      <c r="AG25" s="649">
        <v>375.5</v>
      </c>
      <c r="AH25" s="891">
        <v>387.5</v>
      </c>
      <c r="AI25" s="649">
        <v>356.6</v>
      </c>
      <c r="AJ25" s="652">
        <v>0</v>
      </c>
      <c r="AK25" s="621"/>
      <c r="AL25" s="621"/>
      <c r="AM25" s="621">
        <v>0</v>
      </c>
      <c r="AN25" s="621">
        <v>0</v>
      </c>
      <c r="AO25" s="649">
        <v>355.1</v>
      </c>
      <c r="AP25" s="649"/>
      <c r="AQ25" s="892">
        <v>0</v>
      </c>
      <c r="AR25" s="652"/>
      <c r="AS25" s="648"/>
      <c r="AT25" s="649">
        <v>0</v>
      </c>
      <c r="AU25" s="653">
        <v>0</v>
      </c>
      <c r="AV25" s="621">
        <v>2896657</v>
      </c>
      <c r="AW25" s="621">
        <v>0</v>
      </c>
      <c r="AX25" s="621">
        <v>0</v>
      </c>
      <c r="AY25" s="621">
        <v>47905</v>
      </c>
      <c r="AZ25" s="621"/>
      <c r="BA25" s="428">
        <v>1</v>
      </c>
      <c r="BB25" s="621">
        <v>0</v>
      </c>
      <c r="BC25" s="621">
        <v>0</v>
      </c>
      <c r="BE25" s="621">
        <v>2922090</v>
      </c>
      <c r="BF25" s="621">
        <v>0</v>
      </c>
      <c r="BG25" s="621">
        <v>0</v>
      </c>
      <c r="BH25" s="4604">
        <v>33</v>
      </c>
      <c r="BI25" s="621">
        <v>65184825</v>
      </c>
      <c r="BJ25" s="621">
        <v>62040562</v>
      </c>
      <c r="BK25" s="621">
        <v>0</v>
      </c>
      <c r="BL25" s="4605">
        <v>120</v>
      </c>
      <c r="BM25" s="621">
        <v>102</v>
      </c>
      <c r="BN25" s="621">
        <v>102</v>
      </c>
      <c r="BO25" s="621">
        <v>31</v>
      </c>
      <c r="BP25" s="621">
        <v>44</v>
      </c>
      <c r="BQ25" s="621">
        <v>52</v>
      </c>
    </row>
    <row r="26" spans="1:69">
      <c r="A26" s="888">
        <v>209</v>
      </c>
      <c r="B26" s="889" t="s">
        <v>351</v>
      </c>
      <c r="C26" s="890" t="s">
        <v>140</v>
      </c>
      <c r="D26" s="621">
        <v>32412303</v>
      </c>
      <c r="E26" s="621">
        <v>31834408</v>
      </c>
      <c r="F26" s="621">
        <v>22853933</v>
      </c>
      <c r="G26" s="621">
        <v>22289437</v>
      </c>
      <c r="H26" s="648">
        <v>159.19999999999999</v>
      </c>
      <c r="I26" s="648">
        <v>148.9</v>
      </c>
      <c r="J26" s="649">
        <v>223</v>
      </c>
      <c r="K26" s="621">
        <v>1774143</v>
      </c>
      <c r="L26" s="484">
        <v>178.5</v>
      </c>
      <c r="M26" s="648">
        <v>162.69999999999999</v>
      </c>
      <c r="N26" s="649">
        <v>150.80000000000001</v>
      </c>
      <c r="O26" s="648">
        <v>131</v>
      </c>
      <c r="P26" s="621">
        <v>115638</v>
      </c>
      <c r="Q26" s="621">
        <v>111068</v>
      </c>
      <c r="R26" s="621">
        <v>0</v>
      </c>
      <c r="S26" s="621">
        <v>138161</v>
      </c>
      <c r="T26" s="621">
        <v>0</v>
      </c>
      <c r="U26" s="621">
        <v>0</v>
      </c>
      <c r="V26" s="621"/>
      <c r="W26" s="650">
        <v>0</v>
      </c>
      <c r="X26" s="621">
        <v>65</v>
      </c>
      <c r="Y26" s="621">
        <v>18</v>
      </c>
      <c r="Z26" s="650">
        <v>0</v>
      </c>
      <c r="AA26" s="650">
        <v>0</v>
      </c>
      <c r="AB26" s="651">
        <v>0</v>
      </c>
      <c r="AC26" s="621">
        <v>227942</v>
      </c>
      <c r="AD26" s="621">
        <v>215523</v>
      </c>
      <c r="AE26" s="621">
        <v>215523</v>
      </c>
      <c r="AF26" s="484">
        <v>178.5</v>
      </c>
      <c r="AG26" s="649">
        <v>162.69999999999999</v>
      </c>
      <c r="AH26" s="891">
        <v>150.80000000000001</v>
      </c>
      <c r="AI26" s="649">
        <v>131</v>
      </c>
      <c r="AJ26" s="652">
        <v>0</v>
      </c>
      <c r="AK26" s="621"/>
      <c r="AL26" s="621"/>
      <c r="AM26" s="621">
        <v>0</v>
      </c>
      <c r="AN26" s="621">
        <v>0</v>
      </c>
      <c r="AO26" s="649">
        <v>128</v>
      </c>
      <c r="AP26" s="649"/>
      <c r="AQ26" s="892">
        <v>0</v>
      </c>
      <c r="AR26" s="652"/>
      <c r="AS26" s="648"/>
      <c r="AT26" s="649">
        <v>0</v>
      </c>
      <c r="AU26" s="653">
        <v>0</v>
      </c>
      <c r="AV26" s="621">
        <v>1723791</v>
      </c>
      <c r="AW26" s="621">
        <v>0</v>
      </c>
      <c r="AX26" s="621">
        <v>0</v>
      </c>
      <c r="AY26" s="621">
        <v>0</v>
      </c>
      <c r="AZ26" s="621"/>
      <c r="BA26" s="428">
        <v>1</v>
      </c>
      <c r="BB26" s="621">
        <v>0</v>
      </c>
      <c r="BC26" s="621">
        <v>0</v>
      </c>
      <c r="BE26" s="621">
        <v>1653243</v>
      </c>
      <c r="BF26" s="621">
        <v>17</v>
      </c>
      <c r="BG26" s="621">
        <v>238</v>
      </c>
      <c r="BH26" s="4604">
        <v>33</v>
      </c>
      <c r="BI26" s="621">
        <v>32396878</v>
      </c>
      <c r="BJ26" s="621">
        <v>22843650</v>
      </c>
      <c r="BK26" s="621">
        <v>0</v>
      </c>
      <c r="BL26" s="4605">
        <v>98</v>
      </c>
      <c r="BM26" s="621">
        <v>84</v>
      </c>
      <c r="BN26" s="621">
        <v>74</v>
      </c>
      <c r="BO26" s="621">
        <v>22</v>
      </c>
      <c r="BP26" s="621">
        <v>18</v>
      </c>
      <c r="BQ26" s="621">
        <v>17</v>
      </c>
    </row>
    <row r="27" spans="1:69">
      <c r="A27" s="888">
        <v>210</v>
      </c>
      <c r="B27" s="889" t="s">
        <v>352</v>
      </c>
      <c r="C27" s="890" t="s">
        <v>140</v>
      </c>
      <c r="D27" s="621">
        <v>104249578</v>
      </c>
      <c r="E27" s="621">
        <v>100189660</v>
      </c>
      <c r="F27" s="621">
        <v>70125956</v>
      </c>
      <c r="G27" s="621">
        <v>66130985</v>
      </c>
      <c r="H27" s="648">
        <v>999.8</v>
      </c>
      <c r="I27" s="648">
        <v>984.7</v>
      </c>
      <c r="J27" s="649">
        <v>575</v>
      </c>
      <c r="K27" s="621">
        <v>8346665</v>
      </c>
      <c r="L27" s="484">
        <v>984.6</v>
      </c>
      <c r="M27" s="648">
        <v>1023.6</v>
      </c>
      <c r="N27" s="649">
        <v>1006.5</v>
      </c>
      <c r="O27" s="648">
        <v>1008.6</v>
      </c>
      <c r="P27" s="621">
        <v>572473</v>
      </c>
      <c r="Q27" s="621">
        <v>610734</v>
      </c>
      <c r="R27" s="621">
        <v>725842</v>
      </c>
      <c r="S27" s="621">
        <v>622779</v>
      </c>
      <c r="T27" s="621">
        <v>10557</v>
      </c>
      <c r="U27" s="621">
        <v>0</v>
      </c>
      <c r="V27" s="621"/>
      <c r="W27" s="650">
        <v>0.44</v>
      </c>
      <c r="X27" s="621">
        <v>472</v>
      </c>
      <c r="Y27" s="621">
        <v>158</v>
      </c>
      <c r="Z27" s="650">
        <v>0.43</v>
      </c>
      <c r="AA27" s="650">
        <v>7.0000000000000007E-2</v>
      </c>
      <c r="AB27" s="651">
        <v>0.37040000000000001</v>
      </c>
      <c r="AC27" s="621">
        <v>1018285</v>
      </c>
      <c r="AD27" s="621">
        <v>957545</v>
      </c>
      <c r="AE27" s="621">
        <v>957545</v>
      </c>
      <c r="AF27" s="484">
        <v>983.6</v>
      </c>
      <c r="AG27" s="649">
        <v>1012.8</v>
      </c>
      <c r="AH27" s="891">
        <v>999.2</v>
      </c>
      <c r="AI27" s="649">
        <v>996.1</v>
      </c>
      <c r="AJ27" s="652">
        <v>0</v>
      </c>
      <c r="AK27" s="621"/>
      <c r="AL27" s="621"/>
      <c r="AM27" s="621">
        <v>2</v>
      </c>
      <c r="AN27" s="621">
        <v>0</v>
      </c>
      <c r="AO27" s="649">
        <v>974.6</v>
      </c>
      <c r="AP27" s="649"/>
      <c r="AQ27" s="892">
        <v>0</v>
      </c>
      <c r="AR27" s="652"/>
      <c r="AS27" s="648"/>
      <c r="AT27" s="649">
        <v>0</v>
      </c>
      <c r="AU27" s="653">
        <v>0</v>
      </c>
      <c r="AV27" s="621">
        <v>7377609</v>
      </c>
      <c r="AW27" s="621">
        <v>149683</v>
      </c>
      <c r="AX27" s="621">
        <v>27974</v>
      </c>
      <c r="AY27" s="621">
        <v>771885</v>
      </c>
      <c r="AZ27" s="621"/>
      <c r="BA27" s="428">
        <v>1</v>
      </c>
      <c r="BB27" s="621">
        <v>27776</v>
      </c>
      <c r="BC27" s="621">
        <v>27776</v>
      </c>
      <c r="BE27" s="621">
        <v>7716318</v>
      </c>
      <c r="BF27" s="621">
        <v>3042</v>
      </c>
      <c r="BG27" s="621">
        <v>4518</v>
      </c>
      <c r="BH27" s="4604">
        <v>31</v>
      </c>
      <c r="BI27" s="621">
        <v>103946663</v>
      </c>
      <c r="BJ27" s="621">
        <v>69935523</v>
      </c>
      <c r="BK27" s="621">
        <v>27776</v>
      </c>
      <c r="BL27" s="4605">
        <v>479</v>
      </c>
      <c r="BM27" s="621">
        <v>461</v>
      </c>
      <c r="BN27" s="621">
        <v>462</v>
      </c>
      <c r="BO27" s="621">
        <v>139</v>
      </c>
      <c r="BP27" s="621">
        <v>138</v>
      </c>
      <c r="BQ27" s="621">
        <v>161</v>
      </c>
    </row>
    <row r="28" spans="1:69">
      <c r="A28" s="888">
        <v>211</v>
      </c>
      <c r="B28" s="889" t="s">
        <v>353</v>
      </c>
      <c r="C28" s="890" t="s">
        <v>141</v>
      </c>
      <c r="D28" s="621">
        <v>57210688</v>
      </c>
      <c r="E28" s="621">
        <v>52930667</v>
      </c>
      <c r="F28" s="621">
        <v>57612996</v>
      </c>
      <c r="G28" s="621">
        <v>53311580</v>
      </c>
      <c r="H28" s="648">
        <v>672</v>
      </c>
      <c r="I28" s="648">
        <v>653.70000000000005</v>
      </c>
      <c r="J28" s="649">
        <v>678</v>
      </c>
      <c r="K28" s="621">
        <v>5672870</v>
      </c>
      <c r="L28" s="484">
        <v>675.1</v>
      </c>
      <c r="M28" s="648">
        <v>672</v>
      </c>
      <c r="N28" s="649">
        <v>653.70000000000005</v>
      </c>
      <c r="O28" s="648">
        <v>619.5</v>
      </c>
      <c r="P28" s="621">
        <v>809316</v>
      </c>
      <c r="Q28" s="621">
        <v>853072</v>
      </c>
      <c r="R28" s="621">
        <v>665136</v>
      </c>
      <c r="S28" s="621">
        <v>866534</v>
      </c>
      <c r="T28" s="621">
        <v>0</v>
      </c>
      <c r="U28" s="621">
        <v>0</v>
      </c>
      <c r="V28" s="621"/>
      <c r="W28" s="650">
        <v>0.2</v>
      </c>
      <c r="X28" s="621">
        <v>175</v>
      </c>
      <c r="Y28" s="621">
        <v>87</v>
      </c>
      <c r="Z28" s="650">
        <v>0.2</v>
      </c>
      <c r="AA28" s="650">
        <v>0</v>
      </c>
      <c r="AB28" s="651">
        <v>0.37209999999999999</v>
      </c>
      <c r="AC28" s="621">
        <v>688372</v>
      </c>
      <c r="AD28" s="621">
        <v>637058</v>
      </c>
      <c r="AE28" s="621">
        <v>637058</v>
      </c>
      <c r="AF28" s="484">
        <v>675.1</v>
      </c>
      <c r="AG28" s="649">
        <v>672</v>
      </c>
      <c r="AH28" s="891">
        <v>653.70000000000005</v>
      </c>
      <c r="AI28" s="649">
        <v>619.5</v>
      </c>
      <c r="AJ28" s="652">
        <v>0</v>
      </c>
      <c r="AK28" s="621"/>
      <c r="AL28" s="621"/>
      <c r="AM28" s="621">
        <v>2</v>
      </c>
      <c r="AN28" s="621">
        <v>4281</v>
      </c>
      <c r="AO28" s="649">
        <v>619.5</v>
      </c>
      <c r="AP28" s="649"/>
      <c r="AQ28" s="892">
        <v>0</v>
      </c>
      <c r="AR28" s="652"/>
      <c r="AS28" s="648"/>
      <c r="AT28" s="649">
        <v>0</v>
      </c>
      <c r="AU28" s="653">
        <v>0</v>
      </c>
      <c r="AV28" s="621">
        <v>4736004</v>
      </c>
      <c r="AW28" s="621">
        <v>80690</v>
      </c>
      <c r="AX28" s="621">
        <v>68904</v>
      </c>
      <c r="AY28" s="621">
        <v>662275</v>
      </c>
      <c r="AZ28" s="621"/>
      <c r="BA28" s="428">
        <v>1</v>
      </c>
      <c r="BB28" s="621">
        <v>0</v>
      </c>
      <c r="BC28" s="621">
        <v>0</v>
      </c>
      <c r="BE28" s="621">
        <v>4812932</v>
      </c>
      <c r="BF28" s="621">
        <v>574</v>
      </c>
      <c r="BG28" s="621">
        <v>1234</v>
      </c>
      <c r="BH28" s="4604">
        <v>33</v>
      </c>
      <c r="BI28" s="621">
        <v>56426595</v>
      </c>
      <c r="BJ28" s="621">
        <v>56976235</v>
      </c>
      <c r="BK28" s="621">
        <v>0</v>
      </c>
      <c r="BL28" s="4605">
        <v>213</v>
      </c>
      <c r="BM28" s="621">
        <v>218</v>
      </c>
      <c r="BN28" s="621">
        <v>198</v>
      </c>
      <c r="BO28" s="621">
        <v>99</v>
      </c>
      <c r="BP28" s="621">
        <v>112</v>
      </c>
      <c r="BQ28" s="621">
        <v>88</v>
      </c>
    </row>
    <row r="29" spans="1:69">
      <c r="A29" s="888">
        <v>212</v>
      </c>
      <c r="B29" s="889" t="s">
        <v>354</v>
      </c>
      <c r="C29" s="890" t="s">
        <v>141</v>
      </c>
      <c r="D29" s="621">
        <v>20406239</v>
      </c>
      <c r="E29" s="621">
        <v>19501458</v>
      </c>
      <c r="F29" s="4606">
        <v>20407509</v>
      </c>
      <c r="G29" s="4606">
        <v>18864130</v>
      </c>
      <c r="H29" s="648">
        <v>144</v>
      </c>
      <c r="I29" s="648">
        <v>135.4</v>
      </c>
      <c r="J29" s="649">
        <v>263</v>
      </c>
      <c r="K29" s="621">
        <v>1656719</v>
      </c>
      <c r="L29" s="484">
        <v>152.30000000000001</v>
      </c>
      <c r="M29" s="648">
        <v>146</v>
      </c>
      <c r="N29" s="649">
        <v>135.4</v>
      </c>
      <c r="O29" s="648">
        <v>122.7</v>
      </c>
      <c r="P29" s="621">
        <v>173424</v>
      </c>
      <c r="Q29" s="621">
        <v>176622</v>
      </c>
      <c r="R29" s="621">
        <v>31626</v>
      </c>
      <c r="S29" s="621">
        <v>247100</v>
      </c>
      <c r="T29" s="621">
        <v>0</v>
      </c>
      <c r="U29" s="621">
        <v>0</v>
      </c>
      <c r="V29" s="621"/>
      <c r="W29" s="650">
        <v>0</v>
      </c>
      <c r="X29" s="621">
        <v>33</v>
      </c>
      <c r="Y29" s="621">
        <v>25</v>
      </c>
      <c r="Z29" s="650">
        <v>0</v>
      </c>
      <c r="AA29" s="650">
        <v>0</v>
      </c>
      <c r="AB29" s="651">
        <v>0</v>
      </c>
      <c r="AC29" s="621">
        <v>194135</v>
      </c>
      <c r="AD29" s="621">
        <v>184245</v>
      </c>
      <c r="AE29" s="621">
        <v>184245</v>
      </c>
      <c r="AF29" s="484">
        <v>152</v>
      </c>
      <c r="AG29" s="649">
        <v>146</v>
      </c>
      <c r="AH29" s="891">
        <v>135.4</v>
      </c>
      <c r="AI29" s="649">
        <v>122.7</v>
      </c>
      <c r="AJ29" s="652">
        <v>0</v>
      </c>
      <c r="AK29" s="621"/>
      <c r="AL29" s="621"/>
      <c r="AM29" s="621">
        <v>0</v>
      </c>
      <c r="AN29" s="621">
        <v>0</v>
      </c>
      <c r="AO29" s="649">
        <v>122.7</v>
      </c>
      <c r="AP29" s="649"/>
      <c r="AQ29" s="892">
        <v>0</v>
      </c>
      <c r="AR29" s="652"/>
      <c r="AS29" s="648"/>
      <c r="AT29" s="649">
        <v>0</v>
      </c>
      <c r="AU29" s="653">
        <v>0</v>
      </c>
      <c r="AV29" s="621">
        <v>1537992</v>
      </c>
      <c r="AW29" s="621">
        <v>0</v>
      </c>
      <c r="AX29" s="621">
        <v>0</v>
      </c>
      <c r="AY29" s="621">
        <v>79794</v>
      </c>
      <c r="AZ29" s="621"/>
      <c r="BA29" s="428">
        <v>1</v>
      </c>
      <c r="BB29" s="621">
        <v>0</v>
      </c>
      <c r="BC29" s="621">
        <v>0</v>
      </c>
      <c r="BE29" s="621">
        <v>1477193</v>
      </c>
      <c r="BF29" s="621">
        <v>1981</v>
      </c>
      <c r="BG29" s="621">
        <v>183</v>
      </c>
      <c r="BH29" s="4604">
        <v>31</v>
      </c>
      <c r="BI29" s="621">
        <v>20238141</v>
      </c>
      <c r="BJ29" s="621">
        <v>20010017</v>
      </c>
      <c r="BK29" s="621">
        <v>0</v>
      </c>
      <c r="BL29" s="4605">
        <v>81</v>
      </c>
      <c r="BM29" s="621">
        <v>65</v>
      </c>
      <c r="BN29" s="621">
        <v>56</v>
      </c>
      <c r="BO29" s="621">
        <v>7</v>
      </c>
      <c r="BP29" s="621">
        <v>23</v>
      </c>
      <c r="BQ29" s="621">
        <v>27</v>
      </c>
    </row>
    <row r="30" spans="1:69">
      <c r="A30" s="888">
        <v>214</v>
      </c>
      <c r="B30" s="889" t="s">
        <v>355</v>
      </c>
      <c r="C30" s="890" t="s">
        <v>142</v>
      </c>
      <c r="D30" s="621">
        <v>155930958</v>
      </c>
      <c r="E30" s="621">
        <v>150047405</v>
      </c>
      <c r="F30" s="621">
        <v>119724438</v>
      </c>
      <c r="G30" s="621">
        <v>114287150</v>
      </c>
      <c r="H30" s="648">
        <v>1545</v>
      </c>
      <c r="I30" s="648">
        <v>1530</v>
      </c>
      <c r="J30" s="649">
        <v>517</v>
      </c>
      <c r="K30" s="621">
        <v>11544368</v>
      </c>
      <c r="L30" s="484">
        <v>1618.2</v>
      </c>
      <c r="M30" s="648">
        <v>1583</v>
      </c>
      <c r="N30" s="649">
        <v>1572.3</v>
      </c>
      <c r="O30" s="648">
        <v>1544.3</v>
      </c>
      <c r="P30" s="621">
        <v>922827</v>
      </c>
      <c r="Q30" s="621">
        <v>935112</v>
      </c>
      <c r="R30" s="621">
        <v>943696</v>
      </c>
      <c r="S30" s="621">
        <v>994230</v>
      </c>
      <c r="T30" s="621">
        <v>0</v>
      </c>
      <c r="U30" s="621">
        <v>0</v>
      </c>
      <c r="V30" s="621"/>
      <c r="W30" s="650">
        <v>0.36</v>
      </c>
      <c r="X30" s="621">
        <v>806</v>
      </c>
      <c r="Y30" s="621">
        <v>115</v>
      </c>
      <c r="Z30" s="650">
        <v>0.35</v>
      </c>
      <c r="AA30" s="650">
        <v>0</v>
      </c>
      <c r="AB30" s="651">
        <v>0.32900000000000001</v>
      </c>
      <c r="AC30" s="621">
        <v>1461380</v>
      </c>
      <c r="AD30" s="621">
        <v>1376652</v>
      </c>
      <c r="AE30" s="621">
        <v>1376652</v>
      </c>
      <c r="AF30" s="484">
        <v>1618.2</v>
      </c>
      <c r="AG30" s="649">
        <v>1561.5</v>
      </c>
      <c r="AH30" s="891">
        <v>1550</v>
      </c>
      <c r="AI30" s="649">
        <v>1525.4</v>
      </c>
      <c r="AJ30" s="652">
        <v>0</v>
      </c>
      <c r="AK30" s="621"/>
      <c r="AL30" s="621"/>
      <c r="AM30" s="621">
        <v>1</v>
      </c>
      <c r="AN30" s="621">
        <v>0</v>
      </c>
      <c r="AO30" s="649">
        <v>1508.9</v>
      </c>
      <c r="AP30" s="649"/>
      <c r="AQ30" s="892">
        <v>0</v>
      </c>
      <c r="AR30" s="652"/>
      <c r="AS30" s="648"/>
      <c r="AT30" s="649">
        <v>0</v>
      </c>
      <c r="AU30" s="653">
        <v>0</v>
      </c>
      <c r="AV30" s="621">
        <v>10363276</v>
      </c>
      <c r="AW30" s="621">
        <v>38953</v>
      </c>
      <c r="AX30" s="621">
        <v>64484</v>
      </c>
      <c r="AY30" s="621">
        <v>948262</v>
      </c>
      <c r="AZ30" s="621"/>
      <c r="BA30" s="428">
        <v>1</v>
      </c>
      <c r="BB30" s="621">
        <v>0</v>
      </c>
      <c r="BC30" s="621">
        <v>0</v>
      </c>
      <c r="BE30" s="621">
        <v>10579483</v>
      </c>
      <c r="BF30" s="621">
        <v>10255</v>
      </c>
      <c r="BG30" s="621">
        <v>10723</v>
      </c>
      <c r="BH30" s="4604">
        <v>31</v>
      </c>
      <c r="BI30" s="621">
        <v>155811117</v>
      </c>
      <c r="BJ30" s="621">
        <v>119413972</v>
      </c>
      <c r="BK30" s="621">
        <v>0</v>
      </c>
      <c r="BL30" s="4605">
        <v>816</v>
      </c>
      <c r="BM30" s="621">
        <v>796</v>
      </c>
      <c r="BN30" s="621">
        <v>774</v>
      </c>
      <c r="BO30" s="621">
        <v>145</v>
      </c>
      <c r="BP30" s="621">
        <v>158</v>
      </c>
      <c r="BQ30" s="621">
        <v>176</v>
      </c>
    </row>
    <row r="31" spans="1:69">
      <c r="A31" s="888">
        <v>215</v>
      </c>
      <c r="B31" s="889" t="s">
        <v>356</v>
      </c>
      <c r="C31" s="890" t="s">
        <v>143</v>
      </c>
      <c r="D31" s="621">
        <v>73480754</v>
      </c>
      <c r="E31" s="621">
        <v>71031627</v>
      </c>
      <c r="F31" s="621">
        <v>51597542</v>
      </c>
      <c r="G31" s="621">
        <v>49191167</v>
      </c>
      <c r="H31" s="648">
        <v>641</v>
      </c>
      <c r="I31" s="648">
        <v>668</v>
      </c>
      <c r="J31" s="649">
        <v>646</v>
      </c>
      <c r="K31" s="621">
        <v>5482800</v>
      </c>
      <c r="L31" s="484">
        <v>645.5</v>
      </c>
      <c r="M31" s="648">
        <v>648.5</v>
      </c>
      <c r="N31" s="649">
        <v>678</v>
      </c>
      <c r="O31" s="648">
        <v>619</v>
      </c>
      <c r="P31" s="621">
        <v>374032</v>
      </c>
      <c r="Q31" s="621">
        <v>394032</v>
      </c>
      <c r="R31" s="621">
        <v>338869</v>
      </c>
      <c r="S31" s="621">
        <v>396551</v>
      </c>
      <c r="T31" s="621">
        <v>0</v>
      </c>
      <c r="U31" s="621">
        <v>0</v>
      </c>
      <c r="V31" s="621"/>
      <c r="W31" s="650">
        <v>0.31</v>
      </c>
      <c r="X31" s="621">
        <v>262</v>
      </c>
      <c r="Y31" s="621">
        <v>71</v>
      </c>
      <c r="Z31" s="650">
        <v>0.3</v>
      </c>
      <c r="AA31" s="650">
        <v>0</v>
      </c>
      <c r="AB31" s="651">
        <v>0.27700000000000002</v>
      </c>
      <c r="AC31" s="621">
        <v>694771</v>
      </c>
      <c r="AD31" s="621">
        <v>681551</v>
      </c>
      <c r="AE31" s="621">
        <v>681551</v>
      </c>
      <c r="AF31" s="484">
        <v>645.5</v>
      </c>
      <c r="AG31" s="649">
        <v>648.5</v>
      </c>
      <c r="AH31" s="891">
        <v>678</v>
      </c>
      <c r="AI31" s="649">
        <v>619</v>
      </c>
      <c r="AJ31" s="652">
        <v>0</v>
      </c>
      <c r="AK31" s="621"/>
      <c r="AL31" s="621"/>
      <c r="AM31" s="621">
        <v>0</v>
      </c>
      <c r="AN31" s="621">
        <v>0</v>
      </c>
      <c r="AO31" s="649">
        <v>615</v>
      </c>
      <c r="AP31" s="649"/>
      <c r="AQ31" s="892">
        <v>0</v>
      </c>
      <c r="AR31" s="652"/>
      <c r="AS31" s="648"/>
      <c r="AT31" s="649">
        <v>0</v>
      </c>
      <c r="AU31" s="653">
        <v>0</v>
      </c>
      <c r="AV31" s="621">
        <v>4915623</v>
      </c>
      <c r="AW31" s="621">
        <v>0</v>
      </c>
      <c r="AX31" s="621">
        <v>4081</v>
      </c>
      <c r="AY31" s="621">
        <v>311473</v>
      </c>
      <c r="AZ31" s="621"/>
      <c r="BA31" s="428">
        <v>1</v>
      </c>
      <c r="BB31" s="621">
        <v>0</v>
      </c>
      <c r="BC31" s="621">
        <v>0</v>
      </c>
      <c r="BE31" s="621">
        <v>5077259</v>
      </c>
      <c r="BF31" s="621">
        <v>3332</v>
      </c>
      <c r="BG31" s="621">
        <v>3830</v>
      </c>
      <c r="BH31" s="4604">
        <v>31</v>
      </c>
      <c r="BI31" s="621">
        <v>72803074</v>
      </c>
      <c r="BJ31" s="621">
        <v>51062082</v>
      </c>
      <c r="BK31" s="621">
        <v>0</v>
      </c>
      <c r="BL31" s="4605">
        <v>287</v>
      </c>
      <c r="BM31" s="621">
        <v>283</v>
      </c>
      <c r="BN31" s="621">
        <v>296</v>
      </c>
      <c r="BO31" s="621">
        <v>98</v>
      </c>
      <c r="BP31" s="621">
        <v>90</v>
      </c>
      <c r="BQ31" s="621">
        <v>98</v>
      </c>
    </row>
    <row r="32" spans="1:69">
      <c r="A32" s="888">
        <v>216</v>
      </c>
      <c r="B32" s="889" t="s">
        <v>357</v>
      </c>
      <c r="C32" s="890" t="s">
        <v>143</v>
      </c>
      <c r="D32" s="621">
        <v>29586417</v>
      </c>
      <c r="E32" s="621">
        <v>28755653</v>
      </c>
      <c r="F32" s="621">
        <v>23691012</v>
      </c>
      <c r="G32" s="621">
        <v>22944493</v>
      </c>
      <c r="H32" s="648">
        <v>182</v>
      </c>
      <c r="I32" s="648">
        <v>178</v>
      </c>
      <c r="J32" s="649">
        <v>216</v>
      </c>
      <c r="K32" s="621">
        <v>2126413</v>
      </c>
      <c r="L32" s="484">
        <v>213.9</v>
      </c>
      <c r="M32" s="648">
        <v>186.5</v>
      </c>
      <c r="N32" s="649">
        <v>184.5</v>
      </c>
      <c r="O32" s="648">
        <v>184.5</v>
      </c>
      <c r="P32" s="621">
        <v>120754</v>
      </c>
      <c r="Q32" s="621">
        <v>124821</v>
      </c>
      <c r="R32" s="621">
        <v>0</v>
      </c>
      <c r="S32" s="621">
        <v>205889</v>
      </c>
      <c r="T32" s="621">
        <v>0</v>
      </c>
      <c r="U32" s="621">
        <v>0</v>
      </c>
      <c r="V32" s="621"/>
      <c r="W32" s="650">
        <v>0</v>
      </c>
      <c r="X32" s="621">
        <v>113</v>
      </c>
      <c r="Y32" s="621">
        <v>24</v>
      </c>
      <c r="Z32" s="650">
        <v>0</v>
      </c>
      <c r="AA32" s="650">
        <v>0</v>
      </c>
      <c r="AB32" s="651">
        <v>0</v>
      </c>
      <c r="AC32" s="621">
        <v>302183</v>
      </c>
      <c r="AD32" s="621">
        <v>279700</v>
      </c>
      <c r="AE32" s="621">
        <v>279700</v>
      </c>
      <c r="AF32" s="484">
        <v>187.5</v>
      </c>
      <c r="AG32" s="649">
        <v>186.5</v>
      </c>
      <c r="AH32" s="891">
        <v>184.5</v>
      </c>
      <c r="AI32" s="649">
        <v>184.5</v>
      </c>
      <c r="AJ32" s="652">
        <v>0</v>
      </c>
      <c r="AK32" s="621"/>
      <c r="AL32" s="621"/>
      <c r="AM32" s="621">
        <v>0</v>
      </c>
      <c r="AN32" s="621">
        <v>0</v>
      </c>
      <c r="AO32" s="649">
        <v>179.5</v>
      </c>
      <c r="AP32" s="649"/>
      <c r="AQ32" s="892">
        <v>0</v>
      </c>
      <c r="AR32" s="652"/>
      <c r="AS32" s="648"/>
      <c r="AT32" s="649">
        <v>0</v>
      </c>
      <c r="AU32" s="653">
        <v>0</v>
      </c>
      <c r="AV32" s="621">
        <v>1952307</v>
      </c>
      <c r="AW32" s="621">
        <v>0</v>
      </c>
      <c r="AX32" s="621">
        <v>0</v>
      </c>
      <c r="AY32" s="621">
        <v>0</v>
      </c>
      <c r="AZ32" s="621"/>
      <c r="BA32" s="428">
        <v>1</v>
      </c>
      <c r="BB32" s="621">
        <v>0</v>
      </c>
      <c r="BC32" s="621">
        <v>0</v>
      </c>
      <c r="BE32" s="621">
        <v>1995124</v>
      </c>
      <c r="BF32" s="621">
        <v>3317</v>
      </c>
      <c r="BG32" s="621">
        <v>5033</v>
      </c>
      <c r="BH32" s="4604">
        <v>33</v>
      </c>
      <c r="BI32" s="621">
        <v>29466206</v>
      </c>
      <c r="BJ32" s="621">
        <v>23590669</v>
      </c>
      <c r="BK32" s="621">
        <v>0</v>
      </c>
      <c r="BL32" s="4605">
        <v>118</v>
      </c>
      <c r="BM32" s="621">
        <v>114</v>
      </c>
      <c r="BN32" s="621">
        <v>122</v>
      </c>
      <c r="BO32" s="621">
        <v>33</v>
      </c>
      <c r="BP32" s="621">
        <v>26</v>
      </c>
      <c r="BQ32" s="621">
        <v>25</v>
      </c>
    </row>
    <row r="33" spans="1:69">
      <c r="A33" s="888">
        <v>217</v>
      </c>
      <c r="B33" s="889" t="s">
        <v>358</v>
      </c>
      <c r="C33" s="890" t="s">
        <v>144</v>
      </c>
      <c r="D33" s="621">
        <v>27568039</v>
      </c>
      <c r="E33" s="621">
        <v>26899837</v>
      </c>
      <c r="F33" s="621">
        <v>20905720</v>
      </c>
      <c r="G33" s="621">
        <v>20202152</v>
      </c>
      <c r="H33" s="648">
        <v>113</v>
      </c>
      <c r="I33" s="648">
        <v>109</v>
      </c>
      <c r="J33" s="649">
        <v>252</v>
      </c>
      <c r="K33" s="621">
        <v>1341002</v>
      </c>
      <c r="L33" s="484">
        <v>115</v>
      </c>
      <c r="M33" s="648">
        <v>113</v>
      </c>
      <c r="N33" s="649">
        <v>111.5</v>
      </c>
      <c r="O33" s="648">
        <v>110.4</v>
      </c>
      <c r="P33" s="621">
        <v>80332</v>
      </c>
      <c r="Q33" s="621">
        <v>81451</v>
      </c>
      <c r="R33" s="621">
        <v>0</v>
      </c>
      <c r="S33" s="621">
        <v>146340</v>
      </c>
      <c r="T33" s="621">
        <v>9430</v>
      </c>
      <c r="U33" s="621">
        <v>0</v>
      </c>
      <c r="V33" s="621"/>
      <c r="W33" s="650">
        <v>0</v>
      </c>
      <c r="X33" s="621">
        <v>46</v>
      </c>
      <c r="Y33" s="621">
        <v>18</v>
      </c>
      <c r="Z33" s="650">
        <v>0</v>
      </c>
      <c r="AA33" s="650">
        <v>0</v>
      </c>
      <c r="AB33" s="651">
        <v>0</v>
      </c>
      <c r="AC33" s="621">
        <v>180304</v>
      </c>
      <c r="AD33" s="621">
        <v>164329</v>
      </c>
      <c r="AE33" s="621">
        <v>164329</v>
      </c>
      <c r="AF33" s="484">
        <v>115</v>
      </c>
      <c r="AG33" s="649">
        <v>113</v>
      </c>
      <c r="AH33" s="891">
        <v>111.5</v>
      </c>
      <c r="AI33" s="649">
        <v>110.4</v>
      </c>
      <c r="AJ33" s="652">
        <v>0</v>
      </c>
      <c r="AK33" s="621"/>
      <c r="AL33" s="621"/>
      <c r="AM33" s="621">
        <v>0</v>
      </c>
      <c r="AN33" s="621">
        <v>0</v>
      </c>
      <c r="AO33" s="649">
        <v>108</v>
      </c>
      <c r="AP33" s="649"/>
      <c r="AQ33" s="892">
        <v>0</v>
      </c>
      <c r="AR33" s="652"/>
      <c r="AS33" s="648"/>
      <c r="AT33" s="649">
        <v>0</v>
      </c>
      <c r="AU33" s="653">
        <v>0</v>
      </c>
      <c r="AV33" s="621">
        <v>1193187</v>
      </c>
      <c r="AW33" s="621">
        <v>0</v>
      </c>
      <c r="AX33" s="621">
        <v>0</v>
      </c>
      <c r="AY33" s="621">
        <v>0</v>
      </c>
      <c r="AZ33" s="621"/>
      <c r="BA33" s="428">
        <v>1</v>
      </c>
      <c r="BB33" s="621">
        <v>0</v>
      </c>
      <c r="BC33" s="621">
        <v>0</v>
      </c>
      <c r="BE33" s="621">
        <v>1248224</v>
      </c>
      <c r="BF33" s="621">
        <v>0</v>
      </c>
      <c r="BG33" s="621">
        <v>0</v>
      </c>
      <c r="BH33" s="4604">
        <v>33</v>
      </c>
      <c r="BI33" s="621">
        <v>27568039</v>
      </c>
      <c r="BJ33" s="621">
        <v>20905720</v>
      </c>
      <c r="BK33" s="621">
        <v>0</v>
      </c>
      <c r="BL33" s="4605">
        <v>39</v>
      </c>
      <c r="BM33" s="621">
        <v>40</v>
      </c>
      <c r="BN33" s="621">
        <v>41</v>
      </c>
      <c r="BO33" s="621">
        <v>24</v>
      </c>
      <c r="BP33" s="621">
        <v>21</v>
      </c>
      <c r="BQ33" s="621">
        <v>19</v>
      </c>
    </row>
    <row r="34" spans="1:69">
      <c r="A34" s="888">
        <v>218</v>
      </c>
      <c r="B34" s="889" t="s">
        <v>359</v>
      </c>
      <c r="C34" s="890" t="s">
        <v>144</v>
      </c>
      <c r="D34" s="621">
        <v>42452916</v>
      </c>
      <c r="E34" s="621">
        <v>40325158</v>
      </c>
      <c r="F34" s="621">
        <v>28696998</v>
      </c>
      <c r="G34" s="621">
        <v>26616946</v>
      </c>
      <c r="H34" s="648">
        <v>407.2</v>
      </c>
      <c r="I34" s="648">
        <v>426.2</v>
      </c>
      <c r="J34" s="649">
        <v>376</v>
      </c>
      <c r="K34" s="621">
        <v>12134506</v>
      </c>
      <c r="L34" s="484">
        <v>427.7</v>
      </c>
      <c r="M34" s="648">
        <v>1205.0999999999999</v>
      </c>
      <c r="N34" s="649">
        <v>1214.8</v>
      </c>
      <c r="O34" s="648">
        <v>2227.4</v>
      </c>
      <c r="P34" s="621">
        <v>253954</v>
      </c>
      <c r="Q34" s="621">
        <v>259030</v>
      </c>
      <c r="R34" s="621">
        <v>859040</v>
      </c>
      <c r="S34" s="621">
        <v>390789</v>
      </c>
      <c r="T34" s="621">
        <v>0</v>
      </c>
      <c r="U34" s="621">
        <v>0</v>
      </c>
      <c r="V34" s="621"/>
      <c r="W34" s="650">
        <v>1</v>
      </c>
      <c r="X34" s="621">
        <v>150</v>
      </c>
      <c r="Y34" s="621">
        <v>52</v>
      </c>
      <c r="Z34" s="650">
        <v>0.99</v>
      </c>
      <c r="AA34" s="650">
        <v>0.63</v>
      </c>
      <c r="AB34" s="651">
        <v>0.80430000000000001</v>
      </c>
      <c r="AC34" s="621">
        <v>504314</v>
      </c>
      <c r="AD34" s="621">
        <v>489151</v>
      </c>
      <c r="AE34" s="621">
        <v>489151</v>
      </c>
      <c r="AF34" s="484">
        <v>427.7</v>
      </c>
      <c r="AG34" s="649">
        <v>411.7</v>
      </c>
      <c r="AH34" s="891">
        <v>432.5</v>
      </c>
      <c r="AI34" s="649">
        <v>397</v>
      </c>
      <c r="AJ34" s="652">
        <v>0</v>
      </c>
      <c r="AK34" s="621"/>
      <c r="AL34" s="621"/>
      <c r="AM34" s="621">
        <v>0</v>
      </c>
      <c r="AN34" s="621">
        <v>0</v>
      </c>
      <c r="AO34" s="649">
        <v>389.5</v>
      </c>
      <c r="AP34" s="649"/>
      <c r="AQ34" s="892">
        <v>0</v>
      </c>
      <c r="AR34" s="652"/>
      <c r="AS34" s="648"/>
      <c r="AT34" s="649">
        <v>0</v>
      </c>
      <c r="AU34" s="653">
        <v>0</v>
      </c>
      <c r="AV34" s="621">
        <v>7209689</v>
      </c>
      <c r="AW34" s="621">
        <v>123964</v>
      </c>
      <c r="AX34" s="621">
        <v>82790</v>
      </c>
      <c r="AY34" s="621">
        <v>850580</v>
      </c>
      <c r="AZ34" s="621"/>
      <c r="BA34" s="428">
        <v>1</v>
      </c>
      <c r="BB34" s="621">
        <v>0</v>
      </c>
      <c r="BC34" s="621">
        <v>0</v>
      </c>
      <c r="BE34" s="621">
        <v>11864629</v>
      </c>
      <c r="BF34" s="621">
        <v>82</v>
      </c>
      <c r="BG34" s="621">
        <v>390</v>
      </c>
      <c r="BH34" s="4604">
        <v>31</v>
      </c>
      <c r="BI34" s="621">
        <v>42452916</v>
      </c>
      <c r="BJ34" s="621">
        <v>28696998</v>
      </c>
      <c r="BK34" s="621">
        <v>0</v>
      </c>
      <c r="BL34" s="4605">
        <v>181</v>
      </c>
      <c r="BM34" s="621">
        <v>169</v>
      </c>
      <c r="BN34" s="621">
        <v>183</v>
      </c>
      <c r="BO34" s="621">
        <v>62</v>
      </c>
      <c r="BP34" s="621">
        <v>43</v>
      </c>
      <c r="BQ34" s="621">
        <v>53</v>
      </c>
    </row>
    <row r="35" spans="1:69">
      <c r="A35" s="888">
        <v>219</v>
      </c>
      <c r="B35" s="889" t="s">
        <v>360</v>
      </c>
      <c r="C35" s="890" t="s">
        <v>145</v>
      </c>
      <c r="D35" s="621">
        <v>28930194</v>
      </c>
      <c r="E35" s="621">
        <v>28015219</v>
      </c>
      <c r="F35" s="621">
        <v>30894019</v>
      </c>
      <c r="G35" s="621">
        <v>29956029</v>
      </c>
      <c r="H35" s="648">
        <v>237.5</v>
      </c>
      <c r="I35" s="648">
        <v>232.5</v>
      </c>
      <c r="J35" s="649">
        <v>292</v>
      </c>
      <c r="K35" s="621">
        <v>2344811</v>
      </c>
      <c r="L35" s="484">
        <v>236.5</v>
      </c>
      <c r="M35" s="648">
        <v>237.5</v>
      </c>
      <c r="N35" s="649">
        <v>235</v>
      </c>
      <c r="O35" s="648">
        <v>248.2</v>
      </c>
      <c r="P35" s="621">
        <v>180110</v>
      </c>
      <c r="Q35" s="621">
        <v>214678</v>
      </c>
      <c r="R35" s="621">
        <v>92943</v>
      </c>
      <c r="S35" s="621">
        <v>247823</v>
      </c>
      <c r="T35" s="621">
        <v>0</v>
      </c>
      <c r="U35" s="621">
        <v>0</v>
      </c>
      <c r="V35" s="621"/>
      <c r="W35" s="650">
        <v>0</v>
      </c>
      <c r="X35" s="621">
        <v>106</v>
      </c>
      <c r="Y35" s="621">
        <v>38</v>
      </c>
      <c r="Z35" s="650">
        <v>0</v>
      </c>
      <c r="AA35" s="650">
        <v>0</v>
      </c>
      <c r="AB35" s="651">
        <v>0.123</v>
      </c>
      <c r="AC35" s="621">
        <v>314399</v>
      </c>
      <c r="AD35" s="621">
        <v>296333</v>
      </c>
      <c r="AE35" s="621">
        <v>296333</v>
      </c>
      <c r="AF35" s="484">
        <v>236.5</v>
      </c>
      <c r="AG35" s="649">
        <v>237.5</v>
      </c>
      <c r="AH35" s="891">
        <v>235</v>
      </c>
      <c r="AI35" s="649">
        <v>248.2</v>
      </c>
      <c r="AJ35" s="652">
        <v>0</v>
      </c>
      <c r="AK35" s="621"/>
      <c r="AL35" s="621"/>
      <c r="AM35" s="621">
        <v>0</v>
      </c>
      <c r="AN35" s="621">
        <v>0</v>
      </c>
      <c r="AO35" s="649">
        <v>247.7</v>
      </c>
      <c r="AP35" s="649"/>
      <c r="AQ35" s="892">
        <v>0</v>
      </c>
      <c r="AR35" s="652"/>
      <c r="AS35" s="648"/>
      <c r="AT35" s="649">
        <v>0</v>
      </c>
      <c r="AU35" s="653">
        <v>0</v>
      </c>
      <c r="AV35" s="621">
        <v>2049847</v>
      </c>
      <c r="AW35" s="621">
        <v>0</v>
      </c>
      <c r="AX35" s="621">
        <v>0</v>
      </c>
      <c r="AY35" s="621">
        <v>97265</v>
      </c>
      <c r="AZ35" s="621"/>
      <c r="BA35" s="428">
        <v>1</v>
      </c>
      <c r="BB35" s="621">
        <v>0</v>
      </c>
      <c r="BC35" s="621">
        <v>0</v>
      </c>
      <c r="BE35" s="621">
        <v>2128923</v>
      </c>
      <c r="BF35" s="621">
        <v>1375</v>
      </c>
      <c r="BG35" s="621">
        <v>873</v>
      </c>
      <c r="BH35" s="4604">
        <v>31</v>
      </c>
      <c r="BI35" s="621">
        <v>28743975</v>
      </c>
      <c r="BJ35" s="621">
        <v>30740302</v>
      </c>
      <c r="BK35" s="621">
        <v>0</v>
      </c>
      <c r="BL35" s="4605">
        <v>84</v>
      </c>
      <c r="BM35" s="621">
        <v>81</v>
      </c>
      <c r="BN35" s="621">
        <v>100</v>
      </c>
      <c r="BO35" s="621">
        <v>33</v>
      </c>
      <c r="BP35" s="621">
        <v>38</v>
      </c>
      <c r="BQ35" s="621">
        <v>35</v>
      </c>
    </row>
    <row r="36" spans="1:69">
      <c r="A36" s="888">
        <v>220</v>
      </c>
      <c r="B36" s="889" t="s">
        <v>361</v>
      </c>
      <c r="C36" s="890" t="s">
        <v>145</v>
      </c>
      <c r="D36" s="621">
        <v>22277636</v>
      </c>
      <c r="E36" s="621">
        <v>21049803</v>
      </c>
      <c r="F36" s="621">
        <v>20419079</v>
      </c>
      <c r="G36" s="621">
        <v>19196014</v>
      </c>
      <c r="H36" s="648">
        <v>207.3</v>
      </c>
      <c r="I36" s="648">
        <v>200.7</v>
      </c>
      <c r="J36" s="649">
        <v>660</v>
      </c>
      <c r="K36" s="621">
        <v>2138292</v>
      </c>
      <c r="L36" s="484">
        <v>210.5</v>
      </c>
      <c r="M36" s="648">
        <v>208.8</v>
      </c>
      <c r="N36" s="649">
        <v>202.2</v>
      </c>
      <c r="O36" s="648">
        <v>187.1</v>
      </c>
      <c r="P36" s="621">
        <v>156932</v>
      </c>
      <c r="Q36" s="621">
        <v>180249</v>
      </c>
      <c r="R36" s="621">
        <v>153146</v>
      </c>
      <c r="S36" s="621">
        <v>198681</v>
      </c>
      <c r="T36" s="621">
        <v>0</v>
      </c>
      <c r="U36" s="621">
        <v>0</v>
      </c>
      <c r="V36" s="621"/>
      <c r="W36" s="650">
        <v>0.04</v>
      </c>
      <c r="X36" s="621">
        <v>76</v>
      </c>
      <c r="Y36" s="621">
        <v>21</v>
      </c>
      <c r="Z36" s="650">
        <v>0.04</v>
      </c>
      <c r="AA36" s="650">
        <v>0</v>
      </c>
      <c r="AB36" s="651">
        <v>0.23830000000000001</v>
      </c>
      <c r="AC36" s="621">
        <v>264842</v>
      </c>
      <c r="AD36" s="621">
        <v>256945</v>
      </c>
      <c r="AE36" s="621">
        <v>256945</v>
      </c>
      <c r="AF36" s="484">
        <v>210.5</v>
      </c>
      <c r="AG36" s="649">
        <v>208.8</v>
      </c>
      <c r="AH36" s="891">
        <v>202.2</v>
      </c>
      <c r="AI36" s="649">
        <v>187.1</v>
      </c>
      <c r="AJ36" s="652">
        <v>0</v>
      </c>
      <c r="AK36" s="621"/>
      <c r="AL36" s="621"/>
      <c r="AM36" s="621">
        <v>0</v>
      </c>
      <c r="AN36" s="621">
        <v>0</v>
      </c>
      <c r="AO36" s="649">
        <v>186.1</v>
      </c>
      <c r="AP36" s="649"/>
      <c r="AQ36" s="892">
        <v>0</v>
      </c>
      <c r="AR36" s="652"/>
      <c r="AS36" s="648"/>
      <c r="AT36" s="649">
        <v>0</v>
      </c>
      <c r="AU36" s="653">
        <v>0</v>
      </c>
      <c r="AV36" s="621">
        <v>1895053</v>
      </c>
      <c r="AW36" s="621">
        <v>14098</v>
      </c>
      <c r="AX36" s="621">
        <v>0</v>
      </c>
      <c r="AY36" s="621">
        <v>129735</v>
      </c>
      <c r="AZ36" s="621"/>
      <c r="BA36" s="428">
        <v>1</v>
      </c>
      <c r="BB36" s="621">
        <v>0</v>
      </c>
      <c r="BC36" s="621">
        <v>0</v>
      </c>
      <c r="BE36" s="621">
        <v>1949851</v>
      </c>
      <c r="BF36" s="621">
        <v>3277</v>
      </c>
      <c r="BG36" s="621">
        <v>3827</v>
      </c>
      <c r="BH36" s="4604">
        <v>31</v>
      </c>
      <c r="BI36" s="621">
        <v>22031598</v>
      </c>
      <c r="BJ36" s="621">
        <v>20207590</v>
      </c>
      <c r="BK36" s="621">
        <v>0</v>
      </c>
      <c r="BL36" s="4605">
        <v>85</v>
      </c>
      <c r="BM36" s="621">
        <v>82</v>
      </c>
      <c r="BN36" s="621">
        <v>76</v>
      </c>
      <c r="BO36" s="621">
        <v>22</v>
      </c>
      <c r="BP36" s="621">
        <v>20</v>
      </c>
      <c r="BQ36" s="621">
        <v>23</v>
      </c>
    </row>
    <row r="37" spans="1:69">
      <c r="A37" s="888">
        <v>223</v>
      </c>
      <c r="B37" s="889" t="s">
        <v>362</v>
      </c>
      <c r="C37" s="890" t="s">
        <v>133</v>
      </c>
      <c r="D37" s="621">
        <v>55511991</v>
      </c>
      <c r="E37" s="621">
        <v>52968809</v>
      </c>
      <c r="F37" s="621">
        <v>58136450</v>
      </c>
      <c r="G37" s="621">
        <v>55571572</v>
      </c>
      <c r="H37" s="648">
        <v>365</v>
      </c>
      <c r="I37" s="648">
        <v>352.6</v>
      </c>
      <c r="J37" s="649">
        <v>378</v>
      </c>
      <c r="K37" s="621">
        <v>3381517</v>
      </c>
      <c r="L37" s="484">
        <v>368.8</v>
      </c>
      <c r="M37" s="648">
        <v>365</v>
      </c>
      <c r="N37" s="649">
        <v>352.6</v>
      </c>
      <c r="O37" s="648">
        <v>361.1</v>
      </c>
      <c r="P37" s="621">
        <v>450577</v>
      </c>
      <c r="Q37" s="621">
        <v>492692</v>
      </c>
      <c r="R37" s="621">
        <v>0</v>
      </c>
      <c r="S37" s="621">
        <v>427159</v>
      </c>
      <c r="T37" s="621">
        <v>0</v>
      </c>
      <c r="U37" s="621">
        <v>0</v>
      </c>
      <c r="V37" s="621"/>
      <c r="W37" s="650">
        <v>0</v>
      </c>
      <c r="X37" s="621">
        <v>91</v>
      </c>
      <c r="Y37" s="621">
        <v>40</v>
      </c>
      <c r="Z37" s="650">
        <v>0</v>
      </c>
      <c r="AA37" s="650">
        <v>0</v>
      </c>
      <c r="AB37" s="651">
        <v>0</v>
      </c>
      <c r="AC37" s="621">
        <v>369634</v>
      </c>
      <c r="AD37" s="621">
        <v>354973</v>
      </c>
      <c r="AE37" s="621">
        <v>354973</v>
      </c>
      <c r="AF37" s="484">
        <v>368.8</v>
      </c>
      <c r="AG37" s="649">
        <v>365</v>
      </c>
      <c r="AH37" s="891">
        <v>352.6</v>
      </c>
      <c r="AI37" s="649">
        <v>361.1</v>
      </c>
      <c r="AJ37" s="652">
        <v>0</v>
      </c>
      <c r="AK37" s="621"/>
      <c r="AL37" s="621"/>
      <c r="AM37" s="621">
        <v>0</v>
      </c>
      <c r="AN37" s="621">
        <v>0</v>
      </c>
      <c r="AO37" s="649">
        <v>361.1</v>
      </c>
      <c r="AP37" s="649"/>
      <c r="AQ37" s="892">
        <v>0</v>
      </c>
      <c r="AR37" s="652"/>
      <c r="AS37" s="648"/>
      <c r="AT37" s="649">
        <v>0</v>
      </c>
      <c r="AU37" s="653">
        <v>0</v>
      </c>
      <c r="AV37" s="621">
        <v>2860010</v>
      </c>
      <c r="AW37" s="621">
        <v>0</v>
      </c>
      <c r="AX37" s="621">
        <v>0</v>
      </c>
      <c r="AY37" s="621">
        <v>0</v>
      </c>
      <c r="AZ37" s="621"/>
      <c r="BA37" s="428">
        <v>1</v>
      </c>
      <c r="BB37" s="621">
        <v>0</v>
      </c>
      <c r="BC37" s="621">
        <v>0</v>
      </c>
      <c r="BE37" s="621">
        <v>2888825</v>
      </c>
      <c r="BF37" s="621">
        <v>1560</v>
      </c>
      <c r="BG37" s="621">
        <v>2298</v>
      </c>
      <c r="BH37" s="4604">
        <v>31</v>
      </c>
      <c r="BI37" s="621">
        <v>55511991</v>
      </c>
      <c r="BJ37" s="621">
        <v>59222397</v>
      </c>
      <c r="BK37" s="621">
        <v>0</v>
      </c>
      <c r="BL37" s="4605">
        <v>98</v>
      </c>
      <c r="BM37" s="621">
        <v>85</v>
      </c>
      <c r="BN37" s="621">
        <v>97</v>
      </c>
      <c r="BO37" s="621">
        <v>44</v>
      </c>
      <c r="BP37" s="621">
        <v>57</v>
      </c>
      <c r="BQ37" s="621">
        <v>41</v>
      </c>
    </row>
    <row r="38" spans="1:69">
      <c r="A38" s="888">
        <v>224</v>
      </c>
      <c r="B38" s="889" t="s">
        <v>363</v>
      </c>
      <c r="C38" s="890" t="s">
        <v>133</v>
      </c>
      <c r="D38" s="621">
        <v>38368848</v>
      </c>
      <c r="E38" s="621">
        <v>36452570</v>
      </c>
      <c r="F38" s="621">
        <v>40953672</v>
      </c>
      <c r="G38" s="621">
        <v>39035488</v>
      </c>
      <c r="H38" s="648">
        <v>311.5</v>
      </c>
      <c r="I38" s="648">
        <v>314</v>
      </c>
      <c r="J38" s="649">
        <v>255</v>
      </c>
      <c r="K38" s="621">
        <v>2854711</v>
      </c>
      <c r="L38" s="484">
        <v>301.5</v>
      </c>
      <c r="M38" s="648">
        <v>315.5</v>
      </c>
      <c r="N38" s="649">
        <v>317</v>
      </c>
      <c r="O38" s="648">
        <v>291.8</v>
      </c>
      <c r="P38" s="621">
        <v>300585</v>
      </c>
      <c r="Q38" s="621">
        <v>303403</v>
      </c>
      <c r="R38" s="621">
        <v>113655</v>
      </c>
      <c r="S38" s="621">
        <v>347858</v>
      </c>
      <c r="T38" s="621">
        <v>0</v>
      </c>
      <c r="U38" s="621">
        <v>0</v>
      </c>
      <c r="V38" s="621"/>
      <c r="W38" s="650">
        <v>0</v>
      </c>
      <c r="X38" s="621">
        <v>66</v>
      </c>
      <c r="Y38" s="621">
        <v>46</v>
      </c>
      <c r="Z38" s="650">
        <v>0</v>
      </c>
      <c r="AA38" s="650">
        <v>0</v>
      </c>
      <c r="AB38" s="651">
        <v>9.1300000000000006E-2</v>
      </c>
      <c r="AC38" s="621">
        <v>349600</v>
      </c>
      <c r="AD38" s="621">
        <v>346538</v>
      </c>
      <c r="AE38" s="621">
        <v>346538</v>
      </c>
      <c r="AF38" s="484">
        <v>301.5</v>
      </c>
      <c r="AG38" s="649">
        <v>315.5</v>
      </c>
      <c r="AH38" s="891">
        <v>317</v>
      </c>
      <c r="AI38" s="649">
        <v>291.8</v>
      </c>
      <c r="AJ38" s="652">
        <v>0</v>
      </c>
      <c r="AK38" s="621"/>
      <c r="AL38" s="621"/>
      <c r="AM38" s="621">
        <v>0</v>
      </c>
      <c r="AN38" s="621">
        <v>0</v>
      </c>
      <c r="AO38" s="649">
        <v>289.8</v>
      </c>
      <c r="AP38" s="649"/>
      <c r="AQ38" s="892">
        <v>0</v>
      </c>
      <c r="AR38" s="652"/>
      <c r="AS38" s="648"/>
      <c r="AT38" s="649">
        <v>0</v>
      </c>
      <c r="AU38" s="653">
        <v>0</v>
      </c>
      <c r="AV38" s="621">
        <v>2514501</v>
      </c>
      <c r="AW38" s="621">
        <v>0</v>
      </c>
      <c r="AX38" s="621">
        <v>0</v>
      </c>
      <c r="AY38" s="621">
        <v>119862</v>
      </c>
      <c r="AZ38" s="621"/>
      <c r="BA38" s="428">
        <v>1</v>
      </c>
      <c r="BB38" s="621">
        <v>0</v>
      </c>
      <c r="BC38" s="621">
        <v>0</v>
      </c>
      <c r="BE38" s="621">
        <v>2551308</v>
      </c>
      <c r="BF38" s="621">
        <v>1956</v>
      </c>
      <c r="BG38" s="621">
        <v>2852</v>
      </c>
      <c r="BH38" s="4604">
        <v>31</v>
      </c>
      <c r="BI38" s="621">
        <v>38246988</v>
      </c>
      <c r="BJ38" s="621">
        <v>40806744</v>
      </c>
      <c r="BK38" s="621">
        <v>0</v>
      </c>
      <c r="BL38" s="4605">
        <v>79</v>
      </c>
      <c r="BM38" s="621">
        <v>90</v>
      </c>
      <c r="BN38" s="621">
        <v>88</v>
      </c>
      <c r="BO38" s="621">
        <v>24</v>
      </c>
      <c r="BP38" s="621">
        <v>45</v>
      </c>
      <c r="BQ38" s="621">
        <v>39</v>
      </c>
    </row>
    <row r="39" spans="1:69">
      <c r="A39" s="888">
        <v>225</v>
      </c>
      <c r="B39" s="889" t="s">
        <v>364</v>
      </c>
      <c r="C39" s="890" t="s">
        <v>146</v>
      </c>
      <c r="D39" s="621">
        <v>18866661</v>
      </c>
      <c r="E39" s="621">
        <v>18026546</v>
      </c>
      <c r="F39" s="621">
        <v>20068505</v>
      </c>
      <c r="G39" s="621">
        <v>19225361</v>
      </c>
      <c r="H39" s="648">
        <v>132.5</v>
      </c>
      <c r="I39" s="648">
        <v>120</v>
      </c>
      <c r="J39" s="649">
        <v>281</v>
      </c>
      <c r="K39" s="621">
        <v>1417761</v>
      </c>
      <c r="L39" s="484">
        <v>133.5</v>
      </c>
      <c r="M39" s="648">
        <v>134.5</v>
      </c>
      <c r="N39" s="649">
        <v>122</v>
      </c>
      <c r="O39" s="648">
        <v>119</v>
      </c>
      <c r="P39" s="621">
        <v>97266</v>
      </c>
      <c r="Q39" s="621">
        <v>102732</v>
      </c>
      <c r="R39" s="621">
        <v>0</v>
      </c>
      <c r="S39" s="621">
        <v>152787</v>
      </c>
      <c r="T39" s="621">
        <v>0</v>
      </c>
      <c r="U39" s="621">
        <v>0</v>
      </c>
      <c r="V39" s="621"/>
      <c r="W39" s="650">
        <v>0</v>
      </c>
      <c r="X39" s="621">
        <v>36</v>
      </c>
      <c r="Y39" s="621">
        <v>16</v>
      </c>
      <c r="Z39" s="650">
        <v>0</v>
      </c>
      <c r="AA39" s="650">
        <v>0</v>
      </c>
      <c r="AB39" s="651">
        <v>0</v>
      </c>
      <c r="AC39" s="621">
        <v>172938</v>
      </c>
      <c r="AD39" s="621">
        <v>153518</v>
      </c>
      <c r="AE39" s="621">
        <v>153518</v>
      </c>
      <c r="AF39" s="484">
        <v>133.5</v>
      </c>
      <c r="AG39" s="649">
        <v>134.5</v>
      </c>
      <c r="AH39" s="891">
        <v>122</v>
      </c>
      <c r="AI39" s="649">
        <v>119</v>
      </c>
      <c r="AJ39" s="652">
        <v>0</v>
      </c>
      <c r="AK39" s="621"/>
      <c r="AL39" s="621"/>
      <c r="AM39" s="621">
        <v>0</v>
      </c>
      <c r="AN39" s="621">
        <v>0</v>
      </c>
      <c r="AO39" s="649">
        <v>117</v>
      </c>
      <c r="AP39" s="649"/>
      <c r="AQ39" s="892">
        <v>0</v>
      </c>
      <c r="AR39" s="652"/>
      <c r="AS39" s="648"/>
      <c r="AT39" s="649">
        <v>0</v>
      </c>
      <c r="AU39" s="653">
        <v>0</v>
      </c>
      <c r="AV39" s="621">
        <v>1374877</v>
      </c>
      <c r="AW39" s="621">
        <v>0</v>
      </c>
      <c r="AX39" s="621">
        <v>0</v>
      </c>
      <c r="AY39" s="621">
        <v>13037</v>
      </c>
      <c r="AZ39" s="621"/>
      <c r="BA39" s="428">
        <v>1</v>
      </c>
      <c r="BB39" s="621">
        <v>0</v>
      </c>
      <c r="BC39" s="621">
        <v>0</v>
      </c>
      <c r="BE39" s="621">
        <v>1314505</v>
      </c>
      <c r="BF39" s="621">
        <v>0</v>
      </c>
      <c r="BG39" s="621">
        <v>0</v>
      </c>
      <c r="BH39" s="4604">
        <v>33</v>
      </c>
      <c r="BI39" s="621">
        <v>18809754</v>
      </c>
      <c r="BJ39" s="621">
        <v>19984441</v>
      </c>
      <c r="BK39" s="621">
        <v>0</v>
      </c>
      <c r="BL39" s="4605">
        <v>62</v>
      </c>
      <c r="BM39" s="621">
        <v>73</v>
      </c>
      <c r="BN39" s="621">
        <v>68</v>
      </c>
      <c r="BO39" s="621">
        <v>11</v>
      </c>
      <c r="BP39" s="621">
        <v>8</v>
      </c>
      <c r="BQ39" s="621">
        <v>15</v>
      </c>
    </row>
    <row r="40" spans="1:69">
      <c r="A40" s="888">
        <v>226</v>
      </c>
      <c r="B40" s="889" t="s">
        <v>365</v>
      </c>
      <c r="C40" s="890" t="s">
        <v>146</v>
      </c>
      <c r="D40" s="621">
        <v>61369775</v>
      </c>
      <c r="E40" s="621">
        <v>59349658</v>
      </c>
      <c r="F40" s="621">
        <v>57809135</v>
      </c>
      <c r="G40" s="621">
        <v>55801332</v>
      </c>
      <c r="H40" s="648">
        <v>379</v>
      </c>
      <c r="I40" s="648">
        <v>370.9</v>
      </c>
      <c r="J40" s="649">
        <v>440</v>
      </c>
      <c r="K40" s="621">
        <v>3181453</v>
      </c>
      <c r="L40" s="484">
        <v>416.6</v>
      </c>
      <c r="M40" s="648">
        <v>383.5</v>
      </c>
      <c r="N40" s="649">
        <v>373.4</v>
      </c>
      <c r="O40" s="648">
        <v>335</v>
      </c>
      <c r="P40" s="621">
        <v>277133</v>
      </c>
      <c r="Q40" s="621">
        <v>312856</v>
      </c>
      <c r="R40" s="621">
        <v>0</v>
      </c>
      <c r="S40" s="621">
        <v>393594</v>
      </c>
      <c r="T40" s="621">
        <v>0</v>
      </c>
      <c r="U40" s="621">
        <v>0</v>
      </c>
      <c r="V40" s="621"/>
      <c r="W40" s="650">
        <v>0</v>
      </c>
      <c r="X40" s="621">
        <v>99</v>
      </c>
      <c r="Y40" s="621">
        <v>50</v>
      </c>
      <c r="Z40" s="650">
        <v>0</v>
      </c>
      <c r="AA40" s="650">
        <v>0</v>
      </c>
      <c r="AB40" s="651">
        <v>0</v>
      </c>
      <c r="AC40" s="621">
        <v>443079</v>
      </c>
      <c r="AD40" s="621">
        <v>410278</v>
      </c>
      <c r="AE40" s="621">
        <v>410278</v>
      </c>
      <c r="AF40" s="484">
        <v>416.6</v>
      </c>
      <c r="AG40" s="649">
        <v>383.5</v>
      </c>
      <c r="AH40" s="891">
        <v>373.4</v>
      </c>
      <c r="AI40" s="649">
        <v>335</v>
      </c>
      <c r="AJ40" s="652">
        <v>0</v>
      </c>
      <c r="AK40" s="621"/>
      <c r="AL40" s="621"/>
      <c r="AM40" s="621">
        <v>0</v>
      </c>
      <c r="AN40" s="621">
        <v>0</v>
      </c>
      <c r="AO40" s="649">
        <v>332</v>
      </c>
      <c r="AP40" s="649"/>
      <c r="AQ40" s="892">
        <v>0</v>
      </c>
      <c r="AR40" s="652"/>
      <c r="AS40" s="648"/>
      <c r="AT40" s="649">
        <v>0</v>
      </c>
      <c r="AU40" s="653">
        <v>0</v>
      </c>
      <c r="AV40" s="621">
        <v>3083425</v>
      </c>
      <c r="AW40" s="621">
        <v>0</v>
      </c>
      <c r="AX40" s="621">
        <v>0</v>
      </c>
      <c r="AY40" s="621">
        <v>0</v>
      </c>
      <c r="AZ40" s="621"/>
      <c r="BA40" s="428">
        <v>1</v>
      </c>
      <c r="BB40" s="621">
        <v>0</v>
      </c>
      <c r="BC40" s="621">
        <v>0</v>
      </c>
      <c r="BE40" s="621">
        <v>2865709</v>
      </c>
      <c r="BF40" s="621">
        <v>5102</v>
      </c>
      <c r="BG40" s="621">
        <v>7319</v>
      </c>
      <c r="BH40" s="4604">
        <v>33</v>
      </c>
      <c r="BI40" s="621">
        <v>60897301</v>
      </c>
      <c r="BJ40" s="621">
        <v>57365746</v>
      </c>
      <c r="BK40" s="621">
        <v>0</v>
      </c>
      <c r="BL40" s="4605">
        <v>142</v>
      </c>
      <c r="BM40" s="621">
        <v>165</v>
      </c>
      <c r="BN40" s="621">
        <v>135</v>
      </c>
      <c r="BO40" s="621">
        <v>72</v>
      </c>
      <c r="BP40" s="621">
        <v>57</v>
      </c>
      <c r="BQ40" s="621">
        <v>56</v>
      </c>
    </row>
    <row r="41" spans="1:69">
      <c r="A41" s="888">
        <v>227</v>
      </c>
      <c r="B41" s="889" t="s">
        <v>366</v>
      </c>
      <c r="C41" s="890" t="s">
        <v>147</v>
      </c>
      <c r="D41" s="621">
        <v>38069579</v>
      </c>
      <c r="E41" s="621">
        <v>36304951</v>
      </c>
      <c r="F41" s="621">
        <v>37510742</v>
      </c>
      <c r="G41" s="621">
        <v>35742472</v>
      </c>
      <c r="H41" s="648">
        <v>280.5</v>
      </c>
      <c r="I41" s="648">
        <v>282</v>
      </c>
      <c r="J41" s="649">
        <v>807.5</v>
      </c>
      <c r="K41" s="621">
        <v>2575530</v>
      </c>
      <c r="L41" s="484">
        <v>296.5</v>
      </c>
      <c r="M41" s="648">
        <v>280.5</v>
      </c>
      <c r="N41" s="649">
        <v>282</v>
      </c>
      <c r="O41" s="648">
        <v>293.5</v>
      </c>
      <c r="P41" s="621">
        <v>205340</v>
      </c>
      <c r="Q41" s="621">
        <v>237075</v>
      </c>
      <c r="R41" s="621">
        <v>26816</v>
      </c>
      <c r="S41" s="621">
        <v>320652</v>
      </c>
      <c r="T41" s="621">
        <v>0</v>
      </c>
      <c r="U41" s="621">
        <v>0</v>
      </c>
      <c r="V41" s="621"/>
      <c r="W41" s="650">
        <v>0</v>
      </c>
      <c r="X41" s="621">
        <v>69</v>
      </c>
      <c r="Y41" s="621">
        <v>40</v>
      </c>
      <c r="Z41" s="650">
        <v>0</v>
      </c>
      <c r="AA41" s="650">
        <v>0</v>
      </c>
      <c r="AB41" s="651">
        <v>4.53E-2</v>
      </c>
      <c r="AC41" s="621">
        <v>285363</v>
      </c>
      <c r="AD41" s="621">
        <v>276323</v>
      </c>
      <c r="AE41" s="621">
        <v>276323</v>
      </c>
      <c r="AF41" s="484">
        <v>296.5</v>
      </c>
      <c r="AG41" s="649">
        <v>280.5</v>
      </c>
      <c r="AH41" s="891">
        <v>282</v>
      </c>
      <c r="AI41" s="649">
        <v>293.5</v>
      </c>
      <c r="AJ41" s="652">
        <v>0</v>
      </c>
      <c r="AK41" s="621"/>
      <c r="AL41" s="621"/>
      <c r="AM41" s="621">
        <v>0</v>
      </c>
      <c r="AN41" s="621">
        <v>0</v>
      </c>
      <c r="AO41" s="649">
        <v>293.5</v>
      </c>
      <c r="AP41" s="649"/>
      <c r="AQ41" s="892">
        <v>0</v>
      </c>
      <c r="AR41" s="652"/>
      <c r="AS41" s="648"/>
      <c r="AT41" s="649">
        <v>0</v>
      </c>
      <c r="AU41" s="653">
        <v>0</v>
      </c>
      <c r="AV41" s="621">
        <v>2320089</v>
      </c>
      <c r="AW41" s="621">
        <v>0</v>
      </c>
      <c r="AX41" s="621">
        <v>0</v>
      </c>
      <c r="AY41" s="621">
        <v>0</v>
      </c>
      <c r="AZ41" s="621"/>
      <c r="BA41" s="428">
        <v>1</v>
      </c>
      <c r="BB41" s="621">
        <v>0</v>
      </c>
      <c r="BC41" s="621">
        <v>0</v>
      </c>
      <c r="BE41" s="621">
        <v>2318745</v>
      </c>
      <c r="BF41" s="621">
        <v>1577</v>
      </c>
      <c r="BG41" s="621">
        <v>2537</v>
      </c>
      <c r="BH41" s="4604">
        <v>31</v>
      </c>
      <c r="BI41" s="621">
        <v>38069579</v>
      </c>
      <c r="BJ41" s="621">
        <v>37933472</v>
      </c>
      <c r="BK41" s="621">
        <v>0</v>
      </c>
      <c r="BL41" s="4605">
        <v>81</v>
      </c>
      <c r="BM41" s="621">
        <v>72</v>
      </c>
      <c r="BN41" s="621">
        <v>67</v>
      </c>
      <c r="BO41" s="621">
        <v>27</v>
      </c>
      <c r="BP41" s="621">
        <v>38</v>
      </c>
      <c r="BQ41" s="621">
        <v>54</v>
      </c>
    </row>
    <row r="42" spans="1:69">
      <c r="A42" s="888">
        <v>229</v>
      </c>
      <c r="B42" s="889" t="s">
        <v>367</v>
      </c>
      <c r="C42" s="890" t="s">
        <v>148</v>
      </c>
      <c r="D42" s="621">
        <v>3316894733</v>
      </c>
      <c r="E42" s="621">
        <v>3228676302</v>
      </c>
      <c r="F42" s="621">
        <v>3464060070</v>
      </c>
      <c r="G42" s="621">
        <v>3375157457</v>
      </c>
      <c r="H42" s="648">
        <v>22329.200000000001</v>
      </c>
      <c r="I42" s="648">
        <v>22347.4</v>
      </c>
      <c r="J42" s="649">
        <v>91</v>
      </c>
      <c r="K42" s="621">
        <v>147086518</v>
      </c>
      <c r="L42" s="484">
        <v>22315.9</v>
      </c>
      <c r="M42" s="648">
        <v>22357.5</v>
      </c>
      <c r="N42" s="649">
        <v>22416.400000000001</v>
      </c>
      <c r="O42" s="648">
        <v>21784.2</v>
      </c>
      <c r="P42" s="621">
        <v>24345715</v>
      </c>
      <c r="Q42" s="621">
        <v>24005838</v>
      </c>
      <c r="R42" s="621">
        <v>0</v>
      </c>
      <c r="S42" s="621">
        <v>19935033</v>
      </c>
      <c r="T42" s="621">
        <v>0</v>
      </c>
      <c r="U42" s="621">
        <v>0</v>
      </c>
      <c r="V42" s="621"/>
      <c r="W42" s="650">
        <v>0</v>
      </c>
      <c r="X42" s="621">
        <v>1026</v>
      </c>
      <c r="Y42" s="621">
        <v>608</v>
      </c>
      <c r="Z42" s="650">
        <v>0</v>
      </c>
      <c r="AA42" s="650">
        <v>0</v>
      </c>
      <c r="AB42" s="651">
        <v>0</v>
      </c>
      <c r="AC42" s="621">
        <v>24461693</v>
      </c>
      <c r="AD42" s="621">
        <v>22531917</v>
      </c>
      <c r="AE42" s="621">
        <v>22531917</v>
      </c>
      <c r="AF42" s="484">
        <v>22315.9</v>
      </c>
      <c r="AG42" s="649">
        <v>22329.200000000001</v>
      </c>
      <c r="AH42" s="891">
        <v>22347.4</v>
      </c>
      <c r="AI42" s="649">
        <v>21753.200000000001</v>
      </c>
      <c r="AJ42" s="652">
        <v>0.05</v>
      </c>
      <c r="AK42" s="621"/>
      <c r="AL42" s="621"/>
      <c r="AM42" s="621">
        <v>0</v>
      </c>
      <c r="AN42" s="621">
        <v>0</v>
      </c>
      <c r="AO42" s="649">
        <v>21753.200000000001</v>
      </c>
      <c r="AP42" s="649"/>
      <c r="AQ42" s="892">
        <v>0</v>
      </c>
      <c r="AR42" s="652"/>
      <c r="AS42" s="648"/>
      <c r="AT42" s="649">
        <v>0</v>
      </c>
      <c r="AU42" s="653">
        <v>0</v>
      </c>
      <c r="AV42" s="621">
        <v>122661753</v>
      </c>
      <c r="AW42" s="621">
        <v>0</v>
      </c>
      <c r="AX42" s="621">
        <v>0</v>
      </c>
      <c r="AY42" s="621">
        <v>0</v>
      </c>
      <c r="AZ42" s="621"/>
      <c r="BA42" s="428">
        <v>1</v>
      </c>
      <c r="BB42" s="621">
        <v>498580</v>
      </c>
      <c r="BC42" s="621">
        <v>494651</v>
      </c>
      <c r="BE42" s="621">
        <v>123080680</v>
      </c>
      <c r="BF42" s="621">
        <v>82959</v>
      </c>
      <c r="BG42" s="621">
        <v>67928</v>
      </c>
      <c r="BH42" s="4604">
        <v>33</v>
      </c>
      <c r="BI42" s="621">
        <v>3316894733</v>
      </c>
      <c r="BJ42" s="621">
        <v>3468974820</v>
      </c>
      <c r="BK42" s="621">
        <v>498580</v>
      </c>
      <c r="BL42" s="4605">
        <v>1143</v>
      </c>
      <c r="BM42" s="621">
        <v>1070</v>
      </c>
      <c r="BN42" s="621">
        <v>1070</v>
      </c>
      <c r="BO42" s="621">
        <v>639</v>
      </c>
      <c r="BP42" s="621">
        <v>684</v>
      </c>
      <c r="BQ42" s="621">
        <v>679</v>
      </c>
    </row>
    <row r="43" spans="1:69">
      <c r="A43" s="888">
        <v>230</v>
      </c>
      <c r="B43" s="889" t="s">
        <v>368</v>
      </c>
      <c r="C43" s="890" t="s">
        <v>148</v>
      </c>
      <c r="D43" s="621">
        <v>277390718</v>
      </c>
      <c r="E43" s="621">
        <v>263661757</v>
      </c>
      <c r="F43" s="621">
        <v>303457767</v>
      </c>
      <c r="G43" s="621">
        <v>289010852</v>
      </c>
      <c r="H43" s="648">
        <v>3073.4</v>
      </c>
      <c r="I43" s="648">
        <v>3236</v>
      </c>
      <c r="J43" s="649">
        <v>71</v>
      </c>
      <c r="K43" s="621">
        <v>36342550</v>
      </c>
      <c r="L43" s="484">
        <v>2890.4</v>
      </c>
      <c r="M43" s="648">
        <v>4254.3999999999996</v>
      </c>
      <c r="N43" s="649">
        <v>4411.7</v>
      </c>
      <c r="O43" s="648">
        <v>5731.4</v>
      </c>
      <c r="P43" s="621">
        <v>3589126</v>
      </c>
      <c r="Q43" s="621">
        <v>3890856</v>
      </c>
      <c r="R43" s="621">
        <v>4613327</v>
      </c>
      <c r="S43" s="621">
        <v>1621297</v>
      </c>
      <c r="T43" s="621">
        <v>2586</v>
      </c>
      <c r="U43" s="621">
        <v>0</v>
      </c>
      <c r="V43" s="621"/>
      <c r="W43" s="650">
        <v>0.59</v>
      </c>
      <c r="X43" s="621">
        <v>370</v>
      </c>
      <c r="Y43" s="621">
        <v>141</v>
      </c>
      <c r="Z43" s="650">
        <v>0.59</v>
      </c>
      <c r="AA43" s="650">
        <v>0.23</v>
      </c>
      <c r="AB43" s="651">
        <v>0.58240000000000003</v>
      </c>
      <c r="AC43" s="621">
        <v>3735909</v>
      </c>
      <c r="AD43" s="621">
        <v>3737460</v>
      </c>
      <c r="AE43" s="621">
        <v>3737460</v>
      </c>
      <c r="AF43" s="484">
        <v>2890.4</v>
      </c>
      <c r="AG43" s="649">
        <v>3080.9</v>
      </c>
      <c r="AH43" s="891">
        <v>3238.5</v>
      </c>
      <c r="AI43" s="649">
        <v>3314.5</v>
      </c>
      <c r="AJ43" s="652">
        <v>3.9E-2</v>
      </c>
      <c r="AK43" s="621"/>
      <c r="AL43" s="621"/>
      <c r="AM43" s="621">
        <v>75</v>
      </c>
      <c r="AN43" s="621">
        <v>0</v>
      </c>
      <c r="AO43" s="649">
        <v>3307.5</v>
      </c>
      <c r="AP43" s="649"/>
      <c r="AQ43" s="892">
        <v>0</v>
      </c>
      <c r="AR43" s="652"/>
      <c r="AS43" s="648"/>
      <c r="AT43" s="649">
        <v>0</v>
      </c>
      <c r="AU43" s="653">
        <v>0</v>
      </c>
      <c r="AV43" s="621">
        <v>24288855</v>
      </c>
      <c r="AW43" s="621">
        <v>1114787</v>
      </c>
      <c r="AX43" s="621">
        <v>1094231</v>
      </c>
      <c r="AY43" s="621">
        <v>4348148</v>
      </c>
      <c r="AZ43" s="621"/>
      <c r="BA43" s="428">
        <v>1</v>
      </c>
      <c r="BB43" s="621">
        <v>0</v>
      </c>
      <c r="BC43" s="621">
        <v>0</v>
      </c>
      <c r="BE43" s="621">
        <v>32451694</v>
      </c>
      <c r="BF43" s="621">
        <v>20092</v>
      </c>
      <c r="BG43" s="621">
        <v>38346</v>
      </c>
      <c r="BH43" s="4604">
        <v>33</v>
      </c>
      <c r="BI43" s="621">
        <v>278696604</v>
      </c>
      <c r="BJ43" s="621">
        <v>306688481</v>
      </c>
      <c r="BK43" s="621">
        <v>0</v>
      </c>
      <c r="BL43" s="4605">
        <v>390</v>
      </c>
      <c r="BM43" s="621">
        <v>374</v>
      </c>
      <c r="BN43" s="621">
        <v>358</v>
      </c>
      <c r="BO43" s="621">
        <v>164</v>
      </c>
      <c r="BP43" s="621">
        <v>163</v>
      </c>
      <c r="BQ43" s="621">
        <v>158</v>
      </c>
    </row>
    <row r="44" spans="1:69">
      <c r="A44" s="888">
        <v>231</v>
      </c>
      <c r="B44" s="889" t="s">
        <v>369</v>
      </c>
      <c r="C44" s="890" t="s">
        <v>148</v>
      </c>
      <c r="D44" s="621">
        <v>358897690</v>
      </c>
      <c r="E44" s="621">
        <v>339899801</v>
      </c>
      <c r="F44" s="621">
        <v>377288690</v>
      </c>
      <c r="G44" s="621">
        <v>357649667</v>
      </c>
      <c r="H44" s="648">
        <v>5882.1</v>
      </c>
      <c r="I44" s="648">
        <v>5955.7</v>
      </c>
      <c r="J44" s="649">
        <v>103</v>
      </c>
      <c r="K44" s="621">
        <v>41163949</v>
      </c>
      <c r="L44" s="484">
        <v>5897.9</v>
      </c>
      <c r="M44" s="648">
        <v>5882.1</v>
      </c>
      <c r="N44" s="649">
        <v>5955.7</v>
      </c>
      <c r="O44" s="648">
        <v>5681.6</v>
      </c>
      <c r="P44" s="621">
        <v>6817007</v>
      </c>
      <c r="Q44" s="621">
        <v>7286593</v>
      </c>
      <c r="R44" s="621">
        <v>7998411</v>
      </c>
      <c r="S44" s="621">
        <v>4523118</v>
      </c>
      <c r="T44" s="621">
        <v>1003</v>
      </c>
      <c r="U44" s="621">
        <v>0</v>
      </c>
      <c r="V44" s="621"/>
      <c r="W44" s="650">
        <v>0.37</v>
      </c>
      <c r="X44" s="621">
        <v>1162</v>
      </c>
      <c r="Y44" s="621">
        <v>620</v>
      </c>
      <c r="Z44" s="650">
        <v>0.46</v>
      </c>
      <c r="AA44" s="650">
        <v>0.1</v>
      </c>
      <c r="AB44" s="651">
        <v>0.56059999999999999</v>
      </c>
      <c r="AC44" s="621">
        <v>7045273</v>
      </c>
      <c r="AD44" s="621">
        <v>6503555</v>
      </c>
      <c r="AE44" s="621">
        <v>6503555</v>
      </c>
      <c r="AF44" s="484">
        <v>5897.9</v>
      </c>
      <c r="AG44" s="649">
        <v>5882.1</v>
      </c>
      <c r="AH44" s="891">
        <v>5955.7</v>
      </c>
      <c r="AI44" s="649">
        <v>5681.6</v>
      </c>
      <c r="AJ44" s="652">
        <v>1.3899999999999999E-2</v>
      </c>
      <c r="AK44" s="621"/>
      <c r="AL44" s="621"/>
      <c r="AM44" s="621">
        <v>52</v>
      </c>
      <c r="AN44" s="621">
        <v>0</v>
      </c>
      <c r="AO44" s="649">
        <v>5681.6</v>
      </c>
      <c r="AP44" s="649"/>
      <c r="AQ44" s="892">
        <v>0</v>
      </c>
      <c r="AR44" s="652"/>
      <c r="AS44" s="648"/>
      <c r="AT44" s="649">
        <v>0</v>
      </c>
      <c r="AU44" s="653">
        <v>0</v>
      </c>
      <c r="AV44" s="621">
        <v>32881201</v>
      </c>
      <c r="AW44" s="621">
        <v>1561427</v>
      </c>
      <c r="AX44" s="621">
        <v>1416612</v>
      </c>
      <c r="AY44" s="621">
        <v>7956267</v>
      </c>
      <c r="AZ44" s="621"/>
      <c r="BA44" s="428">
        <v>1</v>
      </c>
      <c r="BB44" s="621">
        <v>85158</v>
      </c>
      <c r="BC44" s="621">
        <v>81902</v>
      </c>
      <c r="BE44" s="621">
        <v>33877356</v>
      </c>
      <c r="BF44" s="621">
        <v>11642</v>
      </c>
      <c r="BG44" s="621">
        <v>8714</v>
      </c>
      <c r="BH44" s="4604">
        <v>33</v>
      </c>
      <c r="BI44" s="621">
        <v>375343171</v>
      </c>
      <c r="BJ44" s="621">
        <v>430071029</v>
      </c>
      <c r="BK44" s="621">
        <v>85158</v>
      </c>
      <c r="BL44" s="4605">
        <v>1215</v>
      </c>
      <c r="BM44" s="621">
        <v>1098</v>
      </c>
      <c r="BN44" s="621">
        <v>1165</v>
      </c>
      <c r="BO44" s="621">
        <v>648</v>
      </c>
      <c r="BP44" s="621">
        <v>704</v>
      </c>
      <c r="BQ44" s="621">
        <v>681</v>
      </c>
    </row>
    <row r="45" spans="1:69">
      <c r="A45" s="888">
        <v>232</v>
      </c>
      <c r="B45" s="889" t="s">
        <v>370</v>
      </c>
      <c r="C45" s="890" t="s">
        <v>148</v>
      </c>
      <c r="D45" s="621">
        <v>578202683</v>
      </c>
      <c r="E45" s="621">
        <v>551596053</v>
      </c>
      <c r="F45" s="621">
        <v>608524399</v>
      </c>
      <c r="G45" s="621">
        <v>581329464</v>
      </c>
      <c r="H45" s="648">
        <v>7262.7</v>
      </c>
      <c r="I45" s="648">
        <v>7307.1</v>
      </c>
      <c r="J45" s="649">
        <v>100</v>
      </c>
      <c r="K45" s="621">
        <v>46001435</v>
      </c>
      <c r="L45" s="484">
        <v>7214.5</v>
      </c>
      <c r="M45" s="648">
        <v>7286.5</v>
      </c>
      <c r="N45" s="649">
        <v>7331.7</v>
      </c>
      <c r="O45" s="648">
        <v>6934.9</v>
      </c>
      <c r="P45" s="621">
        <v>5729978</v>
      </c>
      <c r="Q45" s="621">
        <v>5985857</v>
      </c>
      <c r="R45" s="621">
        <v>6836077</v>
      </c>
      <c r="S45" s="621">
        <v>4437654</v>
      </c>
      <c r="T45" s="621">
        <v>13372</v>
      </c>
      <c r="U45" s="621">
        <v>0</v>
      </c>
      <c r="V45" s="621"/>
      <c r="W45" s="650">
        <v>0.24</v>
      </c>
      <c r="X45" s="621">
        <v>493</v>
      </c>
      <c r="Y45" s="621">
        <v>228</v>
      </c>
      <c r="Z45" s="650">
        <v>0.25</v>
      </c>
      <c r="AA45" s="650">
        <v>0</v>
      </c>
      <c r="AB45" s="651">
        <v>0.42320000000000002</v>
      </c>
      <c r="AC45" s="621">
        <v>6726305</v>
      </c>
      <c r="AD45" s="621">
        <v>6372564</v>
      </c>
      <c r="AE45" s="621">
        <v>6372564</v>
      </c>
      <c r="AF45" s="484">
        <v>7214.5</v>
      </c>
      <c r="AG45" s="649">
        <v>7274.7</v>
      </c>
      <c r="AH45" s="891">
        <v>7320.6</v>
      </c>
      <c r="AI45" s="649">
        <v>6924.4</v>
      </c>
      <c r="AJ45" s="652">
        <v>4.82E-2</v>
      </c>
      <c r="AK45" s="621"/>
      <c r="AL45" s="621"/>
      <c r="AM45" s="621">
        <v>9</v>
      </c>
      <c r="AN45" s="621">
        <v>0</v>
      </c>
      <c r="AO45" s="649">
        <v>6914.4</v>
      </c>
      <c r="AP45" s="649"/>
      <c r="AQ45" s="892">
        <v>0</v>
      </c>
      <c r="AR45" s="652"/>
      <c r="AS45" s="648"/>
      <c r="AT45" s="649">
        <v>0</v>
      </c>
      <c r="AU45" s="653">
        <v>0</v>
      </c>
      <c r="AV45" s="621">
        <v>38913953</v>
      </c>
      <c r="AW45" s="621">
        <v>1512044</v>
      </c>
      <c r="AX45" s="621">
        <v>1467331</v>
      </c>
      <c r="AY45" s="621">
        <v>6705320</v>
      </c>
      <c r="AZ45" s="621"/>
      <c r="BA45" s="428">
        <v>0.94</v>
      </c>
      <c r="BB45" s="621">
        <v>103953</v>
      </c>
      <c r="BC45" s="621">
        <v>103953</v>
      </c>
      <c r="BE45" s="621">
        <v>40015578</v>
      </c>
      <c r="BF45" s="621">
        <v>3226</v>
      </c>
      <c r="BG45" s="621">
        <v>2810</v>
      </c>
      <c r="BH45" s="4604">
        <v>33</v>
      </c>
      <c r="BI45" s="621">
        <v>572743944</v>
      </c>
      <c r="BJ45" s="621">
        <v>611387985</v>
      </c>
      <c r="BK45" s="621">
        <v>103953</v>
      </c>
      <c r="BL45" s="4605">
        <v>566</v>
      </c>
      <c r="BM45" s="621">
        <v>566</v>
      </c>
      <c r="BN45" s="621">
        <v>613</v>
      </c>
      <c r="BO45" s="621">
        <v>257</v>
      </c>
      <c r="BP45" s="621">
        <v>264</v>
      </c>
      <c r="BQ45" s="621">
        <v>252</v>
      </c>
    </row>
    <row r="46" spans="1:69">
      <c r="A46" s="888">
        <v>233</v>
      </c>
      <c r="B46" s="889" t="s">
        <v>371</v>
      </c>
      <c r="C46" s="890" t="s">
        <v>148</v>
      </c>
      <c r="D46" s="621">
        <v>2599768889</v>
      </c>
      <c r="E46" s="621">
        <v>2491985478</v>
      </c>
      <c r="F46" s="621">
        <v>2720386896</v>
      </c>
      <c r="G46" s="621">
        <v>2611372492</v>
      </c>
      <c r="H46" s="648">
        <v>29177.1</v>
      </c>
      <c r="I46" s="648">
        <v>29285.599999999999</v>
      </c>
      <c r="J46" s="649">
        <v>75.3</v>
      </c>
      <c r="K46" s="621">
        <v>226455632</v>
      </c>
      <c r="L46" s="484">
        <v>29112.6</v>
      </c>
      <c r="M46" s="648">
        <v>29249.1</v>
      </c>
      <c r="N46" s="649">
        <v>29360.1</v>
      </c>
      <c r="O46" s="648">
        <v>28427.8</v>
      </c>
      <c r="P46" s="621">
        <v>33116178</v>
      </c>
      <c r="Q46" s="621">
        <v>35620712</v>
      </c>
      <c r="R46" s="621">
        <v>28820064</v>
      </c>
      <c r="S46" s="621">
        <v>27522172</v>
      </c>
      <c r="T46" s="621">
        <v>459</v>
      </c>
      <c r="U46" s="621">
        <v>0</v>
      </c>
      <c r="V46" s="621"/>
      <c r="W46" s="650">
        <v>0.17</v>
      </c>
      <c r="X46" s="621">
        <v>5434</v>
      </c>
      <c r="Y46" s="621">
        <v>1621</v>
      </c>
      <c r="Z46" s="650">
        <v>0.18</v>
      </c>
      <c r="AA46" s="650">
        <v>0</v>
      </c>
      <c r="AB46" s="651">
        <v>0.35930000000000001</v>
      </c>
      <c r="AC46" s="621">
        <v>34258840</v>
      </c>
      <c r="AD46" s="621">
        <v>33250648</v>
      </c>
      <c r="AE46" s="621">
        <v>33250648</v>
      </c>
      <c r="AF46" s="484">
        <v>29112.6</v>
      </c>
      <c r="AG46" s="649">
        <v>29249.1</v>
      </c>
      <c r="AH46" s="891">
        <v>29360.1</v>
      </c>
      <c r="AI46" s="649">
        <v>28427.8</v>
      </c>
      <c r="AJ46" s="652">
        <v>0.05</v>
      </c>
      <c r="AK46" s="621"/>
      <c r="AL46" s="621"/>
      <c r="AM46" s="621">
        <v>127</v>
      </c>
      <c r="AN46" s="621">
        <v>0</v>
      </c>
      <c r="AO46" s="649">
        <v>28385.8</v>
      </c>
      <c r="AP46" s="649"/>
      <c r="AQ46" s="892">
        <v>0</v>
      </c>
      <c r="AR46" s="652"/>
      <c r="AS46" s="648"/>
      <c r="AT46" s="649">
        <v>0</v>
      </c>
      <c r="AU46" s="653">
        <v>0</v>
      </c>
      <c r="AV46" s="621">
        <v>185811512</v>
      </c>
      <c r="AW46" s="621">
        <v>4568510</v>
      </c>
      <c r="AX46" s="621">
        <v>4309412</v>
      </c>
      <c r="AY46" s="621">
        <v>28641471</v>
      </c>
      <c r="AZ46" s="621"/>
      <c r="BA46" s="428">
        <v>1</v>
      </c>
      <c r="BB46" s="621">
        <v>1350543</v>
      </c>
      <c r="BC46" s="621">
        <v>1350543</v>
      </c>
      <c r="BE46" s="621">
        <v>190834920</v>
      </c>
      <c r="BF46" s="621">
        <v>82144</v>
      </c>
      <c r="BG46" s="621">
        <v>58230</v>
      </c>
      <c r="BH46" s="4604">
        <v>33</v>
      </c>
      <c r="BI46" s="621">
        <v>2595744501</v>
      </c>
      <c r="BJ46" s="621">
        <v>2693382725</v>
      </c>
      <c r="BK46" s="621">
        <v>1350543</v>
      </c>
      <c r="BL46" s="4605">
        <v>5898</v>
      </c>
      <c r="BM46" s="621">
        <v>5763</v>
      </c>
      <c r="BN46" s="621">
        <v>5703</v>
      </c>
      <c r="BO46" s="621">
        <v>2098</v>
      </c>
      <c r="BP46" s="621">
        <v>2124</v>
      </c>
      <c r="BQ46" s="621">
        <v>1981</v>
      </c>
    </row>
    <row r="47" spans="1:69">
      <c r="A47" s="888">
        <v>234</v>
      </c>
      <c r="B47" s="889" t="s">
        <v>372</v>
      </c>
      <c r="C47" s="890" t="s">
        <v>149</v>
      </c>
      <c r="D47" s="621">
        <v>86119846</v>
      </c>
      <c r="E47" s="621">
        <v>75641170</v>
      </c>
      <c r="F47" s="621">
        <v>87967850</v>
      </c>
      <c r="G47" s="621">
        <v>77532917</v>
      </c>
      <c r="H47" s="648">
        <v>1863</v>
      </c>
      <c r="I47" s="648">
        <v>1823.1</v>
      </c>
      <c r="J47" s="649">
        <v>300</v>
      </c>
      <c r="K47" s="621">
        <v>13693523</v>
      </c>
      <c r="L47" s="484">
        <v>1858.5</v>
      </c>
      <c r="M47" s="648">
        <v>1882.5</v>
      </c>
      <c r="N47" s="649">
        <v>1851.9</v>
      </c>
      <c r="O47" s="648">
        <v>1750</v>
      </c>
      <c r="P47" s="621">
        <v>1694643</v>
      </c>
      <c r="Q47" s="621">
        <v>1851041</v>
      </c>
      <c r="R47" s="621">
        <v>2779717</v>
      </c>
      <c r="S47" s="621">
        <v>1149929</v>
      </c>
      <c r="T47" s="621">
        <v>0</v>
      </c>
      <c r="U47" s="621">
        <v>0</v>
      </c>
      <c r="V47" s="621"/>
      <c r="W47" s="650">
        <v>0.64</v>
      </c>
      <c r="X47" s="621">
        <v>837</v>
      </c>
      <c r="Y47" s="621">
        <v>174</v>
      </c>
      <c r="Z47" s="650">
        <v>0.63</v>
      </c>
      <c r="AA47" s="650">
        <v>0.27</v>
      </c>
      <c r="AB47" s="651">
        <v>0.66820000000000002</v>
      </c>
      <c r="AC47" s="621">
        <v>1972231</v>
      </c>
      <c r="AD47" s="621">
        <v>1914923</v>
      </c>
      <c r="AE47" s="621">
        <v>1914923</v>
      </c>
      <c r="AF47" s="484">
        <v>1858.5</v>
      </c>
      <c r="AG47" s="649">
        <v>1878.5</v>
      </c>
      <c r="AH47" s="891">
        <v>1846.1</v>
      </c>
      <c r="AI47" s="649">
        <v>1740.1</v>
      </c>
      <c r="AJ47" s="652">
        <v>0</v>
      </c>
      <c r="AK47" s="621"/>
      <c r="AL47" s="621"/>
      <c r="AM47" s="621">
        <v>6</v>
      </c>
      <c r="AN47" s="621">
        <v>0</v>
      </c>
      <c r="AO47" s="649">
        <v>1726.1</v>
      </c>
      <c r="AP47" s="649"/>
      <c r="AQ47" s="892">
        <v>0</v>
      </c>
      <c r="AR47" s="652"/>
      <c r="AS47" s="648"/>
      <c r="AT47" s="649">
        <v>0</v>
      </c>
      <c r="AU47" s="653">
        <v>0</v>
      </c>
      <c r="AV47" s="621">
        <v>11578305</v>
      </c>
      <c r="AW47" s="621">
        <v>349153</v>
      </c>
      <c r="AX47" s="621">
        <v>350797</v>
      </c>
      <c r="AY47" s="621">
        <v>2693746</v>
      </c>
      <c r="AZ47" s="621"/>
      <c r="BA47" s="428">
        <v>1</v>
      </c>
      <c r="BB47" s="621">
        <v>0</v>
      </c>
      <c r="BC47" s="621">
        <v>0</v>
      </c>
      <c r="BE47" s="621">
        <v>11842482</v>
      </c>
      <c r="BF47" s="621">
        <v>2833</v>
      </c>
      <c r="BG47" s="621">
        <v>3395</v>
      </c>
      <c r="BH47" s="4604">
        <v>31</v>
      </c>
      <c r="BI47" s="621">
        <v>83892382</v>
      </c>
      <c r="BJ47" s="621">
        <v>85638371</v>
      </c>
      <c r="BK47" s="621">
        <v>0</v>
      </c>
      <c r="BL47" s="4605">
        <v>923</v>
      </c>
      <c r="BM47" s="621">
        <v>881</v>
      </c>
      <c r="BN47" s="621">
        <v>873</v>
      </c>
      <c r="BO47" s="621">
        <v>221</v>
      </c>
      <c r="BP47" s="621">
        <v>219</v>
      </c>
      <c r="BQ47" s="621">
        <v>235</v>
      </c>
    </row>
    <row r="48" spans="1:69">
      <c r="A48" s="888">
        <v>235</v>
      </c>
      <c r="B48" s="889" t="s">
        <v>373</v>
      </c>
      <c r="C48" s="890" t="s">
        <v>149</v>
      </c>
      <c r="D48" s="621">
        <v>17912277</v>
      </c>
      <c r="E48" s="621">
        <v>15874539</v>
      </c>
      <c r="F48" s="621">
        <v>18823628</v>
      </c>
      <c r="G48" s="621">
        <v>16801775</v>
      </c>
      <c r="H48" s="648">
        <v>428.5</v>
      </c>
      <c r="I48" s="648">
        <v>429.5</v>
      </c>
      <c r="J48" s="649">
        <v>309</v>
      </c>
      <c r="K48" s="621">
        <v>4046139</v>
      </c>
      <c r="L48" s="484">
        <v>436.5</v>
      </c>
      <c r="M48" s="648">
        <v>435</v>
      </c>
      <c r="N48" s="649">
        <v>435.5</v>
      </c>
      <c r="O48" s="648">
        <v>448</v>
      </c>
      <c r="P48" s="621">
        <v>435895</v>
      </c>
      <c r="Q48" s="621">
        <v>451798</v>
      </c>
      <c r="R48" s="621">
        <v>859499</v>
      </c>
      <c r="S48" s="621">
        <v>371669</v>
      </c>
      <c r="T48" s="621">
        <v>0</v>
      </c>
      <c r="U48" s="621">
        <v>0</v>
      </c>
      <c r="V48" s="621"/>
      <c r="W48" s="650">
        <v>0.71</v>
      </c>
      <c r="X48" s="621">
        <v>194</v>
      </c>
      <c r="Y48" s="621">
        <v>83</v>
      </c>
      <c r="Z48" s="650">
        <v>0.7</v>
      </c>
      <c r="AA48" s="650">
        <v>0.34</v>
      </c>
      <c r="AB48" s="651">
        <v>0.70269999999999999</v>
      </c>
      <c r="AC48" s="621">
        <v>470982</v>
      </c>
      <c r="AD48" s="621">
        <v>454004</v>
      </c>
      <c r="AE48" s="621">
        <v>454004</v>
      </c>
      <c r="AF48" s="484">
        <v>436.5</v>
      </c>
      <c r="AG48" s="649">
        <v>435</v>
      </c>
      <c r="AH48" s="891">
        <v>435.5</v>
      </c>
      <c r="AI48" s="649">
        <v>448</v>
      </c>
      <c r="AJ48" s="652">
        <v>0</v>
      </c>
      <c r="AK48" s="621"/>
      <c r="AL48" s="621"/>
      <c r="AM48" s="621">
        <v>28</v>
      </c>
      <c r="AN48" s="621">
        <v>0</v>
      </c>
      <c r="AO48" s="649">
        <v>443.5</v>
      </c>
      <c r="AP48" s="649"/>
      <c r="AQ48" s="892">
        <v>0</v>
      </c>
      <c r="AR48" s="652"/>
      <c r="AS48" s="648"/>
      <c r="AT48" s="649">
        <v>0</v>
      </c>
      <c r="AU48" s="653">
        <v>0</v>
      </c>
      <c r="AV48" s="621">
        <v>3478307</v>
      </c>
      <c r="AW48" s="621">
        <v>72031</v>
      </c>
      <c r="AX48" s="621">
        <v>75671</v>
      </c>
      <c r="AY48" s="621">
        <v>852232</v>
      </c>
      <c r="AZ48" s="621"/>
      <c r="BA48" s="428">
        <v>1</v>
      </c>
      <c r="BB48" s="621">
        <v>0</v>
      </c>
      <c r="BC48" s="621">
        <v>0</v>
      </c>
      <c r="BE48" s="621">
        <v>3594341</v>
      </c>
      <c r="BF48" s="621">
        <v>1407</v>
      </c>
      <c r="BG48" s="621">
        <v>951</v>
      </c>
      <c r="BH48" s="4604">
        <v>31</v>
      </c>
      <c r="BI48" s="621">
        <v>17912277</v>
      </c>
      <c r="BJ48" s="621">
        <v>18823628</v>
      </c>
      <c r="BK48" s="621">
        <v>0</v>
      </c>
      <c r="BL48" s="4605">
        <v>173</v>
      </c>
      <c r="BM48" s="621">
        <v>165</v>
      </c>
      <c r="BN48" s="621">
        <v>172</v>
      </c>
      <c r="BO48" s="621">
        <v>118</v>
      </c>
      <c r="BP48" s="621">
        <v>104</v>
      </c>
      <c r="BQ48" s="621">
        <v>91</v>
      </c>
    </row>
    <row r="49" spans="1:69">
      <c r="A49" s="888">
        <v>237</v>
      </c>
      <c r="B49" s="889" t="s">
        <v>374</v>
      </c>
      <c r="C49" s="890" t="s">
        <v>150</v>
      </c>
      <c r="D49" s="621">
        <v>47690239</v>
      </c>
      <c r="E49" s="621">
        <v>44681009</v>
      </c>
      <c r="F49" s="621">
        <v>50550106</v>
      </c>
      <c r="G49" s="621">
        <v>47510259</v>
      </c>
      <c r="H49" s="648">
        <v>423.3</v>
      </c>
      <c r="I49" s="648">
        <v>399</v>
      </c>
      <c r="J49" s="649">
        <v>599</v>
      </c>
      <c r="K49" s="621">
        <v>3870400</v>
      </c>
      <c r="L49" s="484">
        <v>396</v>
      </c>
      <c r="M49" s="648">
        <v>424.8</v>
      </c>
      <c r="N49" s="649">
        <v>399</v>
      </c>
      <c r="O49" s="648">
        <v>397.4</v>
      </c>
      <c r="P49" s="621">
        <v>510149</v>
      </c>
      <c r="Q49" s="621">
        <v>538248</v>
      </c>
      <c r="R49" s="621">
        <v>247585</v>
      </c>
      <c r="S49" s="621">
        <v>586035</v>
      </c>
      <c r="T49" s="621">
        <v>0</v>
      </c>
      <c r="U49" s="621">
        <v>0</v>
      </c>
      <c r="V49" s="621"/>
      <c r="W49" s="650">
        <v>0</v>
      </c>
      <c r="X49" s="621">
        <v>127</v>
      </c>
      <c r="Y49" s="621">
        <v>52</v>
      </c>
      <c r="Z49" s="650">
        <v>0</v>
      </c>
      <c r="AA49" s="650">
        <v>0</v>
      </c>
      <c r="AB49" s="651">
        <v>0.15340000000000001</v>
      </c>
      <c r="AC49" s="621">
        <v>438469</v>
      </c>
      <c r="AD49" s="621">
        <v>425144</v>
      </c>
      <c r="AE49" s="621">
        <v>425144</v>
      </c>
      <c r="AF49" s="484">
        <v>396</v>
      </c>
      <c r="AG49" s="649">
        <v>424.8</v>
      </c>
      <c r="AH49" s="891">
        <v>399</v>
      </c>
      <c r="AI49" s="649">
        <v>397.4</v>
      </c>
      <c r="AJ49" s="652">
        <v>0</v>
      </c>
      <c r="AK49" s="621"/>
      <c r="AL49" s="621"/>
      <c r="AM49" s="621">
        <v>0</v>
      </c>
      <c r="AN49" s="621">
        <v>0</v>
      </c>
      <c r="AO49" s="649">
        <v>394.9</v>
      </c>
      <c r="AP49" s="649"/>
      <c r="AQ49" s="892">
        <v>0</v>
      </c>
      <c r="AR49" s="652"/>
      <c r="AS49" s="648"/>
      <c r="AT49" s="649">
        <v>0</v>
      </c>
      <c r="AU49" s="653">
        <v>0</v>
      </c>
      <c r="AV49" s="621">
        <v>3244925</v>
      </c>
      <c r="AW49" s="621">
        <v>7604</v>
      </c>
      <c r="AX49" s="621">
        <v>0</v>
      </c>
      <c r="AY49" s="621">
        <v>284349</v>
      </c>
      <c r="AZ49" s="621"/>
      <c r="BA49" s="428">
        <v>1</v>
      </c>
      <c r="BB49" s="621">
        <v>34399</v>
      </c>
      <c r="BC49" s="621">
        <v>32248</v>
      </c>
      <c r="BE49" s="621">
        <v>3332152</v>
      </c>
      <c r="BF49" s="621">
        <v>941</v>
      </c>
      <c r="BG49" s="621">
        <v>218</v>
      </c>
      <c r="BH49" s="4604">
        <v>33</v>
      </c>
      <c r="BI49" s="621">
        <v>47602770</v>
      </c>
      <c r="BJ49" s="621">
        <v>50470746</v>
      </c>
      <c r="BK49" s="621">
        <v>34399</v>
      </c>
      <c r="BL49" s="4605">
        <v>141</v>
      </c>
      <c r="BM49" s="621">
        <v>154</v>
      </c>
      <c r="BN49" s="621">
        <v>138</v>
      </c>
      <c r="BO49" s="621">
        <v>55</v>
      </c>
      <c r="BP49" s="621">
        <v>47</v>
      </c>
      <c r="BQ49" s="621">
        <v>50</v>
      </c>
    </row>
    <row r="50" spans="1:69">
      <c r="A50" s="888">
        <v>239</v>
      </c>
      <c r="B50" s="889" t="s">
        <v>375</v>
      </c>
      <c r="C50" s="890" t="s">
        <v>151</v>
      </c>
      <c r="D50" s="621">
        <v>45438591</v>
      </c>
      <c r="E50" s="621">
        <v>42343552</v>
      </c>
      <c r="F50" s="621">
        <v>47350884</v>
      </c>
      <c r="G50" s="621">
        <v>44250320</v>
      </c>
      <c r="H50" s="648">
        <v>594.79999999999995</v>
      </c>
      <c r="I50" s="648">
        <v>618.6</v>
      </c>
      <c r="J50" s="649">
        <v>418.5</v>
      </c>
      <c r="K50" s="621">
        <v>5300497</v>
      </c>
      <c r="L50" s="484">
        <v>606</v>
      </c>
      <c r="M50" s="648">
        <v>594.79999999999995</v>
      </c>
      <c r="N50" s="649">
        <v>618.6</v>
      </c>
      <c r="O50" s="648">
        <v>595.4</v>
      </c>
      <c r="P50" s="621">
        <v>694675</v>
      </c>
      <c r="Q50" s="621">
        <v>754288</v>
      </c>
      <c r="R50" s="621">
        <v>820012</v>
      </c>
      <c r="S50" s="621">
        <v>614442</v>
      </c>
      <c r="T50" s="621">
        <v>17387</v>
      </c>
      <c r="U50" s="621">
        <v>0</v>
      </c>
      <c r="V50" s="621"/>
      <c r="W50" s="650">
        <v>0.34</v>
      </c>
      <c r="X50" s="621">
        <v>172</v>
      </c>
      <c r="Y50" s="621">
        <v>87</v>
      </c>
      <c r="Z50" s="650">
        <v>0.33</v>
      </c>
      <c r="AA50" s="650">
        <v>0</v>
      </c>
      <c r="AB50" s="651">
        <v>0.45569999999999999</v>
      </c>
      <c r="AC50" s="621">
        <v>627048</v>
      </c>
      <c r="AD50" s="621">
        <v>587163</v>
      </c>
      <c r="AE50" s="621">
        <v>587163</v>
      </c>
      <c r="AF50" s="484">
        <v>606</v>
      </c>
      <c r="AG50" s="649">
        <v>594.79999999999995</v>
      </c>
      <c r="AH50" s="891">
        <v>618.6</v>
      </c>
      <c r="AI50" s="649">
        <v>595.4</v>
      </c>
      <c r="AJ50" s="652">
        <v>0</v>
      </c>
      <c r="AK50" s="621"/>
      <c r="AL50" s="621"/>
      <c r="AM50" s="621">
        <v>3</v>
      </c>
      <c r="AN50" s="621">
        <v>0</v>
      </c>
      <c r="AO50" s="649">
        <v>595.4</v>
      </c>
      <c r="AP50" s="649"/>
      <c r="AQ50" s="892">
        <v>0</v>
      </c>
      <c r="AR50" s="652"/>
      <c r="AS50" s="648"/>
      <c r="AT50" s="649">
        <v>0</v>
      </c>
      <c r="AU50" s="653">
        <v>0</v>
      </c>
      <c r="AV50" s="621">
        <v>4353937</v>
      </c>
      <c r="AW50" s="621">
        <v>114955</v>
      </c>
      <c r="AX50" s="621">
        <v>125419</v>
      </c>
      <c r="AY50" s="621">
        <v>779951</v>
      </c>
      <c r="AZ50" s="621"/>
      <c r="BA50" s="428">
        <v>1</v>
      </c>
      <c r="BB50" s="621">
        <v>23982</v>
      </c>
      <c r="BC50" s="621">
        <v>23600</v>
      </c>
      <c r="BE50" s="621">
        <v>4546209</v>
      </c>
      <c r="BF50" s="621">
        <v>4468</v>
      </c>
      <c r="BG50" s="621">
        <v>3487</v>
      </c>
      <c r="BH50" s="4604">
        <v>33</v>
      </c>
      <c r="BI50" s="621">
        <v>45080559</v>
      </c>
      <c r="BJ50" s="621">
        <v>46921700</v>
      </c>
      <c r="BK50" s="621">
        <v>23982</v>
      </c>
      <c r="BL50" s="4605">
        <v>182</v>
      </c>
      <c r="BM50" s="621">
        <v>173</v>
      </c>
      <c r="BN50" s="621">
        <v>165</v>
      </c>
      <c r="BO50" s="621">
        <v>83</v>
      </c>
      <c r="BP50" s="621">
        <v>73</v>
      </c>
      <c r="BQ50" s="621">
        <v>110</v>
      </c>
    </row>
    <row r="51" spans="1:69">
      <c r="A51" s="888">
        <v>240</v>
      </c>
      <c r="B51" s="889" t="s">
        <v>376</v>
      </c>
      <c r="C51" s="890" t="s">
        <v>151</v>
      </c>
      <c r="D51" s="621">
        <v>38169675</v>
      </c>
      <c r="E51" s="621">
        <v>35800147</v>
      </c>
      <c r="F51" s="621">
        <v>40667100</v>
      </c>
      <c r="G51" s="621">
        <v>38292605</v>
      </c>
      <c r="H51" s="648">
        <v>562</v>
      </c>
      <c r="I51" s="648">
        <v>524.5</v>
      </c>
      <c r="J51" s="649">
        <v>269.3</v>
      </c>
      <c r="K51" s="621">
        <v>5006710</v>
      </c>
      <c r="L51" s="484">
        <v>591.1</v>
      </c>
      <c r="M51" s="648">
        <v>573</v>
      </c>
      <c r="N51" s="649">
        <v>537.29999999999995</v>
      </c>
      <c r="O51" s="648">
        <v>548.5</v>
      </c>
      <c r="P51" s="621">
        <v>594127</v>
      </c>
      <c r="Q51" s="621">
        <v>576198</v>
      </c>
      <c r="R51" s="621">
        <v>858026</v>
      </c>
      <c r="S51" s="621">
        <v>594084</v>
      </c>
      <c r="T51" s="621">
        <v>0</v>
      </c>
      <c r="U51" s="621">
        <v>0</v>
      </c>
      <c r="V51" s="621"/>
      <c r="W51" s="650">
        <v>0.39</v>
      </c>
      <c r="X51" s="621">
        <v>209</v>
      </c>
      <c r="Y51" s="621">
        <v>82</v>
      </c>
      <c r="Z51" s="650">
        <v>0.38</v>
      </c>
      <c r="AA51" s="650">
        <v>0.02</v>
      </c>
      <c r="AB51" s="651">
        <v>0.49370000000000003</v>
      </c>
      <c r="AC51" s="621">
        <v>569098</v>
      </c>
      <c r="AD51" s="621">
        <v>553167</v>
      </c>
      <c r="AE51" s="621">
        <v>553167</v>
      </c>
      <c r="AF51" s="484">
        <v>591.1</v>
      </c>
      <c r="AG51" s="649">
        <v>573</v>
      </c>
      <c r="AH51" s="891">
        <v>536.5</v>
      </c>
      <c r="AI51" s="649">
        <v>548.5</v>
      </c>
      <c r="AJ51" s="652">
        <v>0</v>
      </c>
      <c r="AK51" s="621"/>
      <c r="AL51" s="621"/>
      <c r="AM51" s="621">
        <v>8</v>
      </c>
      <c r="AN51" s="621">
        <v>0</v>
      </c>
      <c r="AO51" s="649">
        <v>536</v>
      </c>
      <c r="AP51" s="649"/>
      <c r="AQ51" s="892">
        <v>0</v>
      </c>
      <c r="AR51" s="652"/>
      <c r="AS51" s="648"/>
      <c r="AT51" s="649">
        <v>0</v>
      </c>
      <c r="AU51" s="653">
        <v>0</v>
      </c>
      <c r="AV51" s="621">
        <v>4408379</v>
      </c>
      <c r="AW51" s="621">
        <v>98478</v>
      </c>
      <c r="AX51" s="621">
        <v>120285</v>
      </c>
      <c r="AY51" s="621">
        <v>885107</v>
      </c>
      <c r="AZ51" s="621"/>
      <c r="BA51" s="428">
        <v>1</v>
      </c>
      <c r="BB51" s="621">
        <v>24458</v>
      </c>
      <c r="BC51" s="621">
        <v>24458</v>
      </c>
      <c r="BE51" s="621">
        <v>4430512</v>
      </c>
      <c r="BF51" s="621">
        <v>2234</v>
      </c>
      <c r="BG51" s="621">
        <v>3002</v>
      </c>
      <c r="BH51" s="4604">
        <v>33</v>
      </c>
      <c r="BI51" s="621">
        <v>38169675</v>
      </c>
      <c r="BJ51" s="621">
        <v>40667100</v>
      </c>
      <c r="BK51" s="621">
        <v>24458</v>
      </c>
      <c r="BL51" s="4605">
        <v>228</v>
      </c>
      <c r="BM51" s="621">
        <v>228</v>
      </c>
      <c r="BN51" s="621">
        <v>205</v>
      </c>
      <c r="BO51" s="621">
        <v>65</v>
      </c>
      <c r="BP51" s="621">
        <v>64</v>
      </c>
      <c r="BQ51" s="621">
        <v>63</v>
      </c>
    </row>
    <row r="52" spans="1:69">
      <c r="A52" s="888">
        <v>241</v>
      </c>
      <c r="B52" s="889" t="s">
        <v>377</v>
      </c>
      <c r="C52" s="890" t="s">
        <v>152</v>
      </c>
      <c r="D52" s="621">
        <v>31551229</v>
      </c>
      <c r="E52" s="621">
        <v>30254784</v>
      </c>
      <c r="F52" s="621">
        <v>32349696</v>
      </c>
      <c r="G52" s="621">
        <v>31051358</v>
      </c>
      <c r="H52" s="648">
        <v>198</v>
      </c>
      <c r="I52" s="648">
        <v>198</v>
      </c>
      <c r="J52" s="649">
        <v>681.5</v>
      </c>
      <c r="K52" s="621">
        <v>1940819</v>
      </c>
      <c r="L52" s="484">
        <v>199.5</v>
      </c>
      <c r="M52" s="648">
        <v>198</v>
      </c>
      <c r="N52" s="649">
        <v>198</v>
      </c>
      <c r="O52" s="648">
        <v>208.5</v>
      </c>
      <c r="P52" s="621">
        <v>146633</v>
      </c>
      <c r="Q52" s="621">
        <v>144430</v>
      </c>
      <c r="R52" s="621">
        <v>0</v>
      </c>
      <c r="S52" s="621">
        <v>156774</v>
      </c>
      <c r="T52" s="621">
        <v>0</v>
      </c>
      <c r="U52" s="621">
        <v>0</v>
      </c>
      <c r="V52" s="621"/>
      <c r="W52" s="650">
        <v>0</v>
      </c>
      <c r="X52" s="621">
        <v>51</v>
      </c>
      <c r="Y52" s="621">
        <v>26</v>
      </c>
      <c r="Z52" s="650">
        <v>0</v>
      </c>
      <c r="AA52" s="650">
        <v>0</v>
      </c>
      <c r="AB52" s="651">
        <v>0</v>
      </c>
      <c r="AC52" s="621">
        <v>240040</v>
      </c>
      <c r="AD52" s="621">
        <v>218261</v>
      </c>
      <c r="AE52" s="621">
        <v>218261</v>
      </c>
      <c r="AF52" s="484">
        <v>199.5</v>
      </c>
      <c r="AG52" s="649">
        <v>198</v>
      </c>
      <c r="AH52" s="891">
        <v>198</v>
      </c>
      <c r="AI52" s="649">
        <v>208.5</v>
      </c>
      <c r="AJ52" s="652">
        <v>0</v>
      </c>
      <c r="AK52" s="621"/>
      <c r="AL52" s="621"/>
      <c r="AM52" s="621">
        <v>0</v>
      </c>
      <c r="AN52" s="621">
        <v>0</v>
      </c>
      <c r="AO52" s="649">
        <v>208.5</v>
      </c>
      <c r="AP52" s="649"/>
      <c r="AQ52" s="892">
        <v>0</v>
      </c>
      <c r="AR52" s="652"/>
      <c r="AS52" s="648"/>
      <c r="AT52" s="649">
        <v>0</v>
      </c>
      <c r="AU52" s="653">
        <v>0</v>
      </c>
      <c r="AV52" s="621">
        <v>1730793</v>
      </c>
      <c r="AW52" s="621">
        <v>0</v>
      </c>
      <c r="AX52" s="621">
        <v>0</v>
      </c>
      <c r="AY52" s="621">
        <v>0</v>
      </c>
      <c r="AZ52" s="621"/>
      <c r="BA52" s="428">
        <v>1</v>
      </c>
      <c r="BB52" s="621">
        <v>0</v>
      </c>
      <c r="BC52" s="621">
        <v>0</v>
      </c>
      <c r="BE52" s="621">
        <v>1795363</v>
      </c>
      <c r="BF52" s="621">
        <v>0</v>
      </c>
      <c r="BG52" s="621">
        <v>1124</v>
      </c>
      <c r="BH52" s="4604">
        <v>30</v>
      </c>
      <c r="BI52" s="621">
        <v>31551229</v>
      </c>
      <c r="BJ52" s="621">
        <v>32349696</v>
      </c>
      <c r="BK52" s="621">
        <v>0</v>
      </c>
      <c r="BL52" s="4605">
        <v>70</v>
      </c>
      <c r="BM52" s="621">
        <v>50</v>
      </c>
      <c r="BN52" s="621">
        <v>55</v>
      </c>
      <c r="BO52" s="621">
        <v>23</v>
      </c>
      <c r="BP52" s="621">
        <v>33</v>
      </c>
      <c r="BQ52" s="621">
        <v>23</v>
      </c>
    </row>
    <row r="53" spans="1:69">
      <c r="A53" s="888">
        <v>242</v>
      </c>
      <c r="B53" s="889" t="s">
        <v>378</v>
      </c>
      <c r="C53" s="890" t="s">
        <v>152</v>
      </c>
      <c r="D53" s="621">
        <v>13289004</v>
      </c>
      <c r="E53" s="621">
        <v>13019740</v>
      </c>
      <c r="F53" s="621">
        <v>11470404</v>
      </c>
      <c r="G53" s="621">
        <v>11201332</v>
      </c>
      <c r="H53" s="648">
        <v>99.5</v>
      </c>
      <c r="I53" s="648">
        <v>103.5</v>
      </c>
      <c r="J53" s="649">
        <v>243</v>
      </c>
      <c r="K53" s="621">
        <v>1162476</v>
      </c>
      <c r="L53" s="484">
        <v>103.5</v>
      </c>
      <c r="M53" s="648">
        <v>99.5</v>
      </c>
      <c r="N53" s="649">
        <v>103.5</v>
      </c>
      <c r="O53" s="648">
        <v>102.5</v>
      </c>
      <c r="P53" s="621">
        <v>103791</v>
      </c>
      <c r="Q53" s="621">
        <v>107536</v>
      </c>
      <c r="R53" s="621">
        <v>34509</v>
      </c>
      <c r="S53" s="621">
        <v>98257</v>
      </c>
      <c r="T53" s="621">
        <v>0</v>
      </c>
      <c r="U53" s="621">
        <v>0</v>
      </c>
      <c r="V53" s="621"/>
      <c r="W53" s="650">
        <v>0</v>
      </c>
      <c r="X53" s="621">
        <v>24</v>
      </c>
      <c r="Y53" s="621">
        <v>8</v>
      </c>
      <c r="Z53" s="650">
        <v>0</v>
      </c>
      <c r="AA53" s="650">
        <v>0</v>
      </c>
      <c r="AB53" s="651">
        <v>0.11360000000000001</v>
      </c>
      <c r="AC53" s="621">
        <v>125597</v>
      </c>
      <c r="AD53" s="621">
        <v>115054</v>
      </c>
      <c r="AE53" s="621">
        <v>115054</v>
      </c>
      <c r="AF53" s="484">
        <v>103.5</v>
      </c>
      <c r="AG53" s="649">
        <v>99.5</v>
      </c>
      <c r="AH53" s="891">
        <v>103.5</v>
      </c>
      <c r="AI53" s="649">
        <v>102.5</v>
      </c>
      <c r="AJ53" s="652">
        <v>0</v>
      </c>
      <c r="AK53" s="621"/>
      <c r="AL53" s="621"/>
      <c r="AM53" s="621">
        <v>0</v>
      </c>
      <c r="AN53" s="621">
        <v>0</v>
      </c>
      <c r="AO53" s="649">
        <v>102.5</v>
      </c>
      <c r="AP53" s="649"/>
      <c r="AQ53" s="892">
        <v>0</v>
      </c>
      <c r="AR53" s="652"/>
      <c r="AS53" s="648"/>
      <c r="AT53" s="649">
        <v>0</v>
      </c>
      <c r="AU53" s="653">
        <v>0</v>
      </c>
      <c r="AV53" s="621">
        <v>1001116</v>
      </c>
      <c r="AW53" s="621">
        <v>0</v>
      </c>
      <c r="AX53" s="621">
        <v>0</v>
      </c>
      <c r="AY53" s="621">
        <v>42494</v>
      </c>
      <c r="AZ53" s="621"/>
      <c r="BA53" s="428">
        <v>1</v>
      </c>
      <c r="BB53" s="621">
        <v>0</v>
      </c>
      <c r="BC53" s="621">
        <v>0</v>
      </c>
      <c r="BE53" s="621">
        <v>1052922</v>
      </c>
      <c r="BF53" s="621">
        <v>154</v>
      </c>
      <c r="BG53" s="621">
        <v>824</v>
      </c>
      <c r="BH53" s="4604">
        <v>33</v>
      </c>
      <c r="BI53" s="621">
        <v>13289004</v>
      </c>
      <c r="BJ53" s="621">
        <v>11470404</v>
      </c>
      <c r="BK53" s="621">
        <v>0</v>
      </c>
      <c r="BL53" s="4605">
        <v>27</v>
      </c>
      <c r="BM53" s="621">
        <v>25</v>
      </c>
      <c r="BN53" s="621">
        <v>16</v>
      </c>
      <c r="BO53" s="621">
        <v>16</v>
      </c>
      <c r="BP53" s="621">
        <v>12</v>
      </c>
      <c r="BQ53" s="621">
        <v>14</v>
      </c>
    </row>
    <row r="54" spans="1:69">
      <c r="A54" s="888">
        <v>243</v>
      </c>
      <c r="B54" s="889" t="s">
        <v>379</v>
      </c>
      <c r="C54" s="890" t="s">
        <v>153</v>
      </c>
      <c r="D54" s="621">
        <v>33761016</v>
      </c>
      <c r="E54" s="621">
        <v>31103590</v>
      </c>
      <c r="F54" s="621">
        <v>35552088</v>
      </c>
      <c r="G54" s="621">
        <v>32858675</v>
      </c>
      <c r="H54" s="648">
        <v>423</v>
      </c>
      <c r="I54" s="648">
        <v>444.2</v>
      </c>
      <c r="J54" s="649">
        <v>248</v>
      </c>
      <c r="K54" s="621">
        <v>4078746</v>
      </c>
      <c r="L54" s="484">
        <v>415.5</v>
      </c>
      <c r="M54" s="648">
        <v>428</v>
      </c>
      <c r="N54" s="649">
        <v>444.2</v>
      </c>
      <c r="O54" s="648">
        <v>451</v>
      </c>
      <c r="P54" s="621">
        <v>613022</v>
      </c>
      <c r="Q54" s="621">
        <v>674384</v>
      </c>
      <c r="R54" s="621">
        <v>539643</v>
      </c>
      <c r="S54" s="621">
        <v>440826</v>
      </c>
      <c r="T54" s="621">
        <v>0</v>
      </c>
      <c r="U54" s="621">
        <v>0</v>
      </c>
      <c r="V54" s="621"/>
      <c r="W54" s="650">
        <v>0.34</v>
      </c>
      <c r="X54" s="621">
        <v>135</v>
      </c>
      <c r="Y54" s="621">
        <v>33</v>
      </c>
      <c r="Z54" s="650">
        <v>0.33</v>
      </c>
      <c r="AA54" s="650">
        <v>0</v>
      </c>
      <c r="AB54" s="651">
        <v>0.44259999999999999</v>
      </c>
      <c r="AC54" s="621">
        <v>454744</v>
      </c>
      <c r="AD54" s="621">
        <v>455646</v>
      </c>
      <c r="AE54" s="621">
        <v>455646</v>
      </c>
      <c r="AF54" s="484">
        <v>415.5</v>
      </c>
      <c r="AG54" s="649">
        <v>428</v>
      </c>
      <c r="AH54" s="891">
        <v>444.2</v>
      </c>
      <c r="AI54" s="649">
        <v>451</v>
      </c>
      <c r="AJ54" s="652">
        <v>0</v>
      </c>
      <c r="AK54" s="621"/>
      <c r="AL54" s="621"/>
      <c r="AM54" s="621">
        <v>5</v>
      </c>
      <c r="AN54" s="621">
        <v>0</v>
      </c>
      <c r="AO54" s="649">
        <v>451</v>
      </c>
      <c r="AP54" s="649"/>
      <c r="AQ54" s="892">
        <v>0</v>
      </c>
      <c r="AR54" s="652"/>
      <c r="AS54" s="648"/>
      <c r="AT54" s="649">
        <v>0</v>
      </c>
      <c r="AU54" s="653">
        <v>0</v>
      </c>
      <c r="AV54" s="621">
        <v>3185517</v>
      </c>
      <c r="AW54" s="621">
        <v>72905</v>
      </c>
      <c r="AX54" s="621">
        <v>86428</v>
      </c>
      <c r="AY54" s="621">
        <v>486504</v>
      </c>
      <c r="AZ54" s="621"/>
      <c r="BA54" s="428">
        <v>1</v>
      </c>
      <c r="BB54" s="621">
        <v>0</v>
      </c>
      <c r="BC54" s="621">
        <v>0</v>
      </c>
      <c r="BE54" s="621">
        <v>3404358</v>
      </c>
      <c r="BF54" s="621">
        <v>272</v>
      </c>
      <c r="BG54" s="621">
        <v>0</v>
      </c>
      <c r="BH54" s="4604">
        <v>31</v>
      </c>
      <c r="BI54" s="621">
        <v>33761016</v>
      </c>
      <c r="BJ54" s="621">
        <v>35552088</v>
      </c>
      <c r="BK54" s="621">
        <v>0</v>
      </c>
      <c r="BL54" s="4605">
        <v>137</v>
      </c>
      <c r="BM54" s="621">
        <v>115</v>
      </c>
      <c r="BN54" s="621">
        <v>135</v>
      </c>
      <c r="BO54" s="621">
        <v>38</v>
      </c>
      <c r="BP54" s="621">
        <v>32</v>
      </c>
      <c r="BQ54" s="621">
        <v>46</v>
      </c>
    </row>
    <row r="55" spans="1:69">
      <c r="A55" s="888">
        <v>244</v>
      </c>
      <c r="B55" s="889" t="s">
        <v>380</v>
      </c>
      <c r="C55" s="890" t="s">
        <v>153</v>
      </c>
      <c r="D55" s="621">
        <v>487534353</v>
      </c>
      <c r="E55" s="621">
        <v>483482241</v>
      </c>
      <c r="F55" s="621">
        <v>513822197</v>
      </c>
      <c r="G55" s="621">
        <v>509766946</v>
      </c>
      <c r="H55" s="648">
        <v>815</v>
      </c>
      <c r="I55" s="648">
        <v>799</v>
      </c>
      <c r="J55" s="649">
        <v>147</v>
      </c>
      <c r="K55" s="621">
        <v>7145916</v>
      </c>
      <c r="L55" s="484">
        <v>853.5</v>
      </c>
      <c r="M55" s="648">
        <v>820.5</v>
      </c>
      <c r="N55" s="649">
        <v>805</v>
      </c>
      <c r="O55" s="648">
        <v>777.5</v>
      </c>
      <c r="P55" s="621">
        <v>1411023</v>
      </c>
      <c r="Q55" s="621">
        <v>1360091</v>
      </c>
      <c r="R55" s="621">
        <v>0</v>
      </c>
      <c r="S55" s="621">
        <v>1300350</v>
      </c>
      <c r="T55" s="621">
        <v>5699</v>
      </c>
      <c r="U55" s="621">
        <v>0</v>
      </c>
      <c r="V55" s="621"/>
      <c r="W55" s="650">
        <v>0</v>
      </c>
      <c r="X55" s="621">
        <v>240</v>
      </c>
      <c r="Y55" s="621">
        <v>89</v>
      </c>
      <c r="Z55" s="650">
        <v>0</v>
      </c>
      <c r="AA55" s="650">
        <v>0</v>
      </c>
      <c r="AB55" s="651">
        <v>0</v>
      </c>
      <c r="AC55" s="621">
        <v>1337246</v>
      </c>
      <c r="AD55" s="621">
        <v>1242011</v>
      </c>
      <c r="AE55" s="621">
        <v>1242011</v>
      </c>
      <c r="AF55" s="484">
        <v>853.5</v>
      </c>
      <c r="AG55" s="649">
        <v>820.5</v>
      </c>
      <c r="AH55" s="891">
        <v>805</v>
      </c>
      <c r="AI55" s="649">
        <v>777.5</v>
      </c>
      <c r="AJ55" s="652">
        <v>0</v>
      </c>
      <c r="AK55" s="621"/>
      <c r="AL55" s="621"/>
      <c r="AM55" s="621">
        <v>4</v>
      </c>
      <c r="AN55" s="621">
        <v>19307</v>
      </c>
      <c r="AO55" s="649">
        <v>772.5</v>
      </c>
      <c r="AP55" s="649"/>
      <c r="AQ55" s="892">
        <v>0</v>
      </c>
      <c r="AR55" s="652"/>
      <c r="AS55" s="648"/>
      <c r="AT55" s="649">
        <v>0</v>
      </c>
      <c r="AU55" s="653">
        <v>0</v>
      </c>
      <c r="AV55" s="621">
        <v>5754395</v>
      </c>
      <c r="AW55" s="621">
        <v>0</v>
      </c>
      <c r="AX55" s="621">
        <v>0</v>
      </c>
      <c r="AY55" s="621">
        <v>0</v>
      </c>
      <c r="AZ55" s="621"/>
      <c r="BA55" s="428">
        <v>1</v>
      </c>
      <c r="BB55" s="621">
        <v>0</v>
      </c>
      <c r="BC55" s="621">
        <v>0</v>
      </c>
      <c r="BE55" s="621">
        <v>5766473</v>
      </c>
      <c r="BF55" s="621">
        <v>3996</v>
      </c>
      <c r="BG55" s="621">
        <v>3211</v>
      </c>
      <c r="BH55" s="4604">
        <v>31</v>
      </c>
      <c r="BI55" s="621">
        <v>487534353</v>
      </c>
      <c r="BJ55" s="621">
        <v>513822197</v>
      </c>
      <c r="BK55" s="621">
        <v>0</v>
      </c>
      <c r="BL55" s="4605">
        <v>269</v>
      </c>
      <c r="BM55" s="621">
        <v>258</v>
      </c>
      <c r="BN55" s="621">
        <v>247</v>
      </c>
      <c r="BO55" s="621">
        <v>75</v>
      </c>
      <c r="BP55" s="621">
        <v>81</v>
      </c>
      <c r="BQ55" s="621">
        <v>98</v>
      </c>
    </row>
    <row r="56" spans="1:69">
      <c r="A56" s="888">
        <v>245</v>
      </c>
      <c r="B56" s="889" t="s">
        <v>381</v>
      </c>
      <c r="C56" s="890" t="s">
        <v>153</v>
      </c>
      <c r="D56" s="621">
        <v>25675517</v>
      </c>
      <c r="E56" s="621">
        <v>24056125</v>
      </c>
      <c r="F56" s="621">
        <v>23702208</v>
      </c>
      <c r="G56" s="621">
        <v>22075558</v>
      </c>
      <c r="H56" s="648">
        <v>202</v>
      </c>
      <c r="I56" s="648">
        <v>182</v>
      </c>
      <c r="J56" s="649">
        <v>207</v>
      </c>
      <c r="K56" s="621">
        <v>2219163</v>
      </c>
      <c r="L56" s="484">
        <v>192</v>
      </c>
      <c r="M56" s="648">
        <v>202.5</v>
      </c>
      <c r="N56" s="649">
        <v>182</v>
      </c>
      <c r="O56" s="648">
        <v>169.5</v>
      </c>
      <c r="P56" s="621">
        <v>227428</v>
      </c>
      <c r="Q56" s="621">
        <v>243647</v>
      </c>
      <c r="R56" s="621">
        <v>11626</v>
      </c>
      <c r="S56" s="621">
        <v>300551</v>
      </c>
      <c r="T56" s="621">
        <v>17739</v>
      </c>
      <c r="U56" s="621">
        <v>0</v>
      </c>
      <c r="V56" s="621"/>
      <c r="W56" s="650">
        <v>0</v>
      </c>
      <c r="X56" s="621">
        <v>72</v>
      </c>
      <c r="Y56" s="621">
        <v>40</v>
      </c>
      <c r="Z56" s="650">
        <v>0</v>
      </c>
      <c r="AA56" s="650">
        <v>0</v>
      </c>
      <c r="AB56" s="651">
        <v>1.84E-2</v>
      </c>
      <c r="AC56" s="621">
        <v>219212</v>
      </c>
      <c r="AD56" s="621">
        <v>213217</v>
      </c>
      <c r="AE56" s="621">
        <v>213217</v>
      </c>
      <c r="AF56" s="484">
        <v>192</v>
      </c>
      <c r="AG56" s="649">
        <v>202.5</v>
      </c>
      <c r="AH56" s="891">
        <v>182</v>
      </c>
      <c r="AI56" s="649">
        <v>169.5</v>
      </c>
      <c r="AJ56" s="652">
        <v>0</v>
      </c>
      <c r="AK56" s="621"/>
      <c r="AL56" s="621"/>
      <c r="AM56" s="621">
        <v>0</v>
      </c>
      <c r="AN56" s="621">
        <v>0</v>
      </c>
      <c r="AO56" s="649">
        <v>164</v>
      </c>
      <c r="AP56" s="649"/>
      <c r="AQ56" s="892">
        <v>0</v>
      </c>
      <c r="AR56" s="652"/>
      <c r="AS56" s="648"/>
      <c r="AT56" s="649">
        <v>0</v>
      </c>
      <c r="AU56" s="653">
        <v>0</v>
      </c>
      <c r="AV56" s="621">
        <v>1891459</v>
      </c>
      <c r="AW56" s="621">
        <v>0</v>
      </c>
      <c r="AX56" s="621">
        <v>0</v>
      </c>
      <c r="AY56" s="621">
        <v>20404</v>
      </c>
      <c r="AZ56" s="621"/>
      <c r="BA56" s="428">
        <v>1</v>
      </c>
      <c r="BB56" s="621">
        <v>0</v>
      </c>
      <c r="BC56" s="621">
        <v>0</v>
      </c>
      <c r="BE56" s="621">
        <v>1974971</v>
      </c>
      <c r="BF56" s="621">
        <v>1770</v>
      </c>
      <c r="BG56" s="621">
        <v>2041</v>
      </c>
      <c r="BH56" s="4604">
        <v>31</v>
      </c>
      <c r="BI56" s="621">
        <v>25675517</v>
      </c>
      <c r="BJ56" s="621">
        <v>23702208</v>
      </c>
      <c r="BK56" s="621">
        <v>0</v>
      </c>
      <c r="BL56" s="4605">
        <v>61</v>
      </c>
      <c r="BM56" s="621">
        <v>72</v>
      </c>
      <c r="BN56" s="621">
        <v>73</v>
      </c>
      <c r="BO56" s="621">
        <v>24</v>
      </c>
      <c r="BP56" s="621">
        <v>30</v>
      </c>
      <c r="BQ56" s="621">
        <v>34</v>
      </c>
    </row>
    <row r="57" spans="1:69">
      <c r="A57" s="888">
        <v>246</v>
      </c>
      <c r="B57" s="889" t="s">
        <v>382</v>
      </c>
      <c r="C57" s="890" t="s">
        <v>154</v>
      </c>
      <c r="D57" s="621">
        <v>21401373</v>
      </c>
      <c r="E57" s="621">
        <v>17529773</v>
      </c>
      <c r="F57" s="621">
        <v>22260611</v>
      </c>
      <c r="G57" s="621">
        <v>18369687</v>
      </c>
      <c r="H57" s="648">
        <v>438.5</v>
      </c>
      <c r="I57" s="648">
        <v>449</v>
      </c>
      <c r="J57" s="649">
        <v>106</v>
      </c>
      <c r="K57" s="621">
        <v>4437792</v>
      </c>
      <c r="L57" s="484">
        <v>450.6</v>
      </c>
      <c r="M57" s="648">
        <v>447.8</v>
      </c>
      <c r="N57" s="649">
        <v>463.5</v>
      </c>
      <c r="O57" s="648">
        <v>435.8</v>
      </c>
      <c r="P57" s="621">
        <v>533045</v>
      </c>
      <c r="Q57" s="621">
        <v>545300</v>
      </c>
      <c r="R57" s="621">
        <v>880983</v>
      </c>
      <c r="S57" s="621">
        <v>520996</v>
      </c>
      <c r="T57" s="621">
        <v>3877</v>
      </c>
      <c r="U57" s="621">
        <v>0</v>
      </c>
      <c r="V57" s="621"/>
      <c r="W57" s="650">
        <v>0.62</v>
      </c>
      <c r="X57" s="621">
        <v>255</v>
      </c>
      <c r="Y57" s="621">
        <v>50</v>
      </c>
      <c r="Z57" s="650">
        <v>0.61</v>
      </c>
      <c r="AA57" s="650">
        <v>0.25</v>
      </c>
      <c r="AB57" s="651">
        <v>0.65310000000000001</v>
      </c>
      <c r="AC57" s="621">
        <v>530597</v>
      </c>
      <c r="AD57" s="621">
        <v>502382</v>
      </c>
      <c r="AE57" s="621">
        <v>502382</v>
      </c>
      <c r="AF57" s="484">
        <v>450.6</v>
      </c>
      <c r="AG57" s="649">
        <v>445.5</v>
      </c>
      <c r="AH57" s="891">
        <v>455.5</v>
      </c>
      <c r="AI57" s="649">
        <v>428.5</v>
      </c>
      <c r="AJ57" s="652">
        <v>0</v>
      </c>
      <c r="AK57" s="621"/>
      <c r="AL57" s="621"/>
      <c r="AM57" s="621">
        <v>0</v>
      </c>
      <c r="AN57" s="621">
        <v>0</v>
      </c>
      <c r="AO57" s="649">
        <v>424</v>
      </c>
      <c r="AP57" s="649"/>
      <c r="AQ57" s="892">
        <v>0</v>
      </c>
      <c r="AR57" s="652"/>
      <c r="AS57" s="648"/>
      <c r="AT57" s="649">
        <v>0</v>
      </c>
      <c r="AU57" s="653">
        <v>0</v>
      </c>
      <c r="AV57" s="621">
        <v>3812394</v>
      </c>
      <c r="AW57" s="621">
        <v>52219</v>
      </c>
      <c r="AX57" s="621">
        <v>110413</v>
      </c>
      <c r="AY57" s="621">
        <v>865046</v>
      </c>
      <c r="AZ57" s="621"/>
      <c r="BA57" s="428">
        <v>1</v>
      </c>
      <c r="BB57" s="621">
        <v>0</v>
      </c>
      <c r="BC57" s="621">
        <v>0</v>
      </c>
      <c r="BE57" s="621">
        <v>3892492</v>
      </c>
      <c r="BF57" s="621">
        <v>0</v>
      </c>
      <c r="BG57" s="621">
        <v>0</v>
      </c>
      <c r="BH57" s="4604">
        <v>31</v>
      </c>
      <c r="BI57" s="621">
        <v>21401373</v>
      </c>
      <c r="BJ57" s="621">
        <v>22260611</v>
      </c>
      <c r="BK57" s="621">
        <v>0</v>
      </c>
      <c r="BL57" s="4605">
        <v>251</v>
      </c>
      <c r="BM57" s="621">
        <v>252</v>
      </c>
      <c r="BN57" s="621">
        <v>269</v>
      </c>
      <c r="BO57" s="621">
        <v>66</v>
      </c>
      <c r="BP57" s="621">
        <v>59</v>
      </c>
      <c r="BQ57" s="621">
        <v>53</v>
      </c>
    </row>
    <row r="58" spans="1:69">
      <c r="A58" s="888">
        <v>247</v>
      </c>
      <c r="B58" s="889" t="s">
        <v>383</v>
      </c>
      <c r="C58" s="890" t="s">
        <v>154</v>
      </c>
      <c r="D58" s="621">
        <v>39093088</v>
      </c>
      <c r="E58" s="621">
        <v>34897387</v>
      </c>
      <c r="F58" s="621">
        <v>38715841</v>
      </c>
      <c r="G58" s="621">
        <v>34537288</v>
      </c>
      <c r="H58" s="648">
        <v>469.1</v>
      </c>
      <c r="I58" s="648">
        <v>467.1</v>
      </c>
      <c r="J58" s="649">
        <v>300</v>
      </c>
      <c r="K58" s="621">
        <v>4668604</v>
      </c>
      <c r="L58" s="484">
        <v>490</v>
      </c>
      <c r="M58" s="648">
        <v>477.1</v>
      </c>
      <c r="N58" s="649">
        <v>478.6</v>
      </c>
      <c r="O58" s="648">
        <v>446.7</v>
      </c>
      <c r="P58" s="621">
        <v>493715</v>
      </c>
      <c r="Q58" s="621">
        <v>499599</v>
      </c>
      <c r="R58" s="621">
        <v>625084</v>
      </c>
      <c r="S58" s="621">
        <v>656640</v>
      </c>
      <c r="T58" s="621">
        <v>11492</v>
      </c>
      <c r="U58" s="621">
        <v>0</v>
      </c>
      <c r="V58" s="621"/>
      <c r="W58" s="650">
        <v>0.26</v>
      </c>
      <c r="X58" s="621">
        <v>230</v>
      </c>
      <c r="Y58" s="621">
        <v>62</v>
      </c>
      <c r="Z58" s="650">
        <v>0.25</v>
      </c>
      <c r="AA58" s="650">
        <v>0</v>
      </c>
      <c r="AB58" s="651">
        <v>0.40660000000000002</v>
      </c>
      <c r="AC58" s="621">
        <v>570773</v>
      </c>
      <c r="AD58" s="621">
        <v>552801</v>
      </c>
      <c r="AE58" s="621">
        <v>552801</v>
      </c>
      <c r="AF58" s="484">
        <v>490</v>
      </c>
      <c r="AG58" s="649">
        <v>474.1</v>
      </c>
      <c r="AH58" s="891">
        <v>474.6</v>
      </c>
      <c r="AI58" s="649">
        <v>446.7</v>
      </c>
      <c r="AJ58" s="652">
        <v>0</v>
      </c>
      <c r="AK58" s="621"/>
      <c r="AL58" s="621"/>
      <c r="AM58" s="621">
        <v>0</v>
      </c>
      <c r="AN58" s="621">
        <v>0</v>
      </c>
      <c r="AO58" s="649">
        <v>442.7</v>
      </c>
      <c r="AP58" s="649"/>
      <c r="AQ58" s="892">
        <v>0</v>
      </c>
      <c r="AR58" s="652"/>
      <c r="AS58" s="648"/>
      <c r="AT58" s="649">
        <v>0</v>
      </c>
      <c r="AU58" s="653">
        <v>0</v>
      </c>
      <c r="AV58" s="621">
        <v>4205052</v>
      </c>
      <c r="AW58" s="621">
        <v>93824</v>
      </c>
      <c r="AX58" s="621">
        <v>80489</v>
      </c>
      <c r="AY58" s="621">
        <v>631430</v>
      </c>
      <c r="AZ58" s="621"/>
      <c r="BA58" s="428">
        <v>1</v>
      </c>
      <c r="BB58" s="621">
        <v>0</v>
      </c>
      <c r="BC58" s="621">
        <v>0</v>
      </c>
      <c r="BE58" s="621">
        <v>4168996</v>
      </c>
      <c r="BF58" s="621">
        <v>4057</v>
      </c>
      <c r="BG58" s="621">
        <v>0</v>
      </c>
      <c r="BH58" s="4604">
        <v>33</v>
      </c>
      <c r="BI58" s="621">
        <v>39093088</v>
      </c>
      <c r="BJ58" s="621">
        <v>38696776</v>
      </c>
      <c r="BK58" s="621">
        <v>0</v>
      </c>
      <c r="BL58" s="4605">
        <v>266</v>
      </c>
      <c r="BM58" s="621">
        <v>256</v>
      </c>
      <c r="BN58" s="621">
        <v>243</v>
      </c>
      <c r="BO58" s="621">
        <v>61</v>
      </c>
      <c r="BP58" s="621">
        <v>56</v>
      </c>
      <c r="BQ58" s="621">
        <v>59</v>
      </c>
    </row>
    <row r="59" spans="1:69">
      <c r="A59" s="888">
        <v>248</v>
      </c>
      <c r="B59" s="889" t="s">
        <v>384</v>
      </c>
      <c r="C59" s="890" t="s">
        <v>154</v>
      </c>
      <c r="D59" s="621">
        <v>43264549</v>
      </c>
      <c r="E59" s="621">
        <v>38281372</v>
      </c>
      <c r="F59" s="621">
        <v>44047770</v>
      </c>
      <c r="G59" s="621">
        <v>39056735</v>
      </c>
      <c r="H59" s="648">
        <v>1005</v>
      </c>
      <c r="I59" s="648">
        <v>991.5</v>
      </c>
      <c r="J59" s="649">
        <v>263</v>
      </c>
      <c r="K59" s="621">
        <v>8042800</v>
      </c>
      <c r="L59" s="484">
        <v>1010</v>
      </c>
      <c r="M59" s="648">
        <v>1017</v>
      </c>
      <c r="N59" s="649">
        <v>998.4</v>
      </c>
      <c r="O59" s="648">
        <v>976.3</v>
      </c>
      <c r="P59" s="621">
        <v>1043756</v>
      </c>
      <c r="Q59" s="621">
        <v>1049781</v>
      </c>
      <c r="R59" s="621">
        <v>1681270</v>
      </c>
      <c r="S59" s="621">
        <v>846550</v>
      </c>
      <c r="T59" s="621">
        <v>35301</v>
      </c>
      <c r="U59" s="621">
        <v>0</v>
      </c>
      <c r="V59" s="621"/>
      <c r="W59" s="650">
        <v>0.68</v>
      </c>
      <c r="X59" s="621">
        <v>330</v>
      </c>
      <c r="Y59" s="621">
        <v>86</v>
      </c>
      <c r="Z59" s="650">
        <v>0.67</v>
      </c>
      <c r="AA59" s="650">
        <v>0.31</v>
      </c>
      <c r="AB59" s="651">
        <v>0.68840000000000001</v>
      </c>
      <c r="AC59" s="621">
        <v>839344</v>
      </c>
      <c r="AD59" s="621">
        <v>804940</v>
      </c>
      <c r="AE59" s="621">
        <v>804940</v>
      </c>
      <c r="AF59" s="484">
        <v>1010</v>
      </c>
      <c r="AG59" s="649">
        <v>1015.5</v>
      </c>
      <c r="AH59" s="891">
        <v>997.5</v>
      </c>
      <c r="AI59" s="649">
        <v>975.5</v>
      </c>
      <c r="AJ59" s="652">
        <v>0</v>
      </c>
      <c r="AK59" s="621"/>
      <c r="AL59" s="621"/>
      <c r="AM59" s="621">
        <v>0</v>
      </c>
      <c r="AN59" s="621">
        <v>0</v>
      </c>
      <c r="AO59" s="649">
        <v>963</v>
      </c>
      <c r="AP59" s="649"/>
      <c r="AQ59" s="892">
        <v>0</v>
      </c>
      <c r="AR59" s="652"/>
      <c r="AS59" s="648"/>
      <c r="AT59" s="649">
        <v>0</v>
      </c>
      <c r="AU59" s="653">
        <v>0</v>
      </c>
      <c r="AV59" s="621">
        <v>6839659</v>
      </c>
      <c r="AW59" s="621">
        <v>213115</v>
      </c>
      <c r="AX59" s="621">
        <v>227717</v>
      </c>
      <c r="AY59" s="621">
        <v>1659820</v>
      </c>
      <c r="AZ59" s="621"/>
      <c r="BA59" s="428">
        <v>1</v>
      </c>
      <c r="BB59" s="621">
        <v>0</v>
      </c>
      <c r="BC59" s="621">
        <v>0</v>
      </c>
      <c r="BE59" s="621">
        <v>6992919</v>
      </c>
      <c r="BF59" s="621">
        <v>6590</v>
      </c>
      <c r="BG59" s="621">
        <v>5697</v>
      </c>
      <c r="BH59" s="4604">
        <v>31</v>
      </c>
      <c r="BI59" s="621">
        <v>43082336</v>
      </c>
      <c r="BJ59" s="621">
        <v>43791697</v>
      </c>
      <c r="BK59" s="621">
        <v>0</v>
      </c>
      <c r="BL59" s="4605">
        <v>358</v>
      </c>
      <c r="BM59" s="621">
        <v>367</v>
      </c>
      <c r="BN59" s="621">
        <v>353</v>
      </c>
      <c r="BO59" s="621">
        <v>116</v>
      </c>
      <c r="BP59" s="621">
        <v>108</v>
      </c>
      <c r="BQ59" s="621">
        <v>92</v>
      </c>
    </row>
    <row r="60" spans="1:69">
      <c r="A60" s="888">
        <v>249</v>
      </c>
      <c r="B60" s="889" t="s">
        <v>385</v>
      </c>
      <c r="C60" s="890" t="s">
        <v>154</v>
      </c>
      <c r="D60" s="621">
        <v>28691102</v>
      </c>
      <c r="E60" s="621">
        <v>25102976</v>
      </c>
      <c r="F60" s="621">
        <v>30465666</v>
      </c>
      <c r="G60" s="621">
        <v>26857015</v>
      </c>
      <c r="H60" s="648">
        <v>912</v>
      </c>
      <c r="I60" s="648">
        <v>943.5</v>
      </c>
      <c r="J60" s="649">
        <v>22</v>
      </c>
      <c r="K60" s="621">
        <v>7236330</v>
      </c>
      <c r="L60" s="484">
        <v>962.5</v>
      </c>
      <c r="M60" s="648">
        <v>917.9</v>
      </c>
      <c r="N60" s="649">
        <v>951.5</v>
      </c>
      <c r="O60" s="648">
        <v>936</v>
      </c>
      <c r="P60" s="621">
        <v>941203</v>
      </c>
      <c r="Q60" s="621">
        <v>980936</v>
      </c>
      <c r="R60" s="621">
        <v>1705613</v>
      </c>
      <c r="S60" s="621">
        <v>643130</v>
      </c>
      <c r="T60" s="621">
        <v>0</v>
      </c>
      <c r="U60" s="621">
        <v>0</v>
      </c>
      <c r="V60" s="621"/>
      <c r="W60" s="650">
        <v>0.8</v>
      </c>
      <c r="X60" s="621">
        <v>266</v>
      </c>
      <c r="Y60" s="621">
        <v>95</v>
      </c>
      <c r="Z60" s="650">
        <v>0.79</v>
      </c>
      <c r="AA60" s="650">
        <v>0.43</v>
      </c>
      <c r="AB60" s="651">
        <v>0.77559999999999996</v>
      </c>
      <c r="AC60" s="621">
        <v>837373</v>
      </c>
      <c r="AD60" s="621">
        <v>793002</v>
      </c>
      <c r="AE60" s="621">
        <v>793002</v>
      </c>
      <c r="AF60" s="484">
        <v>962.5</v>
      </c>
      <c r="AG60" s="649">
        <v>914.5</v>
      </c>
      <c r="AH60" s="891">
        <v>948.5</v>
      </c>
      <c r="AI60" s="649">
        <v>934</v>
      </c>
      <c r="AJ60" s="652">
        <v>0</v>
      </c>
      <c r="AK60" s="621"/>
      <c r="AL60" s="621"/>
      <c r="AM60" s="621">
        <v>5</v>
      </c>
      <c r="AN60" s="621">
        <v>0</v>
      </c>
      <c r="AO60" s="649">
        <v>930.5</v>
      </c>
      <c r="AP60" s="649"/>
      <c r="AQ60" s="892">
        <v>0</v>
      </c>
      <c r="AR60" s="652"/>
      <c r="AS60" s="648"/>
      <c r="AT60" s="649">
        <v>0</v>
      </c>
      <c r="AU60" s="653">
        <v>0</v>
      </c>
      <c r="AV60" s="621">
        <v>6195973</v>
      </c>
      <c r="AW60" s="621">
        <v>144450</v>
      </c>
      <c r="AX60" s="621">
        <v>180614</v>
      </c>
      <c r="AY60" s="621">
        <v>1692726</v>
      </c>
      <c r="AZ60" s="621"/>
      <c r="BA60" s="428">
        <v>1</v>
      </c>
      <c r="BB60" s="621">
        <v>0</v>
      </c>
      <c r="BC60" s="621">
        <v>0</v>
      </c>
      <c r="BE60" s="621">
        <v>6255394</v>
      </c>
      <c r="BF60" s="621">
        <v>4249</v>
      </c>
      <c r="BG60" s="621">
        <v>9348</v>
      </c>
      <c r="BH60" s="4604">
        <v>33</v>
      </c>
      <c r="BI60" s="621">
        <v>28645229</v>
      </c>
      <c r="BJ60" s="621">
        <v>30465666</v>
      </c>
      <c r="BK60" s="621">
        <v>0</v>
      </c>
      <c r="BL60" s="4605">
        <v>299</v>
      </c>
      <c r="BM60" s="621">
        <v>280</v>
      </c>
      <c r="BN60" s="621">
        <v>293</v>
      </c>
      <c r="BO60" s="621">
        <v>109</v>
      </c>
      <c r="BP60" s="621">
        <v>101</v>
      </c>
      <c r="BQ60" s="621">
        <v>108</v>
      </c>
    </row>
    <row r="61" spans="1:69">
      <c r="A61" s="888">
        <v>250</v>
      </c>
      <c r="B61" s="889" t="s">
        <v>386</v>
      </c>
      <c r="C61" s="890" t="s">
        <v>154</v>
      </c>
      <c r="D61" s="621">
        <v>162488692</v>
      </c>
      <c r="E61" s="621">
        <v>144471906</v>
      </c>
      <c r="F61" s="621">
        <v>163148234</v>
      </c>
      <c r="G61" s="621">
        <v>145117620</v>
      </c>
      <c r="H61" s="648">
        <v>2911.3</v>
      </c>
      <c r="I61" s="648">
        <v>3042.3</v>
      </c>
      <c r="J61" s="649">
        <v>43</v>
      </c>
      <c r="K61" s="621">
        <v>23613998</v>
      </c>
      <c r="L61" s="484">
        <v>2958.9</v>
      </c>
      <c r="M61" s="648">
        <v>3006.8</v>
      </c>
      <c r="N61" s="649">
        <v>3131.8</v>
      </c>
      <c r="O61" s="648">
        <v>3170.7</v>
      </c>
      <c r="P61" s="621">
        <v>3202942</v>
      </c>
      <c r="Q61" s="621">
        <v>3381921</v>
      </c>
      <c r="R61" s="621">
        <v>4380124</v>
      </c>
      <c r="S61" s="621">
        <v>2265391</v>
      </c>
      <c r="T61" s="621">
        <v>4702</v>
      </c>
      <c r="U61" s="621">
        <v>0</v>
      </c>
      <c r="V61" s="621"/>
      <c r="W61" s="650">
        <v>0.63</v>
      </c>
      <c r="X61" s="621">
        <v>1704</v>
      </c>
      <c r="Y61" s="621">
        <v>249</v>
      </c>
      <c r="Z61" s="650">
        <v>0.62</v>
      </c>
      <c r="AA61" s="650">
        <v>0.26</v>
      </c>
      <c r="AB61" s="651">
        <v>0.6321</v>
      </c>
      <c r="AC61" s="621">
        <v>2683251</v>
      </c>
      <c r="AD61" s="621">
        <v>2586789</v>
      </c>
      <c r="AE61" s="621">
        <v>2586789</v>
      </c>
      <c r="AF61" s="484">
        <v>2958.9</v>
      </c>
      <c r="AG61" s="649">
        <v>2951.3</v>
      </c>
      <c r="AH61" s="891">
        <v>3082.3</v>
      </c>
      <c r="AI61" s="649">
        <v>3115.5</v>
      </c>
      <c r="AJ61" s="652">
        <v>0</v>
      </c>
      <c r="AK61" s="621"/>
      <c r="AL61" s="621"/>
      <c r="AM61" s="621">
        <v>1</v>
      </c>
      <c r="AN61" s="621">
        <v>0</v>
      </c>
      <c r="AO61" s="649">
        <v>3076</v>
      </c>
      <c r="AP61" s="649"/>
      <c r="AQ61" s="892">
        <v>0</v>
      </c>
      <c r="AR61" s="652"/>
      <c r="AS61" s="648"/>
      <c r="AT61" s="649">
        <v>0</v>
      </c>
      <c r="AU61" s="653">
        <v>0</v>
      </c>
      <c r="AV61" s="621">
        <v>18875831</v>
      </c>
      <c r="AW61" s="621">
        <v>714868</v>
      </c>
      <c r="AX61" s="621">
        <v>723925</v>
      </c>
      <c r="AY61" s="621">
        <v>4068864</v>
      </c>
      <c r="AZ61" s="621"/>
      <c r="BA61" s="428">
        <v>1</v>
      </c>
      <c r="BB61" s="621">
        <v>0</v>
      </c>
      <c r="BC61" s="621">
        <v>0</v>
      </c>
      <c r="BE61" s="621">
        <v>20232077</v>
      </c>
      <c r="BF61" s="621">
        <v>9558</v>
      </c>
      <c r="BG61" s="621">
        <v>15279</v>
      </c>
      <c r="BH61" s="4604">
        <v>30</v>
      </c>
      <c r="BI61" s="621">
        <v>159568734</v>
      </c>
      <c r="BJ61" s="621">
        <v>158755413</v>
      </c>
      <c r="BK61" s="621">
        <v>0</v>
      </c>
      <c r="BL61" s="4605">
        <v>1677</v>
      </c>
      <c r="BM61" s="621">
        <v>1626</v>
      </c>
      <c r="BN61" s="621">
        <v>1636</v>
      </c>
      <c r="BO61" s="621">
        <v>241</v>
      </c>
      <c r="BP61" s="621">
        <v>254</v>
      </c>
      <c r="BQ61" s="621">
        <v>287</v>
      </c>
    </row>
    <row r="62" spans="1:69">
      <c r="A62" s="888">
        <v>251</v>
      </c>
      <c r="B62" s="889" t="s">
        <v>387</v>
      </c>
      <c r="C62" s="890" t="s">
        <v>155</v>
      </c>
      <c r="D62" s="621">
        <v>93667771</v>
      </c>
      <c r="E62" s="621">
        <v>90571767</v>
      </c>
      <c r="F62" s="621">
        <v>101223676</v>
      </c>
      <c r="G62" s="621">
        <v>98107821</v>
      </c>
      <c r="H62" s="648">
        <v>346.5</v>
      </c>
      <c r="I62" s="648">
        <v>345.5</v>
      </c>
      <c r="J62" s="649">
        <v>434</v>
      </c>
      <c r="K62" s="621">
        <v>3390655</v>
      </c>
      <c r="L62" s="484">
        <v>381.1</v>
      </c>
      <c r="M62" s="648">
        <v>346.5</v>
      </c>
      <c r="N62" s="649">
        <v>345.5</v>
      </c>
      <c r="O62" s="648">
        <v>345</v>
      </c>
      <c r="P62" s="621">
        <v>475652</v>
      </c>
      <c r="Q62" s="621">
        <v>492676</v>
      </c>
      <c r="R62" s="621">
        <v>0</v>
      </c>
      <c r="S62" s="621">
        <v>442086</v>
      </c>
      <c r="T62" s="621">
        <v>7925</v>
      </c>
      <c r="U62" s="621">
        <v>0</v>
      </c>
      <c r="V62" s="621"/>
      <c r="W62" s="650">
        <v>0</v>
      </c>
      <c r="X62" s="621">
        <v>101</v>
      </c>
      <c r="Y62" s="621">
        <v>43</v>
      </c>
      <c r="Z62" s="650">
        <v>0</v>
      </c>
      <c r="AA62" s="650">
        <v>0</v>
      </c>
      <c r="AB62" s="651">
        <v>0</v>
      </c>
      <c r="AC62" s="621">
        <v>391246</v>
      </c>
      <c r="AD62" s="621">
        <v>397599</v>
      </c>
      <c r="AE62" s="621">
        <v>397599</v>
      </c>
      <c r="AF62" s="484">
        <v>381.1</v>
      </c>
      <c r="AG62" s="649">
        <v>346.5</v>
      </c>
      <c r="AH62" s="891">
        <v>345.5</v>
      </c>
      <c r="AI62" s="649">
        <v>345</v>
      </c>
      <c r="AJ62" s="652">
        <v>0</v>
      </c>
      <c r="AK62" s="621"/>
      <c r="AL62" s="621"/>
      <c r="AM62" s="621">
        <v>0</v>
      </c>
      <c r="AN62" s="621">
        <v>0</v>
      </c>
      <c r="AO62" s="649">
        <v>345</v>
      </c>
      <c r="AP62" s="649"/>
      <c r="AQ62" s="892">
        <v>0</v>
      </c>
      <c r="AR62" s="652"/>
      <c r="AS62" s="648"/>
      <c r="AT62" s="649">
        <v>0</v>
      </c>
      <c r="AU62" s="653">
        <v>0</v>
      </c>
      <c r="AV62" s="621">
        <v>2986231</v>
      </c>
      <c r="AW62" s="621">
        <v>0</v>
      </c>
      <c r="AX62" s="621">
        <v>0</v>
      </c>
      <c r="AY62" s="621">
        <v>0</v>
      </c>
      <c r="AZ62" s="621"/>
      <c r="BA62" s="428">
        <v>1</v>
      </c>
      <c r="BB62" s="621">
        <v>0</v>
      </c>
      <c r="BC62" s="621">
        <v>0</v>
      </c>
      <c r="BE62" s="621">
        <v>2897979</v>
      </c>
      <c r="BF62" s="621">
        <v>4345</v>
      </c>
      <c r="BG62" s="621">
        <v>5712</v>
      </c>
      <c r="BH62" s="4604">
        <v>33</v>
      </c>
      <c r="BI62" s="621">
        <v>93667771</v>
      </c>
      <c r="BJ62" s="621">
        <v>101223676</v>
      </c>
      <c r="BK62" s="621">
        <v>0</v>
      </c>
      <c r="BL62" s="4605">
        <v>160</v>
      </c>
      <c r="BM62" s="621">
        <v>126</v>
      </c>
      <c r="BN62" s="621">
        <v>96</v>
      </c>
      <c r="BO62" s="621">
        <v>43</v>
      </c>
      <c r="BP62" s="621">
        <v>40</v>
      </c>
      <c r="BQ62" s="621">
        <v>48</v>
      </c>
    </row>
    <row r="63" spans="1:69">
      <c r="A63" s="888">
        <v>252</v>
      </c>
      <c r="B63" s="889" t="s">
        <v>388</v>
      </c>
      <c r="C63" s="890" t="s">
        <v>155</v>
      </c>
      <c r="D63" s="621">
        <v>41202474</v>
      </c>
      <c r="E63" s="621">
        <v>38444125</v>
      </c>
      <c r="F63" s="621">
        <v>43447224</v>
      </c>
      <c r="G63" s="621">
        <v>40643549</v>
      </c>
      <c r="H63" s="648">
        <v>461.1</v>
      </c>
      <c r="I63" s="648">
        <v>453.5</v>
      </c>
      <c r="J63" s="649">
        <v>295</v>
      </c>
      <c r="K63" s="621">
        <v>4310069</v>
      </c>
      <c r="L63" s="484">
        <v>467</v>
      </c>
      <c r="M63" s="648">
        <v>467.6</v>
      </c>
      <c r="N63" s="649">
        <v>462</v>
      </c>
      <c r="O63" s="648">
        <v>475</v>
      </c>
      <c r="P63" s="621">
        <v>598841</v>
      </c>
      <c r="Q63" s="621">
        <v>582274</v>
      </c>
      <c r="R63" s="621">
        <v>529972</v>
      </c>
      <c r="S63" s="621">
        <v>481383</v>
      </c>
      <c r="T63" s="621">
        <v>7773</v>
      </c>
      <c r="U63" s="621">
        <v>0</v>
      </c>
      <c r="V63" s="621"/>
      <c r="W63" s="650">
        <v>0.21</v>
      </c>
      <c r="X63" s="621">
        <v>165</v>
      </c>
      <c r="Y63" s="621">
        <v>45</v>
      </c>
      <c r="Z63" s="650">
        <v>0.21</v>
      </c>
      <c r="AA63" s="650">
        <v>0</v>
      </c>
      <c r="AB63" s="651">
        <v>0.3604</v>
      </c>
      <c r="AC63" s="621">
        <v>561921</v>
      </c>
      <c r="AD63" s="621">
        <v>538002</v>
      </c>
      <c r="AE63" s="621">
        <v>538002</v>
      </c>
      <c r="AF63" s="484">
        <v>467</v>
      </c>
      <c r="AG63" s="649">
        <v>467.6</v>
      </c>
      <c r="AH63" s="891">
        <v>462</v>
      </c>
      <c r="AI63" s="649">
        <v>475</v>
      </c>
      <c r="AJ63" s="652">
        <v>0</v>
      </c>
      <c r="AK63" s="621"/>
      <c r="AL63" s="621"/>
      <c r="AM63" s="621">
        <v>0</v>
      </c>
      <c r="AN63" s="621">
        <v>0</v>
      </c>
      <c r="AO63" s="649">
        <v>468</v>
      </c>
      <c r="AP63" s="649"/>
      <c r="AQ63" s="892">
        <v>0</v>
      </c>
      <c r="AR63" s="652"/>
      <c r="AS63" s="648"/>
      <c r="AT63" s="649">
        <v>0</v>
      </c>
      <c r="AU63" s="653">
        <v>0</v>
      </c>
      <c r="AV63" s="621">
        <v>3660773</v>
      </c>
      <c r="AW63" s="621">
        <v>72498</v>
      </c>
      <c r="AX63" s="621">
        <v>66016</v>
      </c>
      <c r="AY63" s="621">
        <v>467929</v>
      </c>
      <c r="AZ63" s="621"/>
      <c r="BA63" s="428">
        <v>1</v>
      </c>
      <c r="BB63" s="621">
        <v>0</v>
      </c>
      <c r="BC63" s="621">
        <v>0</v>
      </c>
      <c r="BE63" s="621">
        <v>3727794</v>
      </c>
      <c r="BF63" s="621">
        <v>5060</v>
      </c>
      <c r="BG63" s="621">
        <v>2920</v>
      </c>
      <c r="BH63" s="4604">
        <v>33</v>
      </c>
      <c r="BI63" s="621">
        <v>41202474</v>
      </c>
      <c r="BJ63" s="621">
        <v>43447224</v>
      </c>
      <c r="BK63" s="621">
        <v>0</v>
      </c>
      <c r="BL63" s="4605">
        <v>163</v>
      </c>
      <c r="BM63" s="621">
        <v>161</v>
      </c>
      <c r="BN63" s="621">
        <v>162</v>
      </c>
      <c r="BO63" s="621">
        <v>54</v>
      </c>
      <c r="BP63" s="621">
        <v>33</v>
      </c>
      <c r="BQ63" s="621">
        <v>53</v>
      </c>
    </row>
    <row r="64" spans="1:69">
      <c r="A64" s="888">
        <v>253</v>
      </c>
      <c r="B64" s="889" t="s">
        <v>389</v>
      </c>
      <c r="C64" s="890" t="s">
        <v>155</v>
      </c>
      <c r="D64" s="621">
        <v>204657489</v>
      </c>
      <c r="E64" s="621">
        <v>185809311</v>
      </c>
      <c r="F64" s="621">
        <v>211741389</v>
      </c>
      <c r="G64" s="621">
        <v>192693261</v>
      </c>
      <c r="H64" s="648">
        <v>4414.7</v>
      </c>
      <c r="I64" s="648">
        <v>4393.3999999999996</v>
      </c>
      <c r="J64" s="649">
        <v>135</v>
      </c>
      <c r="K64" s="621">
        <v>32310140</v>
      </c>
      <c r="L64" s="484">
        <v>4498.8</v>
      </c>
      <c r="M64" s="648">
        <v>4472.7</v>
      </c>
      <c r="N64" s="649">
        <v>4452.8999999999996</v>
      </c>
      <c r="O64" s="648">
        <v>4179</v>
      </c>
      <c r="P64" s="621">
        <v>4207334</v>
      </c>
      <c r="Q64" s="621">
        <v>4335478</v>
      </c>
      <c r="R64" s="621">
        <v>6631183</v>
      </c>
      <c r="S64" s="621">
        <v>3107792</v>
      </c>
      <c r="T64" s="621">
        <v>0</v>
      </c>
      <c r="U64" s="621">
        <v>0</v>
      </c>
      <c r="V64" s="621"/>
      <c r="W64" s="650">
        <v>0.63</v>
      </c>
      <c r="X64" s="621">
        <v>1804</v>
      </c>
      <c r="Y64" s="621">
        <v>652</v>
      </c>
      <c r="Z64" s="650">
        <v>0.62</v>
      </c>
      <c r="AA64" s="650">
        <v>0.26</v>
      </c>
      <c r="AB64" s="651">
        <v>0.66710000000000003</v>
      </c>
      <c r="AC64" s="621">
        <v>5724878</v>
      </c>
      <c r="AD64" s="621">
        <v>5395839</v>
      </c>
      <c r="AE64" s="621">
        <v>5395839</v>
      </c>
      <c r="AF64" s="484">
        <v>4498.8</v>
      </c>
      <c r="AG64" s="649">
        <v>4472.7</v>
      </c>
      <c r="AH64" s="891">
        <v>4452.8999999999996</v>
      </c>
      <c r="AI64" s="649">
        <v>4179</v>
      </c>
      <c r="AJ64" s="652">
        <v>0</v>
      </c>
      <c r="AK64" s="621"/>
      <c r="AL64" s="621"/>
      <c r="AM64" s="621">
        <v>17</v>
      </c>
      <c r="AN64" s="621">
        <v>0</v>
      </c>
      <c r="AO64" s="649">
        <v>4134.5</v>
      </c>
      <c r="AP64" s="649"/>
      <c r="AQ64" s="892">
        <v>0</v>
      </c>
      <c r="AR64" s="652"/>
      <c r="AS64" s="648"/>
      <c r="AT64" s="649">
        <v>0</v>
      </c>
      <c r="AU64" s="653">
        <v>0</v>
      </c>
      <c r="AV64" s="621">
        <v>27809496</v>
      </c>
      <c r="AW64" s="621">
        <v>1032924</v>
      </c>
      <c r="AX64" s="621">
        <v>1059580</v>
      </c>
      <c r="AY64" s="621">
        <v>6631357</v>
      </c>
      <c r="AZ64" s="621"/>
      <c r="BA64" s="428">
        <v>1</v>
      </c>
      <c r="BB64" s="621">
        <v>0</v>
      </c>
      <c r="BC64" s="621">
        <v>0</v>
      </c>
      <c r="BE64" s="621">
        <v>27974662</v>
      </c>
      <c r="BF64" s="621">
        <v>22251</v>
      </c>
      <c r="BG64" s="621">
        <v>22234</v>
      </c>
      <c r="BH64" s="4604">
        <v>33</v>
      </c>
      <c r="BI64" s="621">
        <v>201742978</v>
      </c>
      <c r="BJ64" s="621">
        <v>210234134</v>
      </c>
      <c r="BK64" s="621">
        <v>0</v>
      </c>
      <c r="BL64" s="4605">
        <v>2166</v>
      </c>
      <c r="BM64" s="621">
        <v>2047</v>
      </c>
      <c r="BN64" s="621">
        <v>1975</v>
      </c>
      <c r="BO64" s="621">
        <v>594</v>
      </c>
      <c r="BP64" s="621">
        <v>614</v>
      </c>
      <c r="BQ64" s="621">
        <v>652</v>
      </c>
    </row>
    <row r="65" spans="1:69">
      <c r="A65" s="888">
        <v>254</v>
      </c>
      <c r="B65" s="889" t="s">
        <v>390</v>
      </c>
      <c r="C65" s="890" t="s">
        <v>156</v>
      </c>
      <c r="D65" s="621">
        <v>64162920</v>
      </c>
      <c r="E65" s="621">
        <v>60586598</v>
      </c>
      <c r="F65" s="621">
        <v>58790469</v>
      </c>
      <c r="G65" s="621">
        <v>55220628</v>
      </c>
      <c r="H65" s="648">
        <v>476.5</v>
      </c>
      <c r="I65" s="648">
        <v>473.7</v>
      </c>
      <c r="J65" s="649">
        <v>718</v>
      </c>
      <c r="K65" s="621">
        <v>4268817</v>
      </c>
      <c r="L65" s="484">
        <v>469</v>
      </c>
      <c r="M65" s="648">
        <v>480</v>
      </c>
      <c r="N65" s="649">
        <v>480.7</v>
      </c>
      <c r="O65" s="648">
        <v>427.7</v>
      </c>
      <c r="P65" s="621">
        <v>582884</v>
      </c>
      <c r="Q65" s="621">
        <v>559778</v>
      </c>
      <c r="R65" s="621">
        <v>20772</v>
      </c>
      <c r="S65" s="621">
        <v>586690</v>
      </c>
      <c r="T65" s="621">
        <v>5794</v>
      </c>
      <c r="U65" s="621">
        <v>0</v>
      </c>
      <c r="V65" s="621"/>
      <c r="W65" s="650">
        <v>0</v>
      </c>
      <c r="X65" s="621">
        <v>154</v>
      </c>
      <c r="Y65" s="621">
        <v>44</v>
      </c>
      <c r="Z65" s="650">
        <v>0</v>
      </c>
      <c r="AA65" s="650">
        <v>0</v>
      </c>
      <c r="AB65" s="651">
        <v>4.7600000000000003E-2</v>
      </c>
      <c r="AC65" s="621">
        <v>472733</v>
      </c>
      <c r="AD65" s="621">
        <v>462383</v>
      </c>
      <c r="AE65" s="621">
        <v>462383</v>
      </c>
      <c r="AF65" s="484">
        <v>469</v>
      </c>
      <c r="AG65" s="649">
        <v>480</v>
      </c>
      <c r="AH65" s="891">
        <v>480.7</v>
      </c>
      <c r="AI65" s="649">
        <v>427.7</v>
      </c>
      <c r="AJ65" s="652">
        <v>0</v>
      </c>
      <c r="AK65" s="621"/>
      <c r="AL65" s="621"/>
      <c r="AM65" s="621">
        <v>0</v>
      </c>
      <c r="AN65" s="621">
        <v>0</v>
      </c>
      <c r="AO65" s="649">
        <v>424.2</v>
      </c>
      <c r="AP65" s="649"/>
      <c r="AQ65" s="892">
        <v>0</v>
      </c>
      <c r="AR65" s="652"/>
      <c r="AS65" s="648"/>
      <c r="AT65" s="649">
        <v>0</v>
      </c>
      <c r="AU65" s="653">
        <v>0</v>
      </c>
      <c r="AV65" s="621">
        <v>3658716</v>
      </c>
      <c r="AW65" s="621">
        <v>0</v>
      </c>
      <c r="AX65" s="621">
        <v>0</v>
      </c>
      <c r="AY65" s="621">
        <v>0</v>
      </c>
      <c r="AZ65" s="621"/>
      <c r="BA65" s="428">
        <v>1</v>
      </c>
      <c r="BB65" s="621">
        <v>0</v>
      </c>
      <c r="BC65" s="621">
        <v>0</v>
      </c>
      <c r="BE65" s="621">
        <v>3697760</v>
      </c>
      <c r="BF65" s="621">
        <v>4723</v>
      </c>
      <c r="BG65" s="621">
        <v>4814</v>
      </c>
      <c r="BH65" s="4604">
        <v>31</v>
      </c>
      <c r="BI65" s="621">
        <v>63027243</v>
      </c>
      <c r="BJ65" s="621">
        <v>57745981</v>
      </c>
      <c r="BK65" s="621">
        <v>0</v>
      </c>
      <c r="BL65" s="4605">
        <v>151</v>
      </c>
      <c r="BM65" s="621">
        <v>173</v>
      </c>
      <c r="BN65" s="621">
        <v>170</v>
      </c>
      <c r="BO65" s="621">
        <v>87</v>
      </c>
      <c r="BP65" s="621">
        <v>66</v>
      </c>
      <c r="BQ65" s="621">
        <v>59</v>
      </c>
    </row>
    <row r="66" spans="1:69">
      <c r="A66" s="888">
        <v>255</v>
      </c>
      <c r="B66" s="889" t="s">
        <v>391</v>
      </c>
      <c r="C66" s="890" t="s">
        <v>156</v>
      </c>
      <c r="D66" s="621">
        <v>43680307</v>
      </c>
      <c r="E66" s="621">
        <v>41977665</v>
      </c>
      <c r="F66" s="621">
        <v>34151038</v>
      </c>
      <c r="G66" s="621">
        <v>32466380</v>
      </c>
      <c r="H66" s="648">
        <v>241.5</v>
      </c>
      <c r="I66" s="648">
        <v>215.1</v>
      </c>
      <c r="J66" s="649">
        <v>425.5</v>
      </c>
      <c r="K66" s="621">
        <v>2407269</v>
      </c>
      <c r="L66" s="484">
        <v>232.8</v>
      </c>
      <c r="M66" s="648">
        <v>243</v>
      </c>
      <c r="N66" s="649">
        <v>217.9</v>
      </c>
      <c r="O66" s="648">
        <v>206.1</v>
      </c>
      <c r="P66" s="621">
        <v>305746</v>
      </c>
      <c r="Q66" s="621">
        <v>286762</v>
      </c>
      <c r="R66" s="621">
        <v>0</v>
      </c>
      <c r="S66" s="621">
        <v>254322</v>
      </c>
      <c r="T66" s="621">
        <v>0</v>
      </c>
      <c r="U66" s="621">
        <v>0</v>
      </c>
      <c r="V66" s="621"/>
      <c r="W66" s="650">
        <v>0</v>
      </c>
      <c r="X66" s="621">
        <v>85</v>
      </c>
      <c r="Y66" s="621">
        <v>18</v>
      </c>
      <c r="Z66" s="650">
        <v>0</v>
      </c>
      <c r="AA66" s="650">
        <v>0</v>
      </c>
      <c r="AB66" s="651">
        <v>0</v>
      </c>
      <c r="AC66" s="621">
        <v>253465</v>
      </c>
      <c r="AD66" s="621">
        <v>227334</v>
      </c>
      <c r="AE66" s="621">
        <v>227334</v>
      </c>
      <c r="AF66" s="484">
        <v>232.8</v>
      </c>
      <c r="AG66" s="649">
        <v>243</v>
      </c>
      <c r="AH66" s="891">
        <v>217.6</v>
      </c>
      <c r="AI66" s="649">
        <v>206.1</v>
      </c>
      <c r="AJ66" s="652">
        <v>0</v>
      </c>
      <c r="AK66" s="621"/>
      <c r="AL66" s="621"/>
      <c r="AM66" s="621">
        <v>1</v>
      </c>
      <c r="AN66" s="621">
        <v>0</v>
      </c>
      <c r="AO66" s="649">
        <v>206.1</v>
      </c>
      <c r="AP66" s="649"/>
      <c r="AQ66" s="892">
        <v>0</v>
      </c>
      <c r="AR66" s="652"/>
      <c r="AS66" s="648"/>
      <c r="AT66" s="649">
        <v>0</v>
      </c>
      <c r="AU66" s="653">
        <v>0</v>
      </c>
      <c r="AV66" s="621">
        <v>2067566</v>
      </c>
      <c r="AW66" s="621">
        <v>0</v>
      </c>
      <c r="AX66" s="621">
        <v>0</v>
      </c>
      <c r="AY66" s="621">
        <v>0</v>
      </c>
      <c r="AZ66" s="621"/>
      <c r="BA66" s="428">
        <v>1</v>
      </c>
      <c r="BB66" s="621">
        <v>0</v>
      </c>
      <c r="BC66" s="621">
        <v>0</v>
      </c>
      <c r="BE66" s="621">
        <v>2106063</v>
      </c>
      <c r="BF66" s="621">
        <v>1219</v>
      </c>
      <c r="BG66" s="621">
        <v>304</v>
      </c>
      <c r="BH66" s="4604">
        <v>31</v>
      </c>
      <c r="BI66" s="621">
        <v>42927689</v>
      </c>
      <c r="BJ66" s="621">
        <v>33405089</v>
      </c>
      <c r="BK66" s="621">
        <v>0</v>
      </c>
      <c r="BL66" s="4605">
        <v>94</v>
      </c>
      <c r="BM66" s="621">
        <v>91</v>
      </c>
      <c r="BN66" s="621">
        <v>90</v>
      </c>
      <c r="BO66" s="621">
        <v>40</v>
      </c>
      <c r="BP66" s="621">
        <v>44</v>
      </c>
      <c r="BQ66" s="621">
        <v>32</v>
      </c>
    </row>
    <row r="67" spans="1:69">
      <c r="A67" s="888">
        <v>256</v>
      </c>
      <c r="B67" s="889" t="s">
        <v>392</v>
      </c>
      <c r="C67" s="890" t="s">
        <v>157</v>
      </c>
      <c r="D67" s="621">
        <v>34235984</v>
      </c>
      <c r="E67" s="621">
        <v>32671273</v>
      </c>
      <c r="F67" s="621">
        <v>33958459</v>
      </c>
      <c r="G67" s="621">
        <v>32400905</v>
      </c>
      <c r="H67" s="648">
        <v>249</v>
      </c>
      <c r="I67" s="648">
        <v>250</v>
      </c>
      <c r="J67" s="649">
        <v>225</v>
      </c>
      <c r="K67" s="621">
        <v>2563512</v>
      </c>
      <c r="L67" s="484">
        <v>264.8</v>
      </c>
      <c r="M67" s="648">
        <v>253.5</v>
      </c>
      <c r="N67" s="649">
        <v>255</v>
      </c>
      <c r="O67" s="648">
        <v>238</v>
      </c>
      <c r="P67" s="621">
        <v>394054</v>
      </c>
      <c r="Q67" s="621">
        <v>351300</v>
      </c>
      <c r="R67" s="621">
        <v>17922</v>
      </c>
      <c r="S67" s="621">
        <v>442688</v>
      </c>
      <c r="T67" s="621">
        <v>0</v>
      </c>
      <c r="U67" s="621">
        <v>0</v>
      </c>
      <c r="V67" s="621"/>
      <c r="W67" s="650">
        <v>0</v>
      </c>
      <c r="X67" s="621">
        <v>79</v>
      </c>
      <c r="Y67" s="621">
        <v>27</v>
      </c>
      <c r="Z67" s="650">
        <v>0</v>
      </c>
      <c r="AA67" s="650">
        <v>0</v>
      </c>
      <c r="AB67" s="651">
        <v>1.0200000000000001E-2</v>
      </c>
      <c r="AC67" s="621">
        <v>255421</v>
      </c>
      <c r="AD67" s="621">
        <v>243724</v>
      </c>
      <c r="AE67" s="621">
        <v>243724</v>
      </c>
      <c r="AF67" s="484">
        <v>264.8</v>
      </c>
      <c r="AG67" s="649">
        <v>253.5</v>
      </c>
      <c r="AH67" s="891">
        <v>255</v>
      </c>
      <c r="AI67" s="649">
        <v>236</v>
      </c>
      <c r="AJ67" s="652">
        <v>0</v>
      </c>
      <c r="AK67" s="621"/>
      <c r="AL67" s="621"/>
      <c r="AM67" s="621">
        <v>0</v>
      </c>
      <c r="AN67" s="621">
        <v>0</v>
      </c>
      <c r="AO67" s="649">
        <v>233.5</v>
      </c>
      <c r="AP67" s="649"/>
      <c r="AQ67" s="892">
        <v>0</v>
      </c>
      <c r="AR67" s="652"/>
      <c r="AS67" s="648"/>
      <c r="AT67" s="649">
        <v>0</v>
      </c>
      <c r="AU67" s="653">
        <v>0</v>
      </c>
      <c r="AV67" s="621">
        <v>2292403</v>
      </c>
      <c r="AW67" s="621">
        <v>0</v>
      </c>
      <c r="AX67" s="621">
        <v>0</v>
      </c>
      <c r="AY67" s="621">
        <v>15281</v>
      </c>
      <c r="AZ67" s="621"/>
      <c r="BA67" s="428">
        <v>1</v>
      </c>
      <c r="BB67" s="621">
        <v>0</v>
      </c>
      <c r="BC67" s="621">
        <v>0</v>
      </c>
      <c r="BE67" s="621">
        <v>2211795</v>
      </c>
      <c r="BF67" s="621">
        <v>341</v>
      </c>
      <c r="BG67" s="621">
        <v>360</v>
      </c>
      <c r="BH67" s="4604">
        <v>31</v>
      </c>
      <c r="BI67" s="621">
        <v>34235984</v>
      </c>
      <c r="BJ67" s="621">
        <v>33958459</v>
      </c>
      <c r="BK67" s="621">
        <v>0</v>
      </c>
      <c r="BL67" s="4605">
        <v>118</v>
      </c>
      <c r="BM67" s="621">
        <v>115</v>
      </c>
      <c r="BN67" s="621">
        <v>109</v>
      </c>
      <c r="BO67" s="621">
        <v>36</v>
      </c>
      <c r="BP67" s="621">
        <v>34</v>
      </c>
      <c r="BQ67" s="621">
        <v>33</v>
      </c>
    </row>
    <row r="68" spans="1:69">
      <c r="A68" s="888">
        <v>257</v>
      </c>
      <c r="B68" s="889" t="s">
        <v>393</v>
      </c>
      <c r="C68" s="890" t="s">
        <v>157</v>
      </c>
      <c r="D68" s="621">
        <v>54843581</v>
      </c>
      <c r="E68" s="621">
        <v>47129710</v>
      </c>
      <c r="F68" s="621">
        <v>54265380</v>
      </c>
      <c r="G68" s="621">
        <v>46602794</v>
      </c>
      <c r="H68" s="648">
        <v>1150.5999999999999</v>
      </c>
      <c r="I68" s="648">
        <v>1107.3</v>
      </c>
      <c r="J68" s="649">
        <v>140.5</v>
      </c>
      <c r="K68" s="621">
        <v>9665506</v>
      </c>
      <c r="L68" s="484">
        <v>1217</v>
      </c>
      <c r="M68" s="648">
        <v>1198.0999999999999</v>
      </c>
      <c r="N68" s="649">
        <v>1148</v>
      </c>
      <c r="O68" s="648">
        <v>1104.9000000000001</v>
      </c>
      <c r="P68" s="621">
        <v>1563251</v>
      </c>
      <c r="Q68" s="621">
        <v>1580929</v>
      </c>
      <c r="R68" s="621">
        <v>2198280</v>
      </c>
      <c r="S68" s="621">
        <v>1748337</v>
      </c>
      <c r="T68" s="621">
        <v>10263</v>
      </c>
      <c r="U68" s="621">
        <v>0</v>
      </c>
      <c r="V68" s="621"/>
      <c r="W68" s="650">
        <v>0.65</v>
      </c>
      <c r="X68" s="621">
        <v>532</v>
      </c>
      <c r="Y68" s="621">
        <v>103</v>
      </c>
      <c r="Z68" s="650">
        <v>0.64</v>
      </c>
      <c r="AA68" s="650">
        <v>0.28000000000000003</v>
      </c>
      <c r="AB68" s="651">
        <v>0.66559999999999997</v>
      </c>
      <c r="AC68" s="621">
        <v>1103460</v>
      </c>
      <c r="AD68" s="621">
        <v>1019011</v>
      </c>
      <c r="AE68" s="621">
        <v>1019011</v>
      </c>
      <c r="AF68" s="484">
        <v>1217</v>
      </c>
      <c r="AG68" s="649">
        <v>1161.5999999999999</v>
      </c>
      <c r="AH68" s="891">
        <v>1113.3</v>
      </c>
      <c r="AI68" s="649">
        <v>1100.9000000000001</v>
      </c>
      <c r="AJ68" s="652">
        <v>0</v>
      </c>
      <c r="AK68" s="621"/>
      <c r="AL68" s="621"/>
      <c r="AM68" s="621">
        <v>0</v>
      </c>
      <c r="AN68" s="621">
        <v>0</v>
      </c>
      <c r="AO68" s="649">
        <v>1084.4000000000001</v>
      </c>
      <c r="AP68" s="649"/>
      <c r="AQ68" s="892">
        <v>0</v>
      </c>
      <c r="AR68" s="652"/>
      <c r="AS68" s="648"/>
      <c r="AT68" s="649">
        <v>0</v>
      </c>
      <c r="AU68" s="653">
        <v>0</v>
      </c>
      <c r="AV68" s="621">
        <v>8069604</v>
      </c>
      <c r="AW68" s="621">
        <v>270604</v>
      </c>
      <c r="AX68" s="621">
        <v>258526</v>
      </c>
      <c r="AY68" s="621">
        <v>2185865</v>
      </c>
      <c r="AZ68" s="621"/>
      <c r="BA68" s="428">
        <v>1</v>
      </c>
      <c r="BB68" s="621">
        <v>0</v>
      </c>
      <c r="BC68" s="621">
        <v>0</v>
      </c>
      <c r="BE68" s="621">
        <v>8084115</v>
      </c>
      <c r="BF68" s="621">
        <v>0</v>
      </c>
      <c r="BG68" s="621">
        <v>0</v>
      </c>
      <c r="BH68" s="4604">
        <v>33</v>
      </c>
      <c r="BI68" s="621">
        <v>53691257</v>
      </c>
      <c r="BJ68" s="621">
        <v>52976614</v>
      </c>
      <c r="BK68" s="621">
        <v>0</v>
      </c>
      <c r="BL68" s="4605">
        <v>578</v>
      </c>
      <c r="BM68" s="621">
        <v>533</v>
      </c>
      <c r="BN68" s="621">
        <v>493</v>
      </c>
      <c r="BO68" s="621">
        <v>183</v>
      </c>
      <c r="BP68" s="621">
        <v>159</v>
      </c>
      <c r="BQ68" s="621">
        <v>144</v>
      </c>
    </row>
    <row r="69" spans="1:69">
      <c r="A69" s="888">
        <v>258</v>
      </c>
      <c r="B69" s="889" t="s">
        <v>394</v>
      </c>
      <c r="C69" s="890" t="s">
        <v>157</v>
      </c>
      <c r="D69" s="621">
        <v>58684390</v>
      </c>
      <c r="E69" s="621">
        <v>56004106</v>
      </c>
      <c r="F69" s="621">
        <v>57444376</v>
      </c>
      <c r="G69" s="621">
        <v>54779856</v>
      </c>
      <c r="H69" s="648">
        <v>584.5</v>
      </c>
      <c r="I69" s="648">
        <v>581</v>
      </c>
      <c r="J69" s="649">
        <v>126</v>
      </c>
      <c r="K69" s="621">
        <v>6493214</v>
      </c>
      <c r="L69" s="484">
        <v>592.5</v>
      </c>
      <c r="M69" s="648">
        <v>775.8</v>
      </c>
      <c r="N69" s="649">
        <v>807.2</v>
      </c>
      <c r="O69" s="648">
        <v>828.3</v>
      </c>
      <c r="P69" s="621">
        <v>759160</v>
      </c>
      <c r="Q69" s="621">
        <v>744448</v>
      </c>
      <c r="R69" s="621">
        <v>767141</v>
      </c>
      <c r="S69" s="621">
        <v>610724</v>
      </c>
      <c r="T69" s="621">
        <v>0</v>
      </c>
      <c r="U69" s="621">
        <v>0</v>
      </c>
      <c r="V69" s="621"/>
      <c r="W69" s="650">
        <v>0.45</v>
      </c>
      <c r="X69" s="621">
        <v>208</v>
      </c>
      <c r="Y69" s="621">
        <v>65</v>
      </c>
      <c r="Z69" s="650">
        <v>0.44</v>
      </c>
      <c r="AA69" s="650">
        <v>0.08</v>
      </c>
      <c r="AB69" s="651">
        <v>0.48209999999999997</v>
      </c>
      <c r="AC69" s="621">
        <v>644231</v>
      </c>
      <c r="AD69" s="621">
        <v>627018</v>
      </c>
      <c r="AE69" s="621">
        <v>627018</v>
      </c>
      <c r="AF69" s="484">
        <v>592.5</v>
      </c>
      <c r="AG69" s="649">
        <v>589.5</v>
      </c>
      <c r="AH69" s="891">
        <v>587</v>
      </c>
      <c r="AI69" s="649">
        <v>550</v>
      </c>
      <c r="AJ69" s="652">
        <v>0</v>
      </c>
      <c r="AK69" s="621"/>
      <c r="AL69" s="621"/>
      <c r="AM69" s="621">
        <v>0</v>
      </c>
      <c r="AN69" s="621">
        <v>0</v>
      </c>
      <c r="AO69" s="649">
        <v>545.5</v>
      </c>
      <c r="AP69" s="649"/>
      <c r="AQ69" s="892">
        <v>0</v>
      </c>
      <c r="AR69" s="652"/>
      <c r="AS69" s="648"/>
      <c r="AT69" s="649">
        <v>0</v>
      </c>
      <c r="AU69" s="653">
        <v>0</v>
      </c>
      <c r="AV69" s="621">
        <v>5441379</v>
      </c>
      <c r="AW69" s="621">
        <v>153205</v>
      </c>
      <c r="AX69" s="621">
        <v>162076</v>
      </c>
      <c r="AY69" s="621">
        <v>699625</v>
      </c>
      <c r="AZ69" s="621"/>
      <c r="BA69" s="428">
        <v>1</v>
      </c>
      <c r="BB69" s="621">
        <v>0</v>
      </c>
      <c r="BC69" s="621">
        <v>0</v>
      </c>
      <c r="BE69" s="621">
        <v>5745810</v>
      </c>
      <c r="BF69" s="621">
        <v>1471</v>
      </c>
      <c r="BG69" s="621">
        <v>0</v>
      </c>
      <c r="BH69" s="4604">
        <v>33</v>
      </c>
      <c r="BI69" s="621">
        <v>58032309</v>
      </c>
      <c r="BJ69" s="621">
        <v>56318747</v>
      </c>
      <c r="BK69" s="621">
        <v>0</v>
      </c>
      <c r="BL69" s="4605">
        <v>217</v>
      </c>
      <c r="BM69" s="621">
        <v>209</v>
      </c>
      <c r="BN69" s="621">
        <v>233</v>
      </c>
      <c r="BO69" s="621">
        <v>105</v>
      </c>
      <c r="BP69" s="621">
        <v>82</v>
      </c>
      <c r="BQ69" s="621">
        <v>66</v>
      </c>
    </row>
    <row r="70" spans="1:69">
      <c r="A70" s="888">
        <v>259</v>
      </c>
      <c r="B70" s="889" t="s">
        <v>395</v>
      </c>
      <c r="C70" s="890" t="s">
        <v>158</v>
      </c>
      <c r="D70" s="621">
        <v>2913854518</v>
      </c>
      <c r="E70" s="621">
        <v>2666037624</v>
      </c>
      <c r="F70" s="621">
        <v>3045739021</v>
      </c>
      <c r="G70" s="621">
        <v>2799012409</v>
      </c>
      <c r="H70" s="648">
        <v>46954.2</v>
      </c>
      <c r="I70" s="648">
        <v>46332.1</v>
      </c>
      <c r="J70" s="649">
        <v>151</v>
      </c>
      <c r="K70" s="621">
        <v>382999515</v>
      </c>
      <c r="L70" s="484">
        <v>48145.1</v>
      </c>
      <c r="M70" s="648">
        <v>48206</v>
      </c>
      <c r="N70" s="649">
        <v>47632.6</v>
      </c>
      <c r="O70" s="648">
        <v>45302.1</v>
      </c>
      <c r="P70" s="621">
        <v>50071989</v>
      </c>
      <c r="Q70" s="621">
        <v>52538694</v>
      </c>
      <c r="R70" s="621">
        <v>71492876</v>
      </c>
      <c r="S70" s="621">
        <v>39142041</v>
      </c>
      <c r="T70" s="621">
        <v>46794</v>
      </c>
      <c r="U70" s="621">
        <v>0</v>
      </c>
      <c r="V70" s="621"/>
      <c r="W70" s="650">
        <v>0.46</v>
      </c>
      <c r="X70" s="621">
        <v>30517</v>
      </c>
      <c r="Y70" s="621">
        <v>4346</v>
      </c>
      <c r="Z70" s="650">
        <v>0.46</v>
      </c>
      <c r="AA70" s="650">
        <v>0.1</v>
      </c>
      <c r="AB70" s="651">
        <v>0.55389999999999995</v>
      </c>
      <c r="AC70" s="621">
        <v>56317704</v>
      </c>
      <c r="AD70" s="621">
        <v>52044670</v>
      </c>
      <c r="AE70" s="621">
        <v>52044670</v>
      </c>
      <c r="AF70" s="484">
        <v>48145.1</v>
      </c>
      <c r="AG70" s="649">
        <v>47893.7</v>
      </c>
      <c r="AH70" s="891">
        <v>47289.1</v>
      </c>
      <c r="AI70" s="649">
        <v>44777.4</v>
      </c>
      <c r="AJ70" s="652">
        <v>0</v>
      </c>
      <c r="AK70" s="621"/>
      <c r="AL70" s="621"/>
      <c r="AM70" s="621">
        <v>325</v>
      </c>
      <c r="AN70" s="621">
        <v>0</v>
      </c>
      <c r="AO70" s="649">
        <v>44093.9</v>
      </c>
      <c r="AP70" s="649"/>
      <c r="AQ70" s="892">
        <v>0</v>
      </c>
      <c r="AR70" s="652"/>
      <c r="AS70" s="648"/>
      <c r="AT70" s="649">
        <v>0</v>
      </c>
      <c r="AU70" s="653">
        <v>0</v>
      </c>
      <c r="AV70" s="621">
        <v>328208161</v>
      </c>
      <c r="AW70" s="621">
        <v>11294793</v>
      </c>
      <c r="AX70" s="621">
        <v>11332016</v>
      </c>
      <c r="AY70" s="621">
        <v>64449240</v>
      </c>
      <c r="AZ70" s="621"/>
      <c r="BA70" s="428">
        <v>1</v>
      </c>
      <c r="BB70" s="621">
        <v>208293</v>
      </c>
      <c r="BC70" s="621">
        <v>210738</v>
      </c>
      <c r="BE70" s="621">
        <v>330460517</v>
      </c>
      <c r="BF70" s="621">
        <v>100439</v>
      </c>
      <c r="BG70" s="621">
        <v>201344</v>
      </c>
      <c r="BH70" s="4604">
        <v>33</v>
      </c>
      <c r="BI70" s="621">
        <v>2886737404</v>
      </c>
      <c r="BJ70" s="621">
        <v>3013834163</v>
      </c>
      <c r="BK70" s="621">
        <v>208293</v>
      </c>
      <c r="BL70" s="4605">
        <v>33113</v>
      </c>
      <c r="BM70" s="621">
        <v>32798</v>
      </c>
      <c r="BN70" s="621">
        <v>32403</v>
      </c>
      <c r="BO70" s="621">
        <v>4288</v>
      </c>
      <c r="BP70" s="621">
        <v>4477</v>
      </c>
      <c r="BQ70" s="621">
        <v>4646</v>
      </c>
    </row>
    <row r="71" spans="1:69">
      <c r="A71" s="888">
        <v>260</v>
      </c>
      <c r="B71" s="889" t="s">
        <v>396</v>
      </c>
      <c r="C71" s="890" t="s">
        <v>158</v>
      </c>
      <c r="D71" s="621">
        <v>458498699</v>
      </c>
      <c r="E71" s="621">
        <v>431045639</v>
      </c>
      <c r="F71" s="621">
        <v>458535150</v>
      </c>
      <c r="G71" s="621">
        <v>430942175</v>
      </c>
      <c r="H71" s="648">
        <v>6857.8</v>
      </c>
      <c r="I71" s="648">
        <v>7003.3</v>
      </c>
      <c r="J71" s="649">
        <v>50</v>
      </c>
      <c r="K71" s="621">
        <v>46829366</v>
      </c>
      <c r="L71" s="484">
        <v>6842.9</v>
      </c>
      <c r="M71" s="648">
        <v>6926.5</v>
      </c>
      <c r="N71" s="649">
        <v>7065.8</v>
      </c>
      <c r="O71" s="648">
        <v>6844</v>
      </c>
      <c r="P71" s="621">
        <v>6216352</v>
      </c>
      <c r="Q71" s="621">
        <v>6341430</v>
      </c>
      <c r="R71" s="621">
        <v>7490076</v>
      </c>
      <c r="S71" s="621">
        <v>5092269</v>
      </c>
      <c r="T71" s="621">
        <v>19282</v>
      </c>
      <c r="U71" s="621">
        <v>0</v>
      </c>
      <c r="V71" s="621"/>
      <c r="W71" s="650">
        <v>0.45</v>
      </c>
      <c r="X71" s="621">
        <v>2251</v>
      </c>
      <c r="Y71" s="621">
        <v>802</v>
      </c>
      <c r="Z71" s="650">
        <v>0.45</v>
      </c>
      <c r="AA71" s="650">
        <v>0.09</v>
      </c>
      <c r="AB71" s="651">
        <v>0.52959999999999996</v>
      </c>
      <c r="AC71" s="621">
        <v>6906985</v>
      </c>
      <c r="AD71" s="621">
        <v>6597330</v>
      </c>
      <c r="AE71" s="621">
        <v>6597330</v>
      </c>
      <c r="AF71" s="484">
        <v>6842.9</v>
      </c>
      <c r="AG71" s="649">
        <v>6919.3</v>
      </c>
      <c r="AH71" s="891">
        <v>7062.3</v>
      </c>
      <c r="AI71" s="649">
        <v>6842.8</v>
      </c>
      <c r="AJ71" s="652">
        <v>0</v>
      </c>
      <c r="AK71" s="621"/>
      <c r="AL71" s="621"/>
      <c r="AM71" s="621">
        <v>1406</v>
      </c>
      <c r="AN71" s="621">
        <v>142925</v>
      </c>
      <c r="AO71" s="649">
        <v>6827.8</v>
      </c>
      <c r="AP71" s="649"/>
      <c r="AQ71" s="892">
        <v>34</v>
      </c>
      <c r="AR71" s="652"/>
      <c r="AS71" s="648"/>
      <c r="AT71" s="649">
        <v>28</v>
      </c>
      <c r="AU71" s="653">
        <v>0</v>
      </c>
      <c r="AV71" s="621">
        <v>38904067</v>
      </c>
      <c r="AW71" s="621">
        <v>1613916</v>
      </c>
      <c r="AX71" s="621">
        <v>1591559</v>
      </c>
      <c r="AY71" s="621">
        <v>7111028</v>
      </c>
      <c r="AZ71" s="621"/>
      <c r="BA71" s="428">
        <v>0.94</v>
      </c>
      <c r="BB71" s="621">
        <v>219343</v>
      </c>
      <c r="BC71" s="621">
        <v>221067</v>
      </c>
      <c r="BE71" s="621">
        <v>40345011</v>
      </c>
      <c r="BF71" s="621">
        <v>15267</v>
      </c>
      <c r="BG71" s="621">
        <v>22099</v>
      </c>
      <c r="BH71" s="4604">
        <v>31</v>
      </c>
      <c r="BI71" s="621">
        <v>458498699</v>
      </c>
      <c r="BJ71" s="621">
        <v>462662558</v>
      </c>
      <c r="BK71" s="621">
        <v>219343</v>
      </c>
      <c r="BL71" s="4605">
        <v>2431</v>
      </c>
      <c r="BM71" s="621">
        <v>2380</v>
      </c>
      <c r="BN71" s="621">
        <v>2301</v>
      </c>
      <c r="BO71" s="621">
        <v>841</v>
      </c>
      <c r="BP71" s="621">
        <v>841</v>
      </c>
      <c r="BQ71" s="621">
        <v>913</v>
      </c>
    </row>
    <row r="72" spans="1:69">
      <c r="A72" s="888">
        <v>261</v>
      </c>
      <c r="B72" s="889" t="s">
        <v>397</v>
      </c>
      <c r="C72" s="890" t="s">
        <v>158</v>
      </c>
      <c r="D72" s="621">
        <v>157286613</v>
      </c>
      <c r="E72" s="621">
        <v>137850915</v>
      </c>
      <c r="F72" s="621">
        <v>164592974</v>
      </c>
      <c r="G72" s="621">
        <v>145454449</v>
      </c>
      <c r="H72" s="648">
        <v>5576.7</v>
      </c>
      <c r="I72" s="648">
        <v>5649.2</v>
      </c>
      <c r="J72" s="649">
        <v>36</v>
      </c>
      <c r="K72" s="621">
        <v>40340158</v>
      </c>
      <c r="L72" s="484">
        <v>5635.1</v>
      </c>
      <c r="M72" s="648">
        <v>5656.7</v>
      </c>
      <c r="N72" s="649">
        <v>5731.7</v>
      </c>
      <c r="O72" s="648">
        <v>5548.6</v>
      </c>
      <c r="P72" s="621">
        <v>5902478</v>
      </c>
      <c r="Q72" s="621">
        <v>5935819</v>
      </c>
      <c r="R72" s="621">
        <v>10720691</v>
      </c>
      <c r="S72" s="621">
        <v>4441727</v>
      </c>
      <c r="T72" s="621">
        <v>27870</v>
      </c>
      <c r="U72" s="621">
        <v>0</v>
      </c>
      <c r="V72" s="621"/>
      <c r="W72" s="650">
        <v>0.83</v>
      </c>
      <c r="X72" s="621">
        <v>2351</v>
      </c>
      <c r="Y72" s="621">
        <v>612</v>
      </c>
      <c r="Z72" s="650">
        <v>0.82</v>
      </c>
      <c r="AA72" s="650">
        <v>0.46</v>
      </c>
      <c r="AB72" s="651">
        <v>0.79700000000000004</v>
      </c>
      <c r="AC72" s="621">
        <v>6326770</v>
      </c>
      <c r="AD72" s="621">
        <v>5988406</v>
      </c>
      <c r="AE72" s="621">
        <v>5988406</v>
      </c>
      <c r="AF72" s="484">
        <v>5635.1</v>
      </c>
      <c r="AG72" s="649">
        <v>5656.7</v>
      </c>
      <c r="AH72" s="891">
        <v>5731.7</v>
      </c>
      <c r="AI72" s="649">
        <v>5548.6</v>
      </c>
      <c r="AJ72" s="652">
        <v>0</v>
      </c>
      <c r="AK72" s="621"/>
      <c r="AL72" s="621"/>
      <c r="AM72" s="621">
        <v>29</v>
      </c>
      <c r="AN72" s="621">
        <v>0</v>
      </c>
      <c r="AO72" s="649">
        <v>5485.1</v>
      </c>
      <c r="AP72" s="649"/>
      <c r="AQ72" s="892">
        <v>0</v>
      </c>
      <c r="AR72" s="652"/>
      <c r="AS72" s="648"/>
      <c r="AT72" s="649">
        <v>0</v>
      </c>
      <c r="AU72" s="653">
        <v>0</v>
      </c>
      <c r="AV72" s="621">
        <v>33501090</v>
      </c>
      <c r="AW72" s="621">
        <v>1006634</v>
      </c>
      <c r="AX72" s="621">
        <v>1066563</v>
      </c>
      <c r="AY72" s="621">
        <v>10542110</v>
      </c>
      <c r="AZ72" s="621"/>
      <c r="BA72" s="428">
        <v>1</v>
      </c>
      <c r="BB72" s="621">
        <v>154806</v>
      </c>
      <c r="BC72" s="621">
        <v>154806</v>
      </c>
      <c r="BE72" s="621">
        <v>34404002</v>
      </c>
      <c r="BF72" s="621">
        <v>22220</v>
      </c>
      <c r="BG72" s="621">
        <v>0</v>
      </c>
      <c r="BH72" s="4604">
        <v>33</v>
      </c>
      <c r="BI72" s="621">
        <v>157286613</v>
      </c>
      <c r="BJ72" s="621">
        <v>164592974</v>
      </c>
      <c r="BK72" s="621">
        <v>154806</v>
      </c>
      <c r="BL72" s="4605">
        <v>2582</v>
      </c>
      <c r="BM72" s="621">
        <v>2483</v>
      </c>
      <c r="BN72" s="621">
        <v>2459</v>
      </c>
      <c r="BO72" s="621">
        <v>703</v>
      </c>
      <c r="BP72" s="621">
        <v>726</v>
      </c>
      <c r="BQ72" s="621">
        <v>735</v>
      </c>
    </row>
    <row r="73" spans="1:69">
      <c r="A73" s="888">
        <v>262</v>
      </c>
      <c r="B73" s="889" t="s">
        <v>398</v>
      </c>
      <c r="C73" s="890" t="s">
        <v>158</v>
      </c>
      <c r="D73" s="621">
        <v>147577105</v>
      </c>
      <c r="E73" s="621">
        <v>134853637</v>
      </c>
      <c r="F73" s="621">
        <v>156971088</v>
      </c>
      <c r="G73" s="621">
        <v>144252813</v>
      </c>
      <c r="H73" s="648">
        <v>2899.8</v>
      </c>
      <c r="I73" s="648">
        <v>2986.7</v>
      </c>
      <c r="J73" s="649">
        <v>83</v>
      </c>
      <c r="K73" s="621">
        <v>20773760</v>
      </c>
      <c r="L73" s="484">
        <v>2842.1</v>
      </c>
      <c r="M73" s="648">
        <v>2963.1</v>
      </c>
      <c r="N73" s="649">
        <v>3069.3</v>
      </c>
      <c r="O73" s="648">
        <v>2997.5</v>
      </c>
      <c r="P73" s="621">
        <v>3167117</v>
      </c>
      <c r="Q73" s="621">
        <v>3364520</v>
      </c>
      <c r="R73" s="621">
        <v>4346760</v>
      </c>
      <c r="S73" s="621">
        <v>2337803</v>
      </c>
      <c r="T73" s="621">
        <v>10611</v>
      </c>
      <c r="U73" s="621">
        <v>0</v>
      </c>
      <c r="V73" s="621"/>
      <c r="W73" s="650">
        <v>0.6</v>
      </c>
      <c r="X73" s="621">
        <v>803</v>
      </c>
      <c r="Y73" s="621">
        <v>310</v>
      </c>
      <c r="Z73" s="650">
        <v>0.6</v>
      </c>
      <c r="AA73" s="650">
        <v>0.24</v>
      </c>
      <c r="AB73" s="651">
        <v>0.64549999999999996</v>
      </c>
      <c r="AC73" s="621">
        <v>2384248</v>
      </c>
      <c r="AD73" s="621">
        <v>2393943</v>
      </c>
      <c r="AE73" s="621">
        <v>2393943</v>
      </c>
      <c r="AF73" s="484">
        <v>2842.1</v>
      </c>
      <c r="AG73" s="649">
        <v>2920.8</v>
      </c>
      <c r="AH73" s="891">
        <v>3017.2</v>
      </c>
      <c r="AI73" s="649">
        <v>2951</v>
      </c>
      <c r="AJ73" s="652">
        <v>0</v>
      </c>
      <c r="AK73" s="621"/>
      <c r="AL73" s="621"/>
      <c r="AM73" s="621">
        <v>36</v>
      </c>
      <c r="AN73" s="621">
        <v>0</v>
      </c>
      <c r="AO73" s="649">
        <v>2928.5</v>
      </c>
      <c r="AP73" s="649"/>
      <c r="AQ73" s="892">
        <v>0</v>
      </c>
      <c r="AR73" s="652"/>
      <c r="AS73" s="648"/>
      <c r="AT73" s="649">
        <v>0</v>
      </c>
      <c r="AU73" s="653">
        <v>0</v>
      </c>
      <c r="AV73" s="621">
        <v>16729666</v>
      </c>
      <c r="AW73" s="621">
        <v>580870</v>
      </c>
      <c r="AX73" s="621">
        <v>637293</v>
      </c>
      <c r="AY73" s="621">
        <v>4080000</v>
      </c>
      <c r="AZ73" s="621"/>
      <c r="BA73" s="428">
        <v>1</v>
      </c>
      <c r="BB73" s="621">
        <v>66224</v>
      </c>
      <c r="BC73" s="621">
        <v>62530</v>
      </c>
      <c r="BE73" s="621">
        <v>17402206</v>
      </c>
      <c r="BF73" s="621">
        <v>17332</v>
      </c>
      <c r="BG73" s="621">
        <v>7384</v>
      </c>
      <c r="BH73" s="4604">
        <v>33</v>
      </c>
      <c r="BI73" s="621">
        <v>148324955</v>
      </c>
      <c r="BJ73" s="621">
        <v>159154056</v>
      </c>
      <c r="BK73" s="621">
        <v>66224</v>
      </c>
      <c r="BL73" s="4605">
        <v>881</v>
      </c>
      <c r="BM73" s="621">
        <v>852</v>
      </c>
      <c r="BN73" s="621">
        <v>855</v>
      </c>
      <c r="BO73" s="621">
        <v>343</v>
      </c>
      <c r="BP73" s="621">
        <v>361</v>
      </c>
      <c r="BQ73" s="621">
        <v>385</v>
      </c>
    </row>
    <row r="74" spans="1:69">
      <c r="A74" s="888">
        <v>263</v>
      </c>
      <c r="B74" s="889" t="s">
        <v>399</v>
      </c>
      <c r="C74" s="890" t="s">
        <v>158</v>
      </c>
      <c r="D74" s="621">
        <v>127598527</v>
      </c>
      <c r="E74" s="621">
        <v>118873067</v>
      </c>
      <c r="F74" s="621">
        <v>132567343</v>
      </c>
      <c r="G74" s="621">
        <v>123805743</v>
      </c>
      <c r="H74" s="648">
        <v>1785.5</v>
      </c>
      <c r="I74" s="648">
        <v>1774.5</v>
      </c>
      <c r="J74" s="649">
        <v>82.4</v>
      </c>
      <c r="K74" s="621">
        <v>11907728</v>
      </c>
      <c r="L74" s="484">
        <v>1746.5</v>
      </c>
      <c r="M74" s="648">
        <v>1801.5</v>
      </c>
      <c r="N74" s="649">
        <v>1789.5</v>
      </c>
      <c r="O74" s="648">
        <v>1733</v>
      </c>
      <c r="P74" s="621">
        <v>1803072</v>
      </c>
      <c r="Q74" s="621">
        <v>1812312</v>
      </c>
      <c r="R74" s="621">
        <v>1925131</v>
      </c>
      <c r="S74" s="621">
        <v>1238221</v>
      </c>
      <c r="T74" s="621">
        <v>0</v>
      </c>
      <c r="U74" s="621">
        <v>0</v>
      </c>
      <c r="V74" s="621"/>
      <c r="W74" s="650">
        <v>0.37</v>
      </c>
      <c r="X74" s="621">
        <v>497</v>
      </c>
      <c r="Y74" s="621">
        <v>208</v>
      </c>
      <c r="Z74" s="650">
        <v>0.36</v>
      </c>
      <c r="AA74" s="650">
        <v>0</v>
      </c>
      <c r="AB74" s="651">
        <v>0.47989999999999999</v>
      </c>
      <c r="AC74" s="621">
        <v>1915670</v>
      </c>
      <c r="AD74" s="621">
        <v>1810910</v>
      </c>
      <c r="AE74" s="621">
        <v>1810910</v>
      </c>
      <c r="AF74" s="484">
        <v>1746.5</v>
      </c>
      <c r="AG74" s="649">
        <v>1801.5</v>
      </c>
      <c r="AH74" s="891">
        <v>1789.5</v>
      </c>
      <c r="AI74" s="649">
        <v>1733</v>
      </c>
      <c r="AJ74" s="652">
        <v>0</v>
      </c>
      <c r="AK74" s="621"/>
      <c r="AL74" s="621"/>
      <c r="AM74" s="621">
        <v>48</v>
      </c>
      <c r="AN74" s="621">
        <v>0</v>
      </c>
      <c r="AO74" s="649">
        <v>1719</v>
      </c>
      <c r="AP74" s="649"/>
      <c r="AQ74" s="892">
        <v>0</v>
      </c>
      <c r="AR74" s="652"/>
      <c r="AS74" s="648"/>
      <c r="AT74" s="649">
        <v>0</v>
      </c>
      <c r="AU74" s="653">
        <v>0</v>
      </c>
      <c r="AV74" s="621">
        <v>9840382</v>
      </c>
      <c r="AW74" s="621">
        <v>396717</v>
      </c>
      <c r="AX74" s="621">
        <v>389813</v>
      </c>
      <c r="AY74" s="621">
        <v>1852199</v>
      </c>
      <c r="AZ74" s="621"/>
      <c r="BA74" s="428">
        <v>1</v>
      </c>
      <c r="BB74" s="621">
        <v>26093</v>
      </c>
      <c r="BC74" s="621">
        <v>23619</v>
      </c>
      <c r="BE74" s="621">
        <v>10095237</v>
      </c>
      <c r="BF74" s="621">
        <v>2492</v>
      </c>
      <c r="BG74" s="621">
        <v>4236</v>
      </c>
      <c r="BH74" s="4604">
        <v>33</v>
      </c>
      <c r="BI74" s="621">
        <v>127184539</v>
      </c>
      <c r="BJ74" s="621">
        <v>132073297</v>
      </c>
      <c r="BK74" s="621">
        <v>26093</v>
      </c>
      <c r="BL74" s="4605">
        <v>459</v>
      </c>
      <c r="BM74" s="621">
        <v>523</v>
      </c>
      <c r="BN74" s="621">
        <v>502</v>
      </c>
      <c r="BO74" s="621">
        <v>220</v>
      </c>
      <c r="BP74" s="621">
        <v>232</v>
      </c>
      <c r="BQ74" s="621">
        <v>235</v>
      </c>
    </row>
    <row r="75" spans="1:69">
      <c r="A75" s="888">
        <v>264</v>
      </c>
      <c r="B75" s="889" t="s">
        <v>400</v>
      </c>
      <c r="C75" s="890" t="s">
        <v>158</v>
      </c>
      <c r="D75" s="621">
        <v>65805678</v>
      </c>
      <c r="E75" s="621">
        <v>60785005</v>
      </c>
      <c r="F75" s="621">
        <v>68355016</v>
      </c>
      <c r="G75" s="621">
        <v>63356405</v>
      </c>
      <c r="H75" s="648">
        <v>1108.5</v>
      </c>
      <c r="I75" s="648">
        <v>1156.4000000000001</v>
      </c>
      <c r="J75" s="649">
        <v>136</v>
      </c>
      <c r="K75" s="621">
        <v>8524866</v>
      </c>
      <c r="L75" s="484">
        <v>1125.5</v>
      </c>
      <c r="M75" s="648">
        <v>1113.5</v>
      </c>
      <c r="N75" s="649">
        <v>1161.4000000000001</v>
      </c>
      <c r="O75" s="648">
        <v>1089</v>
      </c>
      <c r="P75" s="621">
        <v>1166415</v>
      </c>
      <c r="Q75" s="621">
        <v>1217872</v>
      </c>
      <c r="R75" s="621">
        <v>1500592</v>
      </c>
      <c r="S75" s="621">
        <v>1100218</v>
      </c>
      <c r="T75" s="621">
        <v>0</v>
      </c>
      <c r="U75" s="621">
        <v>0</v>
      </c>
      <c r="V75" s="621"/>
      <c r="W75" s="650">
        <v>0.5</v>
      </c>
      <c r="X75" s="621">
        <v>229</v>
      </c>
      <c r="Y75" s="621">
        <v>90</v>
      </c>
      <c r="Z75" s="650">
        <v>0.49</v>
      </c>
      <c r="AA75" s="650">
        <v>0.13</v>
      </c>
      <c r="AB75" s="651">
        <v>0.57499999999999996</v>
      </c>
      <c r="AC75" s="621">
        <v>934144</v>
      </c>
      <c r="AD75" s="621">
        <v>869877</v>
      </c>
      <c r="AE75" s="621">
        <v>869877</v>
      </c>
      <c r="AF75" s="484">
        <v>1125.5</v>
      </c>
      <c r="AG75" s="649">
        <v>1113.5</v>
      </c>
      <c r="AH75" s="891">
        <v>1160.4000000000001</v>
      </c>
      <c r="AI75" s="649">
        <v>1088</v>
      </c>
      <c r="AJ75" s="652">
        <v>0</v>
      </c>
      <c r="AK75" s="621"/>
      <c r="AL75" s="621"/>
      <c r="AM75" s="621">
        <v>13</v>
      </c>
      <c r="AN75" s="621">
        <v>0</v>
      </c>
      <c r="AO75" s="649">
        <v>1084</v>
      </c>
      <c r="AP75" s="649"/>
      <c r="AQ75" s="892">
        <v>0</v>
      </c>
      <c r="AR75" s="652"/>
      <c r="AS75" s="648"/>
      <c r="AT75" s="649">
        <v>0</v>
      </c>
      <c r="AU75" s="653">
        <v>0</v>
      </c>
      <c r="AV75" s="621">
        <v>6854308</v>
      </c>
      <c r="AW75" s="621">
        <v>268466</v>
      </c>
      <c r="AX75" s="621">
        <v>278872</v>
      </c>
      <c r="AY75" s="621">
        <v>1392429</v>
      </c>
      <c r="AZ75" s="621"/>
      <c r="BA75" s="428">
        <v>1</v>
      </c>
      <c r="BB75" s="621">
        <v>0</v>
      </c>
      <c r="BC75" s="621">
        <v>0</v>
      </c>
      <c r="BE75" s="621">
        <v>7305494</v>
      </c>
      <c r="BF75" s="621">
        <v>9489</v>
      </c>
      <c r="BG75" s="621">
        <v>3103</v>
      </c>
      <c r="BH75" s="4604">
        <v>33</v>
      </c>
      <c r="BI75" s="621">
        <v>65800508</v>
      </c>
      <c r="BJ75" s="621">
        <v>68350918</v>
      </c>
      <c r="BK75" s="621">
        <v>0</v>
      </c>
      <c r="BL75" s="4605">
        <v>220</v>
      </c>
      <c r="BM75" s="621">
        <v>212</v>
      </c>
      <c r="BN75" s="621">
        <v>198</v>
      </c>
      <c r="BO75" s="621">
        <v>95</v>
      </c>
      <c r="BP75" s="621">
        <v>120</v>
      </c>
      <c r="BQ75" s="621">
        <v>118</v>
      </c>
    </row>
    <row r="76" spans="1:69">
      <c r="A76" s="888">
        <v>265</v>
      </c>
      <c r="B76" s="889" t="s">
        <v>401</v>
      </c>
      <c r="C76" s="890" t="s">
        <v>158</v>
      </c>
      <c r="D76" s="621">
        <v>295117582</v>
      </c>
      <c r="E76" s="621">
        <v>271560393</v>
      </c>
      <c r="F76" s="621">
        <v>315629047</v>
      </c>
      <c r="G76" s="621">
        <v>291857606</v>
      </c>
      <c r="H76" s="648">
        <v>5745.8</v>
      </c>
      <c r="I76" s="648">
        <v>5798.8</v>
      </c>
      <c r="J76" s="649">
        <v>65.099999999999994</v>
      </c>
      <c r="K76" s="621">
        <v>38319660</v>
      </c>
      <c r="L76" s="484">
        <v>5639.1</v>
      </c>
      <c r="M76" s="648">
        <v>5813.8</v>
      </c>
      <c r="N76" s="649">
        <v>5859.2</v>
      </c>
      <c r="O76" s="648">
        <v>5883.4</v>
      </c>
      <c r="P76" s="621">
        <v>5747602</v>
      </c>
      <c r="Q76" s="621">
        <v>5994673</v>
      </c>
      <c r="R76" s="621">
        <v>8094133</v>
      </c>
      <c r="S76" s="621">
        <v>3914158</v>
      </c>
      <c r="T76" s="621">
        <v>27761</v>
      </c>
      <c r="U76" s="621">
        <v>0</v>
      </c>
      <c r="V76" s="621"/>
      <c r="W76" s="650">
        <v>0.59</v>
      </c>
      <c r="X76" s="621">
        <v>900</v>
      </c>
      <c r="Y76" s="621">
        <v>442</v>
      </c>
      <c r="Z76" s="650">
        <v>0.57999999999999996</v>
      </c>
      <c r="AA76" s="650">
        <v>0.22</v>
      </c>
      <c r="AB76" s="651">
        <v>0.63280000000000003</v>
      </c>
      <c r="AC76" s="621">
        <v>4834708</v>
      </c>
      <c r="AD76" s="621">
        <v>4794796</v>
      </c>
      <c r="AE76" s="621">
        <v>4794796</v>
      </c>
      <c r="AF76" s="484">
        <v>5639.1</v>
      </c>
      <c r="AG76" s="649">
        <v>5779.8</v>
      </c>
      <c r="AH76" s="891">
        <v>5836.8</v>
      </c>
      <c r="AI76" s="649">
        <v>5852.1</v>
      </c>
      <c r="AJ76" s="652">
        <v>0</v>
      </c>
      <c r="AK76" s="621"/>
      <c r="AL76" s="621"/>
      <c r="AM76" s="621">
        <v>126</v>
      </c>
      <c r="AN76" s="621">
        <v>0</v>
      </c>
      <c r="AO76" s="649">
        <v>5825.1</v>
      </c>
      <c r="AP76" s="649"/>
      <c r="AQ76" s="892">
        <v>0</v>
      </c>
      <c r="AR76" s="652"/>
      <c r="AS76" s="648"/>
      <c r="AT76" s="649">
        <v>0</v>
      </c>
      <c r="AU76" s="653">
        <v>0</v>
      </c>
      <c r="AV76" s="621">
        <v>31663177</v>
      </c>
      <c r="AW76" s="621">
        <v>1392955</v>
      </c>
      <c r="AX76" s="621">
        <v>1465717</v>
      </c>
      <c r="AY76" s="621">
        <v>7926800</v>
      </c>
      <c r="AZ76" s="621"/>
      <c r="BA76" s="428">
        <v>1</v>
      </c>
      <c r="BB76" s="621">
        <v>80370</v>
      </c>
      <c r="BC76" s="621">
        <v>79969</v>
      </c>
      <c r="BE76" s="621">
        <v>32324854</v>
      </c>
      <c r="BF76" s="621">
        <v>23898</v>
      </c>
      <c r="BG76" s="621">
        <v>1643</v>
      </c>
      <c r="BH76" s="4604">
        <v>33</v>
      </c>
      <c r="BI76" s="621">
        <v>295117582</v>
      </c>
      <c r="BJ76" s="621">
        <v>315926810</v>
      </c>
      <c r="BK76" s="621">
        <v>80370</v>
      </c>
      <c r="BL76" s="4605">
        <v>990</v>
      </c>
      <c r="BM76" s="621">
        <v>945</v>
      </c>
      <c r="BN76" s="621">
        <v>920</v>
      </c>
      <c r="BO76" s="621">
        <v>433</v>
      </c>
      <c r="BP76" s="621">
        <v>510</v>
      </c>
      <c r="BQ76" s="621">
        <v>456</v>
      </c>
    </row>
    <row r="77" spans="1:69">
      <c r="A77" s="888">
        <v>266</v>
      </c>
      <c r="B77" s="889" t="s">
        <v>402</v>
      </c>
      <c r="C77" s="890" t="s">
        <v>158</v>
      </c>
      <c r="D77" s="621">
        <v>484513309</v>
      </c>
      <c r="E77" s="621">
        <v>454687144</v>
      </c>
      <c r="F77" s="621">
        <v>515996401</v>
      </c>
      <c r="G77" s="621">
        <v>485652617</v>
      </c>
      <c r="H77" s="648">
        <v>7118.1</v>
      </c>
      <c r="I77" s="648">
        <v>7214.2</v>
      </c>
      <c r="J77" s="649">
        <v>42.5</v>
      </c>
      <c r="K77" s="621">
        <v>49547591</v>
      </c>
      <c r="L77" s="484">
        <v>6944.5</v>
      </c>
      <c r="M77" s="648">
        <v>7541.1</v>
      </c>
      <c r="N77" s="649">
        <v>7627.6</v>
      </c>
      <c r="O77" s="648">
        <v>7509.6</v>
      </c>
      <c r="P77" s="621">
        <v>7400740</v>
      </c>
      <c r="Q77" s="621">
        <v>7642457</v>
      </c>
      <c r="R77" s="621">
        <v>8602554</v>
      </c>
      <c r="S77" s="621">
        <v>5269645</v>
      </c>
      <c r="T77" s="621">
        <v>23115</v>
      </c>
      <c r="U77" s="621">
        <v>0</v>
      </c>
      <c r="V77" s="621"/>
      <c r="W77" s="650">
        <v>0.44</v>
      </c>
      <c r="X77" s="621">
        <v>1119</v>
      </c>
      <c r="Y77" s="621">
        <v>482</v>
      </c>
      <c r="Z77" s="650">
        <v>0.43</v>
      </c>
      <c r="AA77" s="650">
        <v>7.0000000000000007E-2</v>
      </c>
      <c r="AB77" s="651">
        <v>0.53320000000000001</v>
      </c>
      <c r="AC77" s="621">
        <v>5622058</v>
      </c>
      <c r="AD77" s="621">
        <v>5588376</v>
      </c>
      <c r="AE77" s="621">
        <v>5588376</v>
      </c>
      <c r="AF77" s="484">
        <v>6944.5</v>
      </c>
      <c r="AG77" s="649">
        <v>7138.6</v>
      </c>
      <c r="AH77" s="891">
        <v>7245.7</v>
      </c>
      <c r="AI77" s="649">
        <v>7093.7</v>
      </c>
      <c r="AJ77" s="652">
        <v>6.6E-3</v>
      </c>
      <c r="AK77" s="621"/>
      <c r="AL77" s="621"/>
      <c r="AM77" s="621">
        <v>140</v>
      </c>
      <c r="AN77" s="621">
        <v>0</v>
      </c>
      <c r="AO77" s="649">
        <v>7067.2</v>
      </c>
      <c r="AP77" s="649"/>
      <c r="AQ77" s="892">
        <v>0</v>
      </c>
      <c r="AR77" s="652"/>
      <c r="AS77" s="648"/>
      <c r="AT77" s="649">
        <v>0</v>
      </c>
      <c r="AU77" s="653">
        <v>0</v>
      </c>
      <c r="AV77" s="621">
        <v>40491140</v>
      </c>
      <c r="AW77" s="621">
        <v>1474646</v>
      </c>
      <c r="AX77" s="621">
        <v>1442612</v>
      </c>
      <c r="AY77" s="621">
        <v>8225458</v>
      </c>
      <c r="AZ77" s="621"/>
      <c r="BA77" s="428">
        <v>1</v>
      </c>
      <c r="BB77" s="621">
        <v>146184</v>
      </c>
      <c r="BC77" s="621">
        <v>146184</v>
      </c>
      <c r="BE77" s="621">
        <v>41905134</v>
      </c>
      <c r="BF77" s="621">
        <v>16915</v>
      </c>
      <c r="BG77" s="621">
        <v>21140</v>
      </c>
      <c r="BH77" s="4604">
        <v>33</v>
      </c>
      <c r="BI77" s="621">
        <v>484765339</v>
      </c>
      <c r="BJ77" s="621">
        <v>516832432</v>
      </c>
      <c r="BK77" s="621">
        <v>146184</v>
      </c>
      <c r="BL77" s="4605">
        <v>967</v>
      </c>
      <c r="BM77" s="621">
        <v>1069</v>
      </c>
      <c r="BN77" s="621">
        <v>1083</v>
      </c>
      <c r="BO77" s="621">
        <v>546</v>
      </c>
      <c r="BP77" s="621">
        <v>543</v>
      </c>
      <c r="BQ77" s="621">
        <v>543</v>
      </c>
    </row>
    <row r="78" spans="1:69">
      <c r="A78" s="888">
        <v>267</v>
      </c>
      <c r="B78" s="889" t="s">
        <v>403</v>
      </c>
      <c r="C78" s="890" t="s">
        <v>158</v>
      </c>
      <c r="D78" s="621">
        <v>136846464</v>
      </c>
      <c r="E78" s="621">
        <v>129328288</v>
      </c>
      <c r="F78" s="621">
        <v>139085462</v>
      </c>
      <c r="G78" s="621">
        <v>131531175</v>
      </c>
      <c r="H78" s="648">
        <v>1786</v>
      </c>
      <c r="I78" s="648">
        <v>1801.6</v>
      </c>
      <c r="J78" s="649">
        <v>210</v>
      </c>
      <c r="K78" s="621">
        <v>11839430</v>
      </c>
      <c r="L78" s="484">
        <v>1832.1</v>
      </c>
      <c r="M78" s="648">
        <v>1786</v>
      </c>
      <c r="N78" s="649">
        <v>1801.6</v>
      </c>
      <c r="O78" s="648">
        <v>1826.2</v>
      </c>
      <c r="P78" s="621">
        <v>1736988</v>
      </c>
      <c r="Q78" s="621">
        <v>1803212</v>
      </c>
      <c r="R78" s="621">
        <v>1774815</v>
      </c>
      <c r="S78" s="621">
        <v>1668975</v>
      </c>
      <c r="T78" s="621">
        <v>12164</v>
      </c>
      <c r="U78" s="621">
        <v>0</v>
      </c>
      <c r="V78" s="621"/>
      <c r="W78" s="650">
        <v>0.37</v>
      </c>
      <c r="X78" s="621">
        <v>182</v>
      </c>
      <c r="Y78" s="621">
        <v>88</v>
      </c>
      <c r="Z78" s="650">
        <v>0.36</v>
      </c>
      <c r="AA78" s="650">
        <v>0</v>
      </c>
      <c r="AB78" s="651">
        <v>0.45250000000000001</v>
      </c>
      <c r="AC78" s="621">
        <v>1544474</v>
      </c>
      <c r="AD78" s="621">
        <v>1461503</v>
      </c>
      <c r="AE78" s="621">
        <v>1461503</v>
      </c>
      <c r="AF78" s="484">
        <v>1832.1</v>
      </c>
      <c r="AG78" s="649">
        <v>1786</v>
      </c>
      <c r="AH78" s="891">
        <v>1801.6</v>
      </c>
      <c r="AI78" s="649">
        <v>1777.5</v>
      </c>
      <c r="AJ78" s="652">
        <v>0</v>
      </c>
      <c r="AK78" s="621"/>
      <c r="AL78" s="621"/>
      <c r="AM78" s="621">
        <v>12</v>
      </c>
      <c r="AN78" s="621">
        <v>0</v>
      </c>
      <c r="AO78" s="649">
        <v>1757</v>
      </c>
      <c r="AP78" s="649"/>
      <c r="AQ78" s="892">
        <v>0</v>
      </c>
      <c r="AR78" s="652"/>
      <c r="AS78" s="648"/>
      <c r="AT78" s="649">
        <v>0</v>
      </c>
      <c r="AU78" s="653">
        <v>0</v>
      </c>
      <c r="AV78" s="621">
        <v>9646421</v>
      </c>
      <c r="AW78" s="621">
        <v>361275</v>
      </c>
      <c r="AX78" s="621">
        <v>356014</v>
      </c>
      <c r="AY78" s="621">
        <v>1743685</v>
      </c>
      <c r="AZ78" s="621"/>
      <c r="BA78" s="428">
        <v>1</v>
      </c>
      <c r="BB78" s="621">
        <v>0</v>
      </c>
      <c r="BC78" s="621">
        <v>0</v>
      </c>
      <c r="BE78" s="621">
        <v>10036141</v>
      </c>
      <c r="BF78" s="621">
        <v>4933</v>
      </c>
      <c r="BG78" s="621">
        <v>2597</v>
      </c>
      <c r="BH78" s="4604">
        <v>33</v>
      </c>
      <c r="BI78" s="621">
        <v>136846464</v>
      </c>
      <c r="BJ78" s="621">
        <v>139085462</v>
      </c>
      <c r="BK78" s="621">
        <v>0</v>
      </c>
      <c r="BL78" s="4605">
        <v>160</v>
      </c>
      <c r="BM78" s="621">
        <v>158</v>
      </c>
      <c r="BN78" s="621">
        <v>164</v>
      </c>
      <c r="BO78" s="621">
        <v>112</v>
      </c>
      <c r="BP78" s="621">
        <v>86</v>
      </c>
      <c r="BQ78" s="621">
        <v>99</v>
      </c>
    </row>
    <row r="79" spans="1:69">
      <c r="A79" s="888">
        <v>268</v>
      </c>
      <c r="B79" s="889" t="s">
        <v>404</v>
      </c>
      <c r="C79" s="890" t="s">
        <v>158</v>
      </c>
      <c r="D79" s="621">
        <v>34795890</v>
      </c>
      <c r="E79" s="621">
        <v>31567284</v>
      </c>
      <c r="F79" s="621">
        <v>35579720</v>
      </c>
      <c r="G79" s="621">
        <v>32360774</v>
      </c>
      <c r="H79" s="648">
        <v>749.7</v>
      </c>
      <c r="I79" s="648">
        <v>773.1</v>
      </c>
      <c r="J79" s="649">
        <v>126</v>
      </c>
      <c r="K79" s="621">
        <v>6119719</v>
      </c>
      <c r="L79" s="484">
        <v>785.2</v>
      </c>
      <c r="M79" s="648">
        <v>765.7</v>
      </c>
      <c r="N79" s="649">
        <v>783.6</v>
      </c>
      <c r="O79" s="648">
        <v>763.4</v>
      </c>
      <c r="P79" s="621">
        <v>793327</v>
      </c>
      <c r="Q79" s="621">
        <v>833423</v>
      </c>
      <c r="R79" s="621">
        <v>1378895</v>
      </c>
      <c r="S79" s="621">
        <v>640416</v>
      </c>
      <c r="T79" s="621">
        <v>0</v>
      </c>
      <c r="U79" s="621">
        <v>0</v>
      </c>
      <c r="V79" s="621"/>
      <c r="W79" s="650">
        <v>0.67</v>
      </c>
      <c r="X79" s="621">
        <v>124</v>
      </c>
      <c r="Y79" s="621">
        <v>72</v>
      </c>
      <c r="Z79" s="650">
        <v>0.66</v>
      </c>
      <c r="AA79" s="650">
        <v>0.3</v>
      </c>
      <c r="AB79" s="651">
        <v>0.67569999999999997</v>
      </c>
      <c r="AC79" s="621">
        <v>722825</v>
      </c>
      <c r="AD79" s="621">
        <v>699360</v>
      </c>
      <c r="AE79" s="621">
        <v>699360</v>
      </c>
      <c r="AF79" s="484">
        <v>785.2</v>
      </c>
      <c r="AG79" s="649">
        <v>765.7</v>
      </c>
      <c r="AH79" s="891">
        <v>783.6</v>
      </c>
      <c r="AI79" s="649">
        <v>763.4</v>
      </c>
      <c r="AJ79" s="652">
        <v>0</v>
      </c>
      <c r="AK79" s="621"/>
      <c r="AL79" s="621"/>
      <c r="AM79" s="621">
        <v>7</v>
      </c>
      <c r="AN79" s="621">
        <v>0</v>
      </c>
      <c r="AO79" s="649">
        <v>754.4</v>
      </c>
      <c r="AP79" s="649"/>
      <c r="AQ79" s="892">
        <v>0</v>
      </c>
      <c r="AR79" s="652"/>
      <c r="AS79" s="648"/>
      <c r="AT79" s="649">
        <v>0</v>
      </c>
      <c r="AU79" s="653">
        <v>0</v>
      </c>
      <c r="AV79" s="621">
        <v>5145370</v>
      </c>
      <c r="AW79" s="621">
        <v>174378</v>
      </c>
      <c r="AX79" s="621">
        <v>181083</v>
      </c>
      <c r="AY79" s="621">
        <v>1342617</v>
      </c>
      <c r="AZ79" s="621"/>
      <c r="BA79" s="428">
        <v>1</v>
      </c>
      <c r="BB79" s="621">
        <v>0</v>
      </c>
      <c r="BC79" s="621">
        <v>0</v>
      </c>
      <c r="BE79" s="621">
        <v>5285324</v>
      </c>
      <c r="BF79" s="621">
        <v>5500</v>
      </c>
      <c r="BG79" s="621">
        <v>4878</v>
      </c>
      <c r="BH79" s="4604">
        <v>33</v>
      </c>
      <c r="BI79" s="621">
        <v>34598784</v>
      </c>
      <c r="BJ79" s="621">
        <v>35372168</v>
      </c>
      <c r="BK79" s="621">
        <v>0</v>
      </c>
      <c r="BL79" s="4605">
        <v>161</v>
      </c>
      <c r="BM79" s="621">
        <v>125</v>
      </c>
      <c r="BN79" s="621">
        <v>134</v>
      </c>
      <c r="BO79" s="621">
        <v>75</v>
      </c>
      <c r="BP79" s="621">
        <v>76</v>
      </c>
      <c r="BQ79" s="621">
        <v>72</v>
      </c>
    </row>
    <row r="80" spans="1:69">
      <c r="A80" s="888">
        <v>269</v>
      </c>
      <c r="B80" s="889" t="s">
        <v>405</v>
      </c>
      <c r="C80" s="890" t="s">
        <v>159</v>
      </c>
      <c r="D80" s="621">
        <v>23276003</v>
      </c>
      <c r="E80" s="621">
        <v>22353591</v>
      </c>
      <c r="F80" s="621">
        <v>17422744</v>
      </c>
      <c r="G80" s="621">
        <v>16491123</v>
      </c>
      <c r="H80" s="648">
        <v>88.5</v>
      </c>
      <c r="I80" s="648">
        <v>84.5</v>
      </c>
      <c r="J80" s="649">
        <v>248.6</v>
      </c>
      <c r="K80" s="621">
        <v>1104254</v>
      </c>
      <c r="L80" s="484">
        <v>96.6</v>
      </c>
      <c r="M80" s="648">
        <v>92</v>
      </c>
      <c r="N80" s="649">
        <v>86.5</v>
      </c>
      <c r="O80" s="648">
        <v>87.5</v>
      </c>
      <c r="P80" s="621">
        <v>106756</v>
      </c>
      <c r="Q80" s="621">
        <v>110277</v>
      </c>
      <c r="R80" s="621">
        <v>0</v>
      </c>
      <c r="S80" s="621">
        <v>218610</v>
      </c>
      <c r="T80" s="621">
        <v>0</v>
      </c>
      <c r="U80" s="621">
        <v>0</v>
      </c>
      <c r="V80" s="621"/>
      <c r="W80" s="650">
        <v>0</v>
      </c>
      <c r="X80" s="621">
        <v>30</v>
      </c>
      <c r="Y80" s="621">
        <v>14</v>
      </c>
      <c r="Z80" s="650">
        <v>0</v>
      </c>
      <c r="AA80" s="650">
        <v>0</v>
      </c>
      <c r="AB80" s="651">
        <v>0</v>
      </c>
      <c r="AC80" s="621">
        <v>111017</v>
      </c>
      <c r="AD80" s="621">
        <v>105723</v>
      </c>
      <c r="AE80" s="621">
        <v>105723</v>
      </c>
      <c r="AF80" s="484">
        <v>96.6</v>
      </c>
      <c r="AG80" s="649">
        <v>92</v>
      </c>
      <c r="AH80" s="891">
        <v>86.5</v>
      </c>
      <c r="AI80" s="649">
        <v>87.5</v>
      </c>
      <c r="AJ80" s="652">
        <v>0</v>
      </c>
      <c r="AK80" s="621"/>
      <c r="AL80" s="621"/>
      <c r="AM80" s="621">
        <v>0</v>
      </c>
      <c r="AN80" s="621">
        <v>0</v>
      </c>
      <c r="AO80" s="649">
        <v>86.5</v>
      </c>
      <c r="AP80" s="649"/>
      <c r="AQ80" s="892">
        <v>0</v>
      </c>
      <c r="AR80" s="652"/>
      <c r="AS80" s="648"/>
      <c r="AT80" s="649">
        <v>0</v>
      </c>
      <c r="AU80" s="653">
        <v>0</v>
      </c>
      <c r="AV80" s="621">
        <v>1019201</v>
      </c>
      <c r="AW80" s="621">
        <v>0</v>
      </c>
      <c r="AX80" s="621">
        <v>0</v>
      </c>
      <c r="AY80" s="621">
        <v>0</v>
      </c>
      <c r="AZ80" s="621"/>
      <c r="BA80" s="428">
        <v>1</v>
      </c>
      <c r="BB80" s="621">
        <v>0</v>
      </c>
      <c r="BC80" s="621">
        <v>0</v>
      </c>
      <c r="BE80" s="621">
        <v>986719</v>
      </c>
      <c r="BF80" s="621">
        <v>0</v>
      </c>
      <c r="BG80" s="621">
        <v>0</v>
      </c>
      <c r="BH80" s="4604">
        <v>33</v>
      </c>
      <c r="BI80" s="621">
        <v>23060785</v>
      </c>
      <c r="BJ80" s="621">
        <v>17255089</v>
      </c>
      <c r="BK80" s="621">
        <v>0</v>
      </c>
      <c r="BL80" s="4605">
        <v>32</v>
      </c>
      <c r="BM80" s="621">
        <v>28</v>
      </c>
      <c r="BN80" s="621">
        <v>26</v>
      </c>
      <c r="BO80" s="621">
        <v>9</v>
      </c>
      <c r="BP80" s="621">
        <v>14</v>
      </c>
      <c r="BQ80" s="621">
        <v>19</v>
      </c>
    </row>
    <row r="81" spans="1:69">
      <c r="A81" s="888">
        <v>270</v>
      </c>
      <c r="B81" s="889" t="s">
        <v>406</v>
      </c>
      <c r="C81" s="890" t="s">
        <v>159</v>
      </c>
      <c r="D81" s="621">
        <v>37020826</v>
      </c>
      <c r="E81" s="621">
        <v>34571912</v>
      </c>
      <c r="F81" s="621">
        <v>30112691</v>
      </c>
      <c r="G81" s="621">
        <v>27668369</v>
      </c>
      <c r="H81" s="648">
        <v>339</v>
      </c>
      <c r="I81" s="648">
        <v>352.9</v>
      </c>
      <c r="J81" s="649">
        <v>275.8</v>
      </c>
      <c r="K81" s="621">
        <v>3149869</v>
      </c>
      <c r="L81" s="484">
        <v>361</v>
      </c>
      <c r="M81" s="648">
        <v>339</v>
      </c>
      <c r="N81" s="649">
        <v>352.9</v>
      </c>
      <c r="O81" s="648">
        <v>338.4</v>
      </c>
      <c r="P81" s="621">
        <v>408456</v>
      </c>
      <c r="Q81" s="621">
        <v>460381</v>
      </c>
      <c r="R81" s="621">
        <v>233285</v>
      </c>
      <c r="S81" s="621">
        <v>444500</v>
      </c>
      <c r="T81" s="621">
        <v>0</v>
      </c>
      <c r="U81" s="621">
        <v>0</v>
      </c>
      <c r="V81" s="621"/>
      <c r="W81" s="650">
        <v>0.26</v>
      </c>
      <c r="X81" s="621">
        <v>82</v>
      </c>
      <c r="Y81" s="621">
        <v>54</v>
      </c>
      <c r="Z81" s="650">
        <v>0.25</v>
      </c>
      <c r="AA81" s="650">
        <v>0</v>
      </c>
      <c r="AB81" s="651">
        <v>0.28210000000000002</v>
      </c>
      <c r="AC81" s="621">
        <v>359552</v>
      </c>
      <c r="AD81" s="621">
        <v>348795</v>
      </c>
      <c r="AE81" s="621">
        <v>348795</v>
      </c>
      <c r="AF81" s="484">
        <v>361</v>
      </c>
      <c r="AG81" s="649">
        <v>339</v>
      </c>
      <c r="AH81" s="891">
        <v>352.9</v>
      </c>
      <c r="AI81" s="649">
        <v>338.4</v>
      </c>
      <c r="AJ81" s="652">
        <v>0</v>
      </c>
      <c r="AK81" s="621"/>
      <c r="AL81" s="621"/>
      <c r="AM81" s="621">
        <v>0</v>
      </c>
      <c r="AN81" s="621">
        <v>0</v>
      </c>
      <c r="AO81" s="649">
        <v>337.4</v>
      </c>
      <c r="AP81" s="649"/>
      <c r="AQ81" s="892">
        <v>0</v>
      </c>
      <c r="AR81" s="652"/>
      <c r="AS81" s="648"/>
      <c r="AT81" s="649">
        <v>0</v>
      </c>
      <c r="AU81" s="653">
        <v>0</v>
      </c>
      <c r="AV81" s="621">
        <v>2714252</v>
      </c>
      <c r="AW81" s="621">
        <v>0</v>
      </c>
      <c r="AX81" s="621">
        <v>11763</v>
      </c>
      <c r="AY81" s="621">
        <v>245264</v>
      </c>
      <c r="AZ81" s="621"/>
      <c r="BA81" s="428">
        <v>1</v>
      </c>
      <c r="BB81" s="621">
        <v>0</v>
      </c>
      <c r="BC81" s="621">
        <v>0</v>
      </c>
      <c r="BE81" s="621">
        <v>2674703</v>
      </c>
      <c r="BF81" s="621">
        <v>0</v>
      </c>
      <c r="BG81" s="621">
        <v>137</v>
      </c>
      <c r="BH81" s="4604">
        <v>31</v>
      </c>
      <c r="BI81" s="621">
        <v>36172819</v>
      </c>
      <c r="BJ81" s="621">
        <v>29407791</v>
      </c>
      <c r="BK81" s="621">
        <v>0</v>
      </c>
      <c r="BL81" s="4605">
        <v>102</v>
      </c>
      <c r="BM81" s="621">
        <v>107</v>
      </c>
      <c r="BN81" s="621">
        <v>116</v>
      </c>
      <c r="BO81" s="621">
        <v>44</v>
      </c>
      <c r="BP81" s="621">
        <v>48</v>
      </c>
      <c r="BQ81" s="621">
        <v>53</v>
      </c>
    </row>
    <row r="82" spans="1:69">
      <c r="A82" s="888">
        <v>271</v>
      </c>
      <c r="B82" s="889" t="s">
        <v>407</v>
      </c>
      <c r="C82" s="890" t="s">
        <v>159</v>
      </c>
      <c r="D82" s="621">
        <v>41107705</v>
      </c>
      <c r="E82" s="621">
        <v>38882202</v>
      </c>
      <c r="F82" s="621">
        <v>39611503</v>
      </c>
      <c r="G82" s="621">
        <v>37389311</v>
      </c>
      <c r="H82" s="648">
        <v>335</v>
      </c>
      <c r="I82" s="648">
        <v>338.5</v>
      </c>
      <c r="J82" s="649">
        <v>444.8</v>
      </c>
      <c r="K82" s="621">
        <v>3151696</v>
      </c>
      <c r="L82" s="484">
        <v>335</v>
      </c>
      <c r="M82" s="648">
        <v>338</v>
      </c>
      <c r="N82" s="649">
        <v>341</v>
      </c>
      <c r="O82" s="648">
        <v>331</v>
      </c>
      <c r="P82" s="621">
        <v>403814</v>
      </c>
      <c r="Q82" s="621">
        <v>441553</v>
      </c>
      <c r="R82" s="621">
        <v>158783</v>
      </c>
      <c r="S82" s="621">
        <v>372425</v>
      </c>
      <c r="T82" s="621">
        <v>0</v>
      </c>
      <c r="U82" s="621">
        <v>0</v>
      </c>
      <c r="V82" s="621"/>
      <c r="W82" s="650">
        <v>0</v>
      </c>
      <c r="X82" s="621">
        <v>109</v>
      </c>
      <c r="Y82" s="621">
        <v>53</v>
      </c>
      <c r="Z82" s="650">
        <v>0</v>
      </c>
      <c r="AA82" s="650">
        <v>0</v>
      </c>
      <c r="AB82" s="651">
        <v>0.16239999999999999</v>
      </c>
      <c r="AC82" s="621">
        <v>305878</v>
      </c>
      <c r="AD82" s="621">
        <v>306622</v>
      </c>
      <c r="AE82" s="621">
        <v>306622</v>
      </c>
      <c r="AF82" s="484">
        <v>335</v>
      </c>
      <c r="AG82" s="649">
        <v>338</v>
      </c>
      <c r="AH82" s="891">
        <v>341</v>
      </c>
      <c r="AI82" s="649">
        <v>331</v>
      </c>
      <c r="AJ82" s="652">
        <v>0</v>
      </c>
      <c r="AK82" s="621"/>
      <c r="AL82" s="621"/>
      <c r="AM82" s="621">
        <v>0</v>
      </c>
      <c r="AN82" s="621">
        <v>0</v>
      </c>
      <c r="AO82" s="649">
        <v>325</v>
      </c>
      <c r="AP82" s="649"/>
      <c r="AQ82" s="892">
        <v>0</v>
      </c>
      <c r="AR82" s="652"/>
      <c r="AS82" s="648"/>
      <c r="AT82" s="649">
        <v>0</v>
      </c>
      <c r="AU82" s="653">
        <v>0</v>
      </c>
      <c r="AV82" s="621">
        <v>2681853</v>
      </c>
      <c r="AW82" s="621">
        <v>0</v>
      </c>
      <c r="AX82" s="621">
        <v>0</v>
      </c>
      <c r="AY82" s="621">
        <v>168409</v>
      </c>
      <c r="AZ82" s="621"/>
      <c r="BA82" s="428">
        <v>1</v>
      </c>
      <c r="BB82" s="621">
        <v>0</v>
      </c>
      <c r="BC82" s="621">
        <v>0</v>
      </c>
      <c r="BE82" s="621">
        <v>2705487</v>
      </c>
      <c r="BF82" s="621">
        <v>2791</v>
      </c>
      <c r="BG82" s="621">
        <v>4182</v>
      </c>
      <c r="BH82" s="4604">
        <v>31</v>
      </c>
      <c r="BI82" s="621">
        <v>40402761</v>
      </c>
      <c r="BJ82" s="621">
        <v>38959019</v>
      </c>
      <c r="BK82" s="621">
        <v>0</v>
      </c>
      <c r="BL82" s="4605">
        <v>135</v>
      </c>
      <c r="BM82" s="621">
        <v>127</v>
      </c>
      <c r="BN82" s="621">
        <v>131</v>
      </c>
      <c r="BO82" s="621">
        <v>52</v>
      </c>
      <c r="BP82" s="621">
        <v>68</v>
      </c>
      <c r="BQ82" s="621">
        <v>49</v>
      </c>
    </row>
    <row r="83" spans="1:69">
      <c r="A83" s="888">
        <v>272</v>
      </c>
      <c r="B83" s="889" t="s">
        <v>408</v>
      </c>
      <c r="C83" s="890" t="s">
        <v>160</v>
      </c>
      <c r="D83" s="621">
        <v>37877258</v>
      </c>
      <c r="E83" s="621">
        <v>34911040</v>
      </c>
      <c r="F83" s="621">
        <v>38785955</v>
      </c>
      <c r="G83" s="621">
        <v>35847082</v>
      </c>
      <c r="H83" s="648">
        <v>279</v>
      </c>
      <c r="I83" s="648">
        <v>278.2</v>
      </c>
      <c r="J83" s="649">
        <v>411.3</v>
      </c>
      <c r="K83" s="621">
        <v>2755514</v>
      </c>
      <c r="L83" s="484">
        <v>284.5</v>
      </c>
      <c r="M83" s="648">
        <v>285.5</v>
      </c>
      <c r="N83" s="649">
        <v>286.2</v>
      </c>
      <c r="O83" s="648">
        <v>292.2</v>
      </c>
      <c r="P83" s="621">
        <v>408757</v>
      </c>
      <c r="Q83" s="621">
        <v>362505</v>
      </c>
      <c r="R83" s="621">
        <v>71195</v>
      </c>
      <c r="S83" s="621">
        <v>373480</v>
      </c>
      <c r="T83" s="621">
        <v>0</v>
      </c>
      <c r="U83" s="621">
        <v>0</v>
      </c>
      <c r="V83" s="621"/>
      <c r="W83" s="650">
        <v>0</v>
      </c>
      <c r="X83" s="621">
        <v>93</v>
      </c>
      <c r="Y83" s="621">
        <v>33</v>
      </c>
      <c r="Z83" s="650">
        <v>0</v>
      </c>
      <c r="AA83" s="650">
        <v>0</v>
      </c>
      <c r="AB83" s="651">
        <v>8.6199999999999999E-2</v>
      </c>
      <c r="AC83" s="621">
        <v>266680</v>
      </c>
      <c r="AD83" s="621">
        <v>263641</v>
      </c>
      <c r="AE83" s="621">
        <v>263641</v>
      </c>
      <c r="AF83" s="484">
        <v>284.5</v>
      </c>
      <c r="AG83" s="649">
        <v>285.5</v>
      </c>
      <c r="AH83" s="891">
        <v>286.2</v>
      </c>
      <c r="AI83" s="649">
        <v>292.2</v>
      </c>
      <c r="AJ83" s="652">
        <v>0</v>
      </c>
      <c r="AK83" s="621"/>
      <c r="AL83" s="621"/>
      <c r="AM83" s="621">
        <v>0</v>
      </c>
      <c r="AN83" s="621">
        <v>41922</v>
      </c>
      <c r="AO83" s="649">
        <v>286.7</v>
      </c>
      <c r="AP83" s="649"/>
      <c r="AQ83" s="892">
        <v>0</v>
      </c>
      <c r="AR83" s="652"/>
      <c r="AS83" s="648"/>
      <c r="AT83" s="649">
        <v>0</v>
      </c>
      <c r="AU83" s="653">
        <v>0</v>
      </c>
      <c r="AV83" s="621">
        <v>2270987</v>
      </c>
      <c r="AW83" s="621">
        <v>0</v>
      </c>
      <c r="AX83" s="621">
        <v>0</v>
      </c>
      <c r="AY83" s="621">
        <v>84781</v>
      </c>
      <c r="AZ83" s="621"/>
      <c r="BA83" s="428">
        <v>1</v>
      </c>
      <c r="BB83" s="621">
        <v>0</v>
      </c>
      <c r="BC83" s="621">
        <v>0</v>
      </c>
      <c r="BE83" s="621">
        <v>2351087</v>
      </c>
      <c r="BF83" s="621">
        <v>2453</v>
      </c>
      <c r="BG83" s="621">
        <v>2833</v>
      </c>
      <c r="BH83" s="4604">
        <v>31</v>
      </c>
      <c r="BI83" s="621">
        <v>36485449</v>
      </c>
      <c r="BJ83" s="621">
        <v>37691648</v>
      </c>
      <c r="BK83" s="621">
        <v>0</v>
      </c>
      <c r="BL83" s="4605">
        <v>85</v>
      </c>
      <c r="BM83" s="621">
        <v>90</v>
      </c>
      <c r="BN83" s="621">
        <v>95</v>
      </c>
      <c r="BO83" s="621">
        <v>57</v>
      </c>
      <c r="BP83" s="621">
        <v>56</v>
      </c>
      <c r="BQ83" s="621">
        <v>41</v>
      </c>
    </row>
    <row r="84" spans="1:69">
      <c r="A84" s="888">
        <v>273</v>
      </c>
      <c r="B84" s="889" t="s">
        <v>409</v>
      </c>
      <c r="C84" s="890" t="s">
        <v>160</v>
      </c>
      <c r="D84" s="621">
        <v>77687190</v>
      </c>
      <c r="E84" s="621">
        <v>72783873</v>
      </c>
      <c r="F84" s="621">
        <v>78650104</v>
      </c>
      <c r="G84" s="621">
        <v>73780618</v>
      </c>
      <c r="H84" s="648">
        <v>765.1</v>
      </c>
      <c r="I84" s="648">
        <v>733.9</v>
      </c>
      <c r="J84" s="649">
        <v>565</v>
      </c>
      <c r="K84" s="621">
        <v>6582101</v>
      </c>
      <c r="L84" s="484">
        <v>755.7</v>
      </c>
      <c r="M84" s="648">
        <v>781.6</v>
      </c>
      <c r="N84" s="649">
        <v>754.4</v>
      </c>
      <c r="O84" s="648">
        <v>749.4</v>
      </c>
      <c r="P84" s="621">
        <v>1092031</v>
      </c>
      <c r="Q84" s="621">
        <v>1044375</v>
      </c>
      <c r="R84" s="621">
        <v>603825</v>
      </c>
      <c r="S84" s="621">
        <v>824819</v>
      </c>
      <c r="T84" s="621">
        <v>0</v>
      </c>
      <c r="U84" s="621">
        <v>0</v>
      </c>
      <c r="V84" s="621"/>
      <c r="W84" s="650">
        <v>0.12</v>
      </c>
      <c r="X84" s="621">
        <v>233</v>
      </c>
      <c r="Y84" s="621">
        <v>95</v>
      </c>
      <c r="Z84" s="650">
        <v>0.12</v>
      </c>
      <c r="AA84" s="650">
        <v>0</v>
      </c>
      <c r="AB84" s="651">
        <v>0.29830000000000001</v>
      </c>
      <c r="AC84" s="621">
        <v>1391073</v>
      </c>
      <c r="AD84" s="621">
        <v>1302270</v>
      </c>
      <c r="AE84" s="621">
        <v>1302270</v>
      </c>
      <c r="AF84" s="484">
        <v>755.7</v>
      </c>
      <c r="AG84" s="649">
        <v>781.6</v>
      </c>
      <c r="AH84" s="891">
        <v>754.4</v>
      </c>
      <c r="AI84" s="649">
        <v>749.4</v>
      </c>
      <c r="AJ84" s="652">
        <v>0</v>
      </c>
      <c r="AK84" s="621"/>
      <c r="AL84" s="621"/>
      <c r="AM84" s="621">
        <v>1</v>
      </c>
      <c r="AN84" s="621">
        <v>0</v>
      </c>
      <c r="AO84" s="649">
        <v>731.9</v>
      </c>
      <c r="AP84" s="649"/>
      <c r="AQ84" s="892">
        <v>0</v>
      </c>
      <c r="AR84" s="652"/>
      <c r="AS84" s="648"/>
      <c r="AT84" s="649">
        <v>0</v>
      </c>
      <c r="AU84" s="653">
        <v>0</v>
      </c>
      <c r="AV84" s="621">
        <v>5394725</v>
      </c>
      <c r="AW84" s="621">
        <v>89596</v>
      </c>
      <c r="AX84" s="621">
        <v>54212</v>
      </c>
      <c r="AY84" s="621">
        <v>619940</v>
      </c>
      <c r="AZ84" s="621"/>
      <c r="BA84" s="428">
        <v>1</v>
      </c>
      <c r="BB84" s="621">
        <v>119491</v>
      </c>
      <c r="BC84" s="621">
        <v>119491</v>
      </c>
      <c r="BE84" s="621">
        <v>5537726</v>
      </c>
      <c r="BF84" s="621">
        <v>3393</v>
      </c>
      <c r="BG84" s="621">
        <v>2668</v>
      </c>
      <c r="BH84" s="4604">
        <v>33</v>
      </c>
      <c r="BI84" s="621">
        <v>74663380</v>
      </c>
      <c r="BJ84" s="621">
        <v>75293803</v>
      </c>
      <c r="BK84" s="621">
        <v>119491</v>
      </c>
      <c r="BL84" s="4605">
        <v>236</v>
      </c>
      <c r="BM84" s="621">
        <v>245</v>
      </c>
      <c r="BN84" s="621">
        <v>239</v>
      </c>
      <c r="BO84" s="621">
        <v>103</v>
      </c>
      <c r="BP84" s="621">
        <v>92</v>
      </c>
      <c r="BQ84" s="621">
        <v>102</v>
      </c>
    </row>
    <row r="85" spans="1:69">
      <c r="A85" s="888">
        <v>274</v>
      </c>
      <c r="B85" s="889" t="s">
        <v>410</v>
      </c>
      <c r="C85" s="890" t="s">
        <v>161</v>
      </c>
      <c r="D85" s="621">
        <v>61563642</v>
      </c>
      <c r="E85" s="621">
        <v>58891044</v>
      </c>
      <c r="F85" s="621">
        <v>55524093</v>
      </c>
      <c r="G85" s="621">
        <v>52854340</v>
      </c>
      <c r="H85" s="648">
        <v>407.3</v>
      </c>
      <c r="I85" s="648">
        <v>399.5</v>
      </c>
      <c r="J85" s="649">
        <v>637</v>
      </c>
      <c r="K85" s="621">
        <v>3650174</v>
      </c>
      <c r="L85" s="484">
        <v>392.3</v>
      </c>
      <c r="M85" s="648">
        <v>407.3</v>
      </c>
      <c r="N85" s="649">
        <v>399.5</v>
      </c>
      <c r="O85" s="648">
        <v>417.1</v>
      </c>
      <c r="P85" s="621">
        <v>407691</v>
      </c>
      <c r="Q85" s="621">
        <v>411918</v>
      </c>
      <c r="R85" s="621">
        <v>0</v>
      </c>
      <c r="S85" s="621">
        <v>508174</v>
      </c>
      <c r="T85" s="621">
        <v>0</v>
      </c>
      <c r="U85" s="621">
        <v>0</v>
      </c>
      <c r="V85" s="621"/>
      <c r="W85" s="650">
        <v>0</v>
      </c>
      <c r="X85" s="621">
        <v>156</v>
      </c>
      <c r="Y85" s="621">
        <v>34</v>
      </c>
      <c r="Z85" s="650">
        <v>0</v>
      </c>
      <c r="AA85" s="650">
        <v>0</v>
      </c>
      <c r="AB85" s="651">
        <v>0</v>
      </c>
      <c r="AC85" s="621">
        <v>390209</v>
      </c>
      <c r="AD85" s="621">
        <v>382612</v>
      </c>
      <c r="AE85" s="621">
        <v>382612</v>
      </c>
      <c r="AF85" s="484">
        <v>392.3</v>
      </c>
      <c r="AG85" s="649">
        <v>407.3</v>
      </c>
      <c r="AH85" s="891">
        <v>399.5</v>
      </c>
      <c r="AI85" s="649">
        <v>417.1</v>
      </c>
      <c r="AJ85" s="652">
        <v>0</v>
      </c>
      <c r="AK85" s="621"/>
      <c r="AL85" s="621"/>
      <c r="AM85" s="621">
        <v>0</v>
      </c>
      <c r="AN85" s="621">
        <v>0</v>
      </c>
      <c r="AO85" s="649">
        <v>417.1</v>
      </c>
      <c r="AP85" s="649"/>
      <c r="AQ85" s="892">
        <v>0</v>
      </c>
      <c r="AR85" s="652"/>
      <c r="AS85" s="648"/>
      <c r="AT85" s="649">
        <v>0</v>
      </c>
      <c r="AU85" s="653">
        <v>0</v>
      </c>
      <c r="AV85" s="621">
        <v>3065043</v>
      </c>
      <c r="AW85" s="621">
        <v>0</v>
      </c>
      <c r="AX85" s="621">
        <v>0</v>
      </c>
      <c r="AY85" s="621">
        <v>0</v>
      </c>
      <c r="AZ85" s="621"/>
      <c r="BA85" s="428">
        <v>1</v>
      </c>
      <c r="BB85" s="621">
        <v>0</v>
      </c>
      <c r="BC85" s="621">
        <v>0</v>
      </c>
      <c r="BE85" s="621">
        <v>3216198</v>
      </c>
      <c r="BF85" s="621">
        <v>214</v>
      </c>
      <c r="BG85" s="621">
        <v>541</v>
      </c>
      <c r="BH85" s="4604">
        <v>33</v>
      </c>
      <c r="BI85" s="621">
        <v>61120709</v>
      </c>
      <c r="BJ85" s="621">
        <v>54849012</v>
      </c>
      <c r="BK85" s="621">
        <v>0</v>
      </c>
      <c r="BL85" s="4605">
        <v>139</v>
      </c>
      <c r="BM85" s="621">
        <v>138</v>
      </c>
      <c r="BN85" s="621">
        <v>141</v>
      </c>
      <c r="BO85" s="621">
        <v>41</v>
      </c>
      <c r="BP85" s="621">
        <v>38</v>
      </c>
      <c r="BQ85" s="621">
        <v>35</v>
      </c>
    </row>
    <row r="86" spans="1:69">
      <c r="A86" s="888">
        <v>275</v>
      </c>
      <c r="B86" s="889" t="s">
        <v>411</v>
      </c>
      <c r="C86" s="890" t="s">
        <v>161</v>
      </c>
      <c r="D86" s="621">
        <v>27144202</v>
      </c>
      <c r="E86" s="621">
        <v>26661947</v>
      </c>
      <c r="F86" s="621">
        <v>28147275</v>
      </c>
      <c r="G86" s="621">
        <v>27665685</v>
      </c>
      <c r="H86" s="648">
        <v>68.5</v>
      </c>
      <c r="I86" s="648">
        <v>69.5</v>
      </c>
      <c r="J86" s="649">
        <v>662</v>
      </c>
      <c r="K86" s="621">
        <v>858921</v>
      </c>
      <c r="L86" s="484">
        <v>62.5</v>
      </c>
      <c r="M86" s="648">
        <v>68.5</v>
      </c>
      <c r="N86" s="649">
        <v>69.5</v>
      </c>
      <c r="O86" s="648">
        <v>66</v>
      </c>
      <c r="P86" s="621">
        <v>116561</v>
      </c>
      <c r="Q86" s="621">
        <v>123741</v>
      </c>
      <c r="R86" s="621">
        <v>0</v>
      </c>
      <c r="S86" s="621">
        <v>121926</v>
      </c>
      <c r="T86" s="621">
        <v>0</v>
      </c>
      <c r="U86" s="621">
        <v>0</v>
      </c>
      <c r="V86" s="621"/>
      <c r="W86" s="650">
        <v>0</v>
      </c>
      <c r="X86" s="621">
        <v>15</v>
      </c>
      <c r="Y86" s="621">
        <v>12</v>
      </c>
      <c r="Z86" s="650">
        <v>0</v>
      </c>
      <c r="AA86" s="650">
        <v>0</v>
      </c>
      <c r="AB86" s="651">
        <v>0</v>
      </c>
      <c r="AC86" s="621">
        <v>81996</v>
      </c>
      <c r="AD86" s="621">
        <v>83223</v>
      </c>
      <c r="AE86" s="621">
        <v>83223</v>
      </c>
      <c r="AF86" s="484">
        <v>62.5</v>
      </c>
      <c r="AG86" s="649">
        <v>68.5</v>
      </c>
      <c r="AH86" s="891">
        <v>69.5</v>
      </c>
      <c r="AI86" s="649">
        <v>66</v>
      </c>
      <c r="AJ86" s="652">
        <v>0</v>
      </c>
      <c r="AK86" s="621"/>
      <c r="AL86" s="621"/>
      <c r="AM86" s="621">
        <v>0</v>
      </c>
      <c r="AN86" s="621">
        <v>0</v>
      </c>
      <c r="AO86" s="649">
        <v>66</v>
      </c>
      <c r="AP86" s="649"/>
      <c r="AQ86" s="892">
        <v>0</v>
      </c>
      <c r="AR86" s="652"/>
      <c r="AS86" s="648"/>
      <c r="AT86" s="649">
        <v>0</v>
      </c>
      <c r="AU86" s="653">
        <v>0</v>
      </c>
      <c r="AV86" s="621">
        <v>694131</v>
      </c>
      <c r="AW86" s="621">
        <v>0</v>
      </c>
      <c r="AX86" s="621">
        <v>0</v>
      </c>
      <c r="AY86" s="621">
        <v>0</v>
      </c>
      <c r="AZ86" s="621"/>
      <c r="BA86" s="428">
        <v>1</v>
      </c>
      <c r="BB86" s="621">
        <v>0</v>
      </c>
      <c r="BC86" s="621">
        <v>0</v>
      </c>
      <c r="BE86" s="621">
        <v>724803</v>
      </c>
      <c r="BF86" s="621">
        <v>144</v>
      </c>
      <c r="BG86" s="621">
        <v>71</v>
      </c>
      <c r="BH86" s="4604">
        <v>33</v>
      </c>
      <c r="BI86" s="621">
        <v>27035460</v>
      </c>
      <c r="BJ86" s="621">
        <v>28043468</v>
      </c>
      <c r="BK86" s="621">
        <v>0</v>
      </c>
      <c r="BL86" s="4605">
        <v>16</v>
      </c>
      <c r="BM86" s="621">
        <v>19</v>
      </c>
      <c r="BN86" s="621">
        <v>18</v>
      </c>
      <c r="BO86" s="621">
        <v>9</v>
      </c>
      <c r="BP86" s="621">
        <v>9</v>
      </c>
      <c r="BQ86" s="621">
        <v>10</v>
      </c>
    </row>
    <row r="87" spans="1:69">
      <c r="A87" s="888">
        <v>281</v>
      </c>
      <c r="B87" s="889" t="s">
        <v>48</v>
      </c>
      <c r="C87" s="890" t="s">
        <v>162</v>
      </c>
      <c r="D87" s="621">
        <v>52834318</v>
      </c>
      <c r="E87" s="621">
        <v>50125372</v>
      </c>
      <c r="F87" s="621">
        <v>49025030</v>
      </c>
      <c r="G87" s="621">
        <v>46315001</v>
      </c>
      <c r="H87" s="648">
        <v>385.5</v>
      </c>
      <c r="I87" s="648">
        <v>385.5</v>
      </c>
      <c r="J87" s="649">
        <v>728.3</v>
      </c>
      <c r="K87" s="621">
        <v>3471983</v>
      </c>
      <c r="L87" s="484">
        <v>378.5</v>
      </c>
      <c r="M87" s="648">
        <v>385.5</v>
      </c>
      <c r="N87" s="649">
        <v>391.5</v>
      </c>
      <c r="O87" s="648">
        <v>386.9</v>
      </c>
      <c r="P87" s="621">
        <v>304252</v>
      </c>
      <c r="Q87" s="621">
        <v>307274</v>
      </c>
      <c r="R87" s="621">
        <v>21428</v>
      </c>
      <c r="S87" s="621">
        <v>452779</v>
      </c>
      <c r="T87" s="621">
        <v>0</v>
      </c>
      <c r="U87" s="621">
        <v>0</v>
      </c>
      <c r="V87" s="621"/>
      <c r="W87" s="650">
        <v>0</v>
      </c>
      <c r="X87" s="621">
        <v>150</v>
      </c>
      <c r="Y87" s="621">
        <v>62</v>
      </c>
      <c r="Z87" s="650">
        <v>0</v>
      </c>
      <c r="AA87" s="650">
        <v>0</v>
      </c>
      <c r="AB87" s="651">
        <v>4.9599999999999998E-2</v>
      </c>
      <c r="AC87" s="621">
        <v>391624</v>
      </c>
      <c r="AD87" s="621">
        <v>357184</v>
      </c>
      <c r="AE87" s="621">
        <v>357184</v>
      </c>
      <c r="AF87" s="484">
        <v>378.5</v>
      </c>
      <c r="AG87" s="649">
        <v>385.5</v>
      </c>
      <c r="AH87" s="891">
        <v>391.5</v>
      </c>
      <c r="AI87" s="649">
        <v>386.9</v>
      </c>
      <c r="AJ87" s="652">
        <v>0</v>
      </c>
      <c r="AK87" s="621"/>
      <c r="AL87" s="621"/>
      <c r="AM87" s="621">
        <v>0</v>
      </c>
      <c r="AN87" s="621">
        <v>0</v>
      </c>
      <c r="AO87" s="649">
        <v>383.4</v>
      </c>
      <c r="AP87" s="649"/>
      <c r="AQ87" s="892">
        <v>0</v>
      </c>
      <c r="AR87" s="652"/>
      <c r="AS87" s="648"/>
      <c r="AT87" s="649">
        <v>0</v>
      </c>
      <c r="AU87" s="653">
        <v>0</v>
      </c>
      <c r="AV87" s="621">
        <v>3107476</v>
      </c>
      <c r="AW87" s="621">
        <v>0</v>
      </c>
      <c r="AX87" s="621">
        <v>0</v>
      </c>
      <c r="AY87" s="621">
        <v>8421</v>
      </c>
      <c r="AZ87" s="621"/>
      <c r="BA87" s="428">
        <v>1</v>
      </c>
      <c r="BB87" s="621">
        <v>0</v>
      </c>
      <c r="BC87" s="621">
        <v>0</v>
      </c>
      <c r="BE87" s="621">
        <v>3164709</v>
      </c>
      <c r="BF87" s="621">
        <v>3744</v>
      </c>
      <c r="BG87" s="621">
        <v>3753</v>
      </c>
      <c r="BH87" s="4604">
        <v>31</v>
      </c>
      <c r="BI87" s="621">
        <v>52535326</v>
      </c>
      <c r="BJ87" s="621">
        <v>48780305</v>
      </c>
      <c r="BK87" s="621">
        <v>0</v>
      </c>
      <c r="BL87" s="4605">
        <v>141</v>
      </c>
      <c r="BM87" s="621">
        <v>145</v>
      </c>
      <c r="BN87" s="621">
        <v>158</v>
      </c>
      <c r="BO87" s="621">
        <v>51</v>
      </c>
      <c r="BP87" s="621">
        <v>73</v>
      </c>
      <c r="BQ87" s="621">
        <v>73</v>
      </c>
    </row>
    <row r="88" spans="1:69">
      <c r="A88" s="888">
        <v>282</v>
      </c>
      <c r="B88" s="889" t="s">
        <v>412</v>
      </c>
      <c r="C88" s="890" t="s">
        <v>163</v>
      </c>
      <c r="D88" s="621">
        <v>23658358</v>
      </c>
      <c r="E88" s="621">
        <v>20633857</v>
      </c>
      <c r="F88" s="621">
        <v>24538292</v>
      </c>
      <c r="G88" s="621">
        <v>21518671</v>
      </c>
      <c r="H88" s="648">
        <v>356</v>
      </c>
      <c r="I88" s="648">
        <v>382.5</v>
      </c>
      <c r="J88" s="649">
        <v>541</v>
      </c>
      <c r="K88" s="621">
        <v>3925685</v>
      </c>
      <c r="L88" s="484">
        <v>355.5</v>
      </c>
      <c r="M88" s="648">
        <v>359</v>
      </c>
      <c r="N88" s="649">
        <v>385</v>
      </c>
      <c r="O88" s="648">
        <v>365.5</v>
      </c>
      <c r="P88" s="621">
        <v>796865</v>
      </c>
      <c r="Q88" s="621">
        <v>704571</v>
      </c>
      <c r="R88" s="621">
        <v>636862</v>
      </c>
      <c r="S88" s="621">
        <v>544334</v>
      </c>
      <c r="T88" s="621">
        <v>11746</v>
      </c>
      <c r="U88" s="621">
        <v>0</v>
      </c>
      <c r="V88" s="621"/>
      <c r="W88" s="650">
        <v>0.46</v>
      </c>
      <c r="X88" s="621">
        <v>147</v>
      </c>
      <c r="Y88" s="621">
        <v>68</v>
      </c>
      <c r="Z88" s="650">
        <v>0.45</v>
      </c>
      <c r="AA88" s="650">
        <v>0.09</v>
      </c>
      <c r="AB88" s="651">
        <v>0.53620000000000001</v>
      </c>
      <c r="AC88" s="621">
        <v>668135</v>
      </c>
      <c r="AD88" s="621">
        <v>629003</v>
      </c>
      <c r="AE88" s="621">
        <v>629003</v>
      </c>
      <c r="AF88" s="484">
        <v>355.5</v>
      </c>
      <c r="AG88" s="649">
        <v>359</v>
      </c>
      <c r="AH88" s="891">
        <v>385</v>
      </c>
      <c r="AI88" s="649">
        <v>365.5</v>
      </c>
      <c r="AJ88" s="652">
        <v>0</v>
      </c>
      <c r="AK88" s="621"/>
      <c r="AL88" s="621"/>
      <c r="AM88" s="621">
        <v>2</v>
      </c>
      <c r="AN88" s="621">
        <v>0</v>
      </c>
      <c r="AO88" s="649">
        <v>362.5</v>
      </c>
      <c r="AP88" s="649"/>
      <c r="AQ88" s="892">
        <v>0</v>
      </c>
      <c r="AR88" s="652"/>
      <c r="AS88" s="648"/>
      <c r="AT88" s="649">
        <v>0</v>
      </c>
      <c r="AU88" s="653">
        <v>0</v>
      </c>
      <c r="AV88" s="621">
        <v>3062550</v>
      </c>
      <c r="AW88" s="621">
        <v>41639</v>
      </c>
      <c r="AX88" s="621">
        <v>46071</v>
      </c>
      <c r="AY88" s="621">
        <v>604613</v>
      </c>
      <c r="AZ88" s="621"/>
      <c r="BA88" s="428">
        <v>1</v>
      </c>
      <c r="BB88" s="621">
        <v>0</v>
      </c>
      <c r="BC88" s="621">
        <v>0</v>
      </c>
      <c r="BE88" s="621">
        <v>3218656</v>
      </c>
      <c r="BF88" s="621">
        <v>2427</v>
      </c>
      <c r="BG88" s="621">
        <v>3278</v>
      </c>
      <c r="BH88" s="4604">
        <v>31</v>
      </c>
      <c r="BI88" s="621">
        <v>23658358</v>
      </c>
      <c r="BJ88" s="621">
        <v>24538292</v>
      </c>
      <c r="BK88" s="621">
        <v>0</v>
      </c>
      <c r="BL88" s="4605">
        <v>166</v>
      </c>
      <c r="BM88" s="621">
        <v>156</v>
      </c>
      <c r="BN88" s="621">
        <v>176</v>
      </c>
      <c r="BO88" s="621">
        <v>61</v>
      </c>
      <c r="BP88" s="621">
        <v>61</v>
      </c>
      <c r="BQ88" s="621">
        <v>53</v>
      </c>
    </row>
    <row r="89" spans="1:69">
      <c r="A89" s="888">
        <v>283</v>
      </c>
      <c r="B89" s="889" t="s">
        <v>413</v>
      </c>
      <c r="C89" s="890" t="s">
        <v>163</v>
      </c>
      <c r="D89" s="621">
        <v>12843438</v>
      </c>
      <c r="E89" s="621">
        <v>12045630</v>
      </c>
      <c r="F89" s="621">
        <v>11974819</v>
      </c>
      <c r="G89" s="621">
        <v>11183153</v>
      </c>
      <c r="H89" s="648">
        <v>89</v>
      </c>
      <c r="I89" s="648">
        <v>107.6</v>
      </c>
      <c r="J89" s="649">
        <v>160</v>
      </c>
      <c r="K89" s="621">
        <v>1549805</v>
      </c>
      <c r="L89" s="484">
        <v>101.5</v>
      </c>
      <c r="M89" s="648">
        <v>90.5</v>
      </c>
      <c r="N89" s="649">
        <v>108.1</v>
      </c>
      <c r="O89" s="648">
        <v>111.8</v>
      </c>
      <c r="P89" s="621">
        <v>268955</v>
      </c>
      <c r="Q89" s="621">
        <v>303699</v>
      </c>
      <c r="R89" s="621">
        <v>13013</v>
      </c>
      <c r="S89" s="621">
        <v>299912</v>
      </c>
      <c r="T89" s="621">
        <v>0</v>
      </c>
      <c r="U89" s="621">
        <v>0</v>
      </c>
      <c r="V89" s="621"/>
      <c r="W89" s="650">
        <v>0.05</v>
      </c>
      <c r="X89" s="621">
        <v>70</v>
      </c>
      <c r="Y89" s="621">
        <v>20</v>
      </c>
      <c r="Z89" s="650">
        <v>0.05</v>
      </c>
      <c r="AA89" s="650">
        <v>0</v>
      </c>
      <c r="AB89" s="651">
        <v>0.105</v>
      </c>
      <c r="AC89" s="621">
        <v>114937</v>
      </c>
      <c r="AD89" s="621">
        <v>112844</v>
      </c>
      <c r="AE89" s="621">
        <v>112844</v>
      </c>
      <c r="AF89" s="484">
        <v>101.5</v>
      </c>
      <c r="AG89" s="649">
        <v>90.5</v>
      </c>
      <c r="AH89" s="891">
        <v>108.1</v>
      </c>
      <c r="AI89" s="649">
        <v>111.8</v>
      </c>
      <c r="AJ89" s="652">
        <v>0</v>
      </c>
      <c r="AK89" s="621"/>
      <c r="AL89" s="621"/>
      <c r="AM89" s="621">
        <v>0</v>
      </c>
      <c r="AN89" s="621">
        <v>0</v>
      </c>
      <c r="AO89" s="649">
        <v>111.8</v>
      </c>
      <c r="AP89" s="649"/>
      <c r="AQ89" s="892">
        <v>0</v>
      </c>
      <c r="AR89" s="652"/>
      <c r="AS89" s="648"/>
      <c r="AT89" s="649">
        <v>0</v>
      </c>
      <c r="AU89" s="653">
        <v>0</v>
      </c>
      <c r="AV89" s="621">
        <v>1165015</v>
      </c>
      <c r="AW89" s="621">
        <v>0</v>
      </c>
      <c r="AX89" s="621">
        <v>0</v>
      </c>
      <c r="AY89" s="621">
        <v>2336</v>
      </c>
      <c r="AZ89" s="621"/>
      <c r="BA89" s="428">
        <v>1</v>
      </c>
      <c r="BB89" s="621">
        <v>0</v>
      </c>
      <c r="BC89" s="621">
        <v>0</v>
      </c>
      <c r="BE89" s="621">
        <v>1245849</v>
      </c>
      <c r="BF89" s="621">
        <v>2285</v>
      </c>
      <c r="BG89" s="621">
        <v>3304</v>
      </c>
      <c r="BH89" s="4604">
        <v>31</v>
      </c>
      <c r="BI89" s="621">
        <v>12843438</v>
      </c>
      <c r="BJ89" s="621">
        <v>11974819</v>
      </c>
      <c r="BK89" s="621">
        <v>0</v>
      </c>
      <c r="BL89" s="4605">
        <v>77</v>
      </c>
      <c r="BM89" s="621">
        <v>69</v>
      </c>
      <c r="BN89" s="621">
        <v>68</v>
      </c>
      <c r="BO89" s="621">
        <v>8</v>
      </c>
      <c r="BP89" s="621">
        <v>11</v>
      </c>
      <c r="BQ89" s="621">
        <v>20</v>
      </c>
    </row>
    <row r="90" spans="1:69">
      <c r="A90" s="888">
        <v>284</v>
      </c>
      <c r="B90" s="889" t="s">
        <v>414</v>
      </c>
      <c r="C90" s="890" t="s">
        <v>164</v>
      </c>
      <c r="D90" s="621">
        <v>55812828</v>
      </c>
      <c r="E90" s="621">
        <v>52715336</v>
      </c>
      <c r="F90" s="621">
        <v>56988437</v>
      </c>
      <c r="G90" s="621">
        <v>53893723</v>
      </c>
      <c r="H90" s="648">
        <v>346.7</v>
      </c>
      <c r="I90" s="648">
        <v>351.5</v>
      </c>
      <c r="J90" s="649">
        <v>780</v>
      </c>
      <c r="K90" s="621">
        <v>3305215</v>
      </c>
      <c r="L90" s="484">
        <v>320</v>
      </c>
      <c r="M90" s="648">
        <v>347.4</v>
      </c>
      <c r="N90" s="649">
        <v>351.5</v>
      </c>
      <c r="O90" s="648">
        <v>344</v>
      </c>
      <c r="P90" s="621">
        <v>354135</v>
      </c>
      <c r="Q90" s="621">
        <v>413518</v>
      </c>
      <c r="R90" s="621">
        <v>0</v>
      </c>
      <c r="S90" s="621">
        <v>443057</v>
      </c>
      <c r="T90" s="621">
        <v>0</v>
      </c>
      <c r="U90" s="621">
        <v>0</v>
      </c>
      <c r="V90" s="621"/>
      <c r="W90" s="650">
        <v>0</v>
      </c>
      <c r="X90" s="621">
        <v>96</v>
      </c>
      <c r="Y90" s="621">
        <v>36</v>
      </c>
      <c r="Z90" s="650">
        <v>0</v>
      </c>
      <c r="AA90" s="650">
        <v>0</v>
      </c>
      <c r="AB90" s="651">
        <v>0</v>
      </c>
      <c r="AC90" s="621">
        <v>400876</v>
      </c>
      <c r="AD90" s="621">
        <v>389665</v>
      </c>
      <c r="AE90" s="621">
        <v>389665</v>
      </c>
      <c r="AF90" s="484">
        <v>320</v>
      </c>
      <c r="AG90" s="649">
        <v>346.7</v>
      </c>
      <c r="AH90" s="891">
        <v>351.5</v>
      </c>
      <c r="AI90" s="649">
        <v>344</v>
      </c>
      <c r="AJ90" s="652">
        <v>0</v>
      </c>
      <c r="AK90" s="621"/>
      <c r="AL90" s="621"/>
      <c r="AM90" s="621">
        <v>0</v>
      </c>
      <c r="AN90" s="621">
        <v>0</v>
      </c>
      <c r="AO90" s="649">
        <v>341.5</v>
      </c>
      <c r="AP90" s="649"/>
      <c r="AQ90" s="892">
        <v>0</v>
      </c>
      <c r="AR90" s="652"/>
      <c r="AS90" s="648"/>
      <c r="AT90" s="649">
        <v>0</v>
      </c>
      <c r="AU90" s="653">
        <v>0</v>
      </c>
      <c r="AV90" s="621">
        <v>2750621</v>
      </c>
      <c r="AW90" s="621">
        <v>0</v>
      </c>
      <c r="AX90" s="621">
        <v>0</v>
      </c>
      <c r="AY90" s="621">
        <v>0</v>
      </c>
      <c r="AZ90" s="621"/>
      <c r="BA90" s="428">
        <v>1</v>
      </c>
      <c r="BB90" s="621">
        <v>0</v>
      </c>
      <c r="BC90" s="621">
        <v>0</v>
      </c>
      <c r="BE90" s="621">
        <v>2891697</v>
      </c>
      <c r="BF90" s="621">
        <v>1355</v>
      </c>
      <c r="BG90" s="621">
        <v>854</v>
      </c>
      <c r="BH90" s="4604">
        <v>31</v>
      </c>
      <c r="BI90" s="621">
        <v>55440469</v>
      </c>
      <c r="BJ90" s="621">
        <v>56988437</v>
      </c>
      <c r="BK90" s="621">
        <v>0</v>
      </c>
      <c r="BL90" s="4605">
        <v>77</v>
      </c>
      <c r="BM90" s="621">
        <v>92</v>
      </c>
      <c r="BN90" s="621">
        <v>90</v>
      </c>
      <c r="BO90" s="621">
        <v>28</v>
      </c>
      <c r="BP90" s="621">
        <v>34</v>
      </c>
      <c r="BQ90" s="621">
        <v>35</v>
      </c>
    </row>
    <row r="91" spans="1:69">
      <c r="A91" s="888">
        <v>285</v>
      </c>
      <c r="B91" s="889" t="s">
        <v>415</v>
      </c>
      <c r="C91" s="890" t="s">
        <v>165</v>
      </c>
      <c r="D91" s="621">
        <v>9795173</v>
      </c>
      <c r="E91" s="621">
        <v>8895939</v>
      </c>
      <c r="F91" s="621">
        <v>10196926</v>
      </c>
      <c r="G91" s="621">
        <v>9300877</v>
      </c>
      <c r="H91" s="648">
        <v>134</v>
      </c>
      <c r="I91" s="648">
        <v>123.8</v>
      </c>
      <c r="J91" s="649">
        <v>259</v>
      </c>
      <c r="K91" s="621">
        <v>1524976</v>
      </c>
      <c r="L91" s="484">
        <v>149</v>
      </c>
      <c r="M91" s="648">
        <v>134</v>
      </c>
      <c r="N91" s="649">
        <v>123.8</v>
      </c>
      <c r="O91" s="648">
        <v>136.5</v>
      </c>
      <c r="P91" s="621">
        <v>160256</v>
      </c>
      <c r="Q91" s="621">
        <v>151671</v>
      </c>
      <c r="R91" s="621">
        <v>205913</v>
      </c>
      <c r="S91" s="621">
        <v>122186</v>
      </c>
      <c r="T91" s="621">
        <v>6991</v>
      </c>
      <c r="U91" s="621">
        <v>0</v>
      </c>
      <c r="V91" s="621"/>
      <c r="W91" s="650">
        <v>0.38</v>
      </c>
      <c r="X91" s="621">
        <v>60</v>
      </c>
      <c r="Y91" s="621">
        <v>18</v>
      </c>
      <c r="Z91" s="650">
        <v>0.37</v>
      </c>
      <c r="AA91" s="650">
        <v>0.01</v>
      </c>
      <c r="AB91" s="651">
        <v>0.46310000000000001</v>
      </c>
      <c r="AC91" s="621">
        <v>193645</v>
      </c>
      <c r="AD91" s="621">
        <v>176533</v>
      </c>
      <c r="AE91" s="621">
        <v>176533</v>
      </c>
      <c r="AF91" s="484">
        <v>149</v>
      </c>
      <c r="AG91" s="649">
        <v>134</v>
      </c>
      <c r="AH91" s="891">
        <v>123.8</v>
      </c>
      <c r="AI91" s="649">
        <v>136.5</v>
      </c>
      <c r="AJ91" s="652">
        <v>0</v>
      </c>
      <c r="AK91" s="621"/>
      <c r="AL91" s="621"/>
      <c r="AM91" s="621">
        <v>0</v>
      </c>
      <c r="AN91" s="621">
        <v>0</v>
      </c>
      <c r="AO91" s="649">
        <v>136</v>
      </c>
      <c r="AP91" s="649"/>
      <c r="AQ91" s="892">
        <v>0</v>
      </c>
      <c r="AR91" s="652"/>
      <c r="AS91" s="648"/>
      <c r="AT91" s="649">
        <v>0</v>
      </c>
      <c r="AU91" s="653">
        <v>0</v>
      </c>
      <c r="AV91" s="621">
        <v>1424059</v>
      </c>
      <c r="AW91" s="621">
        <v>0</v>
      </c>
      <c r="AX91" s="621">
        <v>0</v>
      </c>
      <c r="AY91" s="621">
        <v>230393</v>
      </c>
      <c r="AZ91" s="621"/>
      <c r="BA91" s="428">
        <v>1</v>
      </c>
      <c r="BB91" s="621">
        <v>0</v>
      </c>
      <c r="BC91" s="621">
        <v>0</v>
      </c>
      <c r="BE91" s="621">
        <v>1372855</v>
      </c>
      <c r="BF91" s="621">
        <v>441</v>
      </c>
      <c r="BG91" s="621">
        <v>1168</v>
      </c>
      <c r="BH91" s="4604">
        <v>31</v>
      </c>
      <c r="BI91" s="621">
        <v>9795173</v>
      </c>
      <c r="BJ91" s="621">
        <v>10196926</v>
      </c>
      <c r="BK91" s="621">
        <v>0</v>
      </c>
      <c r="BL91" s="4605">
        <v>78</v>
      </c>
      <c r="BM91" s="621">
        <v>71</v>
      </c>
      <c r="BN91" s="621">
        <v>54</v>
      </c>
      <c r="BO91" s="621">
        <v>30</v>
      </c>
      <c r="BP91" s="621">
        <v>21</v>
      </c>
      <c r="BQ91" s="621">
        <v>17</v>
      </c>
    </row>
    <row r="92" spans="1:69">
      <c r="A92" s="888">
        <v>286</v>
      </c>
      <c r="B92" s="889" t="s">
        <v>416</v>
      </c>
      <c r="C92" s="890" t="s">
        <v>165</v>
      </c>
      <c r="D92" s="621">
        <v>20881801</v>
      </c>
      <c r="E92" s="621">
        <v>18151732</v>
      </c>
      <c r="F92" s="621">
        <v>20305027</v>
      </c>
      <c r="G92" s="621">
        <v>17614886</v>
      </c>
      <c r="H92" s="648">
        <v>355.7</v>
      </c>
      <c r="I92" s="648">
        <v>357.6</v>
      </c>
      <c r="J92" s="649">
        <v>382.5</v>
      </c>
      <c r="K92" s="621">
        <v>3694493</v>
      </c>
      <c r="L92" s="484">
        <v>357.5</v>
      </c>
      <c r="M92" s="648">
        <v>359.2</v>
      </c>
      <c r="N92" s="649">
        <v>361.7</v>
      </c>
      <c r="O92" s="648">
        <v>352.9</v>
      </c>
      <c r="P92" s="621">
        <v>574042</v>
      </c>
      <c r="Q92" s="621">
        <v>595168</v>
      </c>
      <c r="R92" s="621">
        <v>648754</v>
      </c>
      <c r="S92" s="621">
        <v>503240</v>
      </c>
      <c r="T92" s="621">
        <v>0</v>
      </c>
      <c r="U92" s="621">
        <v>0</v>
      </c>
      <c r="V92" s="621"/>
      <c r="W92" s="650">
        <v>0.55000000000000004</v>
      </c>
      <c r="X92" s="621">
        <v>181</v>
      </c>
      <c r="Y92" s="621">
        <v>49</v>
      </c>
      <c r="Z92" s="650">
        <v>0.54</v>
      </c>
      <c r="AA92" s="650">
        <v>0.18</v>
      </c>
      <c r="AB92" s="651">
        <v>0.58579999999999999</v>
      </c>
      <c r="AC92" s="621">
        <v>363968</v>
      </c>
      <c r="AD92" s="621">
        <v>331891</v>
      </c>
      <c r="AE92" s="621">
        <v>331891</v>
      </c>
      <c r="AF92" s="484">
        <v>357.5</v>
      </c>
      <c r="AG92" s="649">
        <v>359.2</v>
      </c>
      <c r="AH92" s="891">
        <v>360.6</v>
      </c>
      <c r="AI92" s="649">
        <v>352.9</v>
      </c>
      <c r="AJ92" s="652">
        <v>0</v>
      </c>
      <c r="AK92" s="621"/>
      <c r="AL92" s="621"/>
      <c r="AM92" s="621">
        <v>1</v>
      </c>
      <c r="AN92" s="621">
        <v>0</v>
      </c>
      <c r="AO92" s="649">
        <v>350.4</v>
      </c>
      <c r="AP92" s="649"/>
      <c r="AQ92" s="892">
        <v>0</v>
      </c>
      <c r="AR92" s="652"/>
      <c r="AS92" s="648"/>
      <c r="AT92" s="649">
        <v>0</v>
      </c>
      <c r="AU92" s="653">
        <v>0</v>
      </c>
      <c r="AV92" s="621">
        <v>3040950</v>
      </c>
      <c r="AW92" s="621">
        <v>63909</v>
      </c>
      <c r="AX92" s="621">
        <v>19371</v>
      </c>
      <c r="AY92" s="621">
        <v>632599</v>
      </c>
      <c r="AZ92" s="621"/>
      <c r="BA92" s="428">
        <v>1</v>
      </c>
      <c r="BB92" s="621">
        <v>0</v>
      </c>
      <c r="BC92" s="621">
        <v>0</v>
      </c>
      <c r="BE92" s="621">
        <v>3088453</v>
      </c>
      <c r="BF92" s="621">
        <v>0</v>
      </c>
      <c r="BG92" s="621">
        <v>0</v>
      </c>
      <c r="BH92" s="4604">
        <v>33</v>
      </c>
      <c r="BI92" s="621">
        <v>20881801</v>
      </c>
      <c r="BJ92" s="621">
        <v>20305027</v>
      </c>
      <c r="BK92" s="621">
        <v>0</v>
      </c>
      <c r="BL92" s="4605">
        <v>192</v>
      </c>
      <c r="BM92" s="621">
        <v>174</v>
      </c>
      <c r="BN92" s="621">
        <v>192</v>
      </c>
      <c r="BO92" s="621">
        <v>46</v>
      </c>
      <c r="BP92" s="621">
        <v>72</v>
      </c>
      <c r="BQ92" s="621">
        <v>66</v>
      </c>
    </row>
    <row r="93" spans="1:69">
      <c r="A93" s="888">
        <v>287</v>
      </c>
      <c r="B93" s="889" t="s">
        <v>417</v>
      </c>
      <c r="C93" s="890" t="s">
        <v>166</v>
      </c>
      <c r="D93" s="621">
        <v>48885443</v>
      </c>
      <c r="E93" s="621">
        <v>44001632</v>
      </c>
      <c r="F93" s="621">
        <v>51759637</v>
      </c>
      <c r="G93" s="621">
        <v>46854696</v>
      </c>
      <c r="H93" s="648">
        <v>609.5</v>
      </c>
      <c r="I93" s="648">
        <v>587.5</v>
      </c>
      <c r="J93" s="649">
        <v>227</v>
      </c>
      <c r="K93" s="621">
        <v>5659163</v>
      </c>
      <c r="L93" s="484">
        <v>602.1</v>
      </c>
      <c r="M93" s="648">
        <v>614.5</v>
      </c>
      <c r="N93" s="649">
        <v>591</v>
      </c>
      <c r="O93" s="648">
        <v>588.4</v>
      </c>
      <c r="P93" s="621">
        <v>885699</v>
      </c>
      <c r="Q93" s="621">
        <v>848362</v>
      </c>
      <c r="R93" s="621">
        <v>737282</v>
      </c>
      <c r="S93" s="621">
        <v>928124</v>
      </c>
      <c r="T93" s="621">
        <v>2812</v>
      </c>
      <c r="U93" s="621">
        <v>0</v>
      </c>
      <c r="V93" s="621"/>
      <c r="W93" s="650">
        <v>0.24</v>
      </c>
      <c r="X93" s="621">
        <v>218</v>
      </c>
      <c r="Y93" s="621">
        <v>67</v>
      </c>
      <c r="Z93" s="650">
        <v>0.24</v>
      </c>
      <c r="AA93" s="650">
        <v>0</v>
      </c>
      <c r="AB93" s="651">
        <v>0.40720000000000001</v>
      </c>
      <c r="AC93" s="621">
        <v>676506</v>
      </c>
      <c r="AD93" s="621">
        <v>622826</v>
      </c>
      <c r="AE93" s="621">
        <v>622826</v>
      </c>
      <c r="AF93" s="484">
        <v>602.1</v>
      </c>
      <c r="AG93" s="649">
        <v>614.5</v>
      </c>
      <c r="AH93" s="891">
        <v>591</v>
      </c>
      <c r="AI93" s="649">
        <v>588.4</v>
      </c>
      <c r="AJ93" s="652">
        <v>0</v>
      </c>
      <c r="AK93" s="621"/>
      <c r="AL93" s="621"/>
      <c r="AM93" s="621">
        <v>6</v>
      </c>
      <c r="AN93" s="621">
        <v>8228</v>
      </c>
      <c r="AO93" s="649">
        <v>586.9</v>
      </c>
      <c r="AP93" s="649"/>
      <c r="AQ93" s="892">
        <v>0</v>
      </c>
      <c r="AR93" s="652"/>
      <c r="AS93" s="648"/>
      <c r="AT93" s="649">
        <v>0</v>
      </c>
      <c r="AU93" s="653">
        <v>0</v>
      </c>
      <c r="AV93" s="621">
        <v>4713703</v>
      </c>
      <c r="AW93" s="621">
        <v>128766</v>
      </c>
      <c r="AX93" s="621">
        <v>103221</v>
      </c>
      <c r="AY93" s="621">
        <v>725751</v>
      </c>
      <c r="AZ93" s="621"/>
      <c r="BA93" s="428">
        <v>1</v>
      </c>
      <c r="BB93" s="621">
        <v>0</v>
      </c>
      <c r="BC93" s="621">
        <v>0</v>
      </c>
      <c r="BE93" s="621">
        <v>4802573</v>
      </c>
      <c r="BF93" s="621">
        <v>734</v>
      </c>
      <c r="BG93" s="621">
        <v>4102</v>
      </c>
      <c r="BH93" s="4604">
        <v>33</v>
      </c>
      <c r="BI93" s="621">
        <v>48872727</v>
      </c>
      <c r="BJ93" s="621">
        <v>51746270</v>
      </c>
      <c r="BK93" s="621">
        <v>0</v>
      </c>
      <c r="BL93" s="4605">
        <v>255</v>
      </c>
      <c r="BM93" s="621">
        <v>244</v>
      </c>
      <c r="BN93" s="621">
        <v>234</v>
      </c>
      <c r="BO93" s="621">
        <v>96</v>
      </c>
      <c r="BP93" s="621">
        <v>67</v>
      </c>
      <c r="BQ93" s="621">
        <v>54</v>
      </c>
    </row>
    <row r="94" spans="1:69">
      <c r="A94" s="888">
        <v>288</v>
      </c>
      <c r="B94" s="889" t="s">
        <v>418</v>
      </c>
      <c r="C94" s="890" t="s">
        <v>166</v>
      </c>
      <c r="D94" s="621">
        <v>29681461</v>
      </c>
      <c r="E94" s="621">
        <v>26806085</v>
      </c>
      <c r="F94" s="621">
        <v>31310474</v>
      </c>
      <c r="G94" s="621">
        <v>28417593</v>
      </c>
      <c r="H94" s="648">
        <v>499.6</v>
      </c>
      <c r="I94" s="648">
        <v>490.3</v>
      </c>
      <c r="J94" s="649">
        <v>142.1</v>
      </c>
      <c r="K94" s="621">
        <v>4654897</v>
      </c>
      <c r="L94" s="484">
        <v>536.9</v>
      </c>
      <c r="M94" s="648">
        <v>512.29999999999995</v>
      </c>
      <c r="N94" s="649">
        <v>500</v>
      </c>
      <c r="O94" s="648">
        <v>481.2</v>
      </c>
      <c r="P94" s="621">
        <v>587755</v>
      </c>
      <c r="Q94" s="621">
        <v>481327</v>
      </c>
      <c r="R94" s="621">
        <v>914525</v>
      </c>
      <c r="S94" s="621">
        <v>479646</v>
      </c>
      <c r="T94" s="621">
        <v>7661</v>
      </c>
      <c r="U94" s="621">
        <v>0</v>
      </c>
      <c r="V94" s="621"/>
      <c r="W94" s="650">
        <v>0.49</v>
      </c>
      <c r="X94" s="621">
        <v>199</v>
      </c>
      <c r="Y94" s="621">
        <v>38</v>
      </c>
      <c r="Z94" s="650">
        <v>0.48</v>
      </c>
      <c r="AA94" s="650">
        <v>0.12</v>
      </c>
      <c r="AB94" s="651">
        <v>0.56869999999999998</v>
      </c>
      <c r="AC94" s="621">
        <v>546287</v>
      </c>
      <c r="AD94" s="621">
        <v>496872</v>
      </c>
      <c r="AE94" s="621">
        <v>496872</v>
      </c>
      <c r="AF94" s="484">
        <v>536.9</v>
      </c>
      <c r="AG94" s="649">
        <v>503.6</v>
      </c>
      <c r="AH94" s="891">
        <v>496.3</v>
      </c>
      <c r="AI94" s="649">
        <v>481.2</v>
      </c>
      <c r="AJ94" s="652">
        <v>0</v>
      </c>
      <c r="AK94" s="621"/>
      <c r="AL94" s="621"/>
      <c r="AM94" s="621">
        <v>2</v>
      </c>
      <c r="AN94" s="621">
        <v>0</v>
      </c>
      <c r="AO94" s="649">
        <v>476.2</v>
      </c>
      <c r="AP94" s="649"/>
      <c r="AQ94" s="892">
        <v>0</v>
      </c>
      <c r="AR94" s="652"/>
      <c r="AS94" s="648"/>
      <c r="AT94" s="649">
        <v>0</v>
      </c>
      <c r="AU94" s="653">
        <v>0</v>
      </c>
      <c r="AV94" s="621">
        <v>4216832</v>
      </c>
      <c r="AW94" s="621">
        <v>123367</v>
      </c>
      <c r="AX94" s="621">
        <v>120679</v>
      </c>
      <c r="AY94" s="621">
        <v>878273</v>
      </c>
      <c r="AZ94" s="621"/>
      <c r="BA94" s="428">
        <v>1</v>
      </c>
      <c r="BB94" s="621">
        <v>0</v>
      </c>
      <c r="BC94" s="621">
        <v>0</v>
      </c>
      <c r="BE94" s="621">
        <v>4173570</v>
      </c>
      <c r="BF94" s="621">
        <v>1253</v>
      </c>
      <c r="BG94" s="621">
        <v>0</v>
      </c>
      <c r="BH94" s="4604">
        <v>33</v>
      </c>
      <c r="BI94" s="621">
        <v>29681461</v>
      </c>
      <c r="BJ94" s="621">
        <v>30862641</v>
      </c>
      <c r="BK94" s="621">
        <v>0</v>
      </c>
      <c r="BL94" s="4605">
        <v>284</v>
      </c>
      <c r="BM94" s="621">
        <v>236</v>
      </c>
      <c r="BN94" s="621">
        <v>190</v>
      </c>
      <c r="BO94" s="621">
        <v>38</v>
      </c>
      <c r="BP94" s="621">
        <v>69</v>
      </c>
      <c r="BQ94" s="621">
        <v>65</v>
      </c>
    </row>
    <row r="95" spans="1:69">
      <c r="A95" s="888">
        <v>289</v>
      </c>
      <c r="B95" s="889" t="s">
        <v>419</v>
      </c>
      <c r="C95" s="890" t="s">
        <v>166</v>
      </c>
      <c r="D95" s="621">
        <v>60157408</v>
      </c>
      <c r="E95" s="621">
        <v>55819386</v>
      </c>
      <c r="F95" s="621">
        <v>64229994</v>
      </c>
      <c r="G95" s="621">
        <v>59838429</v>
      </c>
      <c r="H95" s="648">
        <v>780.5</v>
      </c>
      <c r="I95" s="648">
        <v>744</v>
      </c>
      <c r="J95" s="649">
        <v>130</v>
      </c>
      <c r="K95" s="621">
        <v>6219780</v>
      </c>
      <c r="L95" s="484">
        <v>776</v>
      </c>
      <c r="M95" s="648">
        <v>781.5</v>
      </c>
      <c r="N95" s="649">
        <v>752.5</v>
      </c>
      <c r="O95" s="648">
        <v>723.5</v>
      </c>
      <c r="P95" s="621">
        <v>874721</v>
      </c>
      <c r="Q95" s="621">
        <v>844300</v>
      </c>
      <c r="R95" s="621">
        <v>845294</v>
      </c>
      <c r="S95" s="621">
        <v>787622</v>
      </c>
      <c r="T95" s="621">
        <v>24579</v>
      </c>
      <c r="U95" s="621">
        <v>0</v>
      </c>
      <c r="V95" s="621"/>
      <c r="W95" s="650">
        <v>0.22</v>
      </c>
      <c r="X95" s="621">
        <v>137</v>
      </c>
      <c r="Y95" s="621">
        <v>79</v>
      </c>
      <c r="Z95" s="650">
        <v>0.23</v>
      </c>
      <c r="AA95" s="650">
        <v>0</v>
      </c>
      <c r="AB95" s="651">
        <v>0.41830000000000001</v>
      </c>
      <c r="AC95" s="621">
        <v>720734</v>
      </c>
      <c r="AD95" s="621">
        <v>686663</v>
      </c>
      <c r="AE95" s="621">
        <v>686663</v>
      </c>
      <c r="AF95" s="484">
        <v>776</v>
      </c>
      <c r="AG95" s="649">
        <v>780.5</v>
      </c>
      <c r="AH95" s="891">
        <v>751.5</v>
      </c>
      <c r="AI95" s="649">
        <v>723.5</v>
      </c>
      <c r="AJ95" s="652">
        <v>0</v>
      </c>
      <c r="AK95" s="621"/>
      <c r="AL95" s="621"/>
      <c r="AM95" s="621">
        <v>0</v>
      </c>
      <c r="AN95" s="621">
        <v>0</v>
      </c>
      <c r="AO95" s="649">
        <v>717</v>
      </c>
      <c r="AP95" s="649"/>
      <c r="AQ95" s="892">
        <v>0</v>
      </c>
      <c r="AR95" s="652"/>
      <c r="AS95" s="648"/>
      <c r="AT95" s="649">
        <v>0</v>
      </c>
      <c r="AU95" s="653">
        <v>0</v>
      </c>
      <c r="AV95" s="621">
        <v>5253357</v>
      </c>
      <c r="AW95" s="621">
        <v>168256</v>
      </c>
      <c r="AX95" s="621">
        <v>142751</v>
      </c>
      <c r="AY95" s="621">
        <v>857727</v>
      </c>
      <c r="AZ95" s="621"/>
      <c r="BA95" s="428">
        <v>1</v>
      </c>
      <c r="BB95" s="621">
        <v>0</v>
      </c>
      <c r="BC95" s="621">
        <v>0</v>
      </c>
      <c r="BE95" s="621">
        <v>5375480</v>
      </c>
      <c r="BF95" s="621">
        <v>4120</v>
      </c>
      <c r="BG95" s="621">
        <v>5935</v>
      </c>
      <c r="BH95" s="4604">
        <v>33</v>
      </c>
      <c r="BI95" s="621">
        <v>60158898</v>
      </c>
      <c r="BJ95" s="621">
        <v>65063556</v>
      </c>
      <c r="BK95" s="621">
        <v>0</v>
      </c>
      <c r="BL95" s="4605">
        <v>174</v>
      </c>
      <c r="BM95" s="621">
        <v>170</v>
      </c>
      <c r="BN95" s="621">
        <v>148</v>
      </c>
      <c r="BO95" s="621">
        <v>58</v>
      </c>
      <c r="BP95" s="621">
        <v>76</v>
      </c>
      <c r="BQ95" s="621">
        <v>90</v>
      </c>
    </row>
    <row r="96" spans="1:69">
      <c r="A96" s="888">
        <v>290</v>
      </c>
      <c r="B96" s="889" t="s">
        <v>420</v>
      </c>
      <c r="C96" s="890" t="s">
        <v>166</v>
      </c>
      <c r="D96" s="621">
        <v>143773579</v>
      </c>
      <c r="E96" s="621">
        <v>132018935</v>
      </c>
      <c r="F96" s="621">
        <v>153712022</v>
      </c>
      <c r="G96" s="621">
        <v>141832043</v>
      </c>
      <c r="H96" s="648">
        <v>2334.5</v>
      </c>
      <c r="I96" s="648">
        <v>2332</v>
      </c>
      <c r="J96" s="649">
        <v>115.9</v>
      </c>
      <c r="K96" s="621">
        <v>16835481</v>
      </c>
      <c r="L96" s="484">
        <v>2356.5</v>
      </c>
      <c r="M96" s="648">
        <v>2368</v>
      </c>
      <c r="N96" s="649">
        <v>2355.6999999999998</v>
      </c>
      <c r="O96" s="648">
        <v>2208.6999999999998</v>
      </c>
      <c r="P96" s="621">
        <v>2781438</v>
      </c>
      <c r="Q96" s="621">
        <v>2839523</v>
      </c>
      <c r="R96" s="621">
        <v>3217017</v>
      </c>
      <c r="S96" s="621">
        <v>1820815</v>
      </c>
      <c r="T96" s="621">
        <v>771</v>
      </c>
      <c r="U96" s="621">
        <v>0</v>
      </c>
      <c r="V96" s="621"/>
      <c r="W96" s="650">
        <v>0.46</v>
      </c>
      <c r="X96" s="621">
        <v>835</v>
      </c>
      <c r="Y96" s="621">
        <v>316</v>
      </c>
      <c r="Z96" s="650">
        <v>0.45</v>
      </c>
      <c r="AA96" s="650">
        <v>0.09</v>
      </c>
      <c r="AB96" s="651">
        <v>0.55720000000000003</v>
      </c>
      <c r="AC96" s="621">
        <v>2673053</v>
      </c>
      <c r="AD96" s="621">
        <v>2542026</v>
      </c>
      <c r="AE96" s="621">
        <v>2542026</v>
      </c>
      <c r="AF96" s="484">
        <v>2356.5</v>
      </c>
      <c r="AG96" s="649">
        <v>2350</v>
      </c>
      <c r="AH96" s="891">
        <v>2342</v>
      </c>
      <c r="AI96" s="649">
        <v>2174.4</v>
      </c>
      <c r="AJ96" s="652">
        <v>0</v>
      </c>
      <c r="AK96" s="621"/>
      <c r="AL96" s="621"/>
      <c r="AM96" s="621">
        <v>14</v>
      </c>
      <c r="AN96" s="621">
        <v>0</v>
      </c>
      <c r="AO96" s="649">
        <v>2156.9</v>
      </c>
      <c r="AP96" s="649"/>
      <c r="AQ96" s="892">
        <v>0</v>
      </c>
      <c r="AR96" s="652"/>
      <c r="AS96" s="648"/>
      <c r="AT96" s="649">
        <v>0</v>
      </c>
      <c r="AU96" s="653">
        <v>0</v>
      </c>
      <c r="AV96" s="621">
        <v>13866901</v>
      </c>
      <c r="AW96" s="621">
        <v>569832</v>
      </c>
      <c r="AX96" s="621">
        <v>583301</v>
      </c>
      <c r="AY96" s="621">
        <v>2970930</v>
      </c>
      <c r="AZ96" s="621"/>
      <c r="BA96" s="428">
        <v>1</v>
      </c>
      <c r="BB96" s="621">
        <v>0</v>
      </c>
      <c r="BC96" s="621">
        <v>0</v>
      </c>
      <c r="BE96" s="621">
        <v>13995958</v>
      </c>
      <c r="BF96" s="621">
        <v>10695</v>
      </c>
      <c r="BG96" s="621">
        <v>6703</v>
      </c>
      <c r="BH96" s="4604">
        <v>33</v>
      </c>
      <c r="BI96" s="621">
        <v>139664573</v>
      </c>
      <c r="BJ96" s="621">
        <v>148857143</v>
      </c>
      <c r="BK96" s="621">
        <v>0</v>
      </c>
      <c r="BL96" s="4605">
        <v>994</v>
      </c>
      <c r="BM96" s="621">
        <v>946</v>
      </c>
      <c r="BN96" s="621">
        <v>974</v>
      </c>
      <c r="BO96" s="621">
        <v>332</v>
      </c>
      <c r="BP96" s="621">
        <v>347</v>
      </c>
      <c r="BQ96" s="621">
        <v>335</v>
      </c>
    </row>
    <row r="97" spans="1:69">
      <c r="A97" s="888">
        <v>291</v>
      </c>
      <c r="B97" s="889" t="s">
        <v>421</v>
      </c>
      <c r="C97" s="890" t="s">
        <v>167</v>
      </c>
      <c r="D97" s="621">
        <v>26049904</v>
      </c>
      <c r="E97" s="621">
        <v>25402611</v>
      </c>
      <c r="F97" s="621">
        <v>25506516</v>
      </c>
      <c r="G97" s="621">
        <v>24855639</v>
      </c>
      <c r="H97" s="648">
        <v>73.900000000000006</v>
      </c>
      <c r="I97" s="648">
        <v>64.099999999999994</v>
      </c>
      <c r="J97" s="649">
        <v>267.8</v>
      </c>
      <c r="K97" s="621">
        <v>947154</v>
      </c>
      <c r="L97" s="484">
        <v>69.5</v>
      </c>
      <c r="M97" s="648">
        <v>73.900000000000006</v>
      </c>
      <c r="N97" s="649">
        <v>64.099999999999994</v>
      </c>
      <c r="O97" s="648">
        <v>69</v>
      </c>
      <c r="P97" s="621">
        <v>129848</v>
      </c>
      <c r="Q97" s="621">
        <v>116205</v>
      </c>
      <c r="R97" s="621">
        <v>0</v>
      </c>
      <c r="S97" s="621">
        <v>85263</v>
      </c>
      <c r="T97" s="621">
        <v>0</v>
      </c>
      <c r="U97" s="621">
        <v>0</v>
      </c>
      <c r="V97" s="621"/>
      <c r="W97" s="650">
        <v>0</v>
      </c>
      <c r="X97" s="621">
        <v>31</v>
      </c>
      <c r="Y97" s="621">
        <v>2</v>
      </c>
      <c r="Z97" s="650">
        <v>0</v>
      </c>
      <c r="AA97" s="650">
        <v>0</v>
      </c>
      <c r="AB97" s="651">
        <v>0</v>
      </c>
      <c r="AC97" s="621">
        <v>99604</v>
      </c>
      <c r="AD97" s="621">
        <v>96205</v>
      </c>
      <c r="AE97" s="621">
        <v>96205</v>
      </c>
      <c r="AF97" s="484">
        <v>69.5</v>
      </c>
      <c r="AG97" s="649">
        <v>73.900000000000006</v>
      </c>
      <c r="AH97" s="891">
        <v>64.099999999999994</v>
      </c>
      <c r="AI97" s="649">
        <v>69</v>
      </c>
      <c r="AJ97" s="652">
        <v>0</v>
      </c>
      <c r="AK97" s="621"/>
      <c r="AL97" s="621"/>
      <c r="AM97" s="621">
        <v>0</v>
      </c>
      <c r="AN97" s="621">
        <v>0</v>
      </c>
      <c r="AO97" s="649">
        <v>68</v>
      </c>
      <c r="AP97" s="649"/>
      <c r="AQ97" s="892">
        <v>0</v>
      </c>
      <c r="AR97" s="652"/>
      <c r="AS97" s="648"/>
      <c r="AT97" s="649">
        <v>0</v>
      </c>
      <c r="AU97" s="653">
        <v>0</v>
      </c>
      <c r="AV97" s="621">
        <v>785259</v>
      </c>
      <c r="AW97" s="621">
        <v>0</v>
      </c>
      <c r="AX97" s="621">
        <v>0</v>
      </c>
      <c r="AY97" s="621">
        <v>0</v>
      </c>
      <c r="AZ97" s="621"/>
      <c r="BA97" s="428">
        <v>1</v>
      </c>
      <c r="BB97" s="621">
        <v>0</v>
      </c>
      <c r="BC97" s="621">
        <v>0</v>
      </c>
      <c r="BE97" s="621">
        <v>829566</v>
      </c>
      <c r="BF97" s="621">
        <v>644</v>
      </c>
      <c r="BG97" s="621">
        <v>534</v>
      </c>
      <c r="BH97" s="4604">
        <v>31</v>
      </c>
      <c r="BI97" s="621">
        <v>26049904</v>
      </c>
      <c r="BJ97" s="621">
        <v>25506516</v>
      </c>
      <c r="BK97" s="621">
        <v>0</v>
      </c>
      <c r="BL97" s="4605">
        <v>14</v>
      </c>
      <c r="BM97" s="621">
        <v>27</v>
      </c>
      <c r="BN97" s="621">
        <v>26</v>
      </c>
      <c r="BO97" s="621">
        <v>9</v>
      </c>
      <c r="BP97" s="621">
        <v>5</v>
      </c>
      <c r="BQ97" s="621">
        <v>2</v>
      </c>
    </row>
    <row r="98" spans="1:69">
      <c r="A98" s="888">
        <v>292</v>
      </c>
      <c r="B98" s="889" t="s">
        <v>1090</v>
      </c>
      <c r="C98" s="890" t="s">
        <v>167</v>
      </c>
      <c r="D98" s="621">
        <v>25786324</v>
      </c>
      <c r="E98" s="621">
        <v>24831259</v>
      </c>
      <c r="F98" s="621">
        <v>23970393</v>
      </c>
      <c r="G98" s="621">
        <v>22998795</v>
      </c>
      <c r="H98" s="648">
        <v>103.5</v>
      </c>
      <c r="I98" s="648">
        <v>121.5</v>
      </c>
      <c r="J98" s="649">
        <v>437</v>
      </c>
      <c r="K98" s="621">
        <v>1453399</v>
      </c>
      <c r="L98" s="484">
        <v>111.5</v>
      </c>
      <c r="M98" s="648">
        <v>103.5</v>
      </c>
      <c r="N98" s="649">
        <v>121.5</v>
      </c>
      <c r="O98" s="648">
        <v>105</v>
      </c>
      <c r="P98" s="621">
        <v>136474</v>
      </c>
      <c r="Q98" s="621">
        <v>123915</v>
      </c>
      <c r="R98" s="621">
        <v>0</v>
      </c>
      <c r="S98" s="621">
        <v>197465</v>
      </c>
      <c r="T98" s="621">
        <v>0</v>
      </c>
      <c r="U98" s="621">
        <v>0</v>
      </c>
      <c r="V98" s="621"/>
      <c r="W98" s="650">
        <v>0</v>
      </c>
      <c r="X98" s="621">
        <v>48</v>
      </c>
      <c r="Y98" s="621">
        <v>12</v>
      </c>
      <c r="Z98" s="650">
        <v>0</v>
      </c>
      <c r="AA98" s="650">
        <v>0</v>
      </c>
      <c r="AB98" s="651">
        <v>0</v>
      </c>
      <c r="AC98" s="621">
        <v>183957</v>
      </c>
      <c r="AD98" s="621">
        <v>175174</v>
      </c>
      <c r="AE98" s="621">
        <v>175174</v>
      </c>
      <c r="AF98" s="484">
        <v>111.5</v>
      </c>
      <c r="AG98" s="649">
        <v>103.5</v>
      </c>
      <c r="AH98" s="891">
        <v>121.5</v>
      </c>
      <c r="AI98" s="649">
        <v>105</v>
      </c>
      <c r="AJ98" s="652">
        <v>0</v>
      </c>
      <c r="AK98" s="621"/>
      <c r="AL98" s="621"/>
      <c r="AM98" s="621">
        <v>0</v>
      </c>
      <c r="AN98" s="621">
        <v>0</v>
      </c>
      <c r="AO98" s="649">
        <v>105</v>
      </c>
      <c r="AP98" s="649"/>
      <c r="AQ98" s="892">
        <v>0</v>
      </c>
      <c r="AR98" s="652"/>
      <c r="AS98" s="648"/>
      <c r="AT98" s="649">
        <v>0</v>
      </c>
      <c r="AU98" s="653">
        <v>0</v>
      </c>
      <c r="AV98" s="621">
        <v>1182761</v>
      </c>
      <c r="AW98" s="621">
        <v>0</v>
      </c>
      <c r="AX98" s="621">
        <v>0</v>
      </c>
      <c r="AY98" s="621">
        <v>0</v>
      </c>
      <c r="AZ98" s="621"/>
      <c r="BA98" s="428">
        <v>1</v>
      </c>
      <c r="BB98" s="621">
        <v>0</v>
      </c>
      <c r="BC98" s="621">
        <v>0</v>
      </c>
      <c r="BE98" s="621">
        <v>1325814</v>
      </c>
      <c r="BF98" s="621">
        <v>679</v>
      </c>
      <c r="BG98" s="621">
        <v>553</v>
      </c>
      <c r="BH98" s="4604">
        <v>33</v>
      </c>
      <c r="BI98" s="621">
        <v>25786324</v>
      </c>
      <c r="BJ98" s="621">
        <v>23955164</v>
      </c>
      <c r="BK98" s="621">
        <v>0</v>
      </c>
      <c r="BL98" s="4605">
        <v>32</v>
      </c>
      <c r="BM98" s="621">
        <v>33</v>
      </c>
      <c r="BN98" s="621">
        <v>45</v>
      </c>
      <c r="BO98" s="621">
        <v>19</v>
      </c>
      <c r="BP98" s="621">
        <v>16</v>
      </c>
      <c r="BQ98" s="621">
        <v>18</v>
      </c>
    </row>
    <row r="99" spans="1:69">
      <c r="A99" s="888">
        <v>293</v>
      </c>
      <c r="B99" s="889" t="s">
        <v>422</v>
      </c>
      <c r="C99" s="890" t="s">
        <v>167</v>
      </c>
      <c r="D99" s="621">
        <v>29649680</v>
      </c>
      <c r="E99" s="621">
        <v>28235786</v>
      </c>
      <c r="F99" s="621">
        <v>28530440</v>
      </c>
      <c r="G99" s="621">
        <v>27115596</v>
      </c>
      <c r="H99" s="648">
        <v>300</v>
      </c>
      <c r="I99" s="648">
        <v>299.5</v>
      </c>
      <c r="J99" s="649">
        <v>400.8</v>
      </c>
      <c r="K99" s="621">
        <v>2730434</v>
      </c>
      <c r="L99" s="484">
        <v>285</v>
      </c>
      <c r="M99" s="648">
        <v>304</v>
      </c>
      <c r="N99" s="649">
        <v>302.5</v>
      </c>
      <c r="O99" s="648">
        <v>302.3</v>
      </c>
      <c r="P99" s="621">
        <v>376883</v>
      </c>
      <c r="Q99" s="621">
        <v>374368</v>
      </c>
      <c r="R99" s="621">
        <v>289386</v>
      </c>
      <c r="S99" s="621">
        <v>368645</v>
      </c>
      <c r="T99" s="621">
        <v>0</v>
      </c>
      <c r="U99" s="621">
        <v>0</v>
      </c>
      <c r="V99" s="621"/>
      <c r="W99" s="650">
        <v>0.18</v>
      </c>
      <c r="X99" s="621">
        <v>61</v>
      </c>
      <c r="Y99" s="621">
        <v>28</v>
      </c>
      <c r="Z99" s="650">
        <v>0.18</v>
      </c>
      <c r="AA99" s="650">
        <v>0</v>
      </c>
      <c r="AB99" s="651">
        <v>0.31879999999999997</v>
      </c>
      <c r="AC99" s="621">
        <v>300070</v>
      </c>
      <c r="AD99" s="621">
        <v>306457</v>
      </c>
      <c r="AE99" s="621">
        <v>306457</v>
      </c>
      <c r="AF99" s="484">
        <v>285</v>
      </c>
      <c r="AG99" s="649">
        <v>304</v>
      </c>
      <c r="AH99" s="891">
        <v>302.5</v>
      </c>
      <c r="AI99" s="649">
        <v>302.3</v>
      </c>
      <c r="AJ99" s="652">
        <v>0</v>
      </c>
      <c r="AK99" s="621"/>
      <c r="AL99" s="621"/>
      <c r="AM99" s="621">
        <v>0</v>
      </c>
      <c r="AN99" s="621">
        <v>0</v>
      </c>
      <c r="AO99" s="649">
        <v>299.8</v>
      </c>
      <c r="AP99" s="649"/>
      <c r="AQ99" s="892">
        <v>0</v>
      </c>
      <c r="AR99" s="652"/>
      <c r="AS99" s="648"/>
      <c r="AT99" s="649">
        <v>0</v>
      </c>
      <c r="AU99" s="653">
        <v>0</v>
      </c>
      <c r="AV99" s="621">
        <v>2253108</v>
      </c>
      <c r="AW99" s="621">
        <v>36674</v>
      </c>
      <c r="AX99" s="621">
        <v>22798</v>
      </c>
      <c r="AY99" s="621">
        <v>310897</v>
      </c>
      <c r="AZ99" s="621"/>
      <c r="BA99" s="428">
        <v>1</v>
      </c>
      <c r="BB99" s="621">
        <v>0</v>
      </c>
      <c r="BC99" s="621">
        <v>0</v>
      </c>
      <c r="BE99" s="621">
        <v>2351920</v>
      </c>
      <c r="BF99" s="621">
        <v>2506</v>
      </c>
      <c r="BG99" s="621">
        <v>1670</v>
      </c>
      <c r="BH99" s="4604">
        <v>33</v>
      </c>
      <c r="BI99" s="621">
        <v>29649680</v>
      </c>
      <c r="BJ99" s="621">
        <v>28504845</v>
      </c>
      <c r="BK99" s="621">
        <v>0</v>
      </c>
      <c r="BL99" s="4605">
        <v>63</v>
      </c>
      <c r="BM99" s="621">
        <v>72</v>
      </c>
      <c r="BN99" s="621">
        <v>59</v>
      </c>
      <c r="BO99" s="621">
        <v>28</v>
      </c>
      <c r="BP99" s="621">
        <v>31</v>
      </c>
      <c r="BQ99" s="621">
        <v>32</v>
      </c>
    </row>
    <row r="100" spans="1:69">
      <c r="A100" s="888">
        <v>294</v>
      </c>
      <c r="B100" s="889" t="s">
        <v>423</v>
      </c>
      <c r="C100" s="890" t="s">
        <v>168</v>
      </c>
      <c r="D100" s="621">
        <v>60041974</v>
      </c>
      <c r="E100" s="621">
        <v>56983040</v>
      </c>
      <c r="F100" s="621">
        <v>59432872</v>
      </c>
      <c r="G100" s="621">
        <v>56388909</v>
      </c>
      <c r="H100" s="648">
        <v>336.7</v>
      </c>
      <c r="I100" s="648">
        <v>337.4</v>
      </c>
      <c r="J100" s="649">
        <v>828</v>
      </c>
      <c r="K100" s="621">
        <v>3130222</v>
      </c>
      <c r="L100" s="484">
        <v>341.4</v>
      </c>
      <c r="M100" s="648">
        <v>342.7</v>
      </c>
      <c r="N100" s="649">
        <v>342.9</v>
      </c>
      <c r="O100" s="648">
        <v>355.3</v>
      </c>
      <c r="P100" s="621">
        <v>342975</v>
      </c>
      <c r="Q100" s="621">
        <v>378634</v>
      </c>
      <c r="R100" s="621">
        <v>0</v>
      </c>
      <c r="S100" s="621">
        <v>336024</v>
      </c>
      <c r="T100" s="621">
        <v>0</v>
      </c>
      <c r="U100" s="621">
        <v>0</v>
      </c>
      <c r="V100" s="621"/>
      <c r="W100" s="650">
        <v>0</v>
      </c>
      <c r="X100" s="621">
        <v>117</v>
      </c>
      <c r="Y100" s="621">
        <v>54</v>
      </c>
      <c r="Z100" s="650">
        <v>0</v>
      </c>
      <c r="AA100" s="650">
        <v>0</v>
      </c>
      <c r="AB100" s="651">
        <v>0</v>
      </c>
      <c r="AC100" s="621">
        <v>394562</v>
      </c>
      <c r="AD100" s="621">
        <v>347888</v>
      </c>
      <c r="AE100" s="621">
        <v>347888</v>
      </c>
      <c r="AF100" s="484">
        <v>341.4</v>
      </c>
      <c r="AG100" s="649">
        <v>342.7</v>
      </c>
      <c r="AH100" s="891">
        <v>342.9</v>
      </c>
      <c r="AI100" s="649">
        <v>355.3</v>
      </c>
      <c r="AJ100" s="652">
        <v>0</v>
      </c>
      <c r="AK100" s="621"/>
      <c r="AL100" s="621"/>
      <c r="AM100" s="621">
        <v>0</v>
      </c>
      <c r="AN100" s="621">
        <v>0</v>
      </c>
      <c r="AO100" s="649">
        <v>348.9</v>
      </c>
      <c r="AP100" s="649"/>
      <c r="AQ100" s="892">
        <v>0</v>
      </c>
      <c r="AR100" s="652"/>
      <c r="AS100" s="648"/>
      <c r="AT100" s="649">
        <v>0</v>
      </c>
      <c r="AU100" s="653">
        <v>0</v>
      </c>
      <c r="AV100" s="621">
        <v>2673510</v>
      </c>
      <c r="AW100" s="621">
        <v>0</v>
      </c>
      <c r="AX100" s="621">
        <v>0</v>
      </c>
      <c r="AY100" s="621">
        <v>0</v>
      </c>
      <c r="AZ100" s="621"/>
      <c r="BA100" s="428">
        <v>1</v>
      </c>
      <c r="BB100" s="621">
        <v>0</v>
      </c>
      <c r="BC100" s="621">
        <v>0</v>
      </c>
      <c r="BE100" s="621">
        <v>2744460</v>
      </c>
      <c r="BF100" s="621">
        <v>1781</v>
      </c>
      <c r="BG100" s="621">
        <v>2119</v>
      </c>
      <c r="BH100" s="4604">
        <v>31</v>
      </c>
      <c r="BI100" s="621">
        <v>59576445</v>
      </c>
      <c r="BJ100" s="621">
        <v>58979711</v>
      </c>
      <c r="BK100" s="621">
        <v>0</v>
      </c>
      <c r="BL100" s="4605">
        <v>113</v>
      </c>
      <c r="BM100" s="621">
        <v>110</v>
      </c>
      <c r="BN100" s="621">
        <v>118</v>
      </c>
      <c r="BO100" s="621">
        <v>52</v>
      </c>
      <c r="BP100" s="621">
        <v>46</v>
      </c>
      <c r="BQ100" s="621">
        <v>48</v>
      </c>
    </row>
    <row r="101" spans="1:69">
      <c r="A101" s="888">
        <v>297</v>
      </c>
      <c r="B101" s="889" t="s">
        <v>424</v>
      </c>
      <c r="C101" s="890" t="s">
        <v>129</v>
      </c>
      <c r="D101" s="621">
        <v>38623199</v>
      </c>
      <c r="E101" s="621">
        <v>36274277</v>
      </c>
      <c r="F101" s="621">
        <v>39426469</v>
      </c>
      <c r="G101" s="621">
        <v>37049439</v>
      </c>
      <c r="H101" s="648">
        <v>261.5</v>
      </c>
      <c r="I101" s="648">
        <v>263.8</v>
      </c>
      <c r="J101" s="649">
        <v>640</v>
      </c>
      <c r="K101" s="621">
        <v>2454924</v>
      </c>
      <c r="L101" s="484">
        <v>278</v>
      </c>
      <c r="M101" s="648">
        <v>261.5</v>
      </c>
      <c r="N101" s="649">
        <v>263.8</v>
      </c>
      <c r="O101" s="648">
        <v>269.5</v>
      </c>
      <c r="P101" s="621">
        <v>248907</v>
      </c>
      <c r="Q101" s="621">
        <v>234620</v>
      </c>
      <c r="R101" s="621">
        <v>37921</v>
      </c>
      <c r="S101" s="621">
        <v>211022</v>
      </c>
      <c r="T101" s="621">
        <v>0</v>
      </c>
      <c r="U101" s="621">
        <v>0</v>
      </c>
      <c r="V101" s="621"/>
      <c r="W101" s="650">
        <v>0</v>
      </c>
      <c r="X101" s="621">
        <v>81</v>
      </c>
      <c r="Y101" s="621">
        <v>54</v>
      </c>
      <c r="Z101" s="650">
        <v>0</v>
      </c>
      <c r="AA101" s="650">
        <v>0</v>
      </c>
      <c r="AB101" s="651">
        <v>0</v>
      </c>
      <c r="AC101" s="621">
        <v>313619</v>
      </c>
      <c r="AD101" s="621">
        <v>291560</v>
      </c>
      <c r="AE101" s="621">
        <v>291560</v>
      </c>
      <c r="AF101" s="484">
        <v>278</v>
      </c>
      <c r="AG101" s="649">
        <v>261.5</v>
      </c>
      <c r="AH101" s="891">
        <v>263.8</v>
      </c>
      <c r="AI101" s="649">
        <v>269.5</v>
      </c>
      <c r="AJ101" s="652">
        <v>0</v>
      </c>
      <c r="AK101" s="621"/>
      <c r="AL101" s="621"/>
      <c r="AM101" s="621">
        <v>0</v>
      </c>
      <c r="AN101" s="621">
        <v>0</v>
      </c>
      <c r="AO101" s="649">
        <v>269.5</v>
      </c>
      <c r="AP101" s="649"/>
      <c r="AQ101" s="892">
        <v>0</v>
      </c>
      <c r="AR101" s="652"/>
      <c r="AS101" s="648"/>
      <c r="AT101" s="649">
        <v>0</v>
      </c>
      <c r="AU101" s="653">
        <v>0</v>
      </c>
      <c r="AV101" s="621">
        <v>2224179</v>
      </c>
      <c r="AW101" s="621">
        <v>0</v>
      </c>
      <c r="AX101" s="621">
        <v>0</v>
      </c>
      <c r="AY101" s="621">
        <v>86584</v>
      </c>
      <c r="AZ101" s="621"/>
      <c r="BA101" s="428">
        <v>1</v>
      </c>
      <c r="BB101" s="621">
        <v>0</v>
      </c>
      <c r="BC101" s="621">
        <v>0</v>
      </c>
      <c r="BE101" s="621">
        <v>2219021</v>
      </c>
      <c r="BF101" s="621">
        <v>3551</v>
      </c>
      <c r="BG101" s="621">
        <v>2498</v>
      </c>
      <c r="BH101" s="4604">
        <v>31</v>
      </c>
      <c r="BI101" s="621">
        <v>38339932</v>
      </c>
      <c r="BJ101" s="621">
        <v>38953908</v>
      </c>
      <c r="BK101" s="621">
        <v>0</v>
      </c>
      <c r="BL101" s="4605">
        <v>81</v>
      </c>
      <c r="BM101" s="621">
        <v>79</v>
      </c>
      <c r="BN101" s="621">
        <v>84</v>
      </c>
      <c r="BO101" s="621">
        <v>43</v>
      </c>
      <c r="BP101" s="621">
        <v>47</v>
      </c>
      <c r="BQ101" s="621">
        <v>52</v>
      </c>
    </row>
    <row r="102" spans="1:69">
      <c r="A102" s="888">
        <v>298</v>
      </c>
      <c r="B102" s="889" t="s">
        <v>425</v>
      </c>
      <c r="C102" s="890" t="s">
        <v>169</v>
      </c>
      <c r="D102" s="621">
        <v>41462118</v>
      </c>
      <c r="E102" s="621">
        <v>39173634</v>
      </c>
      <c r="F102" s="621">
        <v>42386429</v>
      </c>
      <c r="G102" s="621">
        <v>40113128</v>
      </c>
      <c r="H102" s="648">
        <v>330.3</v>
      </c>
      <c r="I102" s="648">
        <v>311.10000000000002</v>
      </c>
      <c r="J102" s="649">
        <v>444</v>
      </c>
      <c r="K102" s="621">
        <v>3206067</v>
      </c>
      <c r="L102" s="484">
        <v>344</v>
      </c>
      <c r="M102" s="648">
        <v>335.8</v>
      </c>
      <c r="N102" s="649">
        <v>317.60000000000002</v>
      </c>
      <c r="O102" s="648">
        <v>317</v>
      </c>
      <c r="P102" s="621">
        <v>439392</v>
      </c>
      <c r="Q102" s="621">
        <v>404296</v>
      </c>
      <c r="R102" s="621">
        <v>101064</v>
      </c>
      <c r="S102" s="621">
        <v>375477</v>
      </c>
      <c r="T102" s="621">
        <v>0</v>
      </c>
      <c r="U102" s="621">
        <v>0</v>
      </c>
      <c r="V102" s="621"/>
      <c r="W102" s="650">
        <v>0</v>
      </c>
      <c r="X102" s="621">
        <v>135</v>
      </c>
      <c r="Y102" s="621">
        <v>51</v>
      </c>
      <c r="Z102" s="650">
        <v>0</v>
      </c>
      <c r="AA102" s="650">
        <v>0</v>
      </c>
      <c r="AB102" s="651">
        <v>7.7799999999999994E-2</v>
      </c>
      <c r="AC102" s="621">
        <v>345972</v>
      </c>
      <c r="AD102" s="621">
        <v>323090</v>
      </c>
      <c r="AE102" s="621">
        <v>323090</v>
      </c>
      <c r="AF102" s="484">
        <v>344</v>
      </c>
      <c r="AG102" s="649">
        <v>335.8</v>
      </c>
      <c r="AH102" s="891">
        <v>317.60000000000002</v>
      </c>
      <c r="AI102" s="649">
        <v>317</v>
      </c>
      <c r="AJ102" s="652">
        <v>0</v>
      </c>
      <c r="AK102" s="621"/>
      <c r="AL102" s="621"/>
      <c r="AM102" s="621">
        <v>7</v>
      </c>
      <c r="AN102" s="621">
        <v>0</v>
      </c>
      <c r="AO102" s="649">
        <v>310</v>
      </c>
      <c r="AP102" s="649"/>
      <c r="AQ102" s="892">
        <v>0</v>
      </c>
      <c r="AR102" s="652"/>
      <c r="AS102" s="648"/>
      <c r="AT102" s="649">
        <v>0</v>
      </c>
      <c r="AU102" s="653">
        <v>0</v>
      </c>
      <c r="AV102" s="621">
        <v>2729686</v>
      </c>
      <c r="AW102" s="621">
        <v>0</v>
      </c>
      <c r="AX102" s="621">
        <v>0</v>
      </c>
      <c r="AY102" s="621">
        <v>114446</v>
      </c>
      <c r="AZ102" s="621"/>
      <c r="BA102" s="428">
        <v>1</v>
      </c>
      <c r="BB102" s="621">
        <v>0</v>
      </c>
      <c r="BC102" s="621">
        <v>0</v>
      </c>
      <c r="BE102" s="621">
        <v>2801771</v>
      </c>
      <c r="BF102" s="621">
        <v>2339</v>
      </c>
      <c r="BG102" s="621">
        <v>2042</v>
      </c>
      <c r="BH102" s="4604">
        <v>33</v>
      </c>
      <c r="BI102" s="621">
        <v>41331729</v>
      </c>
      <c r="BJ102" s="621">
        <v>42272225</v>
      </c>
      <c r="BK102" s="621">
        <v>0</v>
      </c>
      <c r="BL102" s="4605">
        <v>144</v>
      </c>
      <c r="BM102" s="621">
        <v>126</v>
      </c>
      <c r="BN102" s="621">
        <v>123</v>
      </c>
      <c r="BO102" s="621">
        <v>51</v>
      </c>
      <c r="BP102" s="621">
        <v>57</v>
      </c>
      <c r="BQ102" s="621">
        <v>58</v>
      </c>
    </row>
    <row r="103" spans="1:69">
      <c r="A103" s="888">
        <v>299</v>
      </c>
      <c r="B103" s="889" t="s">
        <v>426</v>
      </c>
      <c r="C103" s="890" t="s">
        <v>169</v>
      </c>
      <c r="D103" s="621">
        <v>36391194</v>
      </c>
      <c r="E103" s="621">
        <v>34477150</v>
      </c>
      <c r="F103" s="621">
        <v>37220571</v>
      </c>
      <c r="G103" s="621">
        <v>35316843</v>
      </c>
      <c r="H103" s="648">
        <v>230.1</v>
      </c>
      <c r="I103" s="648">
        <v>231.4</v>
      </c>
      <c r="J103" s="649">
        <v>623</v>
      </c>
      <c r="K103" s="621">
        <v>2481310</v>
      </c>
      <c r="L103" s="484">
        <v>244.2</v>
      </c>
      <c r="M103" s="648">
        <v>234.1</v>
      </c>
      <c r="N103" s="649">
        <v>233.4</v>
      </c>
      <c r="O103" s="648">
        <v>233</v>
      </c>
      <c r="P103" s="621">
        <v>291225</v>
      </c>
      <c r="Q103" s="621">
        <v>268576</v>
      </c>
      <c r="R103" s="621">
        <v>0</v>
      </c>
      <c r="S103" s="621">
        <v>152613</v>
      </c>
      <c r="T103" s="621">
        <v>0</v>
      </c>
      <c r="U103" s="621">
        <v>0</v>
      </c>
      <c r="V103" s="621"/>
      <c r="W103" s="650">
        <v>0</v>
      </c>
      <c r="X103" s="621">
        <v>96</v>
      </c>
      <c r="Y103" s="621">
        <v>20</v>
      </c>
      <c r="Z103" s="650">
        <v>0</v>
      </c>
      <c r="AA103" s="650">
        <v>0</v>
      </c>
      <c r="AB103" s="651">
        <v>0</v>
      </c>
      <c r="AC103" s="621">
        <v>223964</v>
      </c>
      <c r="AD103" s="621">
        <v>219979</v>
      </c>
      <c r="AE103" s="621">
        <v>219979</v>
      </c>
      <c r="AF103" s="484">
        <v>244.2</v>
      </c>
      <c r="AG103" s="649">
        <v>234.1</v>
      </c>
      <c r="AH103" s="891">
        <v>233.4</v>
      </c>
      <c r="AI103" s="649">
        <v>233</v>
      </c>
      <c r="AJ103" s="652">
        <v>0</v>
      </c>
      <c r="AK103" s="621"/>
      <c r="AL103" s="621"/>
      <c r="AM103" s="621">
        <v>0</v>
      </c>
      <c r="AN103" s="621">
        <v>0</v>
      </c>
      <c r="AO103" s="649">
        <v>227.5</v>
      </c>
      <c r="AP103" s="649"/>
      <c r="AQ103" s="892">
        <v>0</v>
      </c>
      <c r="AR103" s="652"/>
      <c r="AS103" s="648"/>
      <c r="AT103" s="649">
        <v>0</v>
      </c>
      <c r="AU103" s="653">
        <v>0</v>
      </c>
      <c r="AV103" s="621">
        <v>2188480</v>
      </c>
      <c r="AW103" s="621">
        <v>0</v>
      </c>
      <c r="AX103" s="621">
        <v>0</v>
      </c>
      <c r="AY103" s="621">
        <v>0</v>
      </c>
      <c r="AZ103" s="621"/>
      <c r="BA103" s="428">
        <v>1</v>
      </c>
      <c r="BB103" s="621">
        <v>0</v>
      </c>
      <c r="BC103" s="621">
        <v>0</v>
      </c>
      <c r="BE103" s="621">
        <v>2212734</v>
      </c>
      <c r="BF103" s="621">
        <v>492</v>
      </c>
      <c r="BG103" s="621">
        <v>525</v>
      </c>
      <c r="BH103" s="4604">
        <v>31</v>
      </c>
      <c r="BI103" s="621">
        <v>36119328</v>
      </c>
      <c r="BJ103" s="621">
        <v>36967421</v>
      </c>
      <c r="BK103" s="621">
        <v>0</v>
      </c>
      <c r="BL103" s="4605">
        <v>89</v>
      </c>
      <c r="BM103" s="621">
        <v>89</v>
      </c>
      <c r="BN103" s="621">
        <v>95</v>
      </c>
      <c r="BO103" s="621">
        <v>18</v>
      </c>
      <c r="BP103" s="621">
        <v>23</v>
      </c>
      <c r="BQ103" s="621">
        <v>22</v>
      </c>
    </row>
    <row r="104" spans="1:69">
      <c r="A104" s="888">
        <v>300</v>
      </c>
      <c r="B104" s="889" t="s">
        <v>427</v>
      </c>
      <c r="C104" s="890" t="s">
        <v>170</v>
      </c>
      <c r="D104" s="621">
        <v>39423927</v>
      </c>
      <c r="E104" s="621">
        <v>37362787</v>
      </c>
      <c r="F104" s="621">
        <v>35758822</v>
      </c>
      <c r="G104" s="621">
        <v>33697399</v>
      </c>
      <c r="H104" s="648">
        <v>312.5</v>
      </c>
      <c r="I104" s="648">
        <v>326.5</v>
      </c>
      <c r="J104" s="649">
        <v>864</v>
      </c>
      <c r="K104" s="621">
        <v>3113254</v>
      </c>
      <c r="L104" s="484">
        <v>319</v>
      </c>
      <c r="M104" s="648">
        <v>312.5</v>
      </c>
      <c r="N104" s="649">
        <v>329.5</v>
      </c>
      <c r="O104" s="648">
        <v>286.5</v>
      </c>
      <c r="P104" s="621">
        <v>374073</v>
      </c>
      <c r="Q104" s="621">
        <v>390101</v>
      </c>
      <c r="R104" s="621">
        <v>95764</v>
      </c>
      <c r="S104" s="621">
        <v>356029</v>
      </c>
      <c r="T104" s="621">
        <v>0</v>
      </c>
      <c r="U104" s="621">
        <v>0</v>
      </c>
      <c r="V104" s="621"/>
      <c r="W104" s="650">
        <v>0</v>
      </c>
      <c r="X104" s="621">
        <v>89</v>
      </c>
      <c r="Y104" s="621">
        <v>50</v>
      </c>
      <c r="Z104" s="650">
        <v>0</v>
      </c>
      <c r="AA104" s="650">
        <v>0</v>
      </c>
      <c r="AB104" s="651">
        <v>0.1235</v>
      </c>
      <c r="AC104" s="621">
        <v>255837</v>
      </c>
      <c r="AD104" s="621">
        <v>248850</v>
      </c>
      <c r="AE104" s="621">
        <v>248850</v>
      </c>
      <c r="AF104" s="484">
        <v>319</v>
      </c>
      <c r="AG104" s="649">
        <v>312.5</v>
      </c>
      <c r="AH104" s="891">
        <v>329.5</v>
      </c>
      <c r="AI104" s="649">
        <v>286.5</v>
      </c>
      <c r="AJ104" s="652">
        <v>0</v>
      </c>
      <c r="AK104" s="621"/>
      <c r="AL104" s="621"/>
      <c r="AM104" s="621">
        <v>0</v>
      </c>
      <c r="AN104" s="621">
        <v>0</v>
      </c>
      <c r="AO104" s="649">
        <v>286.5</v>
      </c>
      <c r="AP104" s="649"/>
      <c r="AQ104" s="892">
        <v>0</v>
      </c>
      <c r="AR104" s="652"/>
      <c r="AS104" s="648"/>
      <c r="AT104" s="649">
        <v>0</v>
      </c>
      <c r="AU104" s="653">
        <v>0</v>
      </c>
      <c r="AV104" s="621">
        <v>2646248</v>
      </c>
      <c r="AW104" s="621">
        <v>0</v>
      </c>
      <c r="AX104" s="621">
        <v>0</v>
      </c>
      <c r="AY104" s="621">
        <v>45247</v>
      </c>
      <c r="AZ104" s="621"/>
      <c r="BA104" s="428">
        <v>1</v>
      </c>
      <c r="BB104" s="621">
        <v>0</v>
      </c>
      <c r="BC104" s="621">
        <v>0</v>
      </c>
      <c r="BE104" s="621">
        <v>2714690</v>
      </c>
      <c r="BF104" s="621">
        <v>0</v>
      </c>
      <c r="BG104" s="621">
        <v>0</v>
      </c>
      <c r="BH104" s="4604">
        <v>31</v>
      </c>
      <c r="BI104" s="621">
        <v>38473778</v>
      </c>
      <c r="BJ104" s="621">
        <v>34975779</v>
      </c>
      <c r="BK104" s="621">
        <v>0</v>
      </c>
      <c r="BL104" s="4605">
        <v>93</v>
      </c>
      <c r="BM104" s="621">
        <v>84</v>
      </c>
      <c r="BN104" s="621">
        <v>106</v>
      </c>
      <c r="BO104" s="621">
        <v>50</v>
      </c>
      <c r="BP104" s="621">
        <v>48</v>
      </c>
      <c r="BQ104" s="621">
        <v>63</v>
      </c>
    </row>
    <row r="105" spans="1:69">
      <c r="A105" s="888">
        <v>303</v>
      </c>
      <c r="B105" s="889" t="s">
        <v>428</v>
      </c>
      <c r="C105" s="890" t="s">
        <v>131</v>
      </c>
      <c r="D105" s="621">
        <v>40067738</v>
      </c>
      <c r="E105" s="621">
        <v>38170134</v>
      </c>
      <c r="F105" s="621">
        <v>34908916</v>
      </c>
      <c r="G105" s="621">
        <v>33011145</v>
      </c>
      <c r="H105" s="648">
        <v>278.5</v>
      </c>
      <c r="I105" s="648">
        <v>270.5</v>
      </c>
      <c r="J105" s="649">
        <v>517.79999999999995</v>
      </c>
      <c r="K105" s="621">
        <v>2571890</v>
      </c>
      <c r="L105" s="484">
        <v>277.10000000000002</v>
      </c>
      <c r="M105" s="648">
        <v>283.5</v>
      </c>
      <c r="N105" s="649">
        <v>277</v>
      </c>
      <c r="O105" s="648">
        <v>279.3</v>
      </c>
      <c r="P105" s="621">
        <v>203797</v>
      </c>
      <c r="Q105" s="621">
        <v>229172</v>
      </c>
      <c r="R105" s="621">
        <v>0</v>
      </c>
      <c r="S105" s="621">
        <v>229741</v>
      </c>
      <c r="T105" s="621">
        <v>0</v>
      </c>
      <c r="U105" s="621">
        <v>0</v>
      </c>
      <c r="V105" s="621"/>
      <c r="W105" s="650">
        <v>0</v>
      </c>
      <c r="X105" s="621">
        <v>96</v>
      </c>
      <c r="Y105" s="621">
        <v>33</v>
      </c>
      <c r="Z105" s="650">
        <v>0</v>
      </c>
      <c r="AA105" s="650">
        <v>0</v>
      </c>
      <c r="AB105" s="651">
        <v>1.6799999999999999E-2</v>
      </c>
      <c r="AC105" s="621">
        <v>282000</v>
      </c>
      <c r="AD105" s="621">
        <v>278664</v>
      </c>
      <c r="AE105" s="621">
        <v>278664</v>
      </c>
      <c r="AF105" s="484">
        <v>277.10000000000002</v>
      </c>
      <c r="AG105" s="649">
        <v>283.5</v>
      </c>
      <c r="AH105" s="891">
        <v>277</v>
      </c>
      <c r="AI105" s="649">
        <v>279.3</v>
      </c>
      <c r="AJ105" s="652">
        <v>0</v>
      </c>
      <c r="AK105" s="621"/>
      <c r="AL105" s="621"/>
      <c r="AM105" s="621">
        <v>0</v>
      </c>
      <c r="AN105" s="621">
        <v>0</v>
      </c>
      <c r="AO105" s="649">
        <v>277.8</v>
      </c>
      <c r="AP105" s="649"/>
      <c r="AQ105" s="892">
        <v>0</v>
      </c>
      <c r="AR105" s="652"/>
      <c r="AS105" s="648"/>
      <c r="AT105" s="649">
        <v>0</v>
      </c>
      <c r="AU105" s="653">
        <v>0</v>
      </c>
      <c r="AV105" s="621">
        <v>2253435</v>
      </c>
      <c r="AW105" s="621">
        <v>0</v>
      </c>
      <c r="AX105" s="621">
        <v>0</v>
      </c>
      <c r="AY105" s="621">
        <v>0</v>
      </c>
      <c r="AZ105" s="621"/>
      <c r="BA105" s="428">
        <v>1</v>
      </c>
      <c r="BB105" s="621">
        <v>0</v>
      </c>
      <c r="BC105" s="621">
        <v>0</v>
      </c>
      <c r="BE105" s="621">
        <v>2333003</v>
      </c>
      <c r="BF105" s="621">
        <v>1167</v>
      </c>
      <c r="BG105" s="621">
        <v>1994</v>
      </c>
      <c r="BH105" s="4604">
        <v>30</v>
      </c>
      <c r="BI105" s="621">
        <v>39362613</v>
      </c>
      <c r="BJ105" s="621">
        <v>34400205</v>
      </c>
      <c r="BK105" s="621">
        <v>0</v>
      </c>
      <c r="BL105" s="4605">
        <v>92</v>
      </c>
      <c r="BM105" s="621">
        <v>87</v>
      </c>
      <c r="BN105" s="621">
        <v>88</v>
      </c>
      <c r="BO105" s="621">
        <v>37</v>
      </c>
      <c r="BP105" s="621">
        <v>38</v>
      </c>
      <c r="BQ105" s="621">
        <v>43</v>
      </c>
    </row>
    <row r="106" spans="1:69">
      <c r="A106" s="888">
        <v>305</v>
      </c>
      <c r="B106" s="889" t="s">
        <v>429</v>
      </c>
      <c r="C106" s="890" t="s">
        <v>171</v>
      </c>
      <c r="D106" s="621">
        <v>487523695</v>
      </c>
      <c r="E106" s="621">
        <v>447027743</v>
      </c>
      <c r="F106" s="621">
        <v>490330664</v>
      </c>
      <c r="G106" s="621">
        <v>449560120</v>
      </c>
      <c r="H106" s="648">
        <v>7031</v>
      </c>
      <c r="I106" s="648">
        <v>6957.8</v>
      </c>
      <c r="J106" s="649">
        <v>93</v>
      </c>
      <c r="K106" s="621">
        <v>50854923</v>
      </c>
      <c r="L106" s="484">
        <v>7176</v>
      </c>
      <c r="M106" s="648">
        <v>7077.4</v>
      </c>
      <c r="N106" s="649">
        <v>6998.5</v>
      </c>
      <c r="O106" s="648">
        <v>6723.1</v>
      </c>
      <c r="P106" s="621">
        <v>7791954</v>
      </c>
      <c r="Q106" s="621">
        <v>7899704</v>
      </c>
      <c r="R106" s="621">
        <v>8557229</v>
      </c>
      <c r="S106" s="621">
        <v>6968955</v>
      </c>
      <c r="T106" s="621">
        <v>0</v>
      </c>
      <c r="U106" s="621">
        <v>0</v>
      </c>
      <c r="V106" s="621"/>
      <c r="W106" s="650">
        <v>0.41</v>
      </c>
      <c r="X106" s="621">
        <v>3078</v>
      </c>
      <c r="Y106" s="621">
        <v>847</v>
      </c>
      <c r="Z106" s="650">
        <v>0.4</v>
      </c>
      <c r="AA106" s="650">
        <v>0.04</v>
      </c>
      <c r="AB106" s="651">
        <v>0.50249999999999995</v>
      </c>
      <c r="AC106" s="621">
        <v>10147342</v>
      </c>
      <c r="AD106" s="621">
        <v>9523018</v>
      </c>
      <c r="AE106" s="621">
        <v>9523018</v>
      </c>
      <c r="AF106" s="484">
        <v>7176</v>
      </c>
      <c r="AG106" s="649">
        <v>7060</v>
      </c>
      <c r="AH106" s="891">
        <v>6988.3</v>
      </c>
      <c r="AI106" s="649">
        <v>6713.6</v>
      </c>
      <c r="AJ106" s="652">
        <v>0</v>
      </c>
      <c r="AK106" s="621"/>
      <c r="AL106" s="621"/>
      <c r="AM106" s="621">
        <v>83</v>
      </c>
      <c r="AN106" s="621">
        <v>0</v>
      </c>
      <c r="AO106" s="649">
        <v>6672.6</v>
      </c>
      <c r="AP106" s="649"/>
      <c r="AQ106" s="892">
        <v>0</v>
      </c>
      <c r="AR106" s="652"/>
      <c r="AS106" s="648"/>
      <c r="AT106" s="649">
        <v>0</v>
      </c>
      <c r="AU106" s="653">
        <v>0</v>
      </c>
      <c r="AV106" s="621">
        <v>43149848</v>
      </c>
      <c r="AW106" s="621">
        <v>1616792</v>
      </c>
      <c r="AX106" s="621">
        <v>1502201</v>
      </c>
      <c r="AY106" s="621">
        <v>8343600</v>
      </c>
      <c r="AZ106" s="621"/>
      <c r="BA106" s="428">
        <v>1</v>
      </c>
      <c r="BB106" s="621">
        <v>80789</v>
      </c>
      <c r="BC106" s="621">
        <v>80789</v>
      </c>
      <c r="BE106" s="621">
        <v>42955109</v>
      </c>
      <c r="BF106" s="621">
        <v>60294</v>
      </c>
      <c r="BG106" s="621">
        <v>69989</v>
      </c>
      <c r="BH106" s="4604">
        <v>33</v>
      </c>
      <c r="BI106" s="621">
        <v>481188075</v>
      </c>
      <c r="BJ106" s="621">
        <v>482198050</v>
      </c>
      <c r="BK106" s="621">
        <v>80789</v>
      </c>
      <c r="BL106" s="4605">
        <v>3428</v>
      </c>
      <c r="BM106" s="621">
        <v>3261</v>
      </c>
      <c r="BN106" s="621">
        <v>3167</v>
      </c>
      <c r="BO106" s="621">
        <v>1030</v>
      </c>
      <c r="BP106" s="621">
        <v>1014</v>
      </c>
      <c r="BQ106" s="621">
        <v>1022</v>
      </c>
    </row>
    <row r="107" spans="1:69">
      <c r="A107" s="888">
        <v>306</v>
      </c>
      <c r="B107" s="889" t="s">
        <v>430</v>
      </c>
      <c r="C107" s="890" t="s">
        <v>171</v>
      </c>
      <c r="D107" s="621">
        <v>77413333</v>
      </c>
      <c r="E107" s="621">
        <v>74470967</v>
      </c>
      <c r="F107" s="621">
        <v>77647753</v>
      </c>
      <c r="G107" s="621">
        <v>74698129</v>
      </c>
      <c r="H107" s="648">
        <v>687.5</v>
      </c>
      <c r="I107" s="648">
        <v>693.5</v>
      </c>
      <c r="J107" s="649">
        <v>217.5</v>
      </c>
      <c r="K107" s="621">
        <v>5689776</v>
      </c>
      <c r="L107" s="484">
        <v>658</v>
      </c>
      <c r="M107" s="648">
        <v>687.5</v>
      </c>
      <c r="N107" s="649">
        <v>693.5</v>
      </c>
      <c r="O107" s="648">
        <v>644</v>
      </c>
      <c r="P107" s="621">
        <v>711848</v>
      </c>
      <c r="Q107" s="621">
        <v>713711</v>
      </c>
      <c r="R107" s="621">
        <v>258928</v>
      </c>
      <c r="S107" s="621">
        <v>603783</v>
      </c>
      <c r="T107" s="621">
        <v>7277</v>
      </c>
      <c r="U107" s="621">
        <v>0</v>
      </c>
      <c r="V107" s="621"/>
      <c r="W107" s="650">
        <v>0</v>
      </c>
      <c r="X107" s="621">
        <v>104</v>
      </c>
      <c r="Y107" s="621">
        <v>31</v>
      </c>
      <c r="Z107" s="650">
        <v>0</v>
      </c>
      <c r="AA107" s="650">
        <v>0</v>
      </c>
      <c r="AB107" s="651">
        <v>0.16889999999999999</v>
      </c>
      <c r="AC107" s="621">
        <v>668400</v>
      </c>
      <c r="AD107" s="621">
        <v>637658</v>
      </c>
      <c r="AE107" s="621">
        <v>637658</v>
      </c>
      <c r="AF107" s="484">
        <v>658</v>
      </c>
      <c r="AG107" s="649">
        <v>687.5</v>
      </c>
      <c r="AH107" s="891">
        <v>693.5</v>
      </c>
      <c r="AI107" s="649">
        <v>644</v>
      </c>
      <c r="AJ107" s="652">
        <v>0</v>
      </c>
      <c r="AK107" s="621"/>
      <c r="AL107" s="621"/>
      <c r="AM107" s="621">
        <v>0</v>
      </c>
      <c r="AN107" s="621">
        <v>0</v>
      </c>
      <c r="AO107" s="649">
        <v>644</v>
      </c>
      <c r="AP107" s="649"/>
      <c r="AQ107" s="892">
        <v>0</v>
      </c>
      <c r="AR107" s="652"/>
      <c r="AS107" s="648"/>
      <c r="AT107" s="649">
        <v>0</v>
      </c>
      <c r="AU107" s="653">
        <v>0</v>
      </c>
      <c r="AV107" s="621">
        <v>4871830</v>
      </c>
      <c r="AW107" s="621">
        <v>0</v>
      </c>
      <c r="AX107" s="621">
        <v>0</v>
      </c>
      <c r="AY107" s="621">
        <v>232706</v>
      </c>
      <c r="AZ107" s="621"/>
      <c r="BA107" s="428">
        <v>1</v>
      </c>
      <c r="BB107" s="621">
        <v>37495</v>
      </c>
      <c r="BC107" s="621">
        <v>37495</v>
      </c>
      <c r="BE107" s="621">
        <v>4975823</v>
      </c>
      <c r="BF107" s="621">
        <v>514</v>
      </c>
      <c r="BG107" s="621">
        <v>537</v>
      </c>
      <c r="BH107" s="4604">
        <v>30</v>
      </c>
      <c r="BI107" s="621">
        <v>77413333</v>
      </c>
      <c r="BJ107" s="621">
        <v>77647753</v>
      </c>
      <c r="BK107" s="621">
        <v>37495</v>
      </c>
      <c r="BL107" s="4605">
        <v>104</v>
      </c>
      <c r="BM107" s="621">
        <v>134</v>
      </c>
      <c r="BN107" s="621">
        <v>108</v>
      </c>
      <c r="BO107" s="621">
        <v>60</v>
      </c>
      <c r="BP107" s="621">
        <v>42</v>
      </c>
      <c r="BQ107" s="621">
        <v>52</v>
      </c>
    </row>
    <row r="108" spans="1:69">
      <c r="A108" s="888">
        <v>307</v>
      </c>
      <c r="B108" s="889" t="s">
        <v>431</v>
      </c>
      <c r="C108" s="890" t="s">
        <v>171</v>
      </c>
      <c r="D108" s="621">
        <v>29222338</v>
      </c>
      <c r="E108" s="621">
        <v>27525290</v>
      </c>
      <c r="F108" s="621">
        <v>29506906</v>
      </c>
      <c r="G108" s="621">
        <v>27798429</v>
      </c>
      <c r="H108" s="648">
        <v>460</v>
      </c>
      <c r="I108" s="648">
        <v>478.5</v>
      </c>
      <c r="J108" s="649">
        <v>225</v>
      </c>
      <c r="K108" s="621">
        <v>4132661</v>
      </c>
      <c r="L108" s="484">
        <v>449</v>
      </c>
      <c r="M108" s="648">
        <v>467</v>
      </c>
      <c r="N108" s="649">
        <v>485</v>
      </c>
      <c r="O108" s="648">
        <v>462</v>
      </c>
      <c r="P108" s="621">
        <v>479299</v>
      </c>
      <c r="Q108" s="621">
        <v>506446</v>
      </c>
      <c r="R108" s="621">
        <v>753122</v>
      </c>
      <c r="S108" s="621">
        <v>410156</v>
      </c>
      <c r="T108" s="621">
        <v>0</v>
      </c>
      <c r="U108" s="621">
        <v>0</v>
      </c>
      <c r="V108" s="621"/>
      <c r="W108" s="650">
        <v>0.49</v>
      </c>
      <c r="X108" s="621">
        <v>91</v>
      </c>
      <c r="Y108" s="621">
        <v>49</v>
      </c>
      <c r="Z108" s="650">
        <v>0.48</v>
      </c>
      <c r="AA108" s="650">
        <v>0.12</v>
      </c>
      <c r="AB108" s="651">
        <v>0.55279999999999996</v>
      </c>
      <c r="AC108" s="621">
        <v>414749</v>
      </c>
      <c r="AD108" s="621">
        <v>385145</v>
      </c>
      <c r="AE108" s="621">
        <v>385145</v>
      </c>
      <c r="AF108" s="484">
        <v>449</v>
      </c>
      <c r="AG108" s="649">
        <v>467</v>
      </c>
      <c r="AH108" s="891">
        <v>485</v>
      </c>
      <c r="AI108" s="649">
        <v>462</v>
      </c>
      <c r="AJ108" s="652">
        <v>0</v>
      </c>
      <c r="AK108" s="621"/>
      <c r="AL108" s="621"/>
      <c r="AM108" s="621">
        <v>0</v>
      </c>
      <c r="AN108" s="621">
        <v>20026</v>
      </c>
      <c r="AO108" s="649">
        <v>459</v>
      </c>
      <c r="AP108" s="649"/>
      <c r="AQ108" s="892">
        <v>0</v>
      </c>
      <c r="AR108" s="652"/>
      <c r="AS108" s="648"/>
      <c r="AT108" s="649">
        <v>0</v>
      </c>
      <c r="AU108" s="653">
        <v>0</v>
      </c>
      <c r="AV108" s="621">
        <v>3535621</v>
      </c>
      <c r="AW108" s="621">
        <v>53984</v>
      </c>
      <c r="AX108" s="621">
        <v>56451</v>
      </c>
      <c r="AY108" s="621">
        <v>724407</v>
      </c>
      <c r="AZ108" s="621"/>
      <c r="BA108" s="428">
        <v>1</v>
      </c>
      <c r="BB108" s="621">
        <v>0</v>
      </c>
      <c r="BC108" s="621">
        <v>0</v>
      </c>
      <c r="BE108" s="621">
        <v>3606189</v>
      </c>
      <c r="BF108" s="621">
        <v>2356</v>
      </c>
      <c r="BG108" s="621">
        <v>1288</v>
      </c>
      <c r="BH108" s="4604">
        <v>33</v>
      </c>
      <c r="BI108" s="621">
        <v>29222338</v>
      </c>
      <c r="BJ108" s="621">
        <v>29506906</v>
      </c>
      <c r="BK108" s="621">
        <v>0</v>
      </c>
      <c r="BL108" s="4605">
        <v>96</v>
      </c>
      <c r="BM108" s="621">
        <v>124</v>
      </c>
      <c r="BN108" s="621">
        <v>143</v>
      </c>
      <c r="BO108" s="621">
        <v>87</v>
      </c>
      <c r="BP108" s="621">
        <v>72</v>
      </c>
      <c r="BQ108" s="621">
        <v>78</v>
      </c>
    </row>
    <row r="109" spans="1:69">
      <c r="A109" s="888">
        <v>308</v>
      </c>
      <c r="B109" s="889" t="s">
        <v>432</v>
      </c>
      <c r="C109" s="890" t="s">
        <v>172</v>
      </c>
      <c r="D109" s="621">
        <v>217728482</v>
      </c>
      <c r="E109" s="621">
        <v>189282665</v>
      </c>
      <c r="F109" s="621">
        <v>220615734</v>
      </c>
      <c r="G109" s="621">
        <v>192112753</v>
      </c>
      <c r="H109" s="648">
        <v>4320.1000000000004</v>
      </c>
      <c r="I109" s="648">
        <v>4272.1000000000004</v>
      </c>
      <c r="J109" s="649">
        <v>14</v>
      </c>
      <c r="K109" s="621">
        <v>32369081</v>
      </c>
      <c r="L109" s="484">
        <v>4473.1000000000004</v>
      </c>
      <c r="M109" s="648">
        <v>4339.1000000000004</v>
      </c>
      <c r="N109" s="649">
        <v>4285.6000000000004</v>
      </c>
      <c r="O109" s="648">
        <v>4059.9</v>
      </c>
      <c r="P109" s="621">
        <v>5607576</v>
      </c>
      <c r="Q109" s="621">
        <v>5554081</v>
      </c>
      <c r="R109" s="621">
        <v>6165907</v>
      </c>
      <c r="S109" s="621">
        <v>3778404</v>
      </c>
      <c r="T109" s="621">
        <v>1230</v>
      </c>
      <c r="U109" s="621">
        <v>0</v>
      </c>
      <c r="V109" s="621"/>
      <c r="W109" s="650">
        <v>0.59</v>
      </c>
      <c r="X109" s="621">
        <v>2109</v>
      </c>
      <c r="Y109" s="621">
        <v>646</v>
      </c>
      <c r="Z109" s="650">
        <v>0.57999999999999996</v>
      </c>
      <c r="AA109" s="650">
        <v>0.22</v>
      </c>
      <c r="AB109" s="651">
        <v>0.62919999999999998</v>
      </c>
      <c r="AC109" s="621">
        <v>5273420</v>
      </c>
      <c r="AD109" s="621">
        <v>4924770</v>
      </c>
      <c r="AE109" s="621">
        <v>4924770</v>
      </c>
      <c r="AF109" s="484">
        <v>4473.1000000000004</v>
      </c>
      <c r="AG109" s="649">
        <v>4339.1000000000004</v>
      </c>
      <c r="AH109" s="891">
        <v>4285.6000000000004</v>
      </c>
      <c r="AI109" s="649">
        <v>4059.9</v>
      </c>
      <c r="AJ109" s="652">
        <v>0</v>
      </c>
      <c r="AK109" s="621"/>
      <c r="AL109" s="621"/>
      <c r="AM109" s="621">
        <v>2</v>
      </c>
      <c r="AN109" s="621">
        <v>0</v>
      </c>
      <c r="AO109" s="649">
        <v>4042.4</v>
      </c>
      <c r="AP109" s="649"/>
      <c r="AQ109" s="892">
        <v>0</v>
      </c>
      <c r="AR109" s="652"/>
      <c r="AS109" s="648"/>
      <c r="AT109" s="649">
        <v>0</v>
      </c>
      <c r="AU109" s="653">
        <v>0</v>
      </c>
      <c r="AV109" s="621">
        <v>26991328</v>
      </c>
      <c r="AW109" s="621">
        <v>666539</v>
      </c>
      <c r="AX109" s="621">
        <v>743294</v>
      </c>
      <c r="AY109" s="621">
        <v>6087405</v>
      </c>
      <c r="AZ109" s="621"/>
      <c r="BA109" s="428">
        <v>1</v>
      </c>
      <c r="BB109" s="621">
        <v>182815</v>
      </c>
      <c r="BC109" s="621">
        <v>182815</v>
      </c>
      <c r="BE109" s="621">
        <v>26814189</v>
      </c>
      <c r="BF109" s="621">
        <v>42204</v>
      </c>
      <c r="BG109" s="621">
        <v>61989</v>
      </c>
      <c r="BH109" s="4604">
        <v>31</v>
      </c>
      <c r="BI109" s="621">
        <v>214052017</v>
      </c>
      <c r="BJ109" s="621">
        <v>217505343</v>
      </c>
      <c r="BK109" s="621">
        <v>182815</v>
      </c>
      <c r="BL109" s="4605">
        <v>2436</v>
      </c>
      <c r="BM109" s="621">
        <v>2369</v>
      </c>
      <c r="BN109" s="621">
        <v>2234</v>
      </c>
      <c r="BO109" s="621">
        <v>650</v>
      </c>
      <c r="BP109" s="621">
        <v>559</v>
      </c>
      <c r="BQ109" s="621">
        <v>643</v>
      </c>
    </row>
    <row r="110" spans="1:69">
      <c r="A110" s="888">
        <v>309</v>
      </c>
      <c r="B110" s="889" t="s">
        <v>433</v>
      </c>
      <c r="C110" s="890" t="s">
        <v>172</v>
      </c>
      <c r="D110" s="621">
        <v>77961654</v>
      </c>
      <c r="E110" s="621">
        <v>71305958</v>
      </c>
      <c r="F110" s="621">
        <v>82730478</v>
      </c>
      <c r="G110" s="621">
        <v>76053519</v>
      </c>
      <c r="H110" s="648">
        <v>1076.4000000000001</v>
      </c>
      <c r="I110" s="648">
        <v>1046</v>
      </c>
      <c r="J110" s="649">
        <v>187.5</v>
      </c>
      <c r="K110" s="621">
        <v>9185036</v>
      </c>
      <c r="L110" s="484">
        <v>1098.5</v>
      </c>
      <c r="M110" s="648">
        <v>1120.7</v>
      </c>
      <c r="N110" s="649">
        <v>1095.4000000000001</v>
      </c>
      <c r="O110" s="648">
        <v>1084.5999999999999</v>
      </c>
      <c r="P110" s="621">
        <v>1285239</v>
      </c>
      <c r="Q110" s="621">
        <v>1278760</v>
      </c>
      <c r="R110" s="621">
        <v>1336900</v>
      </c>
      <c r="S110" s="621">
        <v>1185157</v>
      </c>
      <c r="T110" s="621">
        <v>9821</v>
      </c>
      <c r="U110" s="621">
        <v>0</v>
      </c>
      <c r="V110" s="621"/>
      <c r="W110" s="650">
        <v>0.38</v>
      </c>
      <c r="X110" s="621">
        <v>426</v>
      </c>
      <c r="Y110" s="621">
        <v>139</v>
      </c>
      <c r="Z110" s="650">
        <v>0.37</v>
      </c>
      <c r="AA110" s="650">
        <v>0.01</v>
      </c>
      <c r="AB110" s="651">
        <v>0.4894</v>
      </c>
      <c r="AC110" s="621">
        <v>1113134</v>
      </c>
      <c r="AD110" s="621">
        <v>1073319</v>
      </c>
      <c r="AE110" s="621">
        <v>1073319</v>
      </c>
      <c r="AF110" s="484">
        <v>1098.5</v>
      </c>
      <c r="AG110" s="649">
        <v>1086.4000000000001</v>
      </c>
      <c r="AH110" s="891">
        <v>1057</v>
      </c>
      <c r="AI110" s="649">
        <v>1013.8</v>
      </c>
      <c r="AJ110" s="652">
        <v>0</v>
      </c>
      <c r="AK110" s="621"/>
      <c r="AL110" s="621"/>
      <c r="AM110" s="621">
        <v>0</v>
      </c>
      <c r="AN110" s="621">
        <v>0</v>
      </c>
      <c r="AO110" s="649">
        <v>1006.3</v>
      </c>
      <c r="AP110" s="649"/>
      <c r="AQ110" s="892">
        <v>0</v>
      </c>
      <c r="AR110" s="652"/>
      <c r="AS110" s="648"/>
      <c r="AT110" s="649">
        <v>0</v>
      </c>
      <c r="AU110" s="653">
        <v>0</v>
      </c>
      <c r="AV110" s="621">
        <v>7734884</v>
      </c>
      <c r="AW110" s="621">
        <v>250316</v>
      </c>
      <c r="AX110" s="621">
        <v>247713</v>
      </c>
      <c r="AY110" s="621">
        <v>1309855</v>
      </c>
      <c r="AZ110" s="621"/>
      <c r="BA110" s="428">
        <v>1</v>
      </c>
      <c r="BB110" s="621">
        <v>0</v>
      </c>
      <c r="BC110" s="621">
        <v>0</v>
      </c>
      <c r="BE110" s="621">
        <v>7906173</v>
      </c>
      <c r="BF110" s="621">
        <v>5663</v>
      </c>
      <c r="BG110" s="621">
        <v>5984</v>
      </c>
      <c r="BH110" s="4604">
        <v>31</v>
      </c>
      <c r="BI110" s="621">
        <v>76555240</v>
      </c>
      <c r="BJ110" s="621">
        <v>81484612</v>
      </c>
      <c r="BK110" s="621">
        <v>0</v>
      </c>
      <c r="BL110" s="4605">
        <v>531</v>
      </c>
      <c r="BM110" s="621">
        <v>529</v>
      </c>
      <c r="BN110" s="621">
        <v>457</v>
      </c>
      <c r="BO110" s="621">
        <v>131</v>
      </c>
      <c r="BP110" s="621">
        <v>125</v>
      </c>
      <c r="BQ110" s="621">
        <v>128</v>
      </c>
    </row>
    <row r="111" spans="1:69">
      <c r="A111" s="888">
        <v>310</v>
      </c>
      <c r="B111" s="889" t="s">
        <v>434</v>
      </c>
      <c r="C111" s="890" t="s">
        <v>172</v>
      </c>
      <c r="D111" s="621">
        <v>45199408</v>
      </c>
      <c r="E111" s="621">
        <v>42684264</v>
      </c>
      <c r="F111" s="621">
        <v>43576978</v>
      </c>
      <c r="G111" s="621">
        <v>41063589</v>
      </c>
      <c r="H111" s="648">
        <v>277.5</v>
      </c>
      <c r="I111" s="648">
        <v>278.5</v>
      </c>
      <c r="J111" s="649">
        <v>435.5</v>
      </c>
      <c r="K111" s="621">
        <v>3005945</v>
      </c>
      <c r="L111" s="484">
        <v>284.5</v>
      </c>
      <c r="M111" s="648">
        <v>277.5</v>
      </c>
      <c r="N111" s="649">
        <v>285</v>
      </c>
      <c r="O111" s="648">
        <v>264.60000000000002</v>
      </c>
      <c r="P111" s="621">
        <v>364006</v>
      </c>
      <c r="Q111" s="621">
        <v>338932</v>
      </c>
      <c r="R111" s="621">
        <v>0</v>
      </c>
      <c r="S111" s="621">
        <v>385012</v>
      </c>
      <c r="T111" s="621">
        <v>0</v>
      </c>
      <c r="U111" s="621">
        <v>0</v>
      </c>
      <c r="V111" s="621"/>
      <c r="W111" s="650">
        <v>0</v>
      </c>
      <c r="X111" s="621">
        <v>121</v>
      </c>
      <c r="Y111" s="621">
        <v>28</v>
      </c>
      <c r="Z111" s="650">
        <v>0</v>
      </c>
      <c r="AA111" s="650">
        <v>0</v>
      </c>
      <c r="AB111" s="651">
        <v>0</v>
      </c>
      <c r="AC111" s="621">
        <v>370757</v>
      </c>
      <c r="AD111" s="621">
        <v>355624</v>
      </c>
      <c r="AE111" s="621">
        <v>355624</v>
      </c>
      <c r="AF111" s="484">
        <v>284.5</v>
      </c>
      <c r="AG111" s="649">
        <v>277.5</v>
      </c>
      <c r="AH111" s="891">
        <v>285</v>
      </c>
      <c r="AI111" s="649">
        <v>264.60000000000002</v>
      </c>
      <c r="AJ111" s="652">
        <v>0</v>
      </c>
      <c r="AK111" s="621"/>
      <c r="AL111" s="621"/>
      <c r="AM111" s="621">
        <v>1</v>
      </c>
      <c r="AN111" s="621">
        <v>0</v>
      </c>
      <c r="AO111" s="649">
        <v>256.60000000000002</v>
      </c>
      <c r="AP111" s="649"/>
      <c r="AQ111" s="892">
        <v>0</v>
      </c>
      <c r="AR111" s="652"/>
      <c r="AS111" s="648"/>
      <c r="AT111" s="649">
        <v>0</v>
      </c>
      <c r="AU111" s="653">
        <v>0</v>
      </c>
      <c r="AV111" s="621">
        <v>2703906</v>
      </c>
      <c r="AW111" s="621">
        <v>0</v>
      </c>
      <c r="AX111" s="621">
        <v>0</v>
      </c>
      <c r="AY111" s="621">
        <v>0</v>
      </c>
      <c r="AZ111" s="621"/>
      <c r="BA111" s="428">
        <v>1</v>
      </c>
      <c r="BB111" s="621">
        <v>0</v>
      </c>
      <c r="BC111" s="621">
        <v>0</v>
      </c>
      <c r="BE111" s="621">
        <v>2665207</v>
      </c>
      <c r="BF111" s="621">
        <v>2910</v>
      </c>
      <c r="BG111" s="621">
        <v>0</v>
      </c>
      <c r="BH111" s="4604">
        <v>31</v>
      </c>
      <c r="BI111" s="621">
        <v>45199408</v>
      </c>
      <c r="BJ111" s="621">
        <v>43576978</v>
      </c>
      <c r="BK111" s="621">
        <v>0</v>
      </c>
      <c r="BL111" s="4605">
        <v>153</v>
      </c>
      <c r="BM111" s="621">
        <v>136</v>
      </c>
      <c r="BN111" s="621">
        <v>154</v>
      </c>
      <c r="BO111" s="621">
        <v>33</v>
      </c>
      <c r="BP111" s="621">
        <v>38</v>
      </c>
      <c r="BQ111" s="621">
        <v>28</v>
      </c>
    </row>
    <row r="112" spans="1:69">
      <c r="A112" s="888">
        <v>311</v>
      </c>
      <c r="B112" s="889" t="s">
        <v>435</v>
      </c>
      <c r="C112" s="890" t="s">
        <v>172</v>
      </c>
      <c r="D112" s="621">
        <v>20534225</v>
      </c>
      <c r="E112" s="621">
        <v>18974560</v>
      </c>
      <c r="F112" s="621">
        <v>20518034</v>
      </c>
      <c r="G112" s="621">
        <v>18957730</v>
      </c>
      <c r="H112" s="648">
        <v>272</v>
      </c>
      <c r="I112" s="648">
        <v>296.2</v>
      </c>
      <c r="J112" s="649">
        <v>208</v>
      </c>
      <c r="K112" s="621">
        <v>2729978</v>
      </c>
      <c r="L112" s="484">
        <v>259.60000000000002</v>
      </c>
      <c r="M112" s="648">
        <v>274</v>
      </c>
      <c r="N112" s="649">
        <v>301.7</v>
      </c>
      <c r="O112" s="648">
        <v>290.10000000000002</v>
      </c>
      <c r="P112" s="621">
        <v>277806</v>
      </c>
      <c r="Q112" s="621">
        <v>314746</v>
      </c>
      <c r="R112" s="621">
        <v>377924</v>
      </c>
      <c r="S112" s="621">
        <v>255358</v>
      </c>
      <c r="T112" s="621">
        <v>0</v>
      </c>
      <c r="U112" s="621">
        <v>0</v>
      </c>
      <c r="V112" s="621"/>
      <c r="W112" s="650">
        <v>0.42</v>
      </c>
      <c r="X112" s="621">
        <v>75</v>
      </c>
      <c r="Y112" s="621">
        <v>41</v>
      </c>
      <c r="Z112" s="650">
        <v>0.41</v>
      </c>
      <c r="AA112" s="650">
        <v>0.05</v>
      </c>
      <c r="AB112" s="651">
        <v>0.49120000000000003</v>
      </c>
      <c r="AC112" s="621">
        <v>291037</v>
      </c>
      <c r="AD112" s="621">
        <v>309068</v>
      </c>
      <c r="AE112" s="621">
        <v>309068</v>
      </c>
      <c r="AF112" s="484">
        <v>259.60000000000002</v>
      </c>
      <c r="AG112" s="649">
        <v>274</v>
      </c>
      <c r="AH112" s="891">
        <v>301.7</v>
      </c>
      <c r="AI112" s="649">
        <v>290.10000000000002</v>
      </c>
      <c r="AJ112" s="652">
        <v>0</v>
      </c>
      <c r="AK112" s="621"/>
      <c r="AL112" s="621"/>
      <c r="AM112" s="621">
        <v>1</v>
      </c>
      <c r="AN112" s="621">
        <v>0</v>
      </c>
      <c r="AO112" s="649">
        <v>285.10000000000002</v>
      </c>
      <c r="AP112" s="649"/>
      <c r="AQ112" s="892">
        <v>0</v>
      </c>
      <c r="AR112" s="652"/>
      <c r="AS112" s="648"/>
      <c r="AT112" s="649">
        <v>0</v>
      </c>
      <c r="AU112" s="653">
        <v>0</v>
      </c>
      <c r="AV112" s="621">
        <v>2267767</v>
      </c>
      <c r="AW112" s="621">
        <v>57346</v>
      </c>
      <c r="AX112" s="621">
        <v>65503</v>
      </c>
      <c r="AY112" s="621">
        <v>307676</v>
      </c>
      <c r="AZ112" s="621"/>
      <c r="BA112" s="428">
        <v>1</v>
      </c>
      <c r="BB112" s="621">
        <v>0</v>
      </c>
      <c r="BC112" s="621">
        <v>0</v>
      </c>
      <c r="BE112" s="621">
        <v>2414849</v>
      </c>
      <c r="BF112" s="621">
        <v>2706</v>
      </c>
      <c r="BG112" s="621">
        <v>0</v>
      </c>
      <c r="BH112" s="4604">
        <v>31</v>
      </c>
      <c r="BI112" s="621">
        <v>20488461</v>
      </c>
      <c r="BJ112" s="621">
        <v>20484985</v>
      </c>
      <c r="BK112" s="621">
        <v>0</v>
      </c>
      <c r="BL112" s="4605">
        <v>71</v>
      </c>
      <c r="BM112" s="621">
        <v>76</v>
      </c>
      <c r="BN112" s="621">
        <v>83</v>
      </c>
      <c r="BO112" s="621">
        <v>19</v>
      </c>
      <c r="BP112" s="621">
        <v>19</v>
      </c>
      <c r="BQ112" s="621">
        <v>37</v>
      </c>
    </row>
    <row r="113" spans="1:69">
      <c r="A113" s="888">
        <v>312</v>
      </c>
      <c r="B113" s="889" t="s">
        <v>436</v>
      </c>
      <c r="C113" s="890" t="s">
        <v>172</v>
      </c>
      <c r="D113" s="621">
        <v>80406749</v>
      </c>
      <c r="E113" s="621">
        <v>75282518</v>
      </c>
      <c r="F113" s="621">
        <v>81842664</v>
      </c>
      <c r="G113" s="621">
        <v>76651797</v>
      </c>
      <c r="H113" s="648">
        <v>737</v>
      </c>
      <c r="I113" s="648">
        <v>734.5</v>
      </c>
      <c r="J113" s="649">
        <v>282</v>
      </c>
      <c r="K113" s="621">
        <v>6786728</v>
      </c>
      <c r="L113" s="484">
        <v>797</v>
      </c>
      <c r="M113" s="648">
        <v>804.4</v>
      </c>
      <c r="N113" s="649">
        <v>801.6</v>
      </c>
      <c r="O113" s="648">
        <v>759.6</v>
      </c>
      <c r="P113" s="621">
        <v>892622</v>
      </c>
      <c r="Q113" s="621">
        <v>845105</v>
      </c>
      <c r="R113" s="621">
        <v>618525</v>
      </c>
      <c r="S113" s="621">
        <v>984291</v>
      </c>
      <c r="T113" s="621">
        <v>7749</v>
      </c>
      <c r="U113" s="621">
        <v>0</v>
      </c>
      <c r="V113" s="621"/>
      <c r="W113" s="650">
        <v>0.05</v>
      </c>
      <c r="X113" s="621">
        <v>226</v>
      </c>
      <c r="Y113" s="621">
        <v>70</v>
      </c>
      <c r="Z113" s="650">
        <v>0.05</v>
      </c>
      <c r="AA113" s="650">
        <v>0</v>
      </c>
      <c r="AB113" s="651">
        <v>0.27160000000000001</v>
      </c>
      <c r="AC113" s="621">
        <v>790480</v>
      </c>
      <c r="AD113" s="621">
        <v>750334</v>
      </c>
      <c r="AE113" s="621">
        <v>750334</v>
      </c>
      <c r="AF113" s="484">
        <v>797</v>
      </c>
      <c r="AG113" s="649">
        <v>751</v>
      </c>
      <c r="AH113" s="891">
        <v>747</v>
      </c>
      <c r="AI113" s="649">
        <v>692.8</v>
      </c>
      <c r="AJ113" s="652">
        <v>0</v>
      </c>
      <c r="AK113" s="621"/>
      <c r="AL113" s="621"/>
      <c r="AM113" s="621">
        <v>2</v>
      </c>
      <c r="AN113" s="621">
        <v>0</v>
      </c>
      <c r="AO113" s="649">
        <v>684.3</v>
      </c>
      <c r="AP113" s="649"/>
      <c r="AQ113" s="892">
        <v>0</v>
      </c>
      <c r="AR113" s="652"/>
      <c r="AS113" s="648"/>
      <c r="AT113" s="649">
        <v>0</v>
      </c>
      <c r="AU113" s="653">
        <v>0</v>
      </c>
      <c r="AV113" s="621">
        <v>5969104</v>
      </c>
      <c r="AW113" s="621">
        <v>64121</v>
      </c>
      <c r="AX113" s="621">
        <v>43748</v>
      </c>
      <c r="AY113" s="621">
        <v>667110</v>
      </c>
      <c r="AZ113" s="621"/>
      <c r="BA113" s="428">
        <v>1</v>
      </c>
      <c r="BB113" s="621">
        <v>0</v>
      </c>
      <c r="BC113" s="621">
        <v>0</v>
      </c>
      <c r="BE113" s="621">
        <v>5937864</v>
      </c>
      <c r="BF113" s="621">
        <v>3411</v>
      </c>
      <c r="BG113" s="621">
        <v>5510</v>
      </c>
      <c r="BH113" s="4604">
        <v>31</v>
      </c>
      <c r="BI113" s="621">
        <v>79590656</v>
      </c>
      <c r="BJ113" s="621">
        <v>81109569</v>
      </c>
      <c r="BK113" s="621">
        <v>0</v>
      </c>
      <c r="BL113" s="4605">
        <v>260</v>
      </c>
      <c r="BM113" s="621">
        <v>236</v>
      </c>
      <c r="BN113" s="621">
        <v>243</v>
      </c>
      <c r="BO113" s="621">
        <v>106</v>
      </c>
      <c r="BP113" s="621">
        <v>133</v>
      </c>
      <c r="BQ113" s="621">
        <v>119</v>
      </c>
    </row>
    <row r="114" spans="1:69">
      <c r="A114" s="888">
        <v>313</v>
      </c>
      <c r="B114" s="889" t="s">
        <v>437</v>
      </c>
      <c r="C114" s="890" t="s">
        <v>172</v>
      </c>
      <c r="D114" s="621">
        <v>166207943</v>
      </c>
      <c r="E114" s="621">
        <v>155334079</v>
      </c>
      <c r="F114" s="621">
        <v>173662917</v>
      </c>
      <c r="G114" s="621">
        <v>162741546</v>
      </c>
      <c r="H114" s="648">
        <v>2231.5</v>
      </c>
      <c r="I114" s="648">
        <v>2232</v>
      </c>
      <c r="J114" s="649">
        <v>137.69999999999999</v>
      </c>
      <c r="K114" s="621">
        <v>15398901</v>
      </c>
      <c r="L114" s="484">
        <v>2292</v>
      </c>
      <c r="M114" s="648">
        <v>2247</v>
      </c>
      <c r="N114" s="649">
        <v>2251.5</v>
      </c>
      <c r="O114" s="648">
        <v>2208</v>
      </c>
      <c r="P114" s="621">
        <v>2512290</v>
      </c>
      <c r="Q114" s="621">
        <v>2479995</v>
      </c>
      <c r="R114" s="621">
        <v>2374756</v>
      </c>
      <c r="S114" s="621">
        <v>2427444</v>
      </c>
      <c r="T114" s="621">
        <v>0</v>
      </c>
      <c r="U114" s="621">
        <v>0</v>
      </c>
      <c r="V114" s="621"/>
      <c r="W114" s="650">
        <v>0.35</v>
      </c>
      <c r="X114" s="621">
        <v>574</v>
      </c>
      <c r="Y114" s="621">
        <v>211</v>
      </c>
      <c r="Z114" s="650">
        <v>0.34</v>
      </c>
      <c r="AA114" s="650">
        <v>0</v>
      </c>
      <c r="AB114" s="651">
        <v>0.45929999999999999</v>
      </c>
      <c r="AC114" s="621">
        <v>1831237</v>
      </c>
      <c r="AD114" s="621">
        <v>1652326</v>
      </c>
      <c r="AE114" s="621">
        <v>1652326</v>
      </c>
      <c r="AF114" s="484">
        <v>2292</v>
      </c>
      <c r="AG114" s="649">
        <v>2247</v>
      </c>
      <c r="AH114" s="891">
        <v>2251.5</v>
      </c>
      <c r="AI114" s="649">
        <v>2208</v>
      </c>
      <c r="AJ114" s="652">
        <v>0</v>
      </c>
      <c r="AK114" s="621"/>
      <c r="AL114" s="621"/>
      <c r="AM114" s="621">
        <v>4</v>
      </c>
      <c r="AN114" s="621">
        <v>0</v>
      </c>
      <c r="AO114" s="649">
        <v>2188.5</v>
      </c>
      <c r="AP114" s="649"/>
      <c r="AQ114" s="892">
        <v>0</v>
      </c>
      <c r="AR114" s="652"/>
      <c r="AS114" s="648"/>
      <c r="AT114" s="649">
        <v>0</v>
      </c>
      <c r="AU114" s="653">
        <v>0</v>
      </c>
      <c r="AV114" s="621">
        <v>12678715</v>
      </c>
      <c r="AW114" s="621">
        <v>461811</v>
      </c>
      <c r="AX114" s="621">
        <v>479309</v>
      </c>
      <c r="AY114" s="621">
        <v>2065849</v>
      </c>
      <c r="AZ114" s="621"/>
      <c r="BA114" s="428">
        <v>1</v>
      </c>
      <c r="BB114" s="621">
        <v>0</v>
      </c>
      <c r="BC114" s="621">
        <v>0</v>
      </c>
      <c r="BE114" s="621">
        <v>12917842</v>
      </c>
      <c r="BF114" s="621">
        <v>1686</v>
      </c>
      <c r="BG114" s="621">
        <v>4852</v>
      </c>
      <c r="BH114" s="4604">
        <v>33</v>
      </c>
      <c r="BI114" s="621">
        <v>164932323</v>
      </c>
      <c r="BJ114" s="621">
        <v>172475488</v>
      </c>
      <c r="BK114" s="621">
        <v>0</v>
      </c>
      <c r="BL114" s="4605">
        <v>587</v>
      </c>
      <c r="BM114" s="621">
        <v>598</v>
      </c>
      <c r="BN114" s="621">
        <v>551</v>
      </c>
      <c r="BO114" s="621">
        <v>253</v>
      </c>
      <c r="BP114" s="621">
        <v>224</v>
      </c>
      <c r="BQ114" s="621">
        <v>232</v>
      </c>
    </row>
    <row r="115" spans="1:69">
      <c r="A115" s="888">
        <v>314</v>
      </c>
      <c r="B115" s="889" t="s">
        <v>438</v>
      </c>
      <c r="C115" s="890" t="s">
        <v>173</v>
      </c>
      <c r="D115" s="621">
        <v>25315340</v>
      </c>
      <c r="E115" s="621">
        <v>24691339</v>
      </c>
      <c r="F115" s="621">
        <v>24254656</v>
      </c>
      <c r="G115" s="621">
        <v>23628522</v>
      </c>
      <c r="H115" s="648">
        <v>124</v>
      </c>
      <c r="I115" s="648">
        <v>109</v>
      </c>
      <c r="J115" s="649">
        <v>372.8</v>
      </c>
      <c r="K115" s="621">
        <v>1494666</v>
      </c>
      <c r="L115" s="484">
        <v>131</v>
      </c>
      <c r="M115" s="648">
        <v>126</v>
      </c>
      <c r="N115" s="649">
        <v>115</v>
      </c>
      <c r="O115" s="648">
        <v>133</v>
      </c>
      <c r="P115" s="621">
        <v>159982</v>
      </c>
      <c r="Q115" s="621">
        <v>193843</v>
      </c>
      <c r="R115" s="621">
        <v>0</v>
      </c>
      <c r="S115" s="621">
        <v>117129</v>
      </c>
      <c r="T115" s="621">
        <v>0</v>
      </c>
      <c r="U115" s="621">
        <v>0</v>
      </c>
      <c r="V115" s="621"/>
      <c r="W115" s="650">
        <v>0</v>
      </c>
      <c r="X115" s="621">
        <v>22</v>
      </c>
      <c r="Y115" s="621">
        <v>24</v>
      </c>
      <c r="Z115" s="650">
        <v>0</v>
      </c>
      <c r="AA115" s="650">
        <v>0</v>
      </c>
      <c r="AB115" s="651">
        <v>0</v>
      </c>
      <c r="AC115" s="621">
        <v>160277</v>
      </c>
      <c r="AD115" s="621">
        <v>154859</v>
      </c>
      <c r="AE115" s="621">
        <v>154859</v>
      </c>
      <c r="AF115" s="484">
        <v>131</v>
      </c>
      <c r="AG115" s="649">
        <v>115</v>
      </c>
      <c r="AH115" s="891">
        <v>109</v>
      </c>
      <c r="AI115" s="649">
        <v>121</v>
      </c>
      <c r="AJ115" s="652">
        <v>0</v>
      </c>
      <c r="AK115" s="621"/>
      <c r="AL115" s="621"/>
      <c r="AM115" s="621">
        <v>2</v>
      </c>
      <c r="AN115" s="621">
        <v>0</v>
      </c>
      <c r="AO115" s="649">
        <v>121</v>
      </c>
      <c r="AP115" s="649"/>
      <c r="AQ115" s="892">
        <v>2</v>
      </c>
      <c r="AR115" s="652"/>
      <c r="AS115" s="648"/>
      <c r="AT115" s="649">
        <v>0</v>
      </c>
      <c r="AU115" s="653">
        <v>0</v>
      </c>
      <c r="AV115" s="621">
        <v>1293352</v>
      </c>
      <c r="AW115" s="621">
        <v>0</v>
      </c>
      <c r="AX115" s="621">
        <v>0</v>
      </c>
      <c r="AY115" s="621">
        <v>0</v>
      </c>
      <c r="AZ115" s="621"/>
      <c r="BA115" s="428">
        <v>1</v>
      </c>
      <c r="BB115" s="621">
        <v>0</v>
      </c>
      <c r="BC115" s="621">
        <v>0</v>
      </c>
      <c r="BE115" s="621">
        <v>1293939</v>
      </c>
      <c r="BF115" s="621">
        <v>1296</v>
      </c>
      <c r="BG115" s="621">
        <v>2383</v>
      </c>
      <c r="BH115" s="4604">
        <v>33</v>
      </c>
      <c r="BI115" s="621">
        <v>24995236</v>
      </c>
      <c r="BJ115" s="621">
        <v>23993270</v>
      </c>
      <c r="BK115" s="621">
        <v>0</v>
      </c>
      <c r="BL115" s="4605">
        <v>36</v>
      </c>
      <c r="BM115" s="621">
        <v>37</v>
      </c>
      <c r="BN115" s="621">
        <v>33</v>
      </c>
      <c r="BO115" s="621">
        <v>16</v>
      </c>
      <c r="BP115" s="621">
        <v>11</v>
      </c>
      <c r="BQ115" s="621">
        <v>7</v>
      </c>
    </row>
    <row r="116" spans="1:69">
      <c r="A116" s="888">
        <v>315</v>
      </c>
      <c r="B116" s="889" t="s">
        <v>439</v>
      </c>
      <c r="C116" s="890" t="s">
        <v>173</v>
      </c>
      <c r="D116" s="621">
        <v>99447583</v>
      </c>
      <c r="E116" s="621">
        <v>93855207</v>
      </c>
      <c r="F116" s="621">
        <v>103117760</v>
      </c>
      <c r="G116" s="621">
        <v>97509363</v>
      </c>
      <c r="H116" s="648">
        <v>900.2</v>
      </c>
      <c r="I116" s="648">
        <v>914.8</v>
      </c>
      <c r="J116" s="649">
        <v>463</v>
      </c>
      <c r="K116" s="621">
        <v>7092183</v>
      </c>
      <c r="L116" s="484">
        <v>886.6</v>
      </c>
      <c r="M116" s="648">
        <v>917</v>
      </c>
      <c r="N116" s="649">
        <v>926.8</v>
      </c>
      <c r="O116" s="648">
        <v>921.8</v>
      </c>
      <c r="P116" s="621">
        <v>686669</v>
      </c>
      <c r="Q116" s="621">
        <v>709256</v>
      </c>
      <c r="R116" s="621">
        <v>545468</v>
      </c>
      <c r="S116" s="621">
        <v>1046262</v>
      </c>
      <c r="T116" s="621">
        <v>0</v>
      </c>
      <c r="U116" s="621">
        <v>0</v>
      </c>
      <c r="V116" s="621"/>
      <c r="W116" s="650">
        <v>0.03</v>
      </c>
      <c r="X116" s="621">
        <v>276</v>
      </c>
      <c r="Y116" s="621">
        <v>71</v>
      </c>
      <c r="Z116" s="650">
        <v>0.03</v>
      </c>
      <c r="AA116" s="650">
        <v>0</v>
      </c>
      <c r="AB116" s="651">
        <v>0.24479999999999999</v>
      </c>
      <c r="AC116" s="621">
        <v>761039</v>
      </c>
      <c r="AD116" s="621">
        <v>775069</v>
      </c>
      <c r="AE116" s="621">
        <v>775069</v>
      </c>
      <c r="AF116" s="484">
        <v>886.6</v>
      </c>
      <c r="AG116" s="649">
        <v>906.7</v>
      </c>
      <c r="AH116" s="891">
        <v>926.8</v>
      </c>
      <c r="AI116" s="649">
        <v>915.9</v>
      </c>
      <c r="AJ116" s="652">
        <v>0</v>
      </c>
      <c r="AK116" s="621"/>
      <c r="AL116" s="621"/>
      <c r="AM116" s="621">
        <v>0</v>
      </c>
      <c r="AN116" s="621">
        <v>0</v>
      </c>
      <c r="AO116" s="649">
        <v>909.9</v>
      </c>
      <c r="AP116" s="649"/>
      <c r="AQ116" s="892">
        <v>0</v>
      </c>
      <c r="AR116" s="652"/>
      <c r="AS116" s="648"/>
      <c r="AT116" s="649">
        <v>0</v>
      </c>
      <c r="AU116" s="653">
        <v>0</v>
      </c>
      <c r="AV116" s="621">
        <v>6110114</v>
      </c>
      <c r="AW116" s="621">
        <v>54222</v>
      </c>
      <c r="AX116" s="621">
        <v>32024</v>
      </c>
      <c r="AY116" s="621">
        <v>474877</v>
      </c>
      <c r="AZ116" s="621"/>
      <c r="BA116" s="428">
        <v>1</v>
      </c>
      <c r="BB116" s="621">
        <v>0</v>
      </c>
      <c r="BC116" s="621">
        <v>0</v>
      </c>
      <c r="BE116" s="621">
        <v>6380751</v>
      </c>
      <c r="BF116" s="621">
        <v>7784</v>
      </c>
      <c r="BG116" s="621">
        <v>13016</v>
      </c>
      <c r="BH116" s="4604">
        <v>31</v>
      </c>
      <c r="BI116" s="621">
        <v>96825102</v>
      </c>
      <c r="BJ116" s="621">
        <v>100076454</v>
      </c>
      <c r="BK116" s="621">
        <v>0</v>
      </c>
      <c r="BL116" s="4605">
        <v>232</v>
      </c>
      <c r="BM116" s="621">
        <v>256</v>
      </c>
      <c r="BN116" s="621">
        <v>280</v>
      </c>
      <c r="BO116" s="621">
        <v>95</v>
      </c>
      <c r="BP116" s="621">
        <v>107</v>
      </c>
      <c r="BQ116" s="621">
        <v>80</v>
      </c>
    </row>
    <row r="117" spans="1:69">
      <c r="A117" s="888">
        <v>316</v>
      </c>
      <c r="B117" s="889" t="s">
        <v>440</v>
      </c>
      <c r="C117" s="890" t="s">
        <v>173</v>
      </c>
      <c r="D117" s="621">
        <v>22066233</v>
      </c>
      <c r="E117" s="621">
        <v>21246396</v>
      </c>
      <c r="F117" s="621">
        <v>22420288</v>
      </c>
      <c r="G117" s="621">
        <v>21602129</v>
      </c>
      <c r="H117" s="648">
        <v>177</v>
      </c>
      <c r="I117" s="648">
        <v>178.5</v>
      </c>
      <c r="J117" s="649">
        <v>242</v>
      </c>
      <c r="K117" s="621">
        <v>2141033</v>
      </c>
      <c r="L117" s="484">
        <v>179.5</v>
      </c>
      <c r="M117" s="648">
        <v>178.5</v>
      </c>
      <c r="N117" s="649">
        <v>180</v>
      </c>
      <c r="O117" s="648">
        <v>167.2</v>
      </c>
      <c r="P117" s="621">
        <v>317725</v>
      </c>
      <c r="Q117" s="621">
        <v>274650</v>
      </c>
      <c r="R117" s="621">
        <v>115350</v>
      </c>
      <c r="S117" s="621">
        <v>341861</v>
      </c>
      <c r="T117" s="621">
        <v>0</v>
      </c>
      <c r="U117" s="621">
        <v>0</v>
      </c>
      <c r="V117" s="621"/>
      <c r="W117" s="650">
        <v>0</v>
      </c>
      <c r="X117" s="621">
        <v>94</v>
      </c>
      <c r="Y117" s="621">
        <v>35</v>
      </c>
      <c r="Z117" s="650">
        <v>0</v>
      </c>
      <c r="AA117" s="650">
        <v>0</v>
      </c>
      <c r="AB117" s="651">
        <v>0.1217</v>
      </c>
      <c r="AC117" s="621">
        <v>243974</v>
      </c>
      <c r="AD117" s="621">
        <v>243537</v>
      </c>
      <c r="AE117" s="621">
        <v>243537</v>
      </c>
      <c r="AF117" s="484">
        <v>179.5</v>
      </c>
      <c r="AG117" s="649">
        <v>178.5</v>
      </c>
      <c r="AH117" s="891">
        <v>180</v>
      </c>
      <c r="AI117" s="649">
        <v>167.2</v>
      </c>
      <c r="AJ117" s="652">
        <v>0</v>
      </c>
      <c r="AK117" s="621"/>
      <c r="AL117" s="621"/>
      <c r="AM117" s="621">
        <v>0</v>
      </c>
      <c r="AN117" s="621">
        <v>0</v>
      </c>
      <c r="AO117" s="649">
        <v>165.2</v>
      </c>
      <c r="AP117" s="649"/>
      <c r="AQ117" s="892">
        <v>0</v>
      </c>
      <c r="AR117" s="652"/>
      <c r="AS117" s="648"/>
      <c r="AT117" s="649">
        <v>0</v>
      </c>
      <c r="AU117" s="653">
        <v>0</v>
      </c>
      <c r="AV117" s="621">
        <v>1848363</v>
      </c>
      <c r="AW117" s="621">
        <v>0</v>
      </c>
      <c r="AX117" s="621">
        <v>0</v>
      </c>
      <c r="AY117" s="621">
        <v>129728</v>
      </c>
      <c r="AZ117" s="621"/>
      <c r="BA117" s="428">
        <v>1</v>
      </c>
      <c r="BB117" s="621">
        <v>0</v>
      </c>
      <c r="BC117" s="621">
        <v>0</v>
      </c>
      <c r="BE117" s="621">
        <v>1864748</v>
      </c>
      <c r="BF117" s="621">
        <v>2030</v>
      </c>
      <c r="BG117" s="621">
        <v>727</v>
      </c>
      <c r="BH117" s="4604">
        <v>31</v>
      </c>
      <c r="BI117" s="621">
        <v>21818982</v>
      </c>
      <c r="BJ117" s="621">
        <v>22189086</v>
      </c>
      <c r="BK117" s="621">
        <v>0</v>
      </c>
      <c r="BL117" s="4605">
        <v>100</v>
      </c>
      <c r="BM117" s="621">
        <v>102</v>
      </c>
      <c r="BN117" s="621">
        <v>107</v>
      </c>
      <c r="BO117" s="621">
        <v>28</v>
      </c>
      <c r="BP117" s="621">
        <v>26</v>
      </c>
      <c r="BQ117" s="621">
        <v>30</v>
      </c>
    </row>
    <row r="118" spans="1:69">
      <c r="A118" s="888">
        <v>320</v>
      </c>
      <c r="B118" s="889" t="s">
        <v>441</v>
      </c>
      <c r="C118" s="890" t="s">
        <v>174</v>
      </c>
      <c r="D118" s="621">
        <v>98988288</v>
      </c>
      <c r="E118" s="621">
        <v>92211109</v>
      </c>
      <c r="F118" s="621">
        <v>102293253</v>
      </c>
      <c r="G118" s="621">
        <v>95477249</v>
      </c>
      <c r="H118" s="648">
        <v>1513.1</v>
      </c>
      <c r="I118" s="648">
        <v>1534.4</v>
      </c>
      <c r="J118" s="649">
        <v>193</v>
      </c>
      <c r="K118" s="621">
        <v>10387473</v>
      </c>
      <c r="L118" s="484">
        <v>1500.5</v>
      </c>
      <c r="M118" s="648">
        <v>1523.3</v>
      </c>
      <c r="N118" s="649">
        <v>1546.2</v>
      </c>
      <c r="O118" s="648">
        <v>1543.8</v>
      </c>
      <c r="P118" s="621">
        <v>1650896</v>
      </c>
      <c r="Q118" s="621">
        <v>1669223</v>
      </c>
      <c r="R118" s="621">
        <v>1662985</v>
      </c>
      <c r="S118" s="621">
        <v>1364892</v>
      </c>
      <c r="T118" s="621">
        <v>0</v>
      </c>
      <c r="U118" s="621">
        <v>0</v>
      </c>
      <c r="V118" s="621"/>
      <c r="W118" s="650">
        <v>0.47</v>
      </c>
      <c r="X118" s="621">
        <v>283</v>
      </c>
      <c r="Y118" s="621">
        <v>122</v>
      </c>
      <c r="Z118" s="650">
        <v>0.46</v>
      </c>
      <c r="AA118" s="650">
        <v>0.1</v>
      </c>
      <c r="AB118" s="651">
        <v>0.53380000000000005</v>
      </c>
      <c r="AC118" s="621">
        <v>1874144</v>
      </c>
      <c r="AD118" s="621">
        <v>1758579</v>
      </c>
      <c r="AE118" s="621">
        <v>1758579</v>
      </c>
      <c r="AF118" s="484">
        <v>1500.5</v>
      </c>
      <c r="AG118" s="649">
        <v>1513.1</v>
      </c>
      <c r="AH118" s="891">
        <v>1534.4</v>
      </c>
      <c r="AI118" s="649">
        <v>1525.5</v>
      </c>
      <c r="AJ118" s="652">
        <v>0</v>
      </c>
      <c r="AK118" s="621"/>
      <c r="AL118" s="621"/>
      <c r="AM118" s="621">
        <v>59</v>
      </c>
      <c r="AN118" s="621">
        <v>0</v>
      </c>
      <c r="AO118" s="649">
        <v>1525.5</v>
      </c>
      <c r="AP118" s="649"/>
      <c r="AQ118" s="892">
        <v>0</v>
      </c>
      <c r="AR118" s="652"/>
      <c r="AS118" s="648"/>
      <c r="AT118" s="649">
        <v>0</v>
      </c>
      <c r="AU118" s="653">
        <v>0</v>
      </c>
      <c r="AV118" s="621">
        <v>8390867</v>
      </c>
      <c r="AW118" s="621">
        <v>178179</v>
      </c>
      <c r="AX118" s="621">
        <v>270009</v>
      </c>
      <c r="AY118" s="621">
        <v>1604437</v>
      </c>
      <c r="AZ118" s="621"/>
      <c r="BA118" s="428">
        <v>1</v>
      </c>
      <c r="BB118" s="621">
        <v>30030</v>
      </c>
      <c r="BC118" s="621">
        <v>30030</v>
      </c>
      <c r="BE118" s="621">
        <v>8718250</v>
      </c>
      <c r="BF118" s="621">
        <v>5334</v>
      </c>
      <c r="BG118" s="621">
        <v>10073</v>
      </c>
      <c r="BH118" s="4604">
        <v>31</v>
      </c>
      <c r="BI118" s="621">
        <v>98988288</v>
      </c>
      <c r="BJ118" s="621">
        <v>102293253</v>
      </c>
      <c r="BK118" s="621">
        <v>30030</v>
      </c>
      <c r="BL118" s="4605">
        <v>330</v>
      </c>
      <c r="BM118" s="621">
        <v>313</v>
      </c>
      <c r="BN118" s="621">
        <v>285</v>
      </c>
      <c r="BO118" s="621">
        <v>112</v>
      </c>
      <c r="BP118" s="621">
        <v>100</v>
      </c>
      <c r="BQ118" s="621">
        <v>143</v>
      </c>
    </row>
    <row r="119" spans="1:69">
      <c r="A119" s="888">
        <v>321</v>
      </c>
      <c r="B119" s="889" t="s">
        <v>442</v>
      </c>
      <c r="C119" s="890" t="s">
        <v>174</v>
      </c>
      <c r="D119" s="621">
        <v>406475062</v>
      </c>
      <c r="E119" s="621">
        <v>400827298</v>
      </c>
      <c r="F119" s="621">
        <v>432975173</v>
      </c>
      <c r="G119" s="621">
        <v>427318051</v>
      </c>
      <c r="H119" s="648">
        <v>1078</v>
      </c>
      <c r="I119" s="648">
        <v>1071</v>
      </c>
      <c r="J119" s="649">
        <v>311</v>
      </c>
      <c r="K119" s="621">
        <v>8693360</v>
      </c>
      <c r="L119" s="484">
        <v>1109.9000000000001</v>
      </c>
      <c r="M119" s="648">
        <v>1087</v>
      </c>
      <c r="N119" s="649">
        <v>1080</v>
      </c>
      <c r="O119" s="648">
        <v>1038.3</v>
      </c>
      <c r="P119" s="621">
        <v>1783093</v>
      </c>
      <c r="Q119" s="621">
        <v>1780702</v>
      </c>
      <c r="R119" s="621">
        <v>0</v>
      </c>
      <c r="S119" s="621">
        <v>1389894</v>
      </c>
      <c r="T119" s="621">
        <v>8700</v>
      </c>
      <c r="U119" s="621">
        <v>0</v>
      </c>
      <c r="V119" s="621"/>
      <c r="W119" s="650">
        <v>0</v>
      </c>
      <c r="X119" s="621">
        <v>255</v>
      </c>
      <c r="Y119" s="621">
        <v>109</v>
      </c>
      <c r="Z119" s="650">
        <v>0</v>
      </c>
      <c r="AA119" s="650">
        <v>0</v>
      </c>
      <c r="AB119" s="651">
        <v>0</v>
      </c>
      <c r="AC119" s="621">
        <v>1419411</v>
      </c>
      <c r="AD119" s="621">
        <v>1321878</v>
      </c>
      <c r="AE119" s="621">
        <v>1321878</v>
      </c>
      <c r="AF119" s="484">
        <v>1109.9000000000001</v>
      </c>
      <c r="AG119" s="649">
        <v>1087</v>
      </c>
      <c r="AH119" s="891">
        <v>1080</v>
      </c>
      <c r="AI119" s="649">
        <v>1038.3</v>
      </c>
      <c r="AJ119" s="652">
        <v>0</v>
      </c>
      <c r="AK119" s="621"/>
      <c r="AL119" s="621"/>
      <c r="AM119" s="621">
        <v>3</v>
      </c>
      <c r="AN119" s="621">
        <v>0</v>
      </c>
      <c r="AO119" s="649">
        <v>1029.3</v>
      </c>
      <c r="AP119" s="649"/>
      <c r="AQ119" s="892">
        <v>0</v>
      </c>
      <c r="AR119" s="652"/>
      <c r="AS119" s="648"/>
      <c r="AT119" s="649">
        <v>0</v>
      </c>
      <c r="AU119" s="653">
        <v>0</v>
      </c>
      <c r="AV119" s="621">
        <v>6850215</v>
      </c>
      <c r="AW119" s="621">
        <v>0</v>
      </c>
      <c r="AX119" s="621">
        <v>0</v>
      </c>
      <c r="AY119" s="621">
        <v>0</v>
      </c>
      <c r="AZ119" s="621"/>
      <c r="BA119" s="428">
        <v>1</v>
      </c>
      <c r="BB119" s="621">
        <v>31420</v>
      </c>
      <c r="BC119" s="621">
        <v>31420</v>
      </c>
      <c r="BE119" s="621">
        <v>6912658</v>
      </c>
      <c r="BF119" s="621">
        <v>0</v>
      </c>
      <c r="BG119" s="621">
        <v>2311</v>
      </c>
      <c r="BH119" s="4604">
        <v>33</v>
      </c>
      <c r="BI119" s="621">
        <v>406475062</v>
      </c>
      <c r="BJ119" s="621">
        <v>432975173</v>
      </c>
      <c r="BK119" s="621">
        <v>31420</v>
      </c>
      <c r="BL119" s="4605">
        <v>313</v>
      </c>
      <c r="BM119" s="621">
        <v>310</v>
      </c>
      <c r="BN119" s="621">
        <v>303</v>
      </c>
      <c r="BO119" s="621">
        <v>119</v>
      </c>
      <c r="BP119" s="621">
        <v>120</v>
      </c>
      <c r="BQ119" s="621">
        <v>109</v>
      </c>
    </row>
    <row r="120" spans="1:69">
      <c r="A120" s="888">
        <v>322</v>
      </c>
      <c r="B120" s="889" t="s">
        <v>443</v>
      </c>
      <c r="C120" s="890" t="s">
        <v>174</v>
      </c>
      <c r="D120" s="621">
        <v>28722715</v>
      </c>
      <c r="E120" s="621">
        <v>26765013</v>
      </c>
      <c r="F120" s="621">
        <v>31998612</v>
      </c>
      <c r="G120" s="621">
        <v>29704490</v>
      </c>
      <c r="H120" s="648">
        <v>293.5</v>
      </c>
      <c r="I120" s="648">
        <v>304.3</v>
      </c>
      <c r="J120" s="649">
        <v>256.39999999999998</v>
      </c>
      <c r="K120" s="621">
        <v>2650474</v>
      </c>
      <c r="L120" s="484">
        <v>295.5</v>
      </c>
      <c r="M120" s="648">
        <v>304</v>
      </c>
      <c r="N120" s="649">
        <v>310.8</v>
      </c>
      <c r="O120" s="648">
        <v>290.5</v>
      </c>
      <c r="P120" s="621">
        <v>229737</v>
      </c>
      <c r="Q120" s="621">
        <v>229256</v>
      </c>
      <c r="R120" s="621">
        <v>295690</v>
      </c>
      <c r="S120" s="621">
        <v>278544</v>
      </c>
      <c r="T120" s="621">
        <v>0</v>
      </c>
      <c r="U120" s="621">
        <v>0</v>
      </c>
      <c r="V120" s="621"/>
      <c r="W120" s="650">
        <v>0.02</v>
      </c>
      <c r="X120" s="621">
        <v>73</v>
      </c>
      <c r="Y120" s="621">
        <v>77</v>
      </c>
      <c r="Z120" s="650">
        <v>0.02</v>
      </c>
      <c r="AA120" s="650">
        <v>0</v>
      </c>
      <c r="AB120" s="651">
        <v>0.30780000000000002</v>
      </c>
      <c r="AC120" s="621">
        <v>337473</v>
      </c>
      <c r="AD120" s="621">
        <v>310275</v>
      </c>
      <c r="AE120" s="621">
        <v>310275</v>
      </c>
      <c r="AF120" s="484">
        <v>295.5</v>
      </c>
      <c r="AG120" s="649">
        <v>304</v>
      </c>
      <c r="AH120" s="891">
        <v>310.8</v>
      </c>
      <c r="AI120" s="649">
        <v>290.5</v>
      </c>
      <c r="AJ120" s="652">
        <v>0</v>
      </c>
      <c r="AK120" s="621"/>
      <c r="AL120" s="621"/>
      <c r="AM120" s="621">
        <v>0</v>
      </c>
      <c r="AN120" s="621">
        <v>0</v>
      </c>
      <c r="AO120" s="649">
        <v>284</v>
      </c>
      <c r="AP120" s="649"/>
      <c r="AQ120" s="892">
        <v>0</v>
      </c>
      <c r="AR120" s="652"/>
      <c r="AS120" s="648"/>
      <c r="AT120" s="649">
        <v>0</v>
      </c>
      <c r="AU120" s="653">
        <v>0</v>
      </c>
      <c r="AV120" s="621">
        <v>2387747</v>
      </c>
      <c r="AW120" s="621">
        <v>45262</v>
      </c>
      <c r="AX120" s="621">
        <v>41770</v>
      </c>
      <c r="AY120" s="621">
        <v>292200</v>
      </c>
      <c r="AZ120" s="621"/>
      <c r="BA120" s="428">
        <v>1</v>
      </c>
      <c r="BB120" s="621">
        <v>0</v>
      </c>
      <c r="BC120" s="621">
        <v>0</v>
      </c>
      <c r="BE120" s="621">
        <v>2421026</v>
      </c>
      <c r="BF120" s="621">
        <v>0</v>
      </c>
      <c r="BG120" s="621">
        <v>446</v>
      </c>
      <c r="BH120" s="4604">
        <v>31</v>
      </c>
      <c r="BI120" s="621">
        <v>28295705</v>
      </c>
      <c r="BJ120" s="621">
        <v>31829996</v>
      </c>
      <c r="BK120" s="621">
        <v>0</v>
      </c>
      <c r="BL120" s="4605">
        <v>95</v>
      </c>
      <c r="BM120" s="621">
        <v>95</v>
      </c>
      <c r="BN120" s="621">
        <v>94</v>
      </c>
      <c r="BO120" s="621">
        <v>53</v>
      </c>
      <c r="BP120" s="621">
        <v>37</v>
      </c>
      <c r="BQ120" s="621">
        <v>49</v>
      </c>
    </row>
    <row r="121" spans="1:69">
      <c r="A121" s="888">
        <v>323</v>
      </c>
      <c r="B121" s="889" t="s">
        <v>444</v>
      </c>
      <c r="C121" s="890" t="s">
        <v>174</v>
      </c>
      <c r="D121" s="621">
        <v>64485336</v>
      </c>
      <c r="E121" s="621">
        <v>59470371</v>
      </c>
      <c r="F121" s="621">
        <v>68620104</v>
      </c>
      <c r="G121" s="621">
        <v>63852762</v>
      </c>
      <c r="H121" s="648">
        <v>1079.9000000000001</v>
      </c>
      <c r="I121" s="648">
        <v>1133</v>
      </c>
      <c r="J121" s="649">
        <v>233</v>
      </c>
      <c r="K121" s="621">
        <v>8611651</v>
      </c>
      <c r="L121" s="484">
        <v>1060</v>
      </c>
      <c r="M121" s="648">
        <v>1079.9000000000001</v>
      </c>
      <c r="N121" s="649">
        <v>1133</v>
      </c>
      <c r="O121" s="648">
        <v>1161</v>
      </c>
      <c r="P121" s="621">
        <v>1114192</v>
      </c>
      <c r="Q121" s="621">
        <v>1159236</v>
      </c>
      <c r="R121" s="621">
        <v>1507428</v>
      </c>
      <c r="S121" s="621">
        <v>889996</v>
      </c>
      <c r="T121" s="621">
        <v>0</v>
      </c>
      <c r="U121" s="621">
        <v>0</v>
      </c>
      <c r="V121" s="621"/>
      <c r="W121" s="650">
        <v>0.54</v>
      </c>
      <c r="X121" s="621">
        <v>195</v>
      </c>
      <c r="Y121" s="621">
        <v>79</v>
      </c>
      <c r="Z121" s="650">
        <v>0.53</v>
      </c>
      <c r="AA121" s="650">
        <v>0.17</v>
      </c>
      <c r="AB121" s="651">
        <v>0.58189999999999997</v>
      </c>
      <c r="AC121" s="621">
        <v>855339</v>
      </c>
      <c r="AD121" s="621">
        <v>880331</v>
      </c>
      <c r="AE121" s="621">
        <v>880331</v>
      </c>
      <c r="AF121" s="484">
        <v>1060</v>
      </c>
      <c r="AG121" s="649">
        <v>1079.9000000000001</v>
      </c>
      <c r="AH121" s="891">
        <v>1133</v>
      </c>
      <c r="AI121" s="649">
        <v>1161</v>
      </c>
      <c r="AJ121" s="652">
        <v>0</v>
      </c>
      <c r="AK121" s="621"/>
      <c r="AL121" s="621"/>
      <c r="AM121" s="621">
        <v>40</v>
      </c>
      <c r="AN121" s="621">
        <v>0</v>
      </c>
      <c r="AO121" s="649">
        <v>1153.5</v>
      </c>
      <c r="AP121" s="649"/>
      <c r="AQ121" s="892">
        <v>0</v>
      </c>
      <c r="AR121" s="652"/>
      <c r="AS121" s="648"/>
      <c r="AT121" s="649">
        <v>0</v>
      </c>
      <c r="AU121" s="653">
        <v>0</v>
      </c>
      <c r="AV121" s="621">
        <v>6889824</v>
      </c>
      <c r="AW121" s="621">
        <v>96696</v>
      </c>
      <c r="AX121" s="621">
        <v>138471</v>
      </c>
      <c r="AY121" s="621">
        <v>1388617</v>
      </c>
      <c r="AZ121" s="621"/>
      <c r="BA121" s="428">
        <v>1</v>
      </c>
      <c r="BB121" s="621">
        <v>44389</v>
      </c>
      <c r="BC121" s="621">
        <v>40330</v>
      </c>
      <c r="BE121" s="621">
        <v>7452415</v>
      </c>
      <c r="BF121" s="621">
        <v>9058</v>
      </c>
      <c r="BG121" s="621">
        <v>5576</v>
      </c>
      <c r="BH121" s="4604">
        <v>31</v>
      </c>
      <c r="BI121" s="621">
        <v>64485336</v>
      </c>
      <c r="BJ121" s="621">
        <v>68451271</v>
      </c>
      <c r="BK121" s="621">
        <v>44389</v>
      </c>
      <c r="BL121" s="4605">
        <v>195</v>
      </c>
      <c r="BM121" s="621">
        <v>184</v>
      </c>
      <c r="BN121" s="621">
        <v>187</v>
      </c>
      <c r="BO121" s="621">
        <v>92</v>
      </c>
      <c r="BP121" s="621">
        <v>57</v>
      </c>
      <c r="BQ121" s="621">
        <v>81</v>
      </c>
    </row>
    <row r="122" spans="1:69">
      <c r="A122" s="888">
        <v>325</v>
      </c>
      <c r="B122" s="889" t="s">
        <v>445</v>
      </c>
      <c r="C122" s="890" t="s">
        <v>175</v>
      </c>
      <c r="D122" s="621">
        <v>36484068</v>
      </c>
      <c r="E122" s="621">
        <v>33110481</v>
      </c>
      <c r="F122" s="621">
        <v>35092671</v>
      </c>
      <c r="G122" s="621">
        <v>31725368</v>
      </c>
      <c r="H122" s="648">
        <v>595.5</v>
      </c>
      <c r="I122" s="648">
        <v>590.5</v>
      </c>
      <c r="J122" s="649">
        <v>353</v>
      </c>
      <c r="K122" s="621">
        <v>5169824</v>
      </c>
      <c r="L122" s="484">
        <v>619</v>
      </c>
      <c r="M122" s="648">
        <v>595.5</v>
      </c>
      <c r="N122" s="649">
        <v>590.5</v>
      </c>
      <c r="O122" s="648">
        <v>579.5</v>
      </c>
      <c r="P122" s="621">
        <v>718415</v>
      </c>
      <c r="Q122" s="621">
        <v>771063</v>
      </c>
      <c r="R122" s="621">
        <v>899177</v>
      </c>
      <c r="S122" s="621">
        <v>757039</v>
      </c>
      <c r="T122" s="621">
        <v>0</v>
      </c>
      <c r="U122" s="621">
        <v>0</v>
      </c>
      <c r="V122" s="621"/>
      <c r="W122" s="650">
        <v>0.54</v>
      </c>
      <c r="X122" s="621">
        <v>172</v>
      </c>
      <c r="Y122" s="621">
        <v>51</v>
      </c>
      <c r="Z122" s="650">
        <v>0.53</v>
      </c>
      <c r="AA122" s="650">
        <v>0.17</v>
      </c>
      <c r="AB122" s="651">
        <v>0.57210000000000005</v>
      </c>
      <c r="AC122" s="621">
        <v>559503</v>
      </c>
      <c r="AD122" s="621">
        <v>521044</v>
      </c>
      <c r="AE122" s="621">
        <v>521044</v>
      </c>
      <c r="AF122" s="484">
        <v>619</v>
      </c>
      <c r="AG122" s="649">
        <v>595.5</v>
      </c>
      <c r="AH122" s="891">
        <v>590.5</v>
      </c>
      <c r="AI122" s="649">
        <v>579.5</v>
      </c>
      <c r="AJ122" s="652">
        <v>0</v>
      </c>
      <c r="AK122" s="621"/>
      <c r="AL122" s="621"/>
      <c r="AM122" s="621">
        <v>0</v>
      </c>
      <c r="AN122" s="621">
        <v>0</v>
      </c>
      <c r="AO122" s="649">
        <v>579.5</v>
      </c>
      <c r="AP122" s="649"/>
      <c r="AQ122" s="892">
        <v>0</v>
      </c>
      <c r="AR122" s="652"/>
      <c r="AS122" s="648"/>
      <c r="AT122" s="649">
        <v>0</v>
      </c>
      <c r="AU122" s="653">
        <v>0</v>
      </c>
      <c r="AV122" s="621">
        <v>4381654</v>
      </c>
      <c r="AW122" s="621">
        <v>106780</v>
      </c>
      <c r="AX122" s="621">
        <v>96423</v>
      </c>
      <c r="AY122" s="621">
        <v>917744</v>
      </c>
      <c r="AZ122" s="621"/>
      <c r="BA122" s="428">
        <v>1</v>
      </c>
      <c r="BB122" s="621">
        <v>0</v>
      </c>
      <c r="BC122" s="621">
        <v>0</v>
      </c>
      <c r="BE122" s="621">
        <v>4398761</v>
      </c>
      <c r="BF122" s="621">
        <v>0</v>
      </c>
      <c r="BG122" s="621">
        <v>20</v>
      </c>
      <c r="BH122" s="4604">
        <v>31</v>
      </c>
      <c r="BI122" s="621">
        <v>36202633</v>
      </c>
      <c r="BJ122" s="621">
        <v>34192495</v>
      </c>
      <c r="BK122" s="621">
        <v>0</v>
      </c>
      <c r="BL122" s="4605">
        <v>152</v>
      </c>
      <c r="BM122" s="621">
        <v>169</v>
      </c>
      <c r="BN122" s="621">
        <v>169</v>
      </c>
      <c r="BO122" s="621">
        <v>79</v>
      </c>
      <c r="BP122" s="621">
        <v>52</v>
      </c>
      <c r="BQ122" s="621">
        <v>74</v>
      </c>
    </row>
    <row r="123" spans="1:69">
      <c r="A123" s="888">
        <v>326</v>
      </c>
      <c r="B123" s="889" t="s">
        <v>446</v>
      </c>
      <c r="C123" s="890" t="s">
        <v>175</v>
      </c>
      <c r="D123" s="621">
        <v>17419365</v>
      </c>
      <c r="E123" s="621">
        <v>16402538</v>
      </c>
      <c r="F123" s="621">
        <v>17810712</v>
      </c>
      <c r="G123" s="621">
        <v>16629893</v>
      </c>
      <c r="H123" s="648">
        <v>136.5</v>
      </c>
      <c r="I123" s="648">
        <v>123.2</v>
      </c>
      <c r="J123" s="649">
        <v>332.1</v>
      </c>
      <c r="K123" s="621">
        <v>1568165</v>
      </c>
      <c r="L123" s="484">
        <v>151</v>
      </c>
      <c r="M123" s="648">
        <v>137.5</v>
      </c>
      <c r="N123" s="649">
        <v>125.7</v>
      </c>
      <c r="O123" s="648">
        <v>133.1</v>
      </c>
      <c r="P123" s="621">
        <v>164563</v>
      </c>
      <c r="Q123" s="621">
        <v>160932</v>
      </c>
      <c r="R123" s="621">
        <v>40505</v>
      </c>
      <c r="S123" s="621">
        <v>216525</v>
      </c>
      <c r="T123" s="621">
        <v>0</v>
      </c>
      <c r="U123" s="621">
        <v>0</v>
      </c>
      <c r="V123" s="621"/>
      <c r="W123" s="650">
        <v>0</v>
      </c>
      <c r="X123" s="621">
        <v>42</v>
      </c>
      <c r="Y123" s="621">
        <v>19</v>
      </c>
      <c r="Z123" s="650">
        <v>0</v>
      </c>
      <c r="AA123" s="650">
        <v>0</v>
      </c>
      <c r="AB123" s="651">
        <v>4.5699999999999998E-2</v>
      </c>
      <c r="AC123" s="621">
        <v>175187</v>
      </c>
      <c r="AD123" s="621">
        <v>167664</v>
      </c>
      <c r="AE123" s="621">
        <v>167664</v>
      </c>
      <c r="AF123" s="484">
        <v>151</v>
      </c>
      <c r="AG123" s="649">
        <v>137.5</v>
      </c>
      <c r="AH123" s="891">
        <v>125.7</v>
      </c>
      <c r="AI123" s="649">
        <v>133.1</v>
      </c>
      <c r="AJ123" s="652">
        <v>0</v>
      </c>
      <c r="AK123" s="621"/>
      <c r="AL123" s="621"/>
      <c r="AM123" s="621">
        <v>0</v>
      </c>
      <c r="AN123" s="621">
        <v>0</v>
      </c>
      <c r="AO123" s="649">
        <v>132.6</v>
      </c>
      <c r="AP123" s="649"/>
      <c r="AQ123" s="892">
        <v>0</v>
      </c>
      <c r="AR123" s="652"/>
      <c r="AS123" s="648"/>
      <c r="AT123" s="649">
        <v>0</v>
      </c>
      <c r="AU123" s="653">
        <v>0</v>
      </c>
      <c r="AV123" s="621">
        <v>1441066</v>
      </c>
      <c r="AW123" s="621">
        <v>0</v>
      </c>
      <c r="AX123" s="621">
        <v>0</v>
      </c>
      <c r="AY123" s="621">
        <v>75035</v>
      </c>
      <c r="AZ123" s="621"/>
      <c r="BA123" s="428">
        <v>1</v>
      </c>
      <c r="BB123" s="621">
        <v>0</v>
      </c>
      <c r="BC123" s="621">
        <v>0</v>
      </c>
      <c r="BE123" s="621">
        <v>1404474</v>
      </c>
      <c r="BF123" s="621">
        <v>0</v>
      </c>
      <c r="BG123" s="621">
        <v>407</v>
      </c>
      <c r="BH123" s="4604">
        <v>31</v>
      </c>
      <c r="BI123" s="621">
        <v>17335911</v>
      </c>
      <c r="BJ123" s="621">
        <v>17699810</v>
      </c>
      <c r="BK123" s="621">
        <v>0</v>
      </c>
      <c r="BL123" s="4605">
        <v>51</v>
      </c>
      <c r="BM123" s="621">
        <v>32</v>
      </c>
      <c r="BN123" s="621">
        <v>38</v>
      </c>
      <c r="BO123" s="621">
        <v>17</v>
      </c>
      <c r="BP123" s="621">
        <v>24</v>
      </c>
      <c r="BQ123" s="621">
        <v>7</v>
      </c>
    </row>
    <row r="124" spans="1:69">
      <c r="A124" s="888">
        <v>327</v>
      </c>
      <c r="B124" s="889" t="s">
        <v>447</v>
      </c>
      <c r="C124" s="890" t="s">
        <v>176</v>
      </c>
      <c r="D124" s="621">
        <v>55644158</v>
      </c>
      <c r="E124" s="621">
        <v>51370491</v>
      </c>
      <c r="F124" s="621">
        <v>54615240</v>
      </c>
      <c r="G124" s="621">
        <v>50484463</v>
      </c>
      <c r="H124" s="648">
        <v>636</v>
      </c>
      <c r="I124" s="648">
        <v>631.1</v>
      </c>
      <c r="J124" s="649">
        <v>425.3</v>
      </c>
      <c r="K124" s="621">
        <v>5138714</v>
      </c>
      <c r="L124" s="484">
        <v>645</v>
      </c>
      <c r="M124" s="648">
        <v>636</v>
      </c>
      <c r="N124" s="649">
        <v>631.1</v>
      </c>
      <c r="O124" s="648">
        <v>575.6</v>
      </c>
      <c r="P124" s="621">
        <v>635073</v>
      </c>
      <c r="Q124" s="621">
        <v>676737</v>
      </c>
      <c r="R124" s="621">
        <v>627194</v>
      </c>
      <c r="S124" s="621">
        <v>519523</v>
      </c>
      <c r="T124" s="621">
        <v>2946</v>
      </c>
      <c r="U124" s="621">
        <v>0</v>
      </c>
      <c r="V124" s="621"/>
      <c r="W124" s="650">
        <v>0.21</v>
      </c>
      <c r="X124" s="621">
        <v>109</v>
      </c>
      <c r="Y124" s="621">
        <v>64</v>
      </c>
      <c r="Z124" s="650">
        <v>0.21</v>
      </c>
      <c r="AA124" s="650">
        <v>0</v>
      </c>
      <c r="AB124" s="651">
        <v>0.37890000000000001</v>
      </c>
      <c r="AC124" s="621">
        <v>581545</v>
      </c>
      <c r="AD124" s="621">
        <v>557233</v>
      </c>
      <c r="AE124" s="621">
        <v>557233</v>
      </c>
      <c r="AF124" s="484">
        <v>645</v>
      </c>
      <c r="AG124" s="649">
        <v>636</v>
      </c>
      <c r="AH124" s="891">
        <v>631.1</v>
      </c>
      <c r="AI124" s="649">
        <v>575.6</v>
      </c>
      <c r="AJ124" s="652">
        <v>0</v>
      </c>
      <c r="AK124" s="621"/>
      <c r="AL124" s="621"/>
      <c r="AM124" s="621">
        <v>0</v>
      </c>
      <c r="AN124" s="621">
        <v>0</v>
      </c>
      <c r="AO124" s="649">
        <v>575.6</v>
      </c>
      <c r="AP124" s="649"/>
      <c r="AQ124" s="892">
        <v>0</v>
      </c>
      <c r="AR124" s="652"/>
      <c r="AS124" s="648"/>
      <c r="AT124" s="649">
        <v>0</v>
      </c>
      <c r="AU124" s="653">
        <v>0</v>
      </c>
      <c r="AV124" s="621">
        <v>4502956</v>
      </c>
      <c r="AW124" s="621">
        <v>101789</v>
      </c>
      <c r="AX124" s="621">
        <v>100449</v>
      </c>
      <c r="AY124" s="621">
        <v>613864</v>
      </c>
      <c r="AZ124" s="621"/>
      <c r="BA124" s="428">
        <v>1</v>
      </c>
      <c r="BB124" s="621">
        <v>0</v>
      </c>
      <c r="BC124" s="621">
        <v>0</v>
      </c>
      <c r="BE124" s="621">
        <v>4461861</v>
      </c>
      <c r="BF124" s="621">
        <v>2541</v>
      </c>
      <c r="BG124" s="621">
        <v>1317</v>
      </c>
      <c r="BH124" s="4604">
        <v>31</v>
      </c>
      <c r="BI124" s="621">
        <v>53015255</v>
      </c>
      <c r="BJ124" s="621">
        <v>52474395</v>
      </c>
      <c r="BK124" s="621">
        <v>0</v>
      </c>
      <c r="BL124" s="4605">
        <v>171</v>
      </c>
      <c r="BM124" s="621">
        <v>153</v>
      </c>
      <c r="BN124" s="621">
        <v>139</v>
      </c>
      <c r="BO124" s="621">
        <v>81</v>
      </c>
      <c r="BP124" s="621">
        <v>78</v>
      </c>
      <c r="BQ124" s="621">
        <v>96</v>
      </c>
    </row>
    <row r="125" spans="1:69">
      <c r="A125" s="888">
        <v>329</v>
      </c>
      <c r="B125" s="889" t="s">
        <v>1699</v>
      </c>
      <c r="C125" s="890" t="s">
        <v>177</v>
      </c>
      <c r="D125" s="621">
        <v>46724866</v>
      </c>
      <c r="E125" s="621">
        <v>43345283</v>
      </c>
      <c r="F125" s="621">
        <v>47839440</v>
      </c>
      <c r="G125" s="621">
        <v>44452330</v>
      </c>
      <c r="H125" s="648">
        <v>447.1</v>
      </c>
      <c r="I125" s="648">
        <v>425.9</v>
      </c>
      <c r="J125" s="649">
        <v>397</v>
      </c>
      <c r="K125" s="621">
        <v>3906796</v>
      </c>
      <c r="L125" s="484">
        <v>447</v>
      </c>
      <c r="M125" s="648">
        <v>447.1</v>
      </c>
      <c r="N125" s="649">
        <v>429.9</v>
      </c>
      <c r="O125" s="648">
        <v>414.9</v>
      </c>
      <c r="P125" s="621">
        <v>477783</v>
      </c>
      <c r="Q125" s="621">
        <v>475493</v>
      </c>
      <c r="R125" s="621">
        <v>336348</v>
      </c>
      <c r="S125" s="621">
        <v>536962</v>
      </c>
      <c r="T125" s="621">
        <v>0</v>
      </c>
      <c r="U125" s="621">
        <v>0</v>
      </c>
      <c r="V125" s="621"/>
      <c r="W125" s="650">
        <v>0</v>
      </c>
      <c r="X125" s="621">
        <v>67</v>
      </c>
      <c r="Y125" s="621">
        <v>57</v>
      </c>
      <c r="Z125" s="650">
        <v>0</v>
      </c>
      <c r="AA125" s="650">
        <v>0</v>
      </c>
      <c r="AB125" s="651">
        <v>0.22170000000000001</v>
      </c>
      <c r="AC125" s="621">
        <v>442998</v>
      </c>
      <c r="AD125" s="621">
        <v>430347</v>
      </c>
      <c r="AE125" s="621">
        <v>430347</v>
      </c>
      <c r="AF125" s="484">
        <v>447</v>
      </c>
      <c r="AG125" s="649">
        <v>447.1</v>
      </c>
      <c r="AH125" s="891">
        <v>429.9</v>
      </c>
      <c r="AI125" s="649">
        <v>414.9</v>
      </c>
      <c r="AJ125" s="652">
        <v>0</v>
      </c>
      <c r="AK125" s="621"/>
      <c r="AL125" s="621"/>
      <c r="AM125" s="621">
        <v>6</v>
      </c>
      <c r="AN125" s="621">
        <v>0</v>
      </c>
      <c r="AO125" s="649">
        <v>410.9</v>
      </c>
      <c r="AP125" s="649"/>
      <c r="AQ125" s="892">
        <v>0</v>
      </c>
      <c r="AR125" s="652"/>
      <c r="AS125" s="648"/>
      <c r="AT125" s="649">
        <v>0</v>
      </c>
      <c r="AU125" s="653">
        <v>0</v>
      </c>
      <c r="AV125" s="621">
        <v>3375647</v>
      </c>
      <c r="AW125" s="621">
        <v>26009</v>
      </c>
      <c r="AX125" s="621">
        <v>0</v>
      </c>
      <c r="AY125" s="621">
        <v>327421</v>
      </c>
      <c r="AZ125" s="621"/>
      <c r="BA125" s="428">
        <v>1</v>
      </c>
      <c r="BB125" s="621">
        <v>0</v>
      </c>
      <c r="BC125" s="621">
        <v>0</v>
      </c>
      <c r="BE125" s="621">
        <v>3430886</v>
      </c>
      <c r="BF125" s="621">
        <v>1680</v>
      </c>
      <c r="BG125" s="621">
        <v>4520</v>
      </c>
      <c r="BH125" s="4604">
        <v>33</v>
      </c>
      <c r="BI125" s="621">
        <v>46444631</v>
      </c>
      <c r="BJ125" s="621">
        <v>47618587</v>
      </c>
      <c r="BK125" s="621">
        <v>0</v>
      </c>
      <c r="BL125" s="4605">
        <v>80</v>
      </c>
      <c r="BM125" s="621">
        <v>77</v>
      </c>
      <c r="BN125" s="621">
        <v>78</v>
      </c>
      <c r="BO125" s="621">
        <v>62</v>
      </c>
      <c r="BP125" s="621">
        <v>66</v>
      </c>
      <c r="BQ125" s="621">
        <v>60</v>
      </c>
    </row>
    <row r="126" spans="1:69">
      <c r="A126" s="888">
        <v>330</v>
      </c>
      <c r="B126" s="889" t="s">
        <v>1365</v>
      </c>
      <c r="C126" s="890" t="s">
        <v>177</v>
      </c>
      <c r="D126" s="621">
        <v>42671461</v>
      </c>
      <c r="E126" s="621">
        <v>39078916</v>
      </c>
      <c r="F126" s="621">
        <v>44237061</v>
      </c>
      <c r="G126" s="621">
        <v>40658290</v>
      </c>
      <c r="H126" s="648">
        <v>433.7</v>
      </c>
      <c r="I126" s="648">
        <v>437.7</v>
      </c>
      <c r="J126" s="649">
        <v>370</v>
      </c>
      <c r="K126" s="621">
        <v>4160871</v>
      </c>
      <c r="L126" s="484">
        <v>454</v>
      </c>
      <c r="M126" s="648">
        <v>433.7</v>
      </c>
      <c r="N126" s="649">
        <v>437.7</v>
      </c>
      <c r="O126" s="648">
        <v>430</v>
      </c>
      <c r="P126" s="621">
        <v>945867</v>
      </c>
      <c r="Q126" s="621">
        <v>759553</v>
      </c>
      <c r="R126" s="621">
        <v>399448</v>
      </c>
      <c r="S126" s="621">
        <v>659639</v>
      </c>
      <c r="T126" s="621">
        <v>0</v>
      </c>
      <c r="U126" s="621">
        <v>0</v>
      </c>
      <c r="V126" s="621"/>
      <c r="W126" s="650">
        <v>0.09</v>
      </c>
      <c r="X126" s="621">
        <v>84</v>
      </c>
      <c r="Y126" s="621">
        <v>41</v>
      </c>
      <c r="Z126" s="650">
        <v>0.09</v>
      </c>
      <c r="AA126" s="650">
        <v>0</v>
      </c>
      <c r="AB126" s="651">
        <v>0.28899999999999998</v>
      </c>
      <c r="AC126" s="621">
        <v>589867</v>
      </c>
      <c r="AD126" s="621">
        <v>553897</v>
      </c>
      <c r="AE126" s="621">
        <v>553897</v>
      </c>
      <c r="AF126" s="484">
        <v>454</v>
      </c>
      <c r="AG126" s="649">
        <v>433.7</v>
      </c>
      <c r="AH126" s="891">
        <v>437.7</v>
      </c>
      <c r="AI126" s="649">
        <v>430</v>
      </c>
      <c r="AJ126" s="652">
        <v>0</v>
      </c>
      <c r="AK126" s="621"/>
      <c r="AL126" s="621"/>
      <c r="AM126" s="621">
        <v>2</v>
      </c>
      <c r="AN126" s="621">
        <v>0</v>
      </c>
      <c r="AO126" s="649">
        <v>430</v>
      </c>
      <c r="AP126" s="649"/>
      <c r="AQ126" s="892">
        <v>0</v>
      </c>
      <c r="AR126" s="652"/>
      <c r="AS126" s="648"/>
      <c r="AT126" s="649">
        <v>0</v>
      </c>
      <c r="AU126" s="653">
        <v>0</v>
      </c>
      <c r="AV126" s="621">
        <v>3534352</v>
      </c>
      <c r="AW126" s="621">
        <v>40786</v>
      </c>
      <c r="AX126" s="621">
        <v>38890</v>
      </c>
      <c r="AY126" s="621">
        <v>436864</v>
      </c>
      <c r="AZ126" s="621"/>
      <c r="BA126" s="428">
        <v>1</v>
      </c>
      <c r="BB126" s="621">
        <v>0</v>
      </c>
      <c r="BC126" s="621">
        <v>0</v>
      </c>
      <c r="BE126" s="621">
        <v>3401216</v>
      </c>
      <c r="BF126" s="621">
        <v>3307</v>
      </c>
      <c r="BG126" s="621">
        <v>0</v>
      </c>
      <c r="BH126" s="4604">
        <v>31</v>
      </c>
      <c r="BI126" s="621">
        <v>42532807</v>
      </c>
      <c r="BJ126" s="621">
        <v>44193121</v>
      </c>
      <c r="BK126" s="621">
        <v>0</v>
      </c>
      <c r="BL126" s="4605">
        <v>115</v>
      </c>
      <c r="BM126" s="621">
        <v>110</v>
      </c>
      <c r="BN126" s="621">
        <v>87</v>
      </c>
      <c r="BO126" s="621">
        <v>24</v>
      </c>
      <c r="BP126" s="621">
        <v>21</v>
      </c>
      <c r="BQ126" s="621">
        <v>38</v>
      </c>
    </row>
    <row r="127" spans="1:69">
      <c r="A127" s="888">
        <v>331</v>
      </c>
      <c r="B127" s="889" t="s">
        <v>5236</v>
      </c>
      <c r="C127" s="890" t="s">
        <v>178</v>
      </c>
      <c r="D127" s="621">
        <v>65480780</v>
      </c>
      <c r="E127" s="621">
        <v>59250288</v>
      </c>
      <c r="F127" s="621">
        <v>62220003</v>
      </c>
      <c r="G127" s="621">
        <v>55991984</v>
      </c>
      <c r="H127" s="648">
        <v>854.3</v>
      </c>
      <c r="I127" s="648">
        <v>817.6</v>
      </c>
      <c r="J127" s="649">
        <v>565.5</v>
      </c>
      <c r="K127" s="621">
        <v>7404111</v>
      </c>
      <c r="L127" s="484">
        <v>881.2</v>
      </c>
      <c r="M127" s="648">
        <v>892.5</v>
      </c>
      <c r="N127" s="649">
        <v>850.8</v>
      </c>
      <c r="O127" s="648">
        <v>815.1</v>
      </c>
      <c r="P127" s="621">
        <v>1095755</v>
      </c>
      <c r="Q127" s="621">
        <v>1025294</v>
      </c>
      <c r="R127" s="621">
        <v>1188767</v>
      </c>
      <c r="S127" s="621">
        <v>1192582</v>
      </c>
      <c r="T127" s="621">
        <v>72903</v>
      </c>
      <c r="U127" s="621">
        <v>0</v>
      </c>
      <c r="V127" s="621"/>
      <c r="W127" s="650">
        <v>0.41</v>
      </c>
      <c r="X127" s="621">
        <v>274</v>
      </c>
      <c r="Y127" s="621">
        <v>97</v>
      </c>
      <c r="Z127" s="650">
        <v>0.4</v>
      </c>
      <c r="AA127" s="650">
        <v>0.04</v>
      </c>
      <c r="AB127" s="651">
        <v>0.4844</v>
      </c>
      <c r="AC127" s="621">
        <v>853604</v>
      </c>
      <c r="AD127" s="621">
        <v>825470</v>
      </c>
      <c r="AE127" s="621">
        <v>825470</v>
      </c>
      <c r="AF127" s="484">
        <v>881.2</v>
      </c>
      <c r="AG127" s="649">
        <v>864.8</v>
      </c>
      <c r="AH127" s="891">
        <v>830.1</v>
      </c>
      <c r="AI127" s="649">
        <v>778.4</v>
      </c>
      <c r="AJ127" s="652">
        <v>0</v>
      </c>
      <c r="AK127" s="621"/>
      <c r="AL127" s="621"/>
      <c r="AM127" s="621">
        <v>2</v>
      </c>
      <c r="AN127" s="621">
        <v>0</v>
      </c>
      <c r="AO127" s="649">
        <v>768.9</v>
      </c>
      <c r="AP127" s="649"/>
      <c r="AQ127" s="892">
        <v>0</v>
      </c>
      <c r="AR127" s="652"/>
      <c r="AS127" s="648"/>
      <c r="AT127" s="649">
        <v>0</v>
      </c>
      <c r="AU127" s="653">
        <v>0</v>
      </c>
      <c r="AV127" s="621">
        <v>6310823</v>
      </c>
      <c r="AW127" s="621">
        <v>193524</v>
      </c>
      <c r="AX127" s="621">
        <v>164942</v>
      </c>
      <c r="AY127" s="621">
        <v>1187400</v>
      </c>
      <c r="AZ127" s="621"/>
      <c r="BA127" s="428">
        <v>1</v>
      </c>
      <c r="BB127" s="621">
        <v>0</v>
      </c>
      <c r="BC127" s="621">
        <v>0</v>
      </c>
      <c r="BE127" s="621">
        <v>6374360</v>
      </c>
      <c r="BF127" s="621">
        <v>4774</v>
      </c>
      <c r="BG127" s="621">
        <v>1488</v>
      </c>
      <c r="BH127" s="4604">
        <v>33</v>
      </c>
      <c r="BI127" s="621">
        <v>62026910</v>
      </c>
      <c r="BJ127" s="621">
        <v>58907801</v>
      </c>
      <c r="BK127" s="621">
        <v>0</v>
      </c>
      <c r="BL127" s="4605">
        <v>327</v>
      </c>
      <c r="BM127" s="621">
        <v>322</v>
      </c>
      <c r="BN127" s="621">
        <v>301</v>
      </c>
      <c r="BO127" s="621">
        <v>116</v>
      </c>
      <c r="BP127" s="621">
        <v>122</v>
      </c>
      <c r="BQ127" s="621">
        <v>119</v>
      </c>
    </row>
    <row r="128" spans="1:69">
      <c r="A128" s="888">
        <v>332</v>
      </c>
      <c r="B128" s="889" t="s">
        <v>448</v>
      </c>
      <c r="C128" s="890" t="s">
        <v>178</v>
      </c>
      <c r="D128" s="621">
        <v>64823403</v>
      </c>
      <c r="E128" s="621">
        <v>63352750</v>
      </c>
      <c r="F128" s="621">
        <v>66163520</v>
      </c>
      <c r="G128" s="621">
        <v>64691604</v>
      </c>
      <c r="H128" s="648">
        <v>169.5</v>
      </c>
      <c r="I128" s="648">
        <v>178.5</v>
      </c>
      <c r="J128" s="649">
        <v>323.5</v>
      </c>
      <c r="K128" s="621">
        <v>1892480</v>
      </c>
      <c r="L128" s="484">
        <v>158.5</v>
      </c>
      <c r="M128" s="648">
        <v>171</v>
      </c>
      <c r="N128" s="649">
        <v>180.5</v>
      </c>
      <c r="O128" s="648">
        <v>181.2</v>
      </c>
      <c r="P128" s="621">
        <v>202946</v>
      </c>
      <c r="Q128" s="621">
        <v>208368</v>
      </c>
      <c r="R128" s="621">
        <v>0</v>
      </c>
      <c r="S128" s="621">
        <v>242816</v>
      </c>
      <c r="T128" s="621">
        <v>0</v>
      </c>
      <c r="U128" s="621">
        <v>0</v>
      </c>
      <c r="V128" s="621"/>
      <c r="W128" s="650">
        <v>0</v>
      </c>
      <c r="X128" s="621">
        <v>39</v>
      </c>
      <c r="Y128" s="621">
        <v>26</v>
      </c>
      <c r="Z128" s="650">
        <v>0</v>
      </c>
      <c r="AA128" s="650">
        <v>0</v>
      </c>
      <c r="AB128" s="651">
        <v>0</v>
      </c>
      <c r="AC128" s="621">
        <v>217949</v>
      </c>
      <c r="AD128" s="621">
        <v>206286</v>
      </c>
      <c r="AE128" s="621">
        <v>206286</v>
      </c>
      <c r="AF128" s="484">
        <v>158.5</v>
      </c>
      <c r="AG128" s="649">
        <v>171</v>
      </c>
      <c r="AH128" s="891">
        <v>180.5</v>
      </c>
      <c r="AI128" s="649">
        <v>181.2</v>
      </c>
      <c r="AJ128" s="652">
        <v>0</v>
      </c>
      <c r="AK128" s="621"/>
      <c r="AL128" s="621"/>
      <c r="AM128" s="621">
        <v>0</v>
      </c>
      <c r="AN128" s="621">
        <v>0</v>
      </c>
      <c r="AO128" s="649">
        <v>179.2</v>
      </c>
      <c r="AP128" s="649"/>
      <c r="AQ128" s="892">
        <v>0</v>
      </c>
      <c r="AR128" s="652"/>
      <c r="AS128" s="648"/>
      <c r="AT128" s="649">
        <v>0</v>
      </c>
      <c r="AU128" s="653">
        <v>0</v>
      </c>
      <c r="AV128" s="621">
        <v>1579474</v>
      </c>
      <c r="AW128" s="621">
        <v>0</v>
      </c>
      <c r="AX128" s="621">
        <v>0</v>
      </c>
      <c r="AY128" s="621">
        <v>0</v>
      </c>
      <c r="AZ128" s="621"/>
      <c r="BA128" s="428">
        <v>1</v>
      </c>
      <c r="BB128" s="621">
        <v>0</v>
      </c>
      <c r="BC128" s="621">
        <v>0</v>
      </c>
      <c r="BE128" s="621">
        <v>1680255</v>
      </c>
      <c r="BF128" s="621">
        <v>1860</v>
      </c>
      <c r="BG128" s="621">
        <v>0</v>
      </c>
      <c r="BH128" s="4604">
        <v>31</v>
      </c>
      <c r="BI128" s="621">
        <v>62531549</v>
      </c>
      <c r="BJ128" s="621">
        <v>64109120</v>
      </c>
      <c r="BK128" s="621">
        <v>0</v>
      </c>
      <c r="BL128" s="4605">
        <v>49</v>
      </c>
      <c r="BM128" s="621">
        <v>48</v>
      </c>
      <c r="BN128" s="621">
        <v>42</v>
      </c>
      <c r="BO128" s="621">
        <v>14</v>
      </c>
      <c r="BP128" s="621">
        <v>14</v>
      </c>
      <c r="BQ128" s="621">
        <v>27</v>
      </c>
    </row>
    <row r="129" spans="1:69">
      <c r="A129" s="888">
        <v>333</v>
      </c>
      <c r="B129" s="889" t="s">
        <v>449</v>
      </c>
      <c r="C129" s="890" t="s">
        <v>179</v>
      </c>
      <c r="D129" s="621">
        <v>73227960</v>
      </c>
      <c r="E129" s="621">
        <v>67023273</v>
      </c>
      <c r="F129" s="621">
        <v>75587620</v>
      </c>
      <c r="G129" s="621">
        <v>69390605</v>
      </c>
      <c r="H129" s="648">
        <v>1119.5999999999999</v>
      </c>
      <c r="I129" s="648">
        <v>1076</v>
      </c>
      <c r="J129" s="649">
        <v>336</v>
      </c>
      <c r="K129" s="621">
        <v>8527582</v>
      </c>
      <c r="L129" s="484">
        <v>1085.7</v>
      </c>
      <c r="M129" s="648">
        <v>1129.0999999999999</v>
      </c>
      <c r="N129" s="649">
        <v>1083</v>
      </c>
      <c r="O129" s="648">
        <v>1068.4000000000001</v>
      </c>
      <c r="P129" s="621">
        <v>1041350</v>
      </c>
      <c r="Q129" s="621">
        <v>990458</v>
      </c>
      <c r="R129" s="621">
        <v>1598663</v>
      </c>
      <c r="S129" s="621">
        <v>1174790</v>
      </c>
      <c r="T129" s="621">
        <v>0</v>
      </c>
      <c r="U129" s="621">
        <v>0</v>
      </c>
      <c r="V129" s="621"/>
      <c r="W129" s="650">
        <v>0.43</v>
      </c>
      <c r="X129" s="621">
        <v>411</v>
      </c>
      <c r="Y129" s="621">
        <v>153</v>
      </c>
      <c r="Z129" s="650">
        <v>0.42</v>
      </c>
      <c r="AA129" s="650">
        <v>0.06</v>
      </c>
      <c r="AB129" s="651">
        <v>0.53569999999999995</v>
      </c>
      <c r="AC129" s="621">
        <v>1444178</v>
      </c>
      <c r="AD129" s="621">
        <v>1351944</v>
      </c>
      <c r="AE129" s="621">
        <v>1351944</v>
      </c>
      <c r="AF129" s="484">
        <v>1085.7</v>
      </c>
      <c r="AG129" s="649">
        <v>1129.0999999999999</v>
      </c>
      <c r="AH129" s="891">
        <v>1083</v>
      </c>
      <c r="AI129" s="649">
        <v>1068.4000000000001</v>
      </c>
      <c r="AJ129" s="652">
        <v>0</v>
      </c>
      <c r="AK129" s="621"/>
      <c r="AL129" s="621"/>
      <c r="AM129" s="621">
        <v>1</v>
      </c>
      <c r="AN129" s="621">
        <v>0</v>
      </c>
      <c r="AO129" s="649">
        <v>1054.9000000000001</v>
      </c>
      <c r="AP129" s="649"/>
      <c r="AQ129" s="892">
        <v>0</v>
      </c>
      <c r="AR129" s="652"/>
      <c r="AS129" s="648"/>
      <c r="AT129" s="649">
        <v>0</v>
      </c>
      <c r="AU129" s="653">
        <v>0</v>
      </c>
      <c r="AV129" s="621">
        <v>7283691</v>
      </c>
      <c r="AW129" s="621">
        <v>266061</v>
      </c>
      <c r="AX129" s="621">
        <v>270344</v>
      </c>
      <c r="AY129" s="621">
        <v>1423284</v>
      </c>
      <c r="AZ129" s="621"/>
      <c r="BA129" s="428">
        <v>1</v>
      </c>
      <c r="BB129" s="621">
        <v>89680</v>
      </c>
      <c r="BC129" s="621">
        <v>99441</v>
      </c>
      <c r="BE129" s="621">
        <v>7537124</v>
      </c>
      <c r="BF129" s="621">
        <v>5439</v>
      </c>
      <c r="BG129" s="621">
        <v>4381</v>
      </c>
      <c r="BH129" s="4604">
        <v>33</v>
      </c>
      <c r="BI129" s="621">
        <v>68489201</v>
      </c>
      <c r="BJ129" s="621">
        <v>75095498</v>
      </c>
      <c r="BK129" s="621">
        <v>89680</v>
      </c>
      <c r="BL129" s="4605">
        <v>415</v>
      </c>
      <c r="BM129" s="621">
        <v>416</v>
      </c>
      <c r="BN129" s="621">
        <v>401</v>
      </c>
      <c r="BO129" s="621">
        <v>132</v>
      </c>
      <c r="BP129" s="621">
        <v>177</v>
      </c>
      <c r="BQ129" s="621">
        <v>168</v>
      </c>
    </row>
    <row r="130" spans="1:69">
      <c r="A130" s="888">
        <v>334</v>
      </c>
      <c r="B130" s="889" t="s">
        <v>450</v>
      </c>
      <c r="C130" s="890" t="s">
        <v>179</v>
      </c>
      <c r="D130" s="621">
        <v>27329591</v>
      </c>
      <c r="E130" s="621">
        <v>25793238</v>
      </c>
      <c r="F130" s="621">
        <v>28550716</v>
      </c>
      <c r="G130" s="621">
        <v>27011752</v>
      </c>
      <c r="H130" s="648">
        <v>154</v>
      </c>
      <c r="I130" s="648">
        <v>142.5</v>
      </c>
      <c r="J130" s="649">
        <v>273</v>
      </c>
      <c r="K130" s="621">
        <v>1861097</v>
      </c>
      <c r="L130" s="484">
        <v>159</v>
      </c>
      <c r="M130" s="648">
        <v>159.6</v>
      </c>
      <c r="N130" s="649">
        <v>149.30000000000001</v>
      </c>
      <c r="O130" s="648">
        <v>162.4</v>
      </c>
      <c r="P130" s="621">
        <v>260469</v>
      </c>
      <c r="Q130" s="621">
        <v>262855</v>
      </c>
      <c r="R130" s="621">
        <v>0</v>
      </c>
      <c r="S130" s="621">
        <v>322301</v>
      </c>
      <c r="T130" s="621">
        <v>0</v>
      </c>
      <c r="U130" s="621">
        <v>0</v>
      </c>
      <c r="V130" s="621"/>
      <c r="W130" s="650">
        <v>0</v>
      </c>
      <c r="X130" s="621">
        <v>73</v>
      </c>
      <c r="Y130" s="621">
        <v>37</v>
      </c>
      <c r="Z130" s="650">
        <v>0</v>
      </c>
      <c r="AA130" s="650">
        <v>0</v>
      </c>
      <c r="AB130" s="651">
        <v>0</v>
      </c>
      <c r="AC130" s="621">
        <v>263531</v>
      </c>
      <c r="AD130" s="621">
        <v>250366</v>
      </c>
      <c r="AE130" s="621">
        <v>250366</v>
      </c>
      <c r="AF130" s="484">
        <v>159</v>
      </c>
      <c r="AG130" s="649">
        <v>154</v>
      </c>
      <c r="AH130" s="891">
        <v>142.5</v>
      </c>
      <c r="AI130" s="649">
        <v>156</v>
      </c>
      <c r="AJ130" s="652">
        <v>0</v>
      </c>
      <c r="AK130" s="621"/>
      <c r="AL130" s="621"/>
      <c r="AM130" s="621">
        <v>0</v>
      </c>
      <c r="AN130" s="621">
        <v>0</v>
      </c>
      <c r="AO130" s="649">
        <v>156</v>
      </c>
      <c r="AP130" s="649"/>
      <c r="AQ130" s="892">
        <v>0</v>
      </c>
      <c r="AR130" s="652"/>
      <c r="AS130" s="648"/>
      <c r="AT130" s="649">
        <v>0</v>
      </c>
      <c r="AU130" s="653">
        <v>0</v>
      </c>
      <c r="AV130" s="621">
        <v>1586352</v>
      </c>
      <c r="AW130" s="621">
        <v>0</v>
      </c>
      <c r="AX130" s="621">
        <v>0</v>
      </c>
      <c r="AY130" s="621">
        <v>0</v>
      </c>
      <c r="AZ130" s="621"/>
      <c r="BA130" s="428">
        <v>1</v>
      </c>
      <c r="BB130" s="621">
        <v>0</v>
      </c>
      <c r="BC130" s="621">
        <v>0</v>
      </c>
      <c r="BE130" s="621">
        <v>1598242</v>
      </c>
      <c r="BF130" s="621">
        <v>0</v>
      </c>
      <c r="BG130" s="621">
        <v>0</v>
      </c>
      <c r="BH130" s="4604">
        <v>33</v>
      </c>
      <c r="BI130" s="621">
        <v>27204006</v>
      </c>
      <c r="BJ130" s="621">
        <v>28476759</v>
      </c>
      <c r="BK130" s="621">
        <v>0</v>
      </c>
      <c r="BL130" s="4605">
        <v>80</v>
      </c>
      <c r="BM130" s="621">
        <v>82</v>
      </c>
      <c r="BN130" s="621">
        <v>71</v>
      </c>
      <c r="BO130" s="621">
        <v>35</v>
      </c>
      <c r="BP130" s="621">
        <v>23</v>
      </c>
      <c r="BQ130" s="621">
        <v>21</v>
      </c>
    </row>
    <row r="131" spans="1:69">
      <c r="A131" s="888">
        <v>335</v>
      </c>
      <c r="B131" s="889" t="s">
        <v>451</v>
      </c>
      <c r="C131" s="890" t="s">
        <v>180</v>
      </c>
      <c r="D131" s="621">
        <v>25755573</v>
      </c>
      <c r="E131" s="621">
        <v>23894045</v>
      </c>
      <c r="F131" s="621">
        <v>27418381</v>
      </c>
      <c r="G131" s="621">
        <v>25544224</v>
      </c>
      <c r="H131" s="648">
        <v>372</v>
      </c>
      <c r="I131" s="648">
        <v>358</v>
      </c>
      <c r="J131" s="649">
        <v>213</v>
      </c>
      <c r="K131" s="621">
        <v>3417166</v>
      </c>
      <c r="L131" s="484">
        <v>381.5</v>
      </c>
      <c r="M131" s="648">
        <v>379</v>
      </c>
      <c r="N131" s="649">
        <v>362</v>
      </c>
      <c r="O131" s="648">
        <v>336</v>
      </c>
      <c r="P131" s="621">
        <v>285332</v>
      </c>
      <c r="Q131" s="621">
        <v>287281</v>
      </c>
      <c r="R131" s="621">
        <v>515558</v>
      </c>
      <c r="S131" s="621">
        <v>300689</v>
      </c>
      <c r="T131" s="621">
        <v>0</v>
      </c>
      <c r="U131" s="621">
        <v>0</v>
      </c>
      <c r="V131" s="621"/>
      <c r="W131" s="650">
        <v>0.31</v>
      </c>
      <c r="X131" s="621">
        <v>92</v>
      </c>
      <c r="Y131" s="621">
        <v>38</v>
      </c>
      <c r="Z131" s="650">
        <v>0.3</v>
      </c>
      <c r="AA131" s="650">
        <v>0</v>
      </c>
      <c r="AB131" s="651">
        <v>0.4753</v>
      </c>
      <c r="AC131" s="621">
        <v>371239</v>
      </c>
      <c r="AD131" s="621">
        <v>356570</v>
      </c>
      <c r="AE131" s="621">
        <v>356570</v>
      </c>
      <c r="AF131" s="484">
        <v>381.5</v>
      </c>
      <c r="AG131" s="649">
        <v>379</v>
      </c>
      <c r="AH131" s="891">
        <v>362</v>
      </c>
      <c r="AI131" s="649">
        <v>304</v>
      </c>
      <c r="AJ131" s="652">
        <v>0</v>
      </c>
      <c r="AK131" s="621"/>
      <c r="AL131" s="621"/>
      <c r="AM131" s="621">
        <v>0</v>
      </c>
      <c r="AN131" s="621">
        <v>0</v>
      </c>
      <c r="AO131" s="649">
        <v>299</v>
      </c>
      <c r="AP131" s="649"/>
      <c r="AQ131" s="892">
        <v>0</v>
      </c>
      <c r="AR131" s="652"/>
      <c r="AS131" s="648"/>
      <c r="AT131" s="649">
        <v>0</v>
      </c>
      <c r="AU131" s="653">
        <v>0</v>
      </c>
      <c r="AV131" s="621">
        <v>2988920</v>
      </c>
      <c r="AW131" s="621">
        <v>44410</v>
      </c>
      <c r="AX131" s="621">
        <v>48670</v>
      </c>
      <c r="AY131" s="621">
        <v>528363</v>
      </c>
      <c r="AZ131" s="621"/>
      <c r="BA131" s="428">
        <v>1</v>
      </c>
      <c r="BB131" s="621">
        <v>0</v>
      </c>
      <c r="BC131" s="621">
        <v>0</v>
      </c>
      <c r="BE131" s="621">
        <v>3129885</v>
      </c>
      <c r="BF131" s="621">
        <v>3957</v>
      </c>
      <c r="BG131" s="621">
        <v>4430</v>
      </c>
      <c r="BH131" s="4604">
        <v>31</v>
      </c>
      <c r="BI131" s="621">
        <v>25755573</v>
      </c>
      <c r="BJ131" s="621">
        <v>27418381</v>
      </c>
      <c r="BK131" s="621">
        <v>0</v>
      </c>
      <c r="BL131" s="4605">
        <v>124</v>
      </c>
      <c r="BM131" s="621">
        <v>115</v>
      </c>
      <c r="BN131" s="621">
        <v>107</v>
      </c>
      <c r="BO131" s="621">
        <v>36</v>
      </c>
      <c r="BP131" s="621">
        <v>48</v>
      </c>
      <c r="BQ131" s="621">
        <v>42</v>
      </c>
    </row>
    <row r="132" spans="1:69">
      <c r="A132" s="888">
        <v>336</v>
      </c>
      <c r="B132" s="889" t="s">
        <v>452</v>
      </c>
      <c r="C132" s="890" t="s">
        <v>180</v>
      </c>
      <c r="D132" s="621">
        <v>52203972</v>
      </c>
      <c r="E132" s="621">
        <v>46880726</v>
      </c>
      <c r="F132" s="621">
        <v>54509811</v>
      </c>
      <c r="G132" s="621">
        <v>49172592</v>
      </c>
      <c r="H132" s="648">
        <v>1076</v>
      </c>
      <c r="I132" s="648">
        <v>1049.5</v>
      </c>
      <c r="J132" s="649">
        <v>164.5</v>
      </c>
      <c r="K132" s="621">
        <v>8171243</v>
      </c>
      <c r="L132" s="484">
        <v>1089</v>
      </c>
      <c r="M132" s="648">
        <v>1115.8</v>
      </c>
      <c r="N132" s="649">
        <v>1104.2</v>
      </c>
      <c r="O132" s="648">
        <v>1024.0999999999999</v>
      </c>
      <c r="P132" s="621">
        <v>823711</v>
      </c>
      <c r="Q132" s="621">
        <v>789142</v>
      </c>
      <c r="R132" s="621">
        <v>1648493</v>
      </c>
      <c r="S132" s="621">
        <v>991198</v>
      </c>
      <c r="T132" s="621">
        <v>12189</v>
      </c>
      <c r="U132" s="621">
        <v>0</v>
      </c>
      <c r="V132" s="621"/>
      <c r="W132" s="650">
        <v>0.6</v>
      </c>
      <c r="X132" s="621">
        <v>309</v>
      </c>
      <c r="Y132" s="621">
        <v>89</v>
      </c>
      <c r="Z132" s="650">
        <v>0.59</v>
      </c>
      <c r="AA132" s="650">
        <v>0.23</v>
      </c>
      <c r="AB132" s="651">
        <v>0.64990000000000003</v>
      </c>
      <c r="AC132" s="621">
        <v>1703283</v>
      </c>
      <c r="AD132" s="621">
        <v>1600676</v>
      </c>
      <c r="AE132" s="621">
        <v>1600676</v>
      </c>
      <c r="AF132" s="484">
        <v>1089</v>
      </c>
      <c r="AG132" s="649">
        <v>1079.5</v>
      </c>
      <c r="AH132" s="891">
        <v>1059</v>
      </c>
      <c r="AI132" s="649">
        <v>984.6</v>
      </c>
      <c r="AJ132" s="652">
        <v>0</v>
      </c>
      <c r="AK132" s="621"/>
      <c r="AL132" s="621"/>
      <c r="AM132" s="621">
        <v>11</v>
      </c>
      <c r="AN132" s="621">
        <v>0</v>
      </c>
      <c r="AO132" s="649">
        <v>975.1</v>
      </c>
      <c r="AP132" s="649"/>
      <c r="AQ132" s="892">
        <v>0</v>
      </c>
      <c r="AR132" s="652"/>
      <c r="AS132" s="648"/>
      <c r="AT132" s="649">
        <v>0</v>
      </c>
      <c r="AU132" s="653">
        <v>0</v>
      </c>
      <c r="AV132" s="621">
        <v>7329019</v>
      </c>
      <c r="AW132" s="621">
        <v>262253</v>
      </c>
      <c r="AX132" s="621">
        <v>266008</v>
      </c>
      <c r="AY132" s="621">
        <v>1646379</v>
      </c>
      <c r="AZ132" s="621"/>
      <c r="BA132" s="428">
        <v>1</v>
      </c>
      <c r="BB132" s="621">
        <v>0</v>
      </c>
      <c r="BC132" s="621">
        <v>0</v>
      </c>
      <c r="BE132" s="621">
        <v>7382101</v>
      </c>
      <c r="BF132" s="621">
        <v>12989</v>
      </c>
      <c r="BG132" s="621">
        <v>12631</v>
      </c>
      <c r="BH132" s="4604">
        <v>33</v>
      </c>
      <c r="BI132" s="621">
        <v>52203972</v>
      </c>
      <c r="BJ132" s="621">
        <v>54509811</v>
      </c>
      <c r="BK132" s="621">
        <v>0</v>
      </c>
      <c r="BL132" s="4605">
        <v>363</v>
      </c>
      <c r="BM132" s="621">
        <v>347</v>
      </c>
      <c r="BN132" s="621">
        <v>339</v>
      </c>
      <c r="BO132" s="621">
        <v>76</v>
      </c>
      <c r="BP132" s="621">
        <v>66</v>
      </c>
      <c r="BQ132" s="621">
        <v>75</v>
      </c>
    </row>
    <row r="133" spans="1:69">
      <c r="A133" s="888">
        <v>337</v>
      </c>
      <c r="B133" s="889" t="s">
        <v>453</v>
      </c>
      <c r="C133" s="890" t="s">
        <v>180</v>
      </c>
      <c r="D133" s="621">
        <v>34933099</v>
      </c>
      <c r="E133" s="621">
        <v>31465067</v>
      </c>
      <c r="F133" s="621">
        <v>36276509</v>
      </c>
      <c r="G133" s="621">
        <v>32806093</v>
      </c>
      <c r="H133" s="648">
        <v>805</v>
      </c>
      <c r="I133" s="648">
        <v>847</v>
      </c>
      <c r="J133" s="649">
        <v>169</v>
      </c>
      <c r="K133" s="621">
        <v>7185666</v>
      </c>
      <c r="L133" s="484">
        <v>793.7</v>
      </c>
      <c r="M133" s="648">
        <v>813</v>
      </c>
      <c r="N133" s="649">
        <v>855.5</v>
      </c>
      <c r="O133" s="648">
        <v>808.5</v>
      </c>
      <c r="P133" s="621">
        <v>771640</v>
      </c>
      <c r="Q133" s="621">
        <v>800344</v>
      </c>
      <c r="R133" s="621">
        <v>1539031</v>
      </c>
      <c r="S133" s="621">
        <v>943887</v>
      </c>
      <c r="T133" s="621">
        <v>5728</v>
      </c>
      <c r="U133" s="621">
        <v>0</v>
      </c>
      <c r="V133" s="621"/>
      <c r="W133" s="650">
        <v>0.68</v>
      </c>
      <c r="X133" s="621">
        <v>326</v>
      </c>
      <c r="Y133" s="621">
        <v>53</v>
      </c>
      <c r="Z133" s="650">
        <v>0.67</v>
      </c>
      <c r="AA133" s="650">
        <v>0.31</v>
      </c>
      <c r="AB133" s="651">
        <v>0.69350000000000001</v>
      </c>
      <c r="AC133" s="621">
        <v>886437</v>
      </c>
      <c r="AD133" s="621">
        <v>824597</v>
      </c>
      <c r="AE133" s="621">
        <v>824597</v>
      </c>
      <c r="AF133" s="484">
        <v>793.7</v>
      </c>
      <c r="AG133" s="649">
        <v>813</v>
      </c>
      <c r="AH133" s="891">
        <v>855.5</v>
      </c>
      <c r="AI133" s="649">
        <v>808.5</v>
      </c>
      <c r="AJ133" s="652">
        <v>0</v>
      </c>
      <c r="AK133" s="621"/>
      <c r="AL133" s="621"/>
      <c r="AM133" s="621">
        <v>3</v>
      </c>
      <c r="AN133" s="621">
        <v>385627</v>
      </c>
      <c r="AO133" s="649">
        <v>802</v>
      </c>
      <c r="AP133" s="649"/>
      <c r="AQ133" s="892">
        <v>0</v>
      </c>
      <c r="AR133" s="652"/>
      <c r="AS133" s="648"/>
      <c r="AT133" s="649">
        <v>0</v>
      </c>
      <c r="AU133" s="653">
        <v>0</v>
      </c>
      <c r="AV133" s="621">
        <v>5843753</v>
      </c>
      <c r="AW133" s="621">
        <v>184447</v>
      </c>
      <c r="AX133" s="621">
        <v>194442</v>
      </c>
      <c r="AY133" s="621">
        <v>1486973</v>
      </c>
      <c r="AZ133" s="621"/>
      <c r="BA133" s="428">
        <v>1</v>
      </c>
      <c r="BB133" s="621">
        <v>41580</v>
      </c>
      <c r="BC133" s="621">
        <v>31964</v>
      </c>
      <c r="BE133" s="621">
        <v>5999695</v>
      </c>
      <c r="BF133" s="621">
        <v>3806</v>
      </c>
      <c r="BG133" s="621">
        <v>2968</v>
      </c>
      <c r="BH133" s="4604">
        <v>31</v>
      </c>
      <c r="BI133" s="621">
        <v>34933099</v>
      </c>
      <c r="BJ133" s="621">
        <v>36276509</v>
      </c>
      <c r="BK133" s="621">
        <v>41580</v>
      </c>
      <c r="BL133" s="4605">
        <v>309</v>
      </c>
      <c r="BM133" s="621">
        <v>327</v>
      </c>
      <c r="BN133" s="621">
        <v>363</v>
      </c>
      <c r="BO133" s="621">
        <v>60</v>
      </c>
      <c r="BP133" s="621">
        <v>66</v>
      </c>
      <c r="BQ133" s="621">
        <v>70</v>
      </c>
    </row>
    <row r="134" spans="1:69">
      <c r="A134" s="888">
        <v>338</v>
      </c>
      <c r="B134" s="889" t="s">
        <v>1091</v>
      </c>
      <c r="C134" s="890" t="s">
        <v>181</v>
      </c>
      <c r="D134" s="621">
        <v>21566416</v>
      </c>
      <c r="E134" s="621">
        <v>19517314</v>
      </c>
      <c r="F134" s="621">
        <v>23054777</v>
      </c>
      <c r="G134" s="621">
        <v>20994347</v>
      </c>
      <c r="H134" s="648">
        <v>363</v>
      </c>
      <c r="I134" s="648">
        <v>367.5</v>
      </c>
      <c r="J134" s="649">
        <v>115</v>
      </c>
      <c r="K134" s="621">
        <v>3436802</v>
      </c>
      <c r="L134" s="484">
        <v>360</v>
      </c>
      <c r="M134" s="648">
        <v>366.5</v>
      </c>
      <c r="N134" s="649">
        <v>369</v>
      </c>
      <c r="O134" s="648">
        <v>380</v>
      </c>
      <c r="P134" s="621">
        <v>624420</v>
      </c>
      <c r="Q134" s="621">
        <v>564804</v>
      </c>
      <c r="R134" s="621">
        <v>667651</v>
      </c>
      <c r="S134" s="621">
        <v>430778</v>
      </c>
      <c r="T134" s="621">
        <v>12789</v>
      </c>
      <c r="U134" s="621">
        <v>0</v>
      </c>
      <c r="V134" s="621"/>
      <c r="W134" s="650">
        <v>0.52</v>
      </c>
      <c r="X134" s="621">
        <v>102</v>
      </c>
      <c r="Y134" s="621">
        <v>32</v>
      </c>
      <c r="Z134" s="650">
        <v>0.51</v>
      </c>
      <c r="AA134" s="650">
        <v>0.15</v>
      </c>
      <c r="AB134" s="651">
        <v>0.57850000000000001</v>
      </c>
      <c r="AC134" s="621">
        <v>351592</v>
      </c>
      <c r="AD134" s="621">
        <v>342520</v>
      </c>
      <c r="AE134" s="621">
        <v>342520</v>
      </c>
      <c r="AF134" s="484">
        <v>360</v>
      </c>
      <c r="AG134" s="649">
        <v>366.5</v>
      </c>
      <c r="AH134" s="891">
        <v>369</v>
      </c>
      <c r="AI134" s="649">
        <v>380</v>
      </c>
      <c r="AJ134" s="652">
        <v>0</v>
      </c>
      <c r="AK134" s="621"/>
      <c r="AL134" s="621"/>
      <c r="AM134" s="621">
        <v>2</v>
      </c>
      <c r="AN134" s="621">
        <v>0</v>
      </c>
      <c r="AO134" s="649">
        <v>378</v>
      </c>
      <c r="AP134" s="649"/>
      <c r="AQ134" s="892">
        <v>0</v>
      </c>
      <c r="AR134" s="652"/>
      <c r="AS134" s="648"/>
      <c r="AT134" s="649">
        <v>0</v>
      </c>
      <c r="AU134" s="653">
        <v>0</v>
      </c>
      <c r="AV134" s="621">
        <v>2738982</v>
      </c>
      <c r="AW134" s="621">
        <v>89716</v>
      </c>
      <c r="AX134" s="621">
        <v>92219</v>
      </c>
      <c r="AY134" s="621">
        <v>665861</v>
      </c>
      <c r="AZ134" s="621"/>
      <c r="BA134" s="428">
        <v>1</v>
      </c>
      <c r="BB134" s="621">
        <v>0</v>
      </c>
      <c r="BC134" s="621">
        <v>0</v>
      </c>
      <c r="BE134" s="621">
        <v>2871998</v>
      </c>
      <c r="BF134" s="621">
        <v>2538</v>
      </c>
      <c r="BG134" s="621">
        <v>8135</v>
      </c>
      <c r="BH134" s="4604">
        <v>33</v>
      </c>
      <c r="BI134" s="621">
        <v>21566416</v>
      </c>
      <c r="BJ134" s="621">
        <v>23054777</v>
      </c>
      <c r="BK134" s="621">
        <v>0</v>
      </c>
      <c r="BL134" s="4605">
        <v>101</v>
      </c>
      <c r="BM134" s="621">
        <v>94</v>
      </c>
      <c r="BN134" s="621">
        <v>105</v>
      </c>
      <c r="BO134" s="621">
        <v>49</v>
      </c>
      <c r="BP134" s="621">
        <v>47</v>
      </c>
      <c r="BQ134" s="621">
        <v>42</v>
      </c>
    </row>
    <row r="135" spans="1:69">
      <c r="A135" s="888">
        <v>339</v>
      </c>
      <c r="B135" s="889" t="s">
        <v>454</v>
      </c>
      <c r="C135" s="890" t="s">
        <v>181</v>
      </c>
      <c r="D135" s="621">
        <v>25582516</v>
      </c>
      <c r="E135" s="621">
        <v>23544056</v>
      </c>
      <c r="F135" s="621">
        <v>27266380</v>
      </c>
      <c r="G135" s="621">
        <v>25190515</v>
      </c>
      <c r="H135" s="648">
        <v>447.5</v>
      </c>
      <c r="I135" s="648">
        <v>450</v>
      </c>
      <c r="J135" s="649">
        <v>114</v>
      </c>
      <c r="K135" s="621">
        <v>4156419</v>
      </c>
      <c r="L135" s="484">
        <v>455.5</v>
      </c>
      <c r="M135" s="648">
        <v>454.5</v>
      </c>
      <c r="N135" s="649">
        <v>458</v>
      </c>
      <c r="O135" s="648">
        <v>432.5</v>
      </c>
      <c r="P135" s="621">
        <v>790321</v>
      </c>
      <c r="Q135" s="621">
        <v>682010</v>
      </c>
      <c r="R135" s="621">
        <v>760500</v>
      </c>
      <c r="S135" s="621">
        <v>513194</v>
      </c>
      <c r="T135" s="621">
        <v>17469</v>
      </c>
      <c r="U135" s="621">
        <v>0</v>
      </c>
      <c r="V135" s="621"/>
      <c r="W135" s="650">
        <v>0.5</v>
      </c>
      <c r="X135" s="621">
        <v>108</v>
      </c>
      <c r="Y135" s="621">
        <v>36</v>
      </c>
      <c r="Z135" s="650">
        <v>0.49</v>
      </c>
      <c r="AA135" s="650">
        <v>0.13</v>
      </c>
      <c r="AB135" s="651">
        <v>0.58450000000000002</v>
      </c>
      <c r="AC135" s="621">
        <v>437781</v>
      </c>
      <c r="AD135" s="621">
        <v>430644</v>
      </c>
      <c r="AE135" s="621">
        <v>430644</v>
      </c>
      <c r="AF135" s="484">
        <v>455.5</v>
      </c>
      <c r="AG135" s="649">
        <v>454.5</v>
      </c>
      <c r="AH135" s="891">
        <v>458</v>
      </c>
      <c r="AI135" s="649">
        <v>432.5</v>
      </c>
      <c r="AJ135" s="652">
        <v>0</v>
      </c>
      <c r="AK135" s="621"/>
      <c r="AL135" s="621"/>
      <c r="AM135" s="621">
        <v>3</v>
      </c>
      <c r="AN135" s="621">
        <v>0</v>
      </c>
      <c r="AO135" s="649">
        <v>424.5</v>
      </c>
      <c r="AP135" s="649"/>
      <c r="AQ135" s="892">
        <v>0</v>
      </c>
      <c r="AR135" s="652"/>
      <c r="AS135" s="648"/>
      <c r="AT135" s="649">
        <v>0</v>
      </c>
      <c r="AU135" s="653">
        <v>0</v>
      </c>
      <c r="AV135" s="621">
        <v>3324060</v>
      </c>
      <c r="AW135" s="621">
        <v>87639</v>
      </c>
      <c r="AX135" s="621">
        <v>99207</v>
      </c>
      <c r="AY135" s="621">
        <v>767359</v>
      </c>
      <c r="AZ135" s="621"/>
      <c r="BA135" s="428">
        <v>1</v>
      </c>
      <c r="BB135" s="621">
        <v>0</v>
      </c>
      <c r="BC135" s="621">
        <v>0</v>
      </c>
      <c r="BE135" s="621">
        <v>3474386</v>
      </c>
      <c r="BF135" s="621">
        <v>2988</v>
      </c>
      <c r="BG135" s="621">
        <v>4042</v>
      </c>
      <c r="BH135" s="4604">
        <v>33</v>
      </c>
      <c r="BI135" s="621">
        <v>25582516</v>
      </c>
      <c r="BJ135" s="621">
        <v>27266380</v>
      </c>
      <c r="BK135" s="621">
        <v>0</v>
      </c>
      <c r="BL135" s="4605">
        <v>119</v>
      </c>
      <c r="BM135" s="621">
        <v>115</v>
      </c>
      <c r="BN135" s="621">
        <v>92</v>
      </c>
      <c r="BO135" s="621">
        <v>41</v>
      </c>
      <c r="BP135" s="621">
        <v>45</v>
      </c>
      <c r="BQ135" s="621">
        <v>50</v>
      </c>
    </row>
    <row r="136" spans="1:69">
      <c r="A136" s="888">
        <v>340</v>
      </c>
      <c r="B136" s="889" t="s">
        <v>455</v>
      </c>
      <c r="C136" s="890" t="s">
        <v>181</v>
      </c>
      <c r="D136" s="621">
        <v>45542585</v>
      </c>
      <c r="E136" s="621">
        <v>40982128</v>
      </c>
      <c r="F136" s="621">
        <v>47671875</v>
      </c>
      <c r="G136" s="621">
        <v>43085227</v>
      </c>
      <c r="H136" s="648">
        <v>841.7</v>
      </c>
      <c r="I136" s="648">
        <v>859.2</v>
      </c>
      <c r="J136" s="649">
        <v>68</v>
      </c>
      <c r="K136" s="621">
        <v>7178007</v>
      </c>
      <c r="L136" s="484">
        <v>848.2</v>
      </c>
      <c r="M136" s="648">
        <v>841.8</v>
      </c>
      <c r="N136" s="649">
        <v>861.2</v>
      </c>
      <c r="O136" s="648">
        <v>838</v>
      </c>
      <c r="P136" s="621">
        <v>1406109</v>
      </c>
      <c r="Q136" s="621">
        <v>1238778</v>
      </c>
      <c r="R136" s="621">
        <v>1468677</v>
      </c>
      <c r="S136" s="621">
        <v>949082</v>
      </c>
      <c r="T136" s="621">
        <v>7076</v>
      </c>
      <c r="U136" s="621">
        <v>0</v>
      </c>
      <c r="V136" s="621"/>
      <c r="W136" s="650">
        <v>0.56000000000000005</v>
      </c>
      <c r="X136" s="621">
        <v>161</v>
      </c>
      <c r="Y136" s="621">
        <v>90</v>
      </c>
      <c r="Z136" s="650">
        <v>0.55000000000000004</v>
      </c>
      <c r="AA136" s="650">
        <v>0.19</v>
      </c>
      <c r="AB136" s="651">
        <v>0.61060000000000003</v>
      </c>
      <c r="AC136" s="621">
        <v>735431</v>
      </c>
      <c r="AD136" s="621">
        <v>720601</v>
      </c>
      <c r="AE136" s="621">
        <v>720601</v>
      </c>
      <c r="AF136" s="484">
        <v>848.2</v>
      </c>
      <c r="AG136" s="649">
        <v>841.7</v>
      </c>
      <c r="AH136" s="891">
        <v>859.2</v>
      </c>
      <c r="AI136" s="649">
        <v>826.5</v>
      </c>
      <c r="AJ136" s="652">
        <v>0</v>
      </c>
      <c r="AK136" s="621"/>
      <c r="AL136" s="621"/>
      <c r="AM136" s="621">
        <v>18</v>
      </c>
      <c r="AN136" s="621">
        <v>26368</v>
      </c>
      <c r="AO136" s="649">
        <v>826.5</v>
      </c>
      <c r="AP136" s="649"/>
      <c r="AQ136" s="892">
        <v>0</v>
      </c>
      <c r="AR136" s="652"/>
      <c r="AS136" s="648"/>
      <c r="AT136" s="649">
        <v>0</v>
      </c>
      <c r="AU136" s="653">
        <v>0</v>
      </c>
      <c r="AV136" s="621">
        <v>5705980</v>
      </c>
      <c r="AW136" s="621">
        <v>204005</v>
      </c>
      <c r="AX136" s="621">
        <v>209747</v>
      </c>
      <c r="AY136" s="621">
        <v>1346239</v>
      </c>
      <c r="AZ136" s="621"/>
      <c r="BA136" s="428">
        <v>1</v>
      </c>
      <c r="BB136" s="621">
        <v>0</v>
      </c>
      <c r="BC136" s="621">
        <v>0</v>
      </c>
      <c r="BE136" s="621">
        <v>5912861</v>
      </c>
      <c r="BF136" s="621">
        <v>3766</v>
      </c>
      <c r="BG136" s="621">
        <v>2882</v>
      </c>
      <c r="BH136" s="4604">
        <v>33</v>
      </c>
      <c r="BI136" s="621">
        <v>45542585</v>
      </c>
      <c r="BJ136" s="621">
        <v>47671875</v>
      </c>
      <c r="BK136" s="621">
        <v>0</v>
      </c>
      <c r="BL136" s="4605">
        <v>188</v>
      </c>
      <c r="BM136" s="621">
        <v>192</v>
      </c>
      <c r="BN136" s="621">
        <v>187</v>
      </c>
      <c r="BO136" s="621">
        <v>79</v>
      </c>
      <c r="BP136" s="621">
        <v>80</v>
      </c>
      <c r="BQ136" s="621">
        <v>78</v>
      </c>
    </row>
    <row r="137" spans="1:69">
      <c r="A137" s="888">
        <v>341</v>
      </c>
      <c r="B137" s="889" t="s">
        <v>456</v>
      </c>
      <c r="C137" s="890" t="s">
        <v>181</v>
      </c>
      <c r="D137" s="621">
        <v>30081421</v>
      </c>
      <c r="E137" s="621">
        <v>26600118</v>
      </c>
      <c r="F137" s="621">
        <v>31343200</v>
      </c>
      <c r="G137" s="621">
        <v>27829819</v>
      </c>
      <c r="H137" s="648">
        <v>579</v>
      </c>
      <c r="I137" s="648">
        <v>555</v>
      </c>
      <c r="J137" s="649">
        <v>97</v>
      </c>
      <c r="K137" s="621">
        <v>5621241</v>
      </c>
      <c r="L137" s="484">
        <v>575.9</v>
      </c>
      <c r="M137" s="648">
        <v>588.5</v>
      </c>
      <c r="N137" s="649">
        <v>567.5</v>
      </c>
      <c r="O137" s="648">
        <v>567.5</v>
      </c>
      <c r="P137" s="621">
        <v>1079098</v>
      </c>
      <c r="Q137" s="621">
        <v>1002909</v>
      </c>
      <c r="R137" s="621">
        <v>1065603</v>
      </c>
      <c r="S137" s="621">
        <v>778649</v>
      </c>
      <c r="T137" s="621">
        <v>14796</v>
      </c>
      <c r="U137" s="621">
        <v>0</v>
      </c>
      <c r="V137" s="621"/>
      <c r="W137" s="650">
        <v>0.57999999999999996</v>
      </c>
      <c r="X137" s="621">
        <v>239</v>
      </c>
      <c r="Y137" s="621">
        <v>58</v>
      </c>
      <c r="Z137" s="650">
        <v>0.56999999999999995</v>
      </c>
      <c r="AA137" s="650">
        <v>0.21</v>
      </c>
      <c r="AB137" s="651">
        <v>0.62129999999999996</v>
      </c>
      <c r="AC137" s="621">
        <v>600289</v>
      </c>
      <c r="AD137" s="621">
        <v>597769</v>
      </c>
      <c r="AE137" s="621">
        <v>597769</v>
      </c>
      <c r="AF137" s="484">
        <v>575.9</v>
      </c>
      <c r="AG137" s="649">
        <v>588.5</v>
      </c>
      <c r="AH137" s="891">
        <v>567.5</v>
      </c>
      <c r="AI137" s="649">
        <v>567.5</v>
      </c>
      <c r="AJ137" s="652">
        <v>0</v>
      </c>
      <c r="AK137" s="621"/>
      <c r="AL137" s="621"/>
      <c r="AM137" s="621">
        <v>3</v>
      </c>
      <c r="AN137" s="621">
        <v>38839</v>
      </c>
      <c r="AO137" s="649">
        <v>552.5</v>
      </c>
      <c r="AP137" s="649"/>
      <c r="AQ137" s="892">
        <v>0</v>
      </c>
      <c r="AR137" s="652"/>
      <c r="AS137" s="648"/>
      <c r="AT137" s="649">
        <v>0</v>
      </c>
      <c r="AU137" s="653">
        <v>0</v>
      </c>
      <c r="AV137" s="621">
        <v>4505065</v>
      </c>
      <c r="AW137" s="621">
        <v>141984</v>
      </c>
      <c r="AX137" s="621">
        <v>137869</v>
      </c>
      <c r="AY137" s="621">
        <v>1076776</v>
      </c>
      <c r="AZ137" s="621"/>
      <c r="BA137" s="428">
        <v>1</v>
      </c>
      <c r="BB137" s="621">
        <v>0</v>
      </c>
      <c r="BC137" s="621">
        <v>0</v>
      </c>
      <c r="BE137" s="621">
        <v>4579493</v>
      </c>
      <c r="BF137" s="621">
        <v>4261</v>
      </c>
      <c r="BG137" s="621">
        <v>3199</v>
      </c>
      <c r="BH137" s="4604">
        <v>31</v>
      </c>
      <c r="BI137" s="621">
        <v>30081421</v>
      </c>
      <c r="BJ137" s="621">
        <v>31343200</v>
      </c>
      <c r="BK137" s="621">
        <v>0</v>
      </c>
      <c r="BL137" s="4605">
        <v>255</v>
      </c>
      <c r="BM137" s="621">
        <v>251</v>
      </c>
      <c r="BN137" s="621">
        <v>253</v>
      </c>
      <c r="BO137" s="621">
        <v>83</v>
      </c>
      <c r="BP137" s="621">
        <v>87</v>
      </c>
      <c r="BQ137" s="621">
        <v>76</v>
      </c>
    </row>
    <row r="138" spans="1:69">
      <c r="A138" s="888">
        <v>342</v>
      </c>
      <c r="B138" s="889" t="s">
        <v>457</v>
      </c>
      <c r="C138" s="890" t="s">
        <v>181</v>
      </c>
      <c r="D138" s="621">
        <v>35656815</v>
      </c>
      <c r="E138" s="621">
        <v>32492435</v>
      </c>
      <c r="F138" s="621">
        <v>36847249</v>
      </c>
      <c r="G138" s="621">
        <v>33662955</v>
      </c>
      <c r="H138" s="648">
        <v>465.6</v>
      </c>
      <c r="I138" s="648">
        <v>455.5</v>
      </c>
      <c r="J138" s="649">
        <v>90</v>
      </c>
      <c r="K138" s="621">
        <v>4377102</v>
      </c>
      <c r="L138" s="484">
        <v>474.2</v>
      </c>
      <c r="M138" s="648">
        <v>476.1</v>
      </c>
      <c r="N138" s="649">
        <v>462</v>
      </c>
      <c r="O138" s="648">
        <v>449.5</v>
      </c>
      <c r="P138" s="621">
        <v>842344</v>
      </c>
      <c r="Q138" s="621">
        <v>745830</v>
      </c>
      <c r="R138" s="621">
        <v>615482</v>
      </c>
      <c r="S138" s="621">
        <v>653028</v>
      </c>
      <c r="T138" s="621">
        <v>0</v>
      </c>
      <c r="U138" s="621">
        <v>0</v>
      </c>
      <c r="V138" s="621"/>
      <c r="W138" s="650">
        <v>0.31</v>
      </c>
      <c r="X138" s="621">
        <v>139</v>
      </c>
      <c r="Y138" s="621">
        <v>60</v>
      </c>
      <c r="Z138" s="650">
        <v>0.3</v>
      </c>
      <c r="AA138" s="650">
        <v>0</v>
      </c>
      <c r="AB138" s="651">
        <v>0.44690000000000002</v>
      </c>
      <c r="AC138" s="621">
        <v>448070</v>
      </c>
      <c r="AD138" s="621">
        <v>418309</v>
      </c>
      <c r="AE138" s="621">
        <v>418309</v>
      </c>
      <c r="AF138" s="484">
        <v>474.2</v>
      </c>
      <c r="AG138" s="649">
        <v>476.1</v>
      </c>
      <c r="AH138" s="891">
        <v>462</v>
      </c>
      <c r="AI138" s="649">
        <v>449.5</v>
      </c>
      <c r="AJ138" s="652">
        <v>0</v>
      </c>
      <c r="AK138" s="621"/>
      <c r="AL138" s="621"/>
      <c r="AM138" s="621">
        <v>8</v>
      </c>
      <c r="AN138" s="621">
        <v>0</v>
      </c>
      <c r="AO138" s="649">
        <v>442</v>
      </c>
      <c r="AP138" s="649"/>
      <c r="AQ138" s="892">
        <v>0</v>
      </c>
      <c r="AR138" s="652"/>
      <c r="AS138" s="648"/>
      <c r="AT138" s="649">
        <v>0</v>
      </c>
      <c r="AU138" s="653">
        <v>0</v>
      </c>
      <c r="AV138" s="621">
        <v>3533214</v>
      </c>
      <c r="AW138" s="621">
        <v>65978</v>
      </c>
      <c r="AX138" s="621">
        <v>57102</v>
      </c>
      <c r="AY138" s="621">
        <v>620331</v>
      </c>
      <c r="AZ138" s="621"/>
      <c r="BA138" s="428">
        <v>1</v>
      </c>
      <c r="BB138" s="621">
        <v>0</v>
      </c>
      <c r="BC138" s="621">
        <v>0</v>
      </c>
      <c r="BE138" s="621">
        <v>3631039</v>
      </c>
      <c r="BF138" s="621">
        <v>0</v>
      </c>
      <c r="BG138" s="621">
        <v>0</v>
      </c>
      <c r="BH138" s="4604">
        <v>31</v>
      </c>
      <c r="BI138" s="621">
        <v>35656815</v>
      </c>
      <c r="BJ138" s="621">
        <v>36847249</v>
      </c>
      <c r="BK138" s="621">
        <v>0</v>
      </c>
      <c r="BL138" s="4605">
        <v>123</v>
      </c>
      <c r="BM138" s="621">
        <v>144</v>
      </c>
      <c r="BN138" s="621">
        <v>138</v>
      </c>
      <c r="BO138" s="621">
        <v>73</v>
      </c>
      <c r="BP138" s="621">
        <v>61</v>
      </c>
      <c r="BQ138" s="621">
        <v>48</v>
      </c>
    </row>
    <row r="139" spans="1:69">
      <c r="A139" s="888">
        <v>343</v>
      </c>
      <c r="B139" s="889" t="s">
        <v>458</v>
      </c>
      <c r="C139" s="890" t="s">
        <v>181</v>
      </c>
      <c r="D139" s="621">
        <v>77296570</v>
      </c>
      <c r="E139" s="621">
        <v>72376803</v>
      </c>
      <c r="F139" s="621">
        <v>80710134</v>
      </c>
      <c r="G139" s="621">
        <v>75761755</v>
      </c>
      <c r="H139" s="648">
        <v>740.5</v>
      </c>
      <c r="I139" s="648">
        <v>735.5</v>
      </c>
      <c r="J139" s="649">
        <v>153.1</v>
      </c>
      <c r="K139" s="621">
        <v>6409657</v>
      </c>
      <c r="L139" s="484">
        <v>733</v>
      </c>
      <c r="M139" s="648">
        <v>748</v>
      </c>
      <c r="N139" s="649">
        <v>742.5</v>
      </c>
      <c r="O139" s="648">
        <v>727.5</v>
      </c>
      <c r="P139" s="621">
        <v>1134681</v>
      </c>
      <c r="Q139" s="621">
        <v>1055204</v>
      </c>
      <c r="R139" s="621">
        <v>535927</v>
      </c>
      <c r="S139" s="621">
        <v>979752</v>
      </c>
      <c r="T139" s="621">
        <v>0</v>
      </c>
      <c r="U139" s="621">
        <v>0</v>
      </c>
      <c r="V139" s="621"/>
      <c r="W139" s="650">
        <v>0.01</v>
      </c>
      <c r="X139" s="621">
        <v>180</v>
      </c>
      <c r="Y139" s="621">
        <v>77</v>
      </c>
      <c r="Z139" s="650">
        <v>0.01</v>
      </c>
      <c r="AA139" s="650">
        <v>0</v>
      </c>
      <c r="AB139" s="651">
        <v>0.24629999999999999</v>
      </c>
      <c r="AC139" s="621">
        <v>658332</v>
      </c>
      <c r="AD139" s="621">
        <v>649901</v>
      </c>
      <c r="AE139" s="621">
        <v>649901</v>
      </c>
      <c r="AF139" s="484">
        <v>733</v>
      </c>
      <c r="AG139" s="649">
        <v>748</v>
      </c>
      <c r="AH139" s="891">
        <v>742.5</v>
      </c>
      <c r="AI139" s="649">
        <v>727.5</v>
      </c>
      <c r="AJ139" s="652">
        <v>0</v>
      </c>
      <c r="AK139" s="621"/>
      <c r="AL139" s="621"/>
      <c r="AM139" s="621">
        <v>3</v>
      </c>
      <c r="AN139" s="621">
        <v>12676</v>
      </c>
      <c r="AO139" s="649">
        <v>723</v>
      </c>
      <c r="AP139" s="649"/>
      <c r="AQ139" s="892">
        <v>0</v>
      </c>
      <c r="AR139" s="652"/>
      <c r="AS139" s="648"/>
      <c r="AT139" s="649">
        <v>0</v>
      </c>
      <c r="AU139" s="653">
        <v>0</v>
      </c>
      <c r="AV139" s="621">
        <v>5208369</v>
      </c>
      <c r="AW139" s="621">
        <v>55654</v>
      </c>
      <c r="AX139" s="621">
        <v>25827</v>
      </c>
      <c r="AY139" s="621">
        <v>563199</v>
      </c>
      <c r="AZ139" s="621"/>
      <c r="BA139" s="428">
        <v>1</v>
      </c>
      <c r="BB139" s="621">
        <v>0</v>
      </c>
      <c r="BC139" s="621">
        <v>0</v>
      </c>
      <c r="BE139" s="621">
        <v>5341777</v>
      </c>
      <c r="BF139" s="621">
        <v>1084</v>
      </c>
      <c r="BG139" s="621">
        <v>138</v>
      </c>
      <c r="BH139" s="4604">
        <v>33</v>
      </c>
      <c r="BI139" s="621">
        <v>77296570</v>
      </c>
      <c r="BJ139" s="621">
        <v>80710134</v>
      </c>
      <c r="BK139" s="621">
        <v>0</v>
      </c>
      <c r="BL139" s="4605">
        <v>211</v>
      </c>
      <c r="BM139" s="621">
        <v>196</v>
      </c>
      <c r="BN139" s="621">
        <v>196</v>
      </c>
      <c r="BO139" s="621">
        <v>68</v>
      </c>
      <c r="BP139" s="621">
        <v>78</v>
      </c>
      <c r="BQ139" s="621">
        <v>82</v>
      </c>
    </row>
    <row r="140" spans="1:69">
      <c r="A140" s="888">
        <v>344</v>
      </c>
      <c r="B140" s="889" t="s">
        <v>459</v>
      </c>
      <c r="C140" s="890" t="s">
        <v>182</v>
      </c>
      <c r="D140" s="621">
        <v>18735872</v>
      </c>
      <c r="E140" s="621">
        <v>16817113</v>
      </c>
      <c r="F140" s="621">
        <v>19326216</v>
      </c>
      <c r="G140" s="621">
        <v>17386489</v>
      </c>
      <c r="H140" s="648">
        <v>353.5</v>
      </c>
      <c r="I140" s="648">
        <v>338.9</v>
      </c>
      <c r="J140" s="649">
        <v>92.5</v>
      </c>
      <c r="K140" s="621">
        <v>3153220</v>
      </c>
      <c r="L140" s="484">
        <v>361.5</v>
      </c>
      <c r="M140" s="648">
        <v>359.5</v>
      </c>
      <c r="N140" s="649">
        <v>344.9</v>
      </c>
      <c r="O140" s="648">
        <v>335.9</v>
      </c>
      <c r="P140" s="621">
        <v>317400</v>
      </c>
      <c r="Q140" s="621">
        <v>348575</v>
      </c>
      <c r="R140" s="621">
        <v>660798</v>
      </c>
      <c r="S140" s="621">
        <v>215399</v>
      </c>
      <c r="T140" s="621">
        <v>6808</v>
      </c>
      <c r="U140" s="621">
        <v>0</v>
      </c>
      <c r="V140" s="621"/>
      <c r="W140" s="650">
        <v>0.55000000000000004</v>
      </c>
      <c r="X140" s="621">
        <v>140</v>
      </c>
      <c r="Y140" s="621">
        <v>44</v>
      </c>
      <c r="Z140" s="650">
        <v>0.54</v>
      </c>
      <c r="AA140" s="650">
        <v>0.18</v>
      </c>
      <c r="AB140" s="651">
        <v>0.61080000000000001</v>
      </c>
      <c r="AC140" s="621">
        <v>392340</v>
      </c>
      <c r="AD140" s="621">
        <v>354374</v>
      </c>
      <c r="AE140" s="621">
        <v>354374</v>
      </c>
      <c r="AF140" s="484">
        <v>361.5</v>
      </c>
      <c r="AG140" s="649">
        <v>359.5</v>
      </c>
      <c r="AH140" s="891">
        <v>344.9</v>
      </c>
      <c r="AI140" s="649">
        <v>335.9</v>
      </c>
      <c r="AJ140" s="652">
        <v>0</v>
      </c>
      <c r="AK140" s="621"/>
      <c r="AL140" s="621"/>
      <c r="AM140" s="621">
        <v>0</v>
      </c>
      <c r="AN140" s="621">
        <v>0</v>
      </c>
      <c r="AO140" s="649">
        <v>331.4</v>
      </c>
      <c r="AP140" s="649"/>
      <c r="AQ140" s="892">
        <v>0</v>
      </c>
      <c r="AR140" s="652"/>
      <c r="AS140" s="648"/>
      <c r="AT140" s="649">
        <v>0</v>
      </c>
      <c r="AU140" s="653">
        <v>0</v>
      </c>
      <c r="AV140" s="621">
        <v>2735162</v>
      </c>
      <c r="AW140" s="621">
        <v>86902</v>
      </c>
      <c r="AX140" s="621">
        <v>83489</v>
      </c>
      <c r="AY140" s="621">
        <v>643835</v>
      </c>
      <c r="AZ140" s="621"/>
      <c r="BA140" s="428">
        <v>1</v>
      </c>
      <c r="BB140" s="621">
        <v>0</v>
      </c>
      <c r="BC140" s="621">
        <v>0</v>
      </c>
      <c r="BE140" s="621">
        <v>2804645</v>
      </c>
      <c r="BF140" s="621">
        <v>374</v>
      </c>
      <c r="BG140" s="621">
        <v>432</v>
      </c>
      <c r="BH140" s="4604">
        <v>33</v>
      </c>
      <c r="BI140" s="621">
        <v>18735872</v>
      </c>
      <c r="BJ140" s="621">
        <v>19326216</v>
      </c>
      <c r="BK140" s="621">
        <v>0</v>
      </c>
      <c r="BL140" s="4605">
        <v>124</v>
      </c>
      <c r="BM140" s="621">
        <v>134</v>
      </c>
      <c r="BN140" s="621">
        <v>129</v>
      </c>
      <c r="BO140" s="621">
        <v>77</v>
      </c>
      <c r="BP140" s="621">
        <v>76</v>
      </c>
      <c r="BQ140" s="621">
        <v>48</v>
      </c>
    </row>
    <row r="141" spans="1:69">
      <c r="A141" s="888">
        <v>345</v>
      </c>
      <c r="B141" s="889" t="s">
        <v>460</v>
      </c>
      <c r="C141" s="890" t="s">
        <v>183</v>
      </c>
      <c r="D141" s="621">
        <v>270491249</v>
      </c>
      <c r="E141" s="621">
        <v>253234059</v>
      </c>
      <c r="F141" s="621">
        <v>279886811</v>
      </c>
      <c r="G141" s="621">
        <v>262498178</v>
      </c>
      <c r="H141" s="648">
        <v>3803.3</v>
      </c>
      <c r="I141" s="648">
        <v>3765.6</v>
      </c>
      <c r="J141" s="649">
        <v>84</v>
      </c>
      <c r="K141" s="621">
        <v>26961134</v>
      </c>
      <c r="L141" s="484">
        <v>3863.8</v>
      </c>
      <c r="M141" s="648">
        <v>3840.5</v>
      </c>
      <c r="N141" s="649">
        <v>3802.7</v>
      </c>
      <c r="O141" s="648">
        <v>3742.4</v>
      </c>
      <c r="P141" s="621">
        <v>4647043</v>
      </c>
      <c r="Q141" s="621">
        <v>4824781</v>
      </c>
      <c r="R141" s="621">
        <v>4338290</v>
      </c>
      <c r="S141" s="621">
        <v>3447701</v>
      </c>
      <c r="T141" s="621">
        <v>7099</v>
      </c>
      <c r="U141" s="621">
        <v>0</v>
      </c>
      <c r="V141" s="621"/>
      <c r="W141" s="650">
        <v>0.39</v>
      </c>
      <c r="X141" s="621">
        <v>1012</v>
      </c>
      <c r="Y141" s="621">
        <v>312</v>
      </c>
      <c r="Z141" s="650">
        <v>0.38</v>
      </c>
      <c r="AA141" s="650">
        <v>0.02</v>
      </c>
      <c r="AB141" s="651">
        <v>0.4894</v>
      </c>
      <c r="AC141" s="621">
        <v>4172602</v>
      </c>
      <c r="AD141" s="621">
        <v>3936184</v>
      </c>
      <c r="AE141" s="621">
        <v>3936184</v>
      </c>
      <c r="AF141" s="484">
        <v>3863.8</v>
      </c>
      <c r="AG141" s="649">
        <v>3833.3</v>
      </c>
      <c r="AH141" s="891">
        <v>3796.1</v>
      </c>
      <c r="AI141" s="649">
        <v>3734.9</v>
      </c>
      <c r="AJ141" s="652">
        <v>0</v>
      </c>
      <c r="AK141" s="621"/>
      <c r="AL141" s="621"/>
      <c r="AM141" s="621">
        <v>0</v>
      </c>
      <c r="AN141" s="621">
        <v>0</v>
      </c>
      <c r="AO141" s="649">
        <v>3701.9</v>
      </c>
      <c r="AP141" s="649"/>
      <c r="AQ141" s="892">
        <v>0</v>
      </c>
      <c r="AR141" s="652"/>
      <c r="AS141" s="648"/>
      <c r="AT141" s="649">
        <v>0</v>
      </c>
      <c r="AU141" s="653">
        <v>0</v>
      </c>
      <c r="AV141" s="621">
        <v>21596411</v>
      </c>
      <c r="AW141" s="621">
        <v>878338</v>
      </c>
      <c r="AX141" s="621">
        <v>824466</v>
      </c>
      <c r="AY141" s="621">
        <v>3940514</v>
      </c>
      <c r="AZ141" s="621"/>
      <c r="BA141" s="428">
        <v>1</v>
      </c>
      <c r="BB141" s="621">
        <v>0</v>
      </c>
      <c r="BC141" s="621">
        <v>0</v>
      </c>
      <c r="BE141" s="621">
        <v>22136353</v>
      </c>
      <c r="BF141" s="621">
        <v>0</v>
      </c>
      <c r="BG141" s="621">
        <v>0</v>
      </c>
      <c r="BH141" s="4604">
        <v>33</v>
      </c>
      <c r="BI141" s="621">
        <v>268693004</v>
      </c>
      <c r="BJ141" s="621">
        <v>278535925</v>
      </c>
      <c r="BK141" s="621">
        <v>0</v>
      </c>
      <c r="BL141" s="4605">
        <v>1084</v>
      </c>
      <c r="BM141" s="621">
        <v>1015</v>
      </c>
      <c r="BN141" s="621">
        <v>979</v>
      </c>
      <c r="BO141" s="621">
        <v>351</v>
      </c>
      <c r="BP141" s="621">
        <v>367</v>
      </c>
      <c r="BQ141" s="621">
        <v>370</v>
      </c>
    </row>
    <row r="142" spans="1:69">
      <c r="A142" s="888">
        <v>346</v>
      </c>
      <c r="B142" s="889" t="s">
        <v>461</v>
      </c>
      <c r="C142" s="890" t="s">
        <v>182</v>
      </c>
      <c r="D142" s="621">
        <v>58848985</v>
      </c>
      <c r="E142" s="621">
        <v>54630947</v>
      </c>
      <c r="F142" s="621">
        <v>59357567</v>
      </c>
      <c r="G142" s="621">
        <v>55055291</v>
      </c>
      <c r="H142" s="648">
        <v>565.79999999999995</v>
      </c>
      <c r="I142" s="648">
        <v>565.5</v>
      </c>
      <c r="J142" s="649">
        <v>302</v>
      </c>
      <c r="K142" s="621">
        <v>5526206</v>
      </c>
      <c r="L142" s="484">
        <v>578.29999999999995</v>
      </c>
      <c r="M142" s="648">
        <v>576.9</v>
      </c>
      <c r="N142" s="649">
        <v>573.5</v>
      </c>
      <c r="O142" s="648">
        <v>555</v>
      </c>
      <c r="P142" s="621">
        <v>895539</v>
      </c>
      <c r="Q142" s="621">
        <v>891196</v>
      </c>
      <c r="R142" s="621">
        <v>410905</v>
      </c>
      <c r="S142" s="621">
        <v>487029</v>
      </c>
      <c r="T142" s="621">
        <v>0</v>
      </c>
      <c r="U142" s="621">
        <v>0</v>
      </c>
      <c r="V142" s="621"/>
      <c r="W142" s="650">
        <v>0.05</v>
      </c>
      <c r="X142" s="621">
        <v>237</v>
      </c>
      <c r="Y142" s="621">
        <v>71</v>
      </c>
      <c r="Z142" s="650">
        <v>0.05</v>
      </c>
      <c r="AA142" s="650">
        <v>0</v>
      </c>
      <c r="AB142" s="651">
        <v>0.25059999999999999</v>
      </c>
      <c r="AC142" s="621">
        <v>585745</v>
      </c>
      <c r="AD142" s="621">
        <v>580366</v>
      </c>
      <c r="AE142" s="621">
        <v>580366</v>
      </c>
      <c r="AF142" s="484">
        <v>578.29999999999995</v>
      </c>
      <c r="AG142" s="649">
        <v>572.79999999999995</v>
      </c>
      <c r="AH142" s="891">
        <v>573.5</v>
      </c>
      <c r="AI142" s="649">
        <v>555</v>
      </c>
      <c r="AJ142" s="652">
        <v>0</v>
      </c>
      <c r="AK142" s="621"/>
      <c r="AL142" s="621"/>
      <c r="AM142" s="621">
        <v>6</v>
      </c>
      <c r="AN142" s="621">
        <v>0</v>
      </c>
      <c r="AO142" s="649">
        <v>550.5</v>
      </c>
      <c r="AP142" s="649"/>
      <c r="AQ142" s="892">
        <v>0</v>
      </c>
      <c r="AR142" s="652"/>
      <c r="AS142" s="648"/>
      <c r="AT142" s="649">
        <v>0</v>
      </c>
      <c r="AU142" s="653">
        <v>0</v>
      </c>
      <c r="AV142" s="621">
        <v>4572161</v>
      </c>
      <c r="AW142" s="621">
        <v>28226</v>
      </c>
      <c r="AX142" s="621">
        <v>23743</v>
      </c>
      <c r="AY142" s="621">
        <v>347858</v>
      </c>
      <c r="AZ142" s="621"/>
      <c r="BA142" s="428">
        <v>1</v>
      </c>
      <c r="BB142" s="621">
        <v>0</v>
      </c>
      <c r="BC142" s="621">
        <v>0</v>
      </c>
      <c r="BE142" s="621">
        <v>4634965</v>
      </c>
      <c r="BF142" s="621">
        <v>2734</v>
      </c>
      <c r="BG142" s="621">
        <v>3934</v>
      </c>
      <c r="BH142" s="4604">
        <v>31</v>
      </c>
      <c r="BI142" s="621">
        <v>58848985</v>
      </c>
      <c r="BJ142" s="621">
        <v>59357567</v>
      </c>
      <c r="BK142" s="621">
        <v>0</v>
      </c>
      <c r="BL142" s="4605">
        <v>282</v>
      </c>
      <c r="BM142" s="621">
        <v>269</v>
      </c>
      <c r="BN142" s="621">
        <v>249</v>
      </c>
      <c r="BO142" s="621">
        <v>86</v>
      </c>
      <c r="BP142" s="621">
        <v>78</v>
      </c>
      <c r="BQ142" s="621">
        <v>83</v>
      </c>
    </row>
    <row r="143" spans="1:69">
      <c r="A143" s="888">
        <v>347</v>
      </c>
      <c r="B143" s="889" t="s">
        <v>462</v>
      </c>
      <c r="C143" s="890" t="s">
        <v>184</v>
      </c>
      <c r="D143" s="621">
        <v>28728994</v>
      </c>
      <c r="E143" s="621">
        <v>26517191</v>
      </c>
      <c r="F143" s="621">
        <v>29606001</v>
      </c>
      <c r="G143" s="621">
        <v>27396153</v>
      </c>
      <c r="H143" s="648">
        <v>304</v>
      </c>
      <c r="I143" s="648">
        <v>304</v>
      </c>
      <c r="J143" s="649">
        <v>340</v>
      </c>
      <c r="K143" s="621">
        <v>2923531</v>
      </c>
      <c r="L143" s="484">
        <v>314.5</v>
      </c>
      <c r="M143" s="648">
        <v>307</v>
      </c>
      <c r="N143" s="649">
        <v>311.5</v>
      </c>
      <c r="O143" s="648">
        <v>272.5</v>
      </c>
      <c r="P143" s="621">
        <v>320671</v>
      </c>
      <c r="Q143" s="621">
        <v>333154</v>
      </c>
      <c r="R143" s="621">
        <v>339429</v>
      </c>
      <c r="S143" s="621">
        <v>388779</v>
      </c>
      <c r="T143" s="621">
        <v>0</v>
      </c>
      <c r="U143" s="621">
        <v>0</v>
      </c>
      <c r="V143" s="621"/>
      <c r="W143" s="650">
        <v>0.05</v>
      </c>
      <c r="X143" s="621">
        <v>100</v>
      </c>
      <c r="Y143" s="621">
        <v>35</v>
      </c>
      <c r="Z143" s="650">
        <v>0.05</v>
      </c>
      <c r="AA143" s="650">
        <v>0</v>
      </c>
      <c r="AB143" s="651">
        <v>0.30320000000000003</v>
      </c>
      <c r="AC143" s="621">
        <v>338412</v>
      </c>
      <c r="AD143" s="621">
        <v>316596</v>
      </c>
      <c r="AE143" s="621">
        <v>316596</v>
      </c>
      <c r="AF143" s="484">
        <v>314.5</v>
      </c>
      <c r="AG143" s="649">
        <v>307</v>
      </c>
      <c r="AH143" s="891">
        <v>311.5</v>
      </c>
      <c r="AI143" s="649">
        <v>272.5</v>
      </c>
      <c r="AJ143" s="652">
        <v>0</v>
      </c>
      <c r="AK143" s="621"/>
      <c r="AL143" s="621"/>
      <c r="AM143" s="621">
        <v>0</v>
      </c>
      <c r="AN143" s="621">
        <v>0</v>
      </c>
      <c r="AO143" s="649">
        <v>271</v>
      </c>
      <c r="AP143" s="649"/>
      <c r="AQ143" s="892">
        <v>0</v>
      </c>
      <c r="AR143" s="652"/>
      <c r="AS143" s="648"/>
      <c r="AT143" s="649">
        <v>0</v>
      </c>
      <c r="AU143" s="653">
        <v>0</v>
      </c>
      <c r="AV143" s="621">
        <v>2704034</v>
      </c>
      <c r="AW143" s="621">
        <v>38682</v>
      </c>
      <c r="AX143" s="621">
        <v>39764</v>
      </c>
      <c r="AY143" s="621">
        <v>353652</v>
      </c>
      <c r="AZ143" s="621"/>
      <c r="BA143" s="428">
        <v>1</v>
      </c>
      <c r="BB143" s="621">
        <v>0</v>
      </c>
      <c r="BC143" s="621">
        <v>0</v>
      </c>
      <c r="BE143" s="621">
        <v>2589925</v>
      </c>
      <c r="BF143" s="621">
        <v>2980</v>
      </c>
      <c r="BG143" s="621">
        <v>3783</v>
      </c>
      <c r="BH143" s="4604">
        <v>33</v>
      </c>
      <c r="BI143" s="621">
        <v>28460735</v>
      </c>
      <c r="BJ143" s="621">
        <v>29241995</v>
      </c>
      <c r="BK143" s="621">
        <v>0</v>
      </c>
      <c r="BL143" s="4605">
        <v>133</v>
      </c>
      <c r="BM143" s="621">
        <v>132</v>
      </c>
      <c r="BN143" s="621">
        <v>124</v>
      </c>
      <c r="BO143" s="621">
        <v>44</v>
      </c>
      <c r="BP143" s="621">
        <v>33</v>
      </c>
      <c r="BQ143" s="621">
        <v>43</v>
      </c>
    </row>
    <row r="144" spans="1:69">
      <c r="A144" s="888">
        <v>348</v>
      </c>
      <c r="B144" s="889" t="s">
        <v>463</v>
      </c>
      <c r="C144" s="890" t="s">
        <v>185</v>
      </c>
      <c r="D144" s="621">
        <v>93409341</v>
      </c>
      <c r="E144" s="621">
        <v>86693016</v>
      </c>
      <c r="F144" s="621">
        <v>99373775</v>
      </c>
      <c r="G144" s="621">
        <v>92605552</v>
      </c>
      <c r="H144" s="648">
        <v>1342.9</v>
      </c>
      <c r="I144" s="648">
        <v>1297.0999999999999</v>
      </c>
      <c r="J144" s="649">
        <v>139</v>
      </c>
      <c r="K144" s="621">
        <v>9446761</v>
      </c>
      <c r="L144" s="484">
        <v>1351.5</v>
      </c>
      <c r="M144" s="648">
        <v>1359.2</v>
      </c>
      <c r="N144" s="649">
        <v>1324.5</v>
      </c>
      <c r="O144" s="648">
        <v>1267.9000000000001</v>
      </c>
      <c r="P144" s="621">
        <v>1568521</v>
      </c>
      <c r="Q144" s="621">
        <v>1458762</v>
      </c>
      <c r="R144" s="621">
        <v>1507072</v>
      </c>
      <c r="S144" s="621">
        <v>1163351</v>
      </c>
      <c r="T144" s="621">
        <v>13132</v>
      </c>
      <c r="U144" s="621">
        <v>0</v>
      </c>
      <c r="V144" s="621"/>
      <c r="W144" s="650">
        <v>0.35</v>
      </c>
      <c r="X144" s="621">
        <v>223</v>
      </c>
      <c r="Y144" s="621">
        <v>112</v>
      </c>
      <c r="Z144" s="650">
        <v>0.34</v>
      </c>
      <c r="AA144" s="650">
        <v>0</v>
      </c>
      <c r="AB144" s="651">
        <v>0.48299999999999998</v>
      </c>
      <c r="AC144" s="621">
        <v>1153546</v>
      </c>
      <c r="AD144" s="621">
        <v>1086116</v>
      </c>
      <c r="AE144" s="621">
        <v>1086116</v>
      </c>
      <c r="AF144" s="484">
        <v>1351.5</v>
      </c>
      <c r="AG144" s="649">
        <v>1352.9</v>
      </c>
      <c r="AH144" s="891">
        <v>1317.1</v>
      </c>
      <c r="AI144" s="649">
        <v>1263.9000000000001</v>
      </c>
      <c r="AJ144" s="652">
        <v>0</v>
      </c>
      <c r="AK144" s="621"/>
      <c r="AL144" s="621"/>
      <c r="AM144" s="621">
        <v>11</v>
      </c>
      <c r="AN144" s="621">
        <v>0</v>
      </c>
      <c r="AO144" s="649">
        <v>1255.4000000000001</v>
      </c>
      <c r="AP144" s="649"/>
      <c r="AQ144" s="892">
        <v>0</v>
      </c>
      <c r="AR144" s="652"/>
      <c r="AS144" s="648"/>
      <c r="AT144" s="649">
        <v>0</v>
      </c>
      <c r="AU144" s="653">
        <v>0</v>
      </c>
      <c r="AV144" s="621">
        <v>7909771</v>
      </c>
      <c r="AW144" s="621">
        <v>305599</v>
      </c>
      <c r="AX144" s="621">
        <v>299901</v>
      </c>
      <c r="AY144" s="621">
        <v>1547061</v>
      </c>
      <c r="AZ144" s="621"/>
      <c r="BA144" s="428">
        <v>1</v>
      </c>
      <c r="BB144" s="621">
        <v>123269</v>
      </c>
      <c r="BC144" s="621">
        <v>119210</v>
      </c>
      <c r="BE144" s="621">
        <v>7987999</v>
      </c>
      <c r="BF144" s="621">
        <v>6509</v>
      </c>
      <c r="BG144" s="621">
        <v>1845</v>
      </c>
      <c r="BH144" s="4604">
        <v>33</v>
      </c>
      <c r="BI144" s="621">
        <v>93228700</v>
      </c>
      <c r="BJ144" s="621">
        <v>98688466</v>
      </c>
      <c r="BK144" s="621">
        <v>123269</v>
      </c>
      <c r="BL144" s="4605">
        <v>335</v>
      </c>
      <c r="BM144" s="621">
        <v>283</v>
      </c>
      <c r="BN144" s="621">
        <v>275</v>
      </c>
      <c r="BO144" s="621">
        <v>122</v>
      </c>
      <c r="BP144" s="621">
        <v>163</v>
      </c>
      <c r="BQ144" s="621">
        <v>135</v>
      </c>
    </row>
    <row r="145" spans="1:69">
      <c r="A145" s="888">
        <v>349</v>
      </c>
      <c r="B145" s="889" t="s">
        <v>464</v>
      </c>
      <c r="C145" s="890" t="s">
        <v>186</v>
      </c>
      <c r="D145" s="621">
        <v>24892268</v>
      </c>
      <c r="E145" s="621">
        <v>23382029</v>
      </c>
      <c r="F145" s="621">
        <v>23525023</v>
      </c>
      <c r="G145" s="621">
        <v>22026435</v>
      </c>
      <c r="H145" s="648">
        <v>243.8</v>
      </c>
      <c r="I145" s="648">
        <v>261.39999999999998</v>
      </c>
      <c r="J145" s="649">
        <v>242</v>
      </c>
      <c r="K145" s="621">
        <v>2478150</v>
      </c>
      <c r="L145" s="484">
        <v>229.8</v>
      </c>
      <c r="M145" s="648">
        <v>250.3</v>
      </c>
      <c r="N145" s="649">
        <v>264.39999999999998</v>
      </c>
      <c r="O145" s="648">
        <v>259</v>
      </c>
      <c r="P145" s="621">
        <v>287481</v>
      </c>
      <c r="Q145" s="621">
        <v>279703</v>
      </c>
      <c r="R145" s="621">
        <v>217006</v>
      </c>
      <c r="S145" s="621">
        <v>271072</v>
      </c>
      <c r="T145" s="621">
        <v>0</v>
      </c>
      <c r="U145" s="621">
        <v>0</v>
      </c>
      <c r="V145" s="621"/>
      <c r="W145" s="650">
        <v>0.23</v>
      </c>
      <c r="X145" s="621">
        <v>98</v>
      </c>
      <c r="Y145" s="621">
        <v>35</v>
      </c>
      <c r="Z145" s="650">
        <v>0.23</v>
      </c>
      <c r="AA145" s="650">
        <v>0</v>
      </c>
      <c r="AB145" s="651">
        <v>0.33479999999999999</v>
      </c>
      <c r="AC145" s="621">
        <v>288692</v>
      </c>
      <c r="AD145" s="621">
        <v>278921</v>
      </c>
      <c r="AE145" s="621">
        <v>278921</v>
      </c>
      <c r="AF145" s="484">
        <v>229.8</v>
      </c>
      <c r="AG145" s="649">
        <v>250.3</v>
      </c>
      <c r="AH145" s="891">
        <v>264.39999999999998</v>
      </c>
      <c r="AI145" s="649">
        <v>259</v>
      </c>
      <c r="AJ145" s="652">
        <v>0</v>
      </c>
      <c r="AK145" s="621"/>
      <c r="AL145" s="621"/>
      <c r="AM145" s="621">
        <v>0</v>
      </c>
      <c r="AN145" s="621">
        <v>0</v>
      </c>
      <c r="AO145" s="649">
        <v>256</v>
      </c>
      <c r="AP145" s="649"/>
      <c r="AQ145" s="892">
        <v>0</v>
      </c>
      <c r="AR145" s="652"/>
      <c r="AS145" s="648"/>
      <c r="AT145" s="649">
        <v>0</v>
      </c>
      <c r="AU145" s="653">
        <v>0</v>
      </c>
      <c r="AV145" s="621">
        <v>2041667</v>
      </c>
      <c r="AW145" s="621">
        <v>21337</v>
      </c>
      <c r="AX145" s="621">
        <v>29301</v>
      </c>
      <c r="AY145" s="621">
        <v>154242</v>
      </c>
      <c r="AZ145" s="621"/>
      <c r="BA145" s="428">
        <v>1</v>
      </c>
      <c r="BB145" s="621">
        <v>22419</v>
      </c>
      <c r="BC145" s="621">
        <v>22419</v>
      </c>
      <c r="BE145" s="621">
        <v>2196037</v>
      </c>
      <c r="BF145" s="621">
        <v>3580</v>
      </c>
      <c r="BG145" s="621">
        <v>2568</v>
      </c>
      <c r="BH145" s="4604">
        <v>31</v>
      </c>
      <c r="BI145" s="621">
        <v>24246208</v>
      </c>
      <c r="BJ145" s="621">
        <v>22940148</v>
      </c>
      <c r="BK145" s="621">
        <v>22419</v>
      </c>
      <c r="BL145" s="4605">
        <v>103</v>
      </c>
      <c r="BM145" s="621">
        <v>102</v>
      </c>
      <c r="BN145" s="621">
        <v>88</v>
      </c>
      <c r="BO145" s="621">
        <v>27</v>
      </c>
      <c r="BP145" s="621">
        <v>35</v>
      </c>
      <c r="BQ145" s="621">
        <v>30</v>
      </c>
    </row>
    <row r="146" spans="1:69">
      <c r="A146" s="888">
        <v>350</v>
      </c>
      <c r="B146" s="889" t="s">
        <v>465</v>
      </c>
      <c r="C146" s="890" t="s">
        <v>186</v>
      </c>
      <c r="D146" s="621">
        <v>38643819</v>
      </c>
      <c r="E146" s="621">
        <v>36609272</v>
      </c>
      <c r="F146" s="621">
        <v>35218758</v>
      </c>
      <c r="G146" s="621">
        <v>33190954</v>
      </c>
      <c r="H146" s="648">
        <v>314.5</v>
      </c>
      <c r="I146" s="648">
        <v>312.5</v>
      </c>
      <c r="J146" s="649">
        <v>308.3</v>
      </c>
      <c r="K146" s="621">
        <v>2980914</v>
      </c>
      <c r="L146" s="484">
        <v>308.3</v>
      </c>
      <c r="M146" s="648">
        <v>321</v>
      </c>
      <c r="N146" s="649">
        <v>316</v>
      </c>
      <c r="O146" s="648">
        <v>309.5</v>
      </c>
      <c r="P146" s="621">
        <v>400949</v>
      </c>
      <c r="Q146" s="621">
        <v>385558</v>
      </c>
      <c r="R146" s="621">
        <v>117101</v>
      </c>
      <c r="S146" s="621">
        <v>393541</v>
      </c>
      <c r="T146" s="621">
        <v>0</v>
      </c>
      <c r="U146" s="621">
        <v>0</v>
      </c>
      <c r="V146" s="621"/>
      <c r="W146" s="650">
        <v>0.01</v>
      </c>
      <c r="X146" s="621">
        <v>128</v>
      </c>
      <c r="Y146" s="621">
        <v>35</v>
      </c>
      <c r="Z146" s="650">
        <v>0.01</v>
      </c>
      <c r="AA146" s="650">
        <v>0</v>
      </c>
      <c r="AB146" s="651">
        <v>0.16650000000000001</v>
      </c>
      <c r="AC146" s="621">
        <v>357407</v>
      </c>
      <c r="AD146" s="621">
        <v>338382</v>
      </c>
      <c r="AE146" s="621">
        <v>338382</v>
      </c>
      <c r="AF146" s="484">
        <v>308.3</v>
      </c>
      <c r="AG146" s="649">
        <v>321</v>
      </c>
      <c r="AH146" s="891">
        <v>316</v>
      </c>
      <c r="AI146" s="649">
        <v>309.5</v>
      </c>
      <c r="AJ146" s="652">
        <v>0</v>
      </c>
      <c r="AK146" s="621"/>
      <c r="AL146" s="621"/>
      <c r="AM146" s="621">
        <v>0</v>
      </c>
      <c r="AN146" s="621">
        <v>0</v>
      </c>
      <c r="AO146" s="649">
        <v>307</v>
      </c>
      <c r="AP146" s="649"/>
      <c r="AQ146" s="892">
        <v>0</v>
      </c>
      <c r="AR146" s="652"/>
      <c r="AS146" s="648"/>
      <c r="AT146" s="649">
        <v>0</v>
      </c>
      <c r="AU146" s="653">
        <v>0</v>
      </c>
      <c r="AV146" s="621">
        <v>2529732</v>
      </c>
      <c r="AW146" s="621">
        <v>0</v>
      </c>
      <c r="AX146" s="621">
        <v>0</v>
      </c>
      <c r="AY146" s="621">
        <v>117047</v>
      </c>
      <c r="AZ146" s="621"/>
      <c r="BA146" s="428">
        <v>1</v>
      </c>
      <c r="BB146" s="621">
        <v>25890</v>
      </c>
      <c r="BC146" s="621">
        <v>21411</v>
      </c>
      <c r="BE146" s="621">
        <v>2586015</v>
      </c>
      <c r="BF146" s="621">
        <v>3781</v>
      </c>
      <c r="BG146" s="621">
        <v>2501</v>
      </c>
      <c r="BH146" s="4604">
        <v>33</v>
      </c>
      <c r="BI146" s="621">
        <v>37515743</v>
      </c>
      <c r="BJ146" s="621">
        <v>34274541</v>
      </c>
      <c r="BK146" s="621">
        <v>25890</v>
      </c>
      <c r="BL146" s="4605">
        <v>134</v>
      </c>
      <c r="BM146" s="621">
        <v>133</v>
      </c>
      <c r="BN146" s="621">
        <v>132</v>
      </c>
      <c r="BO146" s="621">
        <v>48</v>
      </c>
      <c r="BP146" s="621">
        <v>46</v>
      </c>
      <c r="BQ146" s="621">
        <v>33</v>
      </c>
    </row>
    <row r="147" spans="1:69">
      <c r="A147" s="888">
        <v>351</v>
      </c>
      <c r="B147" s="889" t="s">
        <v>466</v>
      </c>
      <c r="C147" s="890" t="s">
        <v>186</v>
      </c>
      <c r="D147" s="621">
        <v>42556216</v>
      </c>
      <c r="E147" s="621">
        <v>41344633</v>
      </c>
      <c r="F147" s="621">
        <v>41290155</v>
      </c>
      <c r="G147" s="621">
        <v>40091701</v>
      </c>
      <c r="H147" s="648">
        <v>214</v>
      </c>
      <c r="I147" s="648">
        <v>189.5</v>
      </c>
      <c r="J147" s="649">
        <v>360</v>
      </c>
      <c r="K147" s="621">
        <v>2304147</v>
      </c>
      <c r="L147" s="484">
        <v>227</v>
      </c>
      <c r="M147" s="648">
        <v>216.5</v>
      </c>
      <c r="N147" s="649">
        <v>192</v>
      </c>
      <c r="O147" s="648">
        <v>185</v>
      </c>
      <c r="P147" s="621">
        <v>262150</v>
      </c>
      <c r="Q147" s="621">
        <v>232857</v>
      </c>
      <c r="R147" s="621">
        <v>0</v>
      </c>
      <c r="S147" s="621">
        <v>308335</v>
      </c>
      <c r="T147" s="621">
        <v>0</v>
      </c>
      <c r="U147" s="621">
        <v>0</v>
      </c>
      <c r="V147" s="621"/>
      <c r="W147" s="650">
        <v>0</v>
      </c>
      <c r="X147" s="621">
        <v>85</v>
      </c>
      <c r="Y147" s="621">
        <v>30</v>
      </c>
      <c r="Z147" s="650">
        <v>0</v>
      </c>
      <c r="AA147" s="650">
        <v>0</v>
      </c>
      <c r="AB147" s="651">
        <v>0</v>
      </c>
      <c r="AC147" s="621">
        <v>298625</v>
      </c>
      <c r="AD147" s="621">
        <v>285082</v>
      </c>
      <c r="AE147" s="621">
        <v>285082</v>
      </c>
      <c r="AF147" s="484">
        <v>227</v>
      </c>
      <c r="AG147" s="649">
        <v>216.5</v>
      </c>
      <c r="AH147" s="891">
        <v>192</v>
      </c>
      <c r="AI147" s="649">
        <v>185</v>
      </c>
      <c r="AJ147" s="652">
        <v>0</v>
      </c>
      <c r="AK147" s="621"/>
      <c r="AL147" s="621"/>
      <c r="AM147" s="621">
        <v>0</v>
      </c>
      <c r="AN147" s="621">
        <v>0</v>
      </c>
      <c r="AO147" s="649">
        <v>182</v>
      </c>
      <c r="AP147" s="649"/>
      <c r="AQ147" s="892">
        <v>0</v>
      </c>
      <c r="AR147" s="652"/>
      <c r="AS147" s="648"/>
      <c r="AT147" s="649">
        <v>0</v>
      </c>
      <c r="AU147" s="653">
        <v>0</v>
      </c>
      <c r="AV147" s="621">
        <v>2085852</v>
      </c>
      <c r="AW147" s="621">
        <v>0</v>
      </c>
      <c r="AX147" s="621">
        <v>0</v>
      </c>
      <c r="AY147" s="621">
        <v>0</v>
      </c>
      <c r="AZ147" s="621"/>
      <c r="BA147" s="428">
        <v>1</v>
      </c>
      <c r="BB147" s="621">
        <v>0</v>
      </c>
      <c r="BC147" s="621">
        <v>0</v>
      </c>
      <c r="BE147" s="621">
        <v>2064813</v>
      </c>
      <c r="BF147" s="621">
        <v>419</v>
      </c>
      <c r="BG147" s="621">
        <v>217</v>
      </c>
      <c r="BH147" s="4604">
        <v>31</v>
      </c>
      <c r="BI147" s="621">
        <v>41601927</v>
      </c>
      <c r="BJ147" s="621">
        <v>40474949</v>
      </c>
      <c r="BK147" s="621">
        <v>0</v>
      </c>
      <c r="BL147" s="4605">
        <v>120</v>
      </c>
      <c r="BM147" s="621">
        <v>108</v>
      </c>
      <c r="BN147" s="621">
        <v>98</v>
      </c>
      <c r="BO147" s="621">
        <v>36</v>
      </c>
      <c r="BP147" s="621">
        <v>27</v>
      </c>
      <c r="BQ147" s="621">
        <v>23</v>
      </c>
    </row>
    <row r="148" spans="1:69">
      <c r="A148" s="888">
        <v>352</v>
      </c>
      <c r="B148" s="889" t="s">
        <v>467</v>
      </c>
      <c r="C148" s="890" t="s">
        <v>187</v>
      </c>
      <c r="D148" s="621">
        <v>96548568</v>
      </c>
      <c r="E148" s="621">
        <v>90778123</v>
      </c>
      <c r="F148" s="621">
        <v>98041720</v>
      </c>
      <c r="G148" s="621">
        <v>92261213</v>
      </c>
      <c r="H148" s="648">
        <v>901.5</v>
      </c>
      <c r="I148" s="648">
        <v>916.5</v>
      </c>
      <c r="J148" s="649">
        <v>914.2</v>
      </c>
      <c r="K148" s="621">
        <v>7546868</v>
      </c>
      <c r="L148" s="484">
        <v>909.5</v>
      </c>
      <c r="M148" s="648">
        <v>923.8</v>
      </c>
      <c r="N148" s="649">
        <v>932.2</v>
      </c>
      <c r="O148" s="648">
        <v>900.5</v>
      </c>
      <c r="P148" s="621">
        <v>938578</v>
      </c>
      <c r="Q148" s="621">
        <v>987881</v>
      </c>
      <c r="R148" s="621">
        <v>590372</v>
      </c>
      <c r="S148" s="621">
        <v>840606</v>
      </c>
      <c r="T148" s="621">
        <v>0</v>
      </c>
      <c r="U148" s="621">
        <v>0</v>
      </c>
      <c r="V148" s="621"/>
      <c r="W148" s="650">
        <v>7.0000000000000007E-2</v>
      </c>
      <c r="X148" s="621">
        <v>334</v>
      </c>
      <c r="Y148" s="621">
        <v>75</v>
      </c>
      <c r="Z148" s="650">
        <v>7.0000000000000007E-2</v>
      </c>
      <c r="AA148" s="650">
        <v>0</v>
      </c>
      <c r="AB148" s="651">
        <v>0.2611</v>
      </c>
      <c r="AC148" s="621">
        <v>924103</v>
      </c>
      <c r="AD148" s="621">
        <v>854701</v>
      </c>
      <c r="AE148" s="621">
        <v>854701</v>
      </c>
      <c r="AF148" s="484">
        <v>909.5</v>
      </c>
      <c r="AG148" s="649">
        <v>913.5</v>
      </c>
      <c r="AH148" s="891">
        <v>926</v>
      </c>
      <c r="AI148" s="649">
        <v>880</v>
      </c>
      <c r="AJ148" s="652">
        <v>0</v>
      </c>
      <c r="AK148" s="621"/>
      <c r="AL148" s="621"/>
      <c r="AM148" s="621">
        <v>0</v>
      </c>
      <c r="AN148" s="621">
        <v>0</v>
      </c>
      <c r="AO148" s="649">
        <v>869</v>
      </c>
      <c r="AP148" s="649"/>
      <c r="AQ148" s="892">
        <v>0</v>
      </c>
      <c r="AR148" s="652"/>
      <c r="AS148" s="648"/>
      <c r="AT148" s="649">
        <v>0</v>
      </c>
      <c r="AU148" s="653">
        <v>0</v>
      </c>
      <c r="AV148" s="621">
        <v>6376598</v>
      </c>
      <c r="AW148" s="621">
        <v>24694</v>
      </c>
      <c r="AX148" s="621">
        <v>27911</v>
      </c>
      <c r="AY148" s="621">
        <v>562820</v>
      </c>
      <c r="AZ148" s="621"/>
      <c r="BA148" s="428">
        <v>1</v>
      </c>
      <c r="BB148" s="621">
        <v>0</v>
      </c>
      <c r="BC148" s="621">
        <v>0</v>
      </c>
      <c r="BE148" s="621">
        <v>6558175</v>
      </c>
      <c r="BF148" s="621">
        <v>3082</v>
      </c>
      <c r="BG148" s="621">
        <v>1964</v>
      </c>
      <c r="BH148" s="4604">
        <v>31</v>
      </c>
      <c r="BI148" s="621">
        <v>94070865</v>
      </c>
      <c r="BJ148" s="621">
        <v>94957123</v>
      </c>
      <c r="BK148" s="621">
        <v>0</v>
      </c>
      <c r="BL148" s="4605">
        <v>371</v>
      </c>
      <c r="BM148" s="621">
        <v>383</v>
      </c>
      <c r="BN148" s="621">
        <v>373</v>
      </c>
      <c r="BO148" s="621">
        <v>121</v>
      </c>
      <c r="BP148" s="621">
        <v>99</v>
      </c>
      <c r="BQ148" s="621">
        <v>88</v>
      </c>
    </row>
    <row r="149" spans="1:69">
      <c r="A149" s="888">
        <v>353</v>
      </c>
      <c r="B149" s="889" t="s">
        <v>468</v>
      </c>
      <c r="C149" s="890" t="s">
        <v>188</v>
      </c>
      <c r="D149" s="621">
        <v>73347272</v>
      </c>
      <c r="E149" s="621">
        <v>64783661</v>
      </c>
      <c r="F149" s="621">
        <v>73801235</v>
      </c>
      <c r="G149" s="621">
        <v>65249851</v>
      </c>
      <c r="H149" s="648">
        <v>1552.4</v>
      </c>
      <c r="I149" s="648">
        <v>1486.2</v>
      </c>
      <c r="J149" s="649">
        <v>228.5</v>
      </c>
      <c r="K149" s="621">
        <v>11476414</v>
      </c>
      <c r="L149" s="484">
        <v>1534.2</v>
      </c>
      <c r="M149" s="648">
        <v>1554.9</v>
      </c>
      <c r="N149" s="649">
        <v>1490</v>
      </c>
      <c r="O149" s="648">
        <v>1435.1</v>
      </c>
      <c r="P149" s="621">
        <v>2181650</v>
      </c>
      <c r="Q149" s="621">
        <v>2111092</v>
      </c>
      <c r="R149" s="621">
        <v>2267864</v>
      </c>
      <c r="S149" s="621">
        <v>1855849</v>
      </c>
      <c r="T149" s="621">
        <v>0</v>
      </c>
      <c r="U149" s="621">
        <v>0</v>
      </c>
      <c r="V149" s="621"/>
      <c r="W149" s="650">
        <v>0.63</v>
      </c>
      <c r="X149" s="621">
        <v>591</v>
      </c>
      <c r="Y149" s="621">
        <v>152</v>
      </c>
      <c r="Z149" s="650">
        <v>0.62</v>
      </c>
      <c r="AA149" s="650">
        <v>0.26</v>
      </c>
      <c r="AB149" s="651">
        <v>0.65469999999999995</v>
      </c>
      <c r="AC149" s="621">
        <v>1578091</v>
      </c>
      <c r="AD149" s="621">
        <v>1455171</v>
      </c>
      <c r="AE149" s="621">
        <v>1455171</v>
      </c>
      <c r="AF149" s="484">
        <v>1534.2</v>
      </c>
      <c r="AG149" s="649">
        <v>1554.9</v>
      </c>
      <c r="AH149" s="891">
        <v>1488.2</v>
      </c>
      <c r="AI149" s="649">
        <v>1435.1</v>
      </c>
      <c r="AJ149" s="652">
        <v>0</v>
      </c>
      <c r="AK149" s="621"/>
      <c r="AL149" s="621"/>
      <c r="AM149" s="621">
        <v>0</v>
      </c>
      <c r="AN149" s="621">
        <v>0</v>
      </c>
      <c r="AO149" s="649">
        <v>1435.1</v>
      </c>
      <c r="AP149" s="649"/>
      <c r="AQ149" s="892">
        <v>0</v>
      </c>
      <c r="AR149" s="652"/>
      <c r="AS149" s="648"/>
      <c r="AT149" s="649">
        <v>0</v>
      </c>
      <c r="AU149" s="653">
        <v>0</v>
      </c>
      <c r="AV149" s="621">
        <v>9209190</v>
      </c>
      <c r="AW149" s="621">
        <v>354367</v>
      </c>
      <c r="AX149" s="621">
        <v>336136</v>
      </c>
      <c r="AY149" s="621">
        <v>2258445</v>
      </c>
      <c r="AZ149" s="621"/>
      <c r="BA149" s="428">
        <v>1</v>
      </c>
      <c r="BB149" s="621">
        <v>0</v>
      </c>
      <c r="BC149" s="621">
        <v>0</v>
      </c>
      <c r="BE149" s="621">
        <v>9363117</v>
      </c>
      <c r="BF149" s="621">
        <v>7449</v>
      </c>
      <c r="BG149" s="621">
        <v>11188</v>
      </c>
      <c r="BH149" s="4604">
        <v>31</v>
      </c>
      <c r="BI149" s="621">
        <v>71462755</v>
      </c>
      <c r="BJ149" s="621">
        <v>71741183</v>
      </c>
      <c r="BK149" s="621">
        <v>0</v>
      </c>
      <c r="BL149" s="4605">
        <v>688</v>
      </c>
      <c r="BM149" s="621">
        <v>695</v>
      </c>
      <c r="BN149" s="621">
        <v>645</v>
      </c>
      <c r="BO149" s="621">
        <v>174</v>
      </c>
      <c r="BP149" s="621">
        <v>206</v>
      </c>
      <c r="BQ149" s="621">
        <v>213</v>
      </c>
    </row>
    <row r="150" spans="1:69">
      <c r="A150" s="888">
        <v>355</v>
      </c>
      <c r="B150" s="889" t="s">
        <v>469</v>
      </c>
      <c r="C150" s="890" t="s">
        <v>189</v>
      </c>
      <c r="D150" s="621">
        <v>33473042</v>
      </c>
      <c r="E150" s="621">
        <v>30691126</v>
      </c>
      <c r="F150" s="621">
        <v>30446001</v>
      </c>
      <c r="G150" s="621">
        <v>27682568</v>
      </c>
      <c r="H150" s="648">
        <v>447.5</v>
      </c>
      <c r="I150" s="648">
        <v>436.9</v>
      </c>
      <c r="J150" s="649">
        <v>154</v>
      </c>
      <c r="K150" s="621">
        <v>3941556</v>
      </c>
      <c r="L150" s="484">
        <v>450.3</v>
      </c>
      <c r="M150" s="648">
        <v>447.5</v>
      </c>
      <c r="N150" s="649">
        <v>436.9</v>
      </c>
      <c r="O150" s="648">
        <v>413</v>
      </c>
      <c r="P150" s="621">
        <v>527000</v>
      </c>
      <c r="Q150" s="621">
        <v>569423</v>
      </c>
      <c r="R150" s="621">
        <v>573340</v>
      </c>
      <c r="S150" s="621">
        <v>443078</v>
      </c>
      <c r="T150" s="621">
        <v>0</v>
      </c>
      <c r="U150" s="621">
        <v>0</v>
      </c>
      <c r="V150" s="621"/>
      <c r="W150" s="650">
        <v>0.39</v>
      </c>
      <c r="X150" s="621">
        <v>137</v>
      </c>
      <c r="Y150" s="621">
        <v>71</v>
      </c>
      <c r="Z150" s="650">
        <v>0.38</v>
      </c>
      <c r="AA150" s="650">
        <v>0.02</v>
      </c>
      <c r="AB150" s="651">
        <v>0.45490000000000003</v>
      </c>
      <c r="AC150" s="621">
        <v>473988</v>
      </c>
      <c r="AD150" s="621">
        <v>449607</v>
      </c>
      <c r="AE150" s="621">
        <v>449607</v>
      </c>
      <c r="AF150" s="484">
        <v>450.3</v>
      </c>
      <c r="AG150" s="649">
        <v>447.5</v>
      </c>
      <c r="AH150" s="891">
        <v>436.9</v>
      </c>
      <c r="AI150" s="649">
        <v>413</v>
      </c>
      <c r="AJ150" s="652">
        <v>0</v>
      </c>
      <c r="AK150" s="621"/>
      <c r="AL150" s="621"/>
      <c r="AM150" s="621">
        <v>0</v>
      </c>
      <c r="AN150" s="621">
        <v>0</v>
      </c>
      <c r="AO150" s="649">
        <v>413</v>
      </c>
      <c r="AP150" s="649"/>
      <c r="AQ150" s="892">
        <v>0</v>
      </c>
      <c r="AR150" s="652"/>
      <c r="AS150" s="648"/>
      <c r="AT150" s="649">
        <v>0</v>
      </c>
      <c r="AU150" s="653">
        <v>0</v>
      </c>
      <c r="AV150" s="621">
        <v>3267204</v>
      </c>
      <c r="AW150" s="621">
        <v>85591</v>
      </c>
      <c r="AX150" s="621">
        <v>75360</v>
      </c>
      <c r="AY150" s="621">
        <v>549217</v>
      </c>
      <c r="AZ150" s="621"/>
      <c r="BA150" s="428">
        <v>1</v>
      </c>
      <c r="BB150" s="621">
        <v>0</v>
      </c>
      <c r="BC150" s="621">
        <v>0</v>
      </c>
      <c r="BE150" s="621">
        <v>3368388</v>
      </c>
      <c r="BF150" s="621">
        <v>4163</v>
      </c>
      <c r="BG150" s="621">
        <v>2979</v>
      </c>
      <c r="BH150" s="4604">
        <v>33</v>
      </c>
      <c r="BI150" s="621">
        <v>33433941</v>
      </c>
      <c r="BJ150" s="621">
        <v>30387031</v>
      </c>
      <c r="BK150" s="621">
        <v>0</v>
      </c>
      <c r="BL150" s="4605">
        <v>154</v>
      </c>
      <c r="BM150" s="621">
        <v>144</v>
      </c>
      <c r="BN150" s="621">
        <v>131</v>
      </c>
      <c r="BO150" s="621">
        <v>84</v>
      </c>
      <c r="BP150" s="621">
        <v>71</v>
      </c>
      <c r="BQ150" s="621">
        <v>86</v>
      </c>
    </row>
    <row r="151" spans="1:69">
      <c r="A151" s="888">
        <v>356</v>
      </c>
      <c r="B151" s="889" t="s">
        <v>471</v>
      </c>
      <c r="C151" s="890" t="s">
        <v>188</v>
      </c>
      <c r="D151" s="621">
        <v>27590243</v>
      </c>
      <c r="E151" s="621">
        <v>25288266</v>
      </c>
      <c r="F151" s="621">
        <v>29159471</v>
      </c>
      <c r="G151" s="621">
        <v>26843393</v>
      </c>
      <c r="H151" s="648">
        <v>430</v>
      </c>
      <c r="I151" s="648">
        <v>418.9</v>
      </c>
      <c r="J151" s="649">
        <v>158.19999999999999</v>
      </c>
      <c r="K151" s="621">
        <v>3627455</v>
      </c>
      <c r="L151" s="484">
        <v>444.7</v>
      </c>
      <c r="M151" s="648">
        <v>431</v>
      </c>
      <c r="N151" s="649">
        <v>418.9</v>
      </c>
      <c r="O151" s="648">
        <v>399.6</v>
      </c>
      <c r="P151" s="621">
        <v>443179</v>
      </c>
      <c r="Q151" s="621">
        <v>458316</v>
      </c>
      <c r="R151" s="621">
        <v>635526</v>
      </c>
      <c r="S151" s="621">
        <v>511282</v>
      </c>
      <c r="T151" s="621">
        <v>0</v>
      </c>
      <c r="U151" s="621">
        <v>0</v>
      </c>
      <c r="V151" s="621"/>
      <c r="W151" s="650">
        <v>0.41</v>
      </c>
      <c r="X151" s="621">
        <v>85</v>
      </c>
      <c r="Y151" s="621">
        <v>46</v>
      </c>
      <c r="Z151" s="650">
        <v>0.4</v>
      </c>
      <c r="AA151" s="650">
        <v>0.04</v>
      </c>
      <c r="AB151" s="651">
        <v>0.52939999999999998</v>
      </c>
      <c r="AC151" s="621">
        <v>473191</v>
      </c>
      <c r="AD151" s="621">
        <v>440724</v>
      </c>
      <c r="AE151" s="621">
        <v>440724</v>
      </c>
      <c r="AF151" s="484">
        <v>444.7</v>
      </c>
      <c r="AG151" s="649">
        <v>430</v>
      </c>
      <c r="AH151" s="891">
        <v>418.9</v>
      </c>
      <c r="AI151" s="649">
        <v>398.6</v>
      </c>
      <c r="AJ151" s="652">
        <v>0</v>
      </c>
      <c r="AK151" s="621"/>
      <c r="AL151" s="621"/>
      <c r="AM151" s="621">
        <v>1</v>
      </c>
      <c r="AN151" s="621">
        <v>0</v>
      </c>
      <c r="AO151" s="649">
        <v>398.1</v>
      </c>
      <c r="AP151" s="649"/>
      <c r="AQ151" s="892">
        <v>0</v>
      </c>
      <c r="AR151" s="652"/>
      <c r="AS151" s="648"/>
      <c r="AT151" s="649">
        <v>0</v>
      </c>
      <c r="AU151" s="653">
        <v>0</v>
      </c>
      <c r="AV151" s="621">
        <v>3149366</v>
      </c>
      <c r="AW151" s="621">
        <v>105833</v>
      </c>
      <c r="AX151" s="621">
        <v>100914</v>
      </c>
      <c r="AY151" s="621">
        <v>662278</v>
      </c>
      <c r="AZ151" s="621"/>
      <c r="BA151" s="428">
        <v>1</v>
      </c>
      <c r="BB151" s="621">
        <v>0</v>
      </c>
      <c r="BC151" s="621">
        <v>0</v>
      </c>
      <c r="BE151" s="621">
        <v>3168608</v>
      </c>
      <c r="BF151" s="621">
        <v>0</v>
      </c>
      <c r="BG151" s="621">
        <v>0</v>
      </c>
      <c r="BH151" s="4604">
        <v>31</v>
      </c>
      <c r="BI151" s="621">
        <v>26998210</v>
      </c>
      <c r="BJ151" s="621">
        <v>28672303</v>
      </c>
      <c r="BK151" s="621">
        <v>0</v>
      </c>
      <c r="BL151" s="4605">
        <v>92</v>
      </c>
      <c r="BM151" s="621">
        <v>88</v>
      </c>
      <c r="BN151" s="621">
        <v>83</v>
      </c>
      <c r="BO151" s="621">
        <v>70</v>
      </c>
      <c r="BP151" s="621">
        <v>53</v>
      </c>
      <c r="BQ151" s="621">
        <v>52</v>
      </c>
    </row>
    <row r="152" spans="1:69">
      <c r="A152" s="888">
        <v>357</v>
      </c>
      <c r="B152" s="889" t="s">
        <v>472</v>
      </c>
      <c r="C152" s="890" t="s">
        <v>188</v>
      </c>
      <c r="D152" s="621">
        <v>26251799</v>
      </c>
      <c r="E152" s="621">
        <v>23169991</v>
      </c>
      <c r="F152" s="621">
        <v>27880063</v>
      </c>
      <c r="G152" s="621">
        <v>24780380</v>
      </c>
      <c r="H152" s="648">
        <v>602.29999999999995</v>
      </c>
      <c r="I152" s="648">
        <v>596.79999999999995</v>
      </c>
      <c r="J152" s="649">
        <v>84</v>
      </c>
      <c r="K152" s="621">
        <v>5230495</v>
      </c>
      <c r="L152" s="484">
        <v>622.4</v>
      </c>
      <c r="M152" s="648">
        <v>616.6</v>
      </c>
      <c r="N152" s="649">
        <v>608.1</v>
      </c>
      <c r="O152" s="648">
        <v>577.20000000000005</v>
      </c>
      <c r="P152" s="621">
        <v>783721</v>
      </c>
      <c r="Q152" s="621">
        <v>770079</v>
      </c>
      <c r="R152" s="621">
        <v>1252288</v>
      </c>
      <c r="S152" s="621">
        <v>945653</v>
      </c>
      <c r="T152" s="621">
        <v>0</v>
      </c>
      <c r="U152" s="621">
        <v>0</v>
      </c>
      <c r="V152" s="621"/>
      <c r="W152" s="650">
        <v>0.65</v>
      </c>
      <c r="X152" s="621">
        <v>184</v>
      </c>
      <c r="Y152" s="621">
        <v>57</v>
      </c>
      <c r="Z152" s="650">
        <v>0.64</v>
      </c>
      <c r="AA152" s="650">
        <v>0.28000000000000003</v>
      </c>
      <c r="AB152" s="651">
        <v>0.68130000000000002</v>
      </c>
      <c r="AC152" s="621">
        <v>618120</v>
      </c>
      <c r="AD152" s="621">
        <v>578233</v>
      </c>
      <c r="AE152" s="621">
        <v>578233</v>
      </c>
      <c r="AF152" s="484">
        <v>622.4</v>
      </c>
      <c r="AG152" s="649">
        <v>610.79999999999995</v>
      </c>
      <c r="AH152" s="891">
        <v>603.79999999999995</v>
      </c>
      <c r="AI152" s="649">
        <v>573.70000000000005</v>
      </c>
      <c r="AJ152" s="652">
        <v>0</v>
      </c>
      <c r="AK152" s="621"/>
      <c r="AL152" s="621"/>
      <c r="AM152" s="621">
        <v>3</v>
      </c>
      <c r="AN152" s="621">
        <v>0</v>
      </c>
      <c r="AO152" s="649">
        <v>566.20000000000005</v>
      </c>
      <c r="AP152" s="649"/>
      <c r="AQ152" s="892">
        <v>0</v>
      </c>
      <c r="AR152" s="652"/>
      <c r="AS152" s="648"/>
      <c r="AT152" s="649">
        <v>0</v>
      </c>
      <c r="AU152" s="653">
        <v>0</v>
      </c>
      <c r="AV152" s="621">
        <v>4470210</v>
      </c>
      <c r="AW152" s="621">
        <v>137663</v>
      </c>
      <c r="AX152" s="621">
        <v>144217</v>
      </c>
      <c r="AY152" s="621">
        <v>1253933</v>
      </c>
      <c r="AZ152" s="621"/>
      <c r="BA152" s="428">
        <v>1</v>
      </c>
      <c r="BB152" s="621">
        <v>0</v>
      </c>
      <c r="BC152" s="621">
        <v>0</v>
      </c>
      <c r="BE152" s="621">
        <v>4460281</v>
      </c>
      <c r="BF152" s="621">
        <v>4887</v>
      </c>
      <c r="BG152" s="621">
        <v>31</v>
      </c>
      <c r="BH152" s="4604">
        <v>33</v>
      </c>
      <c r="BI152" s="621">
        <v>26072658</v>
      </c>
      <c r="BJ152" s="621">
        <v>27747911</v>
      </c>
      <c r="BK152" s="621">
        <v>0</v>
      </c>
      <c r="BL152" s="4605">
        <v>187</v>
      </c>
      <c r="BM152" s="621">
        <v>202</v>
      </c>
      <c r="BN152" s="621">
        <v>175</v>
      </c>
      <c r="BO152" s="621">
        <v>76</v>
      </c>
      <c r="BP152" s="621">
        <v>63</v>
      </c>
      <c r="BQ152" s="621">
        <v>73</v>
      </c>
    </row>
    <row r="153" spans="1:69">
      <c r="A153" s="888">
        <v>358</v>
      </c>
      <c r="B153" s="889" t="s">
        <v>473</v>
      </c>
      <c r="C153" s="890" t="s">
        <v>188</v>
      </c>
      <c r="D153" s="621">
        <v>20367482</v>
      </c>
      <c r="E153" s="621">
        <v>18477385</v>
      </c>
      <c r="F153" s="621">
        <v>20911127</v>
      </c>
      <c r="G153" s="621">
        <v>18996180</v>
      </c>
      <c r="H153" s="648">
        <v>375.9</v>
      </c>
      <c r="I153" s="648">
        <v>359.5</v>
      </c>
      <c r="J153" s="649">
        <v>136</v>
      </c>
      <c r="K153" s="621">
        <v>3980452</v>
      </c>
      <c r="L153" s="484">
        <v>369.9</v>
      </c>
      <c r="M153" s="648">
        <v>442.3</v>
      </c>
      <c r="N153" s="649">
        <v>425.1</v>
      </c>
      <c r="O153" s="648">
        <v>451.6</v>
      </c>
      <c r="P153" s="621">
        <v>475447</v>
      </c>
      <c r="Q153" s="621">
        <v>488865</v>
      </c>
      <c r="R153" s="621">
        <v>691330</v>
      </c>
      <c r="S153" s="621">
        <v>489876</v>
      </c>
      <c r="T153" s="621">
        <v>8771</v>
      </c>
      <c r="U153" s="621">
        <v>0</v>
      </c>
      <c r="V153" s="621"/>
      <c r="W153" s="650">
        <v>0.68</v>
      </c>
      <c r="X153" s="621">
        <v>105</v>
      </c>
      <c r="Y153" s="621">
        <v>35</v>
      </c>
      <c r="Z153" s="650">
        <v>0.67</v>
      </c>
      <c r="AA153" s="650">
        <v>0.31</v>
      </c>
      <c r="AB153" s="651">
        <v>0.67359999999999998</v>
      </c>
      <c r="AC153" s="621">
        <v>355922</v>
      </c>
      <c r="AD153" s="621">
        <v>352043</v>
      </c>
      <c r="AE153" s="621">
        <v>352043</v>
      </c>
      <c r="AF153" s="484">
        <v>369.9</v>
      </c>
      <c r="AG153" s="649">
        <v>377.4</v>
      </c>
      <c r="AH153" s="891">
        <v>362</v>
      </c>
      <c r="AI153" s="649">
        <v>325.8</v>
      </c>
      <c r="AJ153" s="652">
        <v>0</v>
      </c>
      <c r="AK153" s="621"/>
      <c r="AL153" s="621"/>
      <c r="AM153" s="621">
        <v>30</v>
      </c>
      <c r="AN153" s="621">
        <v>0</v>
      </c>
      <c r="AO153" s="649">
        <v>323.3</v>
      </c>
      <c r="AP153" s="649"/>
      <c r="AQ153" s="892">
        <v>0</v>
      </c>
      <c r="AR153" s="652"/>
      <c r="AS153" s="648"/>
      <c r="AT153" s="649">
        <v>0</v>
      </c>
      <c r="AU153" s="653">
        <v>0</v>
      </c>
      <c r="AV153" s="621">
        <v>3180735</v>
      </c>
      <c r="AW153" s="621">
        <v>102015</v>
      </c>
      <c r="AX153" s="621">
        <v>95270</v>
      </c>
      <c r="AY153" s="621">
        <v>684867</v>
      </c>
      <c r="AZ153" s="621"/>
      <c r="BA153" s="428">
        <v>1</v>
      </c>
      <c r="BB153" s="621">
        <v>0</v>
      </c>
      <c r="BC153" s="621">
        <v>0</v>
      </c>
      <c r="BE153" s="621">
        <v>3489598</v>
      </c>
      <c r="BF153" s="621">
        <v>3041</v>
      </c>
      <c r="BG153" s="621">
        <v>3849</v>
      </c>
      <c r="BH153" s="4604">
        <v>30</v>
      </c>
      <c r="BI153" s="621">
        <v>19942219</v>
      </c>
      <c r="BJ153" s="621">
        <v>20523040</v>
      </c>
      <c r="BK153" s="621">
        <v>0</v>
      </c>
      <c r="BL153" s="4605">
        <v>125</v>
      </c>
      <c r="BM153" s="621">
        <v>121</v>
      </c>
      <c r="BN153" s="621">
        <v>121</v>
      </c>
      <c r="BO153" s="621">
        <v>43</v>
      </c>
      <c r="BP153" s="621">
        <v>43</v>
      </c>
      <c r="BQ153" s="621">
        <v>59</v>
      </c>
    </row>
    <row r="154" spans="1:69">
      <c r="A154" s="888">
        <v>359</v>
      </c>
      <c r="B154" s="889" t="s">
        <v>474</v>
      </c>
      <c r="C154" s="890" t="s">
        <v>188</v>
      </c>
      <c r="D154" s="621">
        <v>18588372</v>
      </c>
      <c r="E154" s="621">
        <v>17490945</v>
      </c>
      <c r="F154" s="621">
        <v>16966045</v>
      </c>
      <c r="G154" s="621">
        <v>15864747</v>
      </c>
      <c r="H154" s="648">
        <v>171.5</v>
      </c>
      <c r="I154" s="648">
        <v>159</v>
      </c>
      <c r="J154" s="649">
        <v>174</v>
      </c>
      <c r="K154" s="621">
        <v>1908928</v>
      </c>
      <c r="L154" s="484">
        <v>171.5</v>
      </c>
      <c r="M154" s="648">
        <v>173.5</v>
      </c>
      <c r="N154" s="649">
        <v>161.5</v>
      </c>
      <c r="O154" s="648">
        <v>160.9</v>
      </c>
      <c r="P154" s="621">
        <v>283565</v>
      </c>
      <c r="Q154" s="621">
        <v>266958</v>
      </c>
      <c r="R154" s="621">
        <v>123115</v>
      </c>
      <c r="S154" s="621">
        <v>242767</v>
      </c>
      <c r="T154" s="621">
        <v>6053</v>
      </c>
      <c r="U154" s="621">
        <v>0</v>
      </c>
      <c r="V154" s="621"/>
      <c r="W154" s="650">
        <v>0.08</v>
      </c>
      <c r="X154" s="621">
        <v>54</v>
      </c>
      <c r="Y154" s="621">
        <v>10</v>
      </c>
      <c r="Z154" s="650">
        <v>0.08</v>
      </c>
      <c r="AA154" s="650">
        <v>0</v>
      </c>
      <c r="AB154" s="651">
        <v>0.2452</v>
      </c>
      <c r="AC154" s="621">
        <v>208139</v>
      </c>
      <c r="AD154" s="621">
        <v>193727</v>
      </c>
      <c r="AE154" s="621">
        <v>193727</v>
      </c>
      <c r="AF154" s="484">
        <v>171.5</v>
      </c>
      <c r="AG154" s="649">
        <v>173.5</v>
      </c>
      <c r="AH154" s="891">
        <v>161.5</v>
      </c>
      <c r="AI154" s="649">
        <v>160.9</v>
      </c>
      <c r="AJ154" s="652">
        <v>0</v>
      </c>
      <c r="AK154" s="621"/>
      <c r="AL154" s="621"/>
      <c r="AM154" s="621">
        <v>0</v>
      </c>
      <c r="AN154" s="621">
        <v>0</v>
      </c>
      <c r="AO154" s="649">
        <v>160.9</v>
      </c>
      <c r="AP154" s="649"/>
      <c r="AQ154" s="892">
        <v>0</v>
      </c>
      <c r="AR154" s="652"/>
      <c r="AS154" s="648"/>
      <c r="AT154" s="649">
        <v>0</v>
      </c>
      <c r="AU154" s="653">
        <v>0</v>
      </c>
      <c r="AV154" s="621">
        <v>1643188</v>
      </c>
      <c r="AW154" s="621">
        <v>9838</v>
      </c>
      <c r="AX154" s="621">
        <v>0</v>
      </c>
      <c r="AY154" s="621">
        <v>148661</v>
      </c>
      <c r="AZ154" s="621"/>
      <c r="BA154" s="428">
        <v>1</v>
      </c>
      <c r="BB154" s="621">
        <v>67939</v>
      </c>
      <c r="BC154" s="621">
        <v>67533</v>
      </c>
      <c r="BE154" s="621">
        <v>1639875</v>
      </c>
      <c r="BF154" s="621">
        <v>3074</v>
      </c>
      <c r="BG154" s="621">
        <v>3087</v>
      </c>
      <c r="BH154" s="4604">
        <v>31</v>
      </c>
      <c r="BI154" s="621">
        <v>18281983</v>
      </c>
      <c r="BJ154" s="621">
        <v>16745401</v>
      </c>
      <c r="BK154" s="621">
        <v>67939</v>
      </c>
      <c r="BL154" s="4605">
        <v>65</v>
      </c>
      <c r="BM154" s="621">
        <v>67</v>
      </c>
      <c r="BN154" s="621">
        <v>67</v>
      </c>
      <c r="BO154" s="621">
        <v>16</v>
      </c>
      <c r="BP154" s="621">
        <v>14</v>
      </c>
      <c r="BQ154" s="621">
        <v>11</v>
      </c>
    </row>
    <row r="155" spans="1:69">
      <c r="A155" s="888">
        <v>360</v>
      </c>
      <c r="B155" s="889" t="s">
        <v>475</v>
      </c>
      <c r="C155" s="890" t="s">
        <v>188</v>
      </c>
      <c r="D155" s="621">
        <v>19503272</v>
      </c>
      <c r="E155" s="621">
        <v>17810057</v>
      </c>
      <c r="F155" s="621">
        <v>18092449</v>
      </c>
      <c r="G155" s="621">
        <v>16381974</v>
      </c>
      <c r="H155" s="648">
        <v>246.1</v>
      </c>
      <c r="I155" s="648">
        <v>240.9</v>
      </c>
      <c r="J155" s="649">
        <v>194</v>
      </c>
      <c r="K155" s="621">
        <v>2591734</v>
      </c>
      <c r="L155" s="484">
        <v>243</v>
      </c>
      <c r="M155" s="648">
        <v>254.1</v>
      </c>
      <c r="N155" s="649">
        <v>246.4</v>
      </c>
      <c r="O155" s="648">
        <v>231.3</v>
      </c>
      <c r="P155" s="621">
        <v>353856</v>
      </c>
      <c r="Q155" s="621">
        <v>360839</v>
      </c>
      <c r="R155" s="621">
        <v>376971</v>
      </c>
      <c r="S155" s="621">
        <v>317974</v>
      </c>
      <c r="T155" s="621">
        <v>6678</v>
      </c>
      <c r="U155" s="621">
        <v>0</v>
      </c>
      <c r="V155" s="621"/>
      <c r="W155" s="650">
        <v>0.35</v>
      </c>
      <c r="X155" s="621">
        <v>111</v>
      </c>
      <c r="Y155" s="621">
        <v>29</v>
      </c>
      <c r="Z155" s="650">
        <v>0.34</v>
      </c>
      <c r="AA155" s="650">
        <v>0</v>
      </c>
      <c r="AB155" s="651">
        <v>0.44840000000000002</v>
      </c>
      <c r="AC155" s="621">
        <v>305310</v>
      </c>
      <c r="AD155" s="621">
        <v>278150</v>
      </c>
      <c r="AE155" s="621">
        <v>278150</v>
      </c>
      <c r="AF155" s="484">
        <v>243</v>
      </c>
      <c r="AG155" s="649">
        <v>251.1</v>
      </c>
      <c r="AH155" s="891">
        <v>243.4</v>
      </c>
      <c r="AI155" s="649">
        <v>228.3</v>
      </c>
      <c r="AJ155" s="652">
        <v>0</v>
      </c>
      <c r="AK155" s="621"/>
      <c r="AL155" s="621"/>
      <c r="AM155" s="621">
        <v>4</v>
      </c>
      <c r="AN155" s="621">
        <v>0</v>
      </c>
      <c r="AO155" s="649">
        <v>225.3</v>
      </c>
      <c r="AP155" s="649"/>
      <c r="AQ155" s="892">
        <v>0</v>
      </c>
      <c r="AR155" s="652"/>
      <c r="AS155" s="648"/>
      <c r="AT155" s="649">
        <v>0</v>
      </c>
      <c r="AU155" s="653">
        <v>0</v>
      </c>
      <c r="AV155" s="621">
        <v>2129937</v>
      </c>
      <c r="AW155" s="621">
        <v>55833</v>
      </c>
      <c r="AX155" s="621">
        <v>41753</v>
      </c>
      <c r="AY155" s="621">
        <v>340852</v>
      </c>
      <c r="AZ155" s="621"/>
      <c r="BA155" s="428">
        <v>1</v>
      </c>
      <c r="BB155" s="621">
        <v>0</v>
      </c>
      <c r="BC155" s="621">
        <v>0</v>
      </c>
      <c r="BE155" s="621">
        <v>2230267</v>
      </c>
      <c r="BF155" s="621">
        <v>1316</v>
      </c>
      <c r="BG155" s="621">
        <v>1778</v>
      </c>
      <c r="BH155" s="4604">
        <v>33</v>
      </c>
      <c r="BI155" s="621">
        <v>19401202</v>
      </c>
      <c r="BJ155" s="621">
        <v>18023923</v>
      </c>
      <c r="BK155" s="621">
        <v>0</v>
      </c>
      <c r="BL155" s="4605">
        <v>109</v>
      </c>
      <c r="BM155" s="621">
        <v>118</v>
      </c>
      <c r="BN155" s="621">
        <v>93</v>
      </c>
      <c r="BO155" s="621">
        <v>16</v>
      </c>
      <c r="BP155" s="621">
        <v>20</v>
      </c>
      <c r="BQ155" s="621">
        <v>33</v>
      </c>
    </row>
    <row r="156" spans="1:69">
      <c r="A156" s="888">
        <v>361</v>
      </c>
      <c r="B156" s="889" t="s">
        <v>1708</v>
      </c>
      <c r="C156" s="890" t="s">
        <v>190</v>
      </c>
      <c r="D156" s="621">
        <v>78596279</v>
      </c>
      <c r="E156" s="621">
        <v>73400088</v>
      </c>
      <c r="F156" s="621">
        <v>69914956</v>
      </c>
      <c r="G156" s="621">
        <v>64763791</v>
      </c>
      <c r="H156" s="648">
        <v>786.3</v>
      </c>
      <c r="I156" s="648">
        <v>779.3</v>
      </c>
      <c r="J156" s="649">
        <v>597.5</v>
      </c>
      <c r="K156" s="621">
        <v>7387092</v>
      </c>
      <c r="L156" s="484">
        <v>792.9</v>
      </c>
      <c r="M156" s="648">
        <v>801.4</v>
      </c>
      <c r="N156" s="649">
        <v>806</v>
      </c>
      <c r="O156" s="648">
        <v>757.1</v>
      </c>
      <c r="P156" s="621">
        <v>1075853</v>
      </c>
      <c r="Q156" s="621">
        <v>1062324</v>
      </c>
      <c r="R156" s="621">
        <v>620840</v>
      </c>
      <c r="S156" s="621">
        <v>953494</v>
      </c>
      <c r="T156" s="621">
        <v>2509</v>
      </c>
      <c r="U156" s="621">
        <v>0</v>
      </c>
      <c r="V156" s="621"/>
      <c r="W156" s="650">
        <v>0.22</v>
      </c>
      <c r="X156" s="621">
        <v>367</v>
      </c>
      <c r="Y156" s="621">
        <v>111</v>
      </c>
      <c r="Z156" s="650">
        <v>0.22</v>
      </c>
      <c r="AA156" s="650">
        <v>0</v>
      </c>
      <c r="AB156" s="651">
        <v>0.32369999999999999</v>
      </c>
      <c r="AC156" s="621">
        <v>820639</v>
      </c>
      <c r="AD156" s="621">
        <v>797470</v>
      </c>
      <c r="AE156" s="621">
        <v>797470</v>
      </c>
      <c r="AF156" s="484">
        <v>792.9</v>
      </c>
      <c r="AG156" s="649">
        <v>798.3</v>
      </c>
      <c r="AH156" s="891">
        <v>791.8</v>
      </c>
      <c r="AI156" s="649">
        <v>740.7</v>
      </c>
      <c r="AJ156" s="652">
        <v>0</v>
      </c>
      <c r="AK156" s="621"/>
      <c r="AL156" s="621"/>
      <c r="AM156" s="621">
        <v>2</v>
      </c>
      <c r="AN156" s="621">
        <v>0</v>
      </c>
      <c r="AO156" s="649">
        <v>732.2</v>
      </c>
      <c r="AP156" s="649"/>
      <c r="AQ156" s="892">
        <v>0</v>
      </c>
      <c r="AR156" s="652"/>
      <c r="AS156" s="648"/>
      <c r="AT156" s="649">
        <v>0</v>
      </c>
      <c r="AU156" s="653">
        <v>0</v>
      </c>
      <c r="AV156" s="621">
        <v>6251012</v>
      </c>
      <c r="AW156" s="621">
        <v>72341</v>
      </c>
      <c r="AX156" s="621">
        <v>59215</v>
      </c>
      <c r="AY156" s="621">
        <v>467511</v>
      </c>
      <c r="AZ156" s="621"/>
      <c r="BA156" s="428">
        <v>1</v>
      </c>
      <c r="BB156" s="621">
        <v>0</v>
      </c>
      <c r="BC156" s="621">
        <v>0</v>
      </c>
      <c r="BE156" s="621">
        <v>6283396</v>
      </c>
      <c r="BF156" s="621">
        <v>1766</v>
      </c>
      <c r="BG156" s="621">
        <v>291</v>
      </c>
      <c r="BH156" s="4604">
        <v>31</v>
      </c>
      <c r="BI156" s="621">
        <v>76991228</v>
      </c>
      <c r="BJ156" s="621">
        <v>68307742</v>
      </c>
      <c r="BK156" s="621">
        <v>0</v>
      </c>
      <c r="BL156" s="4605">
        <v>417</v>
      </c>
      <c r="BM156" s="621">
        <v>385</v>
      </c>
      <c r="BN156" s="621">
        <v>407</v>
      </c>
      <c r="BO156" s="621">
        <v>120</v>
      </c>
      <c r="BP156" s="621">
        <v>124</v>
      </c>
      <c r="BQ156" s="621">
        <v>91</v>
      </c>
    </row>
    <row r="157" spans="1:69">
      <c r="A157" s="888">
        <v>362</v>
      </c>
      <c r="B157" s="889" t="s">
        <v>476</v>
      </c>
      <c r="C157" s="890" t="s">
        <v>182</v>
      </c>
      <c r="D157" s="621">
        <v>210182739</v>
      </c>
      <c r="E157" s="621">
        <v>203304194</v>
      </c>
      <c r="F157" s="621">
        <v>218722544</v>
      </c>
      <c r="G157" s="621">
        <v>211705364</v>
      </c>
      <c r="H157" s="648">
        <v>858.4</v>
      </c>
      <c r="I157" s="648">
        <v>837.1</v>
      </c>
      <c r="J157" s="649">
        <v>320</v>
      </c>
      <c r="K157" s="621">
        <v>7835594</v>
      </c>
      <c r="L157" s="484">
        <v>881.8</v>
      </c>
      <c r="M157" s="648">
        <v>858.6</v>
      </c>
      <c r="N157" s="649">
        <v>837.1</v>
      </c>
      <c r="O157" s="648">
        <v>844.2</v>
      </c>
      <c r="P157" s="621">
        <v>1333878</v>
      </c>
      <c r="Q157" s="621">
        <v>1379317</v>
      </c>
      <c r="R157" s="621">
        <v>0</v>
      </c>
      <c r="S157" s="621">
        <v>1412645</v>
      </c>
      <c r="T157" s="621">
        <v>4895</v>
      </c>
      <c r="U157" s="621">
        <v>0</v>
      </c>
      <c r="V157" s="621"/>
      <c r="W157" s="650">
        <v>0</v>
      </c>
      <c r="X157" s="621">
        <v>254</v>
      </c>
      <c r="Y157" s="621">
        <v>105</v>
      </c>
      <c r="Z157" s="650">
        <v>0</v>
      </c>
      <c r="AA157" s="650">
        <v>0</v>
      </c>
      <c r="AB157" s="651">
        <v>0</v>
      </c>
      <c r="AC157" s="621">
        <v>1114041</v>
      </c>
      <c r="AD157" s="621">
        <v>1041162</v>
      </c>
      <c r="AE157" s="621">
        <v>1041162</v>
      </c>
      <c r="AF157" s="484">
        <v>881.8</v>
      </c>
      <c r="AG157" s="649">
        <v>858.4</v>
      </c>
      <c r="AH157" s="891">
        <v>837.1</v>
      </c>
      <c r="AI157" s="649">
        <v>810.3</v>
      </c>
      <c r="AJ157" s="652">
        <v>0</v>
      </c>
      <c r="AK157" s="621"/>
      <c r="AL157" s="621"/>
      <c r="AM157" s="621">
        <v>1</v>
      </c>
      <c r="AN157" s="621">
        <v>0</v>
      </c>
      <c r="AO157" s="649">
        <v>810.3</v>
      </c>
      <c r="AP157" s="649"/>
      <c r="AQ157" s="892">
        <v>0</v>
      </c>
      <c r="AR157" s="652"/>
      <c r="AS157" s="648"/>
      <c r="AT157" s="649">
        <v>0</v>
      </c>
      <c r="AU157" s="653">
        <v>0</v>
      </c>
      <c r="AV157" s="621">
        <v>6328227</v>
      </c>
      <c r="AW157" s="621">
        <v>0</v>
      </c>
      <c r="AX157" s="621">
        <v>0</v>
      </c>
      <c r="AY157" s="621">
        <v>0</v>
      </c>
      <c r="AZ157" s="621"/>
      <c r="BA157" s="428">
        <v>1</v>
      </c>
      <c r="BB157" s="621">
        <v>0</v>
      </c>
      <c r="BC157" s="621">
        <v>0</v>
      </c>
      <c r="BE157" s="621">
        <v>6456238</v>
      </c>
      <c r="BF157" s="621">
        <v>452</v>
      </c>
      <c r="BG157" s="621">
        <v>739</v>
      </c>
      <c r="BH157" s="4604">
        <v>33</v>
      </c>
      <c r="BI157" s="621">
        <v>210182739</v>
      </c>
      <c r="BJ157" s="621">
        <v>218722544</v>
      </c>
      <c r="BK157" s="621">
        <v>0</v>
      </c>
      <c r="BL157" s="4605">
        <v>334</v>
      </c>
      <c r="BM157" s="621">
        <v>313</v>
      </c>
      <c r="BN157" s="621">
        <v>307</v>
      </c>
      <c r="BO157" s="621">
        <v>99</v>
      </c>
      <c r="BP157" s="621">
        <v>103</v>
      </c>
      <c r="BQ157" s="621">
        <v>100</v>
      </c>
    </row>
    <row r="158" spans="1:69">
      <c r="A158" s="888">
        <v>363</v>
      </c>
      <c r="B158" s="889" t="s">
        <v>477</v>
      </c>
      <c r="C158" s="890" t="s">
        <v>191</v>
      </c>
      <c r="D158" s="621">
        <v>107628696</v>
      </c>
      <c r="E158" s="621">
        <v>105439066</v>
      </c>
      <c r="F158" s="621">
        <v>103574725</v>
      </c>
      <c r="G158" s="621">
        <v>101370140</v>
      </c>
      <c r="H158" s="648">
        <v>924.6</v>
      </c>
      <c r="I158" s="648">
        <v>950</v>
      </c>
      <c r="J158" s="649">
        <v>231</v>
      </c>
      <c r="K158" s="621">
        <v>7203942</v>
      </c>
      <c r="L158" s="484">
        <v>965.5</v>
      </c>
      <c r="M158" s="648">
        <v>935.1</v>
      </c>
      <c r="N158" s="649">
        <v>960</v>
      </c>
      <c r="O158" s="648">
        <v>907.5</v>
      </c>
      <c r="P158" s="621">
        <v>553851</v>
      </c>
      <c r="Q158" s="621">
        <v>563199</v>
      </c>
      <c r="R158" s="621">
        <v>240793</v>
      </c>
      <c r="S158" s="621">
        <v>529925</v>
      </c>
      <c r="T158" s="621">
        <v>0</v>
      </c>
      <c r="U158" s="621">
        <v>0</v>
      </c>
      <c r="V158" s="621"/>
      <c r="W158" s="650">
        <v>0</v>
      </c>
      <c r="X158" s="621">
        <v>337</v>
      </c>
      <c r="Y158" s="621">
        <v>151</v>
      </c>
      <c r="Z158" s="650">
        <v>0</v>
      </c>
      <c r="AA158" s="650">
        <v>0</v>
      </c>
      <c r="AB158" s="651">
        <v>0.15509999999999999</v>
      </c>
      <c r="AC158" s="621">
        <v>890111</v>
      </c>
      <c r="AD158" s="621">
        <v>856841</v>
      </c>
      <c r="AE158" s="621">
        <v>856841</v>
      </c>
      <c r="AF158" s="484">
        <v>965.5</v>
      </c>
      <c r="AG158" s="649">
        <v>935.1</v>
      </c>
      <c r="AH158" s="891">
        <v>960</v>
      </c>
      <c r="AI158" s="649">
        <v>907.5</v>
      </c>
      <c r="AJ158" s="652">
        <v>0</v>
      </c>
      <c r="AK158" s="621"/>
      <c r="AL158" s="621"/>
      <c r="AM158" s="621">
        <v>1</v>
      </c>
      <c r="AN158" s="621">
        <v>0</v>
      </c>
      <c r="AO158" s="649">
        <v>900.5</v>
      </c>
      <c r="AP158" s="649"/>
      <c r="AQ158" s="892">
        <v>0</v>
      </c>
      <c r="AR158" s="652"/>
      <c r="AS158" s="648"/>
      <c r="AT158" s="649">
        <v>0</v>
      </c>
      <c r="AU158" s="653">
        <v>0</v>
      </c>
      <c r="AV158" s="621">
        <v>6551549</v>
      </c>
      <c r="AW158" s="621">
        <v>0</v>
      </c>
      <c r="AX158" s="621">
        <v>0</v>
      </c>
      <c r="AY158" s="621">
        <v>101500</v>
      </c>
      <c r="AZ158" s="621"/>
      <c r="BA158" s="428">
        <v>1</v>
      </c>
      <c r="BB158" s="621">
        <v>50000</v>
      </c>
      <c r="BC158" s="621">
        <v>50000</v>
      </c>
      <c r="BE158" s="621">
        <v>6615636</v>
      </c>
      <c r="BF158" s="621">
        <v>3861</v>
      </c>
      <c r="BG158" s="621">
        <v>6935</v>
      </c>
      <c r="BH158" s="4604">
        <v>33</v>
      </c>
      <c r="BI158" s="621">
        <v>107160861</v>
      </c>
      <c r="BJ158" s="621">
        <v>103150978</v>
      </c>
      <c r="BK158" s="621">
        <v>50000</v>
      </c>
      <c r="BL158" s="4605">
        <v>394</v>
      </c>
      <c r="BM158" s="621">
        <v>332</v>
      </c>
      <c r="BN158" s="621">
        <v>371</v>
      </c>
      <c r="BO158" s="621">
        <v>125</v>
      </c>
      <c r="BP158" s="621">
        <v>166</v>
      </c>
      <c r="BQ158" s="621">
        <v>154</v>
      </c>
    </row>
    <row r="159" spans="1:69">
      <c r="A159" s="888">
        <v>364</v>
      </c>
      <c r="B159" s="889" t="s">
        <v>478</v>
      </c>
      <c r="C159" s="890" t="s">
        <v>192</v>
      </c>
      <c r="D159" s="621">
        <v>104944544</v>
      </c>
      <c r="E159" s="621">
        <v>99717997</v>
      </c>
      <c r="F159" s="621">
        <v>108515318</v>
      </c>
      <c r="G159" s="621">
        <v>103281747</v>
      </c>
      <c r="H159" s="648">
        <v>740</v>
      </c>
      <c r="I159" s="648">
        <v>766.2</v>
      </c>
      <c r="J159" s="649">
        <v>325</v>
      </c>
      <c r="K159" s="621">
        <v>6295059</v>
      </c>
      <c r="L159" s="484">
        <v>739.4</v>
      </c>
      <c r="M159" s="648">
        <v>745</v>
      </c>
      <c r="N159" s="649">
        <v>773.2</v>
      </c>
      <c r="O159" s="648">
        <v>746.3</v>
      </c>
      <c r="P159" s="621">
        <v>758823</v>
      </c>
      <c r="Q159" s="621">
        <v>742499</v>
      </c>
      <c r="R159" s="621">
        <v>32563</v>
      </c>
      <c r="S159" s="621">
        <v>863551</v>
      </c>
      <c r="T159" s="621">
        <v>7278</v>
      </c>
      <c r="U159" s="621">
        <v>0</v>
      </c>
      <c r="V159" s="621"/>
      <c r="W159" s="650">
        <v>0</v>
      </c>
      <c r="X159" s="621">
        <v>271</v>
      </c>
      <c r="Y159" s="621">
        <v>97</v>
      </c>
      <c r="Z159" s="650">
        <v>0</v>
      </c>
      <c r="AA159" s="650">
        <v>0</v>
      </c>
      <c r="AB159" s="651">
        <v>8.0000000000000004E-4</v>
      </c>
      <c r="AC159" s="621">
        <v>946871</v>
      </c>
      <c r="AD159" s="621">
        <v>900696</v>
      </c>
      <c r="AE159" s="621">
        <v>900696</v>
      </c>
      <c r="AF159" s="484">
        <v>739.4</v>
      </c>
      <c r="AG159" s="649">
        <v>745</v>
      </c>
      <c r="AH159" s="891">
        <v>773.2</v>
      </c>
      <c r="AI159" s="649">
        <v>746.3</v>
      </c>
      <c r="AJ159" s="652">
        <v>0</v>
      </c>
      <c r="AK159" s="621"/>
      <c r="AL159" s="621"/>
      <c r="AM159" s="621">
        <v>4</v>
      </c>
      <c r="AN159" s="621">
        <v>0</v>
      </c>
      <c r="AO159" s="649">
        <v>741.8</v>
      </c>
      <c r="AP159" s="649"/>
      <c r="AQ159" s="892">
        <v>0</v>
      </c>
      <c r="AR159" s="652"/>
      <c r="AS159" s="648"/>
      <c r="AT159" s="649">
        <v>0</v>
      </c>
      <c r="AU159" s="653">
        <v>0</v>
      </c>
      <c r="AV159" s="621">
        <v>5307403</v>
      </c>
      <c r="AW159" s="621">
        <v>0</v>
      </c>
      <c r="AX159" s="621">
        <v>0</v>
      </c>
      <c r="AY159" s="621">
        <v>0</v>
      </c>
      <c r="AZ159" s="621"/>
      <c r="BA159" s="428">
        <v>1</v>
      </c>
      <c r="BB159" s="621">
        <v>0</v>
      </c>
      <c r="BC159" s="621">
        <v>0</v>
      </c>
      <c r="BE159" s="621">
        <v>5552560</v>
      </c>
      <c r="BF159" s="621">
        <v>7079</v>
      </c>
      <c r="BG159" s="621">
        <v>2966</v>
      </c>
      <c r="BH159" s="4604">
        <v>31</v>
      </c>
      <c r="BI159" s="621">
        <v>104230708</v>
      </c>
      <c r="BJ159" s="621">
        <v>107942512</v>
      </c>
      <c r="BK159" s="621">
        <v>0</v>
      </c>
      <c r="BL159" s="4605">
        <v>248</v>
      </c>
      <c r="BM159" s="621">
        <v>240</v>
      </c>
      <c r="BN159" s="621">
        <v>244</v>
      </c>
      <c r="BO159" s="621">
        <v>97</v>
      </c>
      <c r="BP159" s="621">
        <v>102</v>
      </c>
      <c r="BQ159" s="621">
        <v>110</v>
      </c>
    </row>
    <row r="160" spans="1:69">
      <c r="A160" s="888">
        <v>365</v>
      </c>
      <c r="B160" s="889" t="s">
        <v>479</v>
      </c>
      <c r="C160" s="890" t="s">
        <v>193</v>
      </c>
      <c r="D160" s="621">
        <v>85940950</v>
      </c>
      <c r="E160" s="621">
        <v>79459957</v>
      </c>
      <c r="F160" s="621">
        <v>88041063</v>
      </c>
      <c r="G160" s="621">
        <v>81509742</v>
      </c>
      <c r="H160" s="648">
        <v>976.8</v>
      </c>
      <c r="I160" s="648">
        <v>953.1</v>
      </c>
      <c r="J160" s="649">
        <v>430</v>
      </c>
      <c r="K160" s="621">
        <v>7952801</v>
      </c>
      <c r="L160" s="484">
        <v>1003</v>
      </c>
      <c r="M160" s="648">
        <v>985</v>
      </c>
      <c r="N160" s="649">
        <v>959.1</v>
      </c>
      <c r="O160" s="648">
        <v>923.5</v>
      </c>
      <c r="P160" s="621">
        <v>1054130</v>
      </c>
      <c r="Q160" s="621">
        <v>1069102</v>
      </c>
      <c r="R160" s="621">
        <v>972579</v>
      </c>
      <c r="S160" s="621">
        <v>918984</v>
      </c>
      <c r="T160" s="621">
        <v>1759</v>
      </c>
      <c r="U160" s="621">
        <v>0</v>
      </c>
      <c r="V160" s="621"/>
      <c r="W160" s="650">
        <v>0.17</v>
      </c>
      <c r="X160" s="621">
        <v>346</v>
      </c>
      <c r="Y160" s="621">
        <v>122</v>
      </c>
      <c r="Z160" s="650">
        <v>0.17</v>
      </c>
      <c r="AA160" s="650">
        <v>0</v>
      </c>
      <c r="AB160" s="651">
        <v>0.35139999999999999</v>
      </c>
      <c r="AC160" s="621">
        <v>1014619</v>
      </c>
      <c r="AD160" s="621">
        <v>947749</v>
      </c>
      <c r="AE160" s="621">
        <v>947749</v>
      </c>
      <c r="AF160" s="484">
        <v>1003</v>
      </c>
      <c r="AG160" s="649">
        <v>982.8</v>
      </c>
      <c r="AH160" s="891">
        <v>959.1</v>
      </c>
      <c r="AI160" s="649">
        <v>923.5</v>
      </c>
      <c r="AJ160" s="652">
        <v>0</v>
      </c>
      <c r="AK160" s="621"/>
      <c r="AL160" s="621"/>
      <c r="AM160" s="621">
        <v>0</v>
      </c>
      <c r="AN160" s="621">
        <v>0</v>
      </c>
      <c r="AO160" s="649">
        <v>922</v>
      </c>
      <c r="AP160" s="649"/>
      <c r="AQ160" s="892">
        <v>0</v>
      </c>
      <c r="AR160" s="652"/>
      <c r="AS160" s="648"/>
      <c r="AT160" s="649">
        <v>0</v>
      </c>
      <c r="AU160" s="653">
        <v>0</v>
      </c>
      <c r="AV160" s="621">
        <v>6795816</v>
      </c>
      <c r="AW160" s="621">
        <v>141253</v>
      </c>
      <c r="AX160" s="621">
        <v>125167</v>
      </c>
      <c r="AY160" s="621">
        <v>939339</v>
      </c>
      <c r="AZ160" s="621"/>
      <c r="BA160" s="428">
        <v>1</v>
      </c>
      <c r="BB160" s="621">
        <v>0</v>
      </c>
      <c r="BC160" s="621">
        <v>0</v>
      </c>
      <c r="BE160" s="621">
        <v>6883699</v>
      </c>
      <c r="BF160" s="621">
        <v>1668</v>
      </c>
      <c r="BG160" s="621">
        <v>542</v>
      </c>
      <c r="BH160" s="4604">
        <v>33</v>
      </c>
      <c r="BI160" s="621">
        <v>85642208</v>
      </c>
      <c r="BJ160" s="621">
        <v>87789749</v>
      </c>
      <c r="BK160" s="621">
        <v>0</v>
      </c>
      <c r="BL160" s="4605">
        <v>348</v>
      </c>
      <c r="BM160" s="621">
        <v>363</v>
      </c>
      <c r="BN160" s="621">
        <v>348</v>
      </c>
      <c r="BO160" s="621">
        <v>159</v>
      </c>
      <c r="BP160" s="621">
        <v>136</v>
      </c>
      <c r="BQ160" s="621">
        <v>160</v>
      </c>
    </row>
    <row r="161" spans="1:69">
      <c r="A161" s="888">
        <v>366</v>
      </c>
      <c r="B161" s="889" t="s">
        <v>480</v>
      </c>
      <c r="C161" s="890" t="s">
        <v>194</v>
      </c>
      <c r="D161" s="621">
        <v>35710748</v>
      </c>
      <c r="E161" s="621">
        <v>32797849</v>
      </c>
      <c r="F161" s="621">
        <v>34565969</v>
      </c>
      <c r="G161" s="621">
        <v>31659615</v>
      </c>
      <c r="H161" s="648">
        <v>431.5</v>
      </c>
      <c r="I161" s="648">
        <v>425</v>
      </c>
      <c r="J161" s="649">
        <v>422</v>
      </c>
      <c r="K161" s="621">
        <v>4162090</v>
      </c>
      <c r="L161" s="484">
        <v>462.5</v>
      </c>
      <c r="M161" s="648">
        <v>440</v>
      </c>
      <c r="N161" s="649">
        <v>433</v>
      </c>
      <c r="O161" s="648">
        <v>401.2</v>
      </c>
      <c r="P161" s="621">
        <v>612930</v>
      </c>
      <c r="Q161" s="621">
        <v>579572</v>
      </c>
      <c r="R161" s="621">
        <v>538795</v>
      </c>
      <c r="S161" s="621">
        <v>550054</v>
      </c>
      <c r="T161" s="621">
        <v>0</v>
      </c>
      <c r="U161" s="621">
        <v>0</v>
      </c>
      <c r="V161" s="621"/>
      <c r="W161" s="650">
        <v>0.27</v>
      </c>
      <c r="X161" s="621">
        <v>171</v>
      </c>
      <c r="Y161" s="621">
        <v>67</v>
      </c>
      <c r="Z161" s="650">
        <v>0.26</v>
      </c>
      <c r="AA161" s="650">
        <v>0</v>
      </c>
      <c r="AB161" s="651">
        <v>0.40550000000000003</v>
      </c>
      <c r="AC161" s="621">
        <v>453890</v>
      </c>
      <c r="AD161" s="621">
        <v>415469</v>
      </c>
      <c r="AE161" s="621">
        <v>415469</v>
      </c>
      <c r="AF161" s="484">
        <v>462.5</v>
      </c>
      <c r="AG161" s="649">
        <v>438</v>
      </c>
      <c r="AH161" s="891">
        <v>433</v>
      </c>
      <c r="AI161" s="649">
        <v>400.5</v>
      </c>
      <c r="AJ161" s="652">
        <v>0</v>
      </c>
      <c r="AK161" s="621"/>
      <c r="AL161" s="621"/>
      <c r="AM161" s="621">
        <v>5</v>
      </c>
      <c r="AN161" s="621">
        <v>0</v>
      </c>
      <c r="AO161" s="649">
        <v>391</v>
      </c>
      <c r="AP161" s="649"/>
      <c r="AQ161" s="892">
        <v>0</v>
      </c>
      <c r="AR161" s="652"/>
      <c r="AS161" s="648"/>
      <c r="AT161" s="649">
        <v>0</v>
      </c>
      <c r="AU161" s="653">
        <v>0</v>
      </c>
      <c r="AV161" s="621">
        <v>3630167</v>
      </c>
      <c r="AW161" s="621">
        <v>85652</v>
      </c>
      <c r="AX161" s="621">
        <v>71892</v>
      </c>
      <c r="AY161" s="621">
        <v>573553</v>
      </c>
      <c r="AZ161" s="621"/>
      <c r="BA161" s="428">
        <v>1</v>
      </c>
      <c r="BB161" s="621">
        <v>0</v>
      </c>
      <c r="BC161" s="621">
        <v>0</v>
      </c>
      <c r="BE161" s="621">
        <v>3581478</v>
      </c>
      <c r="BF161" s="621">
        <v>1856</v>
      </c>
      <c r="BG161" s="621">
        <v>1349</v>
      </c>
      <c r="BH161" s="4604">
        <v>31</v>
      </c>
      <c r="BI161" s="621">
        <v>35710748</v>
      </c>
      <c r="BJ161" s="621">
        <v>34565969</v>
      </c>
      <c r="BK161" s="621">
        <v>0</v>
      </c>
      <c r="BL161" s="4605">
        <v>250</v>
      </c>
      <c r="BM161" s="621">
        <v>198</v>
      </c>
      <c r="BN161" s="621">
        <v>192</v>
      </c>
      <c r="BO161" s="621">
        <v>67</v>
      </c>
      <c r="BP161" s="621">
        <v>70</v>
      </c>
      <c r="BQ161" s="621">
        <v>75</v>
      </c>
    </row>
    <row r="162" spans="1:69">
      <c r="A162" s="888">
        <v>367</v>
      </c>
      <c r="B162" s="889" t="s">
        <v>481</v>
      </c>
      <c r="C162" s="890" t="s">
        <v>195</v>
      </c>
      <c r="D162" s="621">
        <v>53528201</v>
      </c>
      <c r="E162" s="621">
        <v>47964088</v>
      </c>
      <c r="F162" s="621">
        <v>55517842</v>
      </c>
      <c r="G162" s="621">
        <v>49934649</v>
      </c>
      <c r="H162" s="648">
        <v>1093.5</v>
      </c>
      <c r="I162" s="648">
        <v>1099</v>
      </c>
      <c r="J162" s="649">
        <v>103</v>
      </c>
      <c r="K162" s="621">
        <v>9636158</v>
      </c>
      <c r="L162" s="484">
        <v>1115.3</v>
      </c>
      <c r="M162" s="648">
        <v>1101.5</v>
      </c>
      <c r="N162" s="649">
        <v>1111</v>
      </c>
      <c r="O162" s="648">
        <v>1055.3</v>
      </c>
      <c r="P162" s="621">
        <v>1841061</v>
      </c>
      <c r="Q162" s="621">
        <v>1773256</v>
      </c>
      <c r="R162" s="621">
        <v>2086419</v>
      </c>
      <c r="S162" s="621">
        <v>1467129</v>
      </c>
      <c r="T162" s="621">
        <v>16212</v>
      </c>
      <c r="U162" s="621">
        <v>0</v>
      </c>
      <c r="V162" s="621"/>
      <c r="W162" s="650">
        <v>0.6</v>
      </c>
      <c r="X162" s="621">
        <v>502</v>
      </c>
      <c r="Y162" s="621">
        <v>138</v>
      </c>
      <c r="Z162" s="650">
        <v>0.59</v>
      </c>
      <c r="AA162" s="650">
        <v>0.23</v>
      </c>
      <c r="AB162" s="651">
        <v>0.64690000000000003</v>
      </c>
      <c r="AC162" s="621">
        <v>1141572</v>
      </c>
      <c r="AD162" s="621">
        <v>1052364</v>
      </c>
      <c r="AE162" s="621">
        <v>1052364</v>
      </c>
      <c r="AF162" s="484">
        <v>1115.3</v>
      </c>
      <c r="AG162" s="649">
        <v>1101.5</v>
      </c>
      <c r="AH162" s="891">
        <v>1111</v>
      </c>
      <c r="AI162" s="649">
        <v>1025.3</v>
      </c>
      <c r="AJ162" s="652">
        <v>0</v>
      </c>
      <c r="AK162" s="621"/>
      <c r="AL162" s="621"/>
      <c r="AM162" s="621">
        <v>6</v>
      </c>
      <c r="AN162" s="621">
        <v>0</v>
      </c>
      <c r="AO162" s="649">
        <v>1016.8</v>
      </c>
      <c r="AP162" s="649"/>
      <c r="AQ162" s="892">
        <v>0</v>
      </c>
      <c r="AR162" s="652"/>
      <c r="AS162" s="648"/>
      <c r="AT162" s="649">
        <v>0</v>
      </c>
      <c r="AU162" s="653">
        <v>0</v>
      </c>
      <c r="AV162" s="621">
        <v>7747353</v>
      </c>
      <c r="AW162" s="621">
        <v>265175</v>
      </c>
      <c r="AX162" s="621">
        <v>266165</v>
      </c>
      <c r="AY162" s="621">
        <v>2113766</v>
      </c>
      <c r="AZ162" s="621"/>
      <c r="BA162" s="428">
        <v>1</v>
      </c>
      <c r="BB162" s="621">
        <v>0</v>
      </c>
      <c r="BC162" s="621">
        <v>0</v>
      </c>
      <c r="BE162" s="621">
        <v>7862902</v>
      </c>
      <c r="BF162" s="621">
        <v>5637</v>
      </c>
      <c r="BG162" s="621">
        <v>3972</v>
      </c>
      <c r="BH162" s="4604">
        <v>33</v>
      </c>
      <c r="BI162" s="621">
        <v>53462754</v>
      </c>
      <c r="BJ162" s="621">
        <v>55451003</v>
      </c>
      <c r="BK162" s="621">
        <v>0</v>
      </c>
      <c r="BL162" s="4605">
        <v>605</v>
      </c>
      <c r="BM162" s="621">
        <v>595</v>
      </c>
      <c r="BN162" s="621">
        <v>569</v>
      </c>
      <c r="BO162" s="621">
        <v>155</v>
      </c>
      <c r="BP162" s="621">
        <v>158</v>
      </c>
      <c r="BQ162" s="621">
        <v>150</v>
      </c>
    </row>
    <row r="163" spans="1:69">
      <c r="A163" s="888">
        <v>368</v>
      </c>
      <c r="B163" s="889" t="s">
        <v>482</v>
      </c>
      <c r="C163" s="890" t="s">
        <v>195</v>
      </c>
      <c r="D163" s="621">
        <v>160388364</v>
      </c>
      <c r="E163" s="621">
        <v>150174449</v>
      </c>
      <c r="F163" s="621">
        <v>168712431</v>
      </c>
      <c r="G163" s="621">
        <v>158415072</v>
      </c>
      <c r="H163" s="648">
        <v>1933.4</v>
      </c>
      <c r="I163" s="648">
        <v>1911.1</v>
      </c>
      <c r="J163" s="649">
        <v>200</v>
      </c>
      <c r="K163" s="621">
        <v>13484534</v>
      </c>
      <c r="L163" s="484">
        <v>2029</v>
      </c>
      <c r="M163" s="648">
        <f>1936.4+1</f>
        <v>1937.4</v>
      </c>
      <c r="N163" s="649">
        <v>1914.1</v>
      </c>
      <c r="O163" s="648">
        <v>1753.7</v>
      </c>
      <c r="P163" s="621">
        <v>2155443</v>
      </c>
      <c r="Q163" s="621">
        <v>2185476</v>
      </c>
      <c r="R163" s="621">
        <v>1855847</v>
      </c>
      <c r="S163" s="621">
        <v>1671914</v>
      </c>
      <c r="T163" s="621">
        <v>32463</v>
      </c>
      <c r="U163" s="621">
        <v>0</v>
      </c>
      <c r="V163" s="621"/>
      <c r="W163" s="650">
        <v>0.16</v>
      </c>
      <c r="X163" s="621">
        <v>434</v>
      </c>
      <c r="Y163" s="621">
        <v>116</v>
      </c>
      <c r="Z163" s="650">
        <v>0.16</v>
      </c>
      <c r="AA163" s="650">
        <v>0</v>
      </c>
      <c r="AB163" s="651">
        <v>0.37930000000000003</v>
      </c>
      <c r="AC163" s="621">
        <v>3601047</v>
      </c>
      <c r="AD163" s="621">
        <v>3389467</v>
      </c>
      <c r="AE163" s="621">
        <v>3389467</v>
      </c>
      <c r="AF163" s="484">
        <v>2029</v>
      </c>
      <c r="AG163" s="649">
        <v>1934.4</v>
      </c>
      <c r="AH163" s="4602">
        <v>1911.1</v>
      </c>
      <c r="AI163" s="649">
        <v>1677.8</v>
      </c>
      <c r="AJ163" s="652">
        <v>0</v>
      </c>
      <c r="AK163" s="621"/>
      <c r="AL163" s="621"/>
      <c r="AM163" s="621">
        <v>8</v>
      </c>
      <c r="AN163" s="621">
        <v>0</v>
      </c>
      <c r="AO163" s="649">
        <v>1677.8</v>
      </c>
      <c r="AP163" s="649"/>
      <c r="AQ163" s="892">
        <v>0</v>
      </c>
      <c r="AR163" s="652"/>
      <c r="AS163" s="648"/>
      <c r="AT163" s="649">
        <v>0</v>
      </c>
      <c r="AU163" s="653">
        <v>0</v>
      </c>
      <c r="AV163" s="621">
        <v>11231466</v>
      </c>
      <c r="AW163" s="621">
        <v>383461</v>
      </c>
      <c r="AX163" s="621">
        <v>323638</v>
      </c>
      <c r="AY163" s="621">
        <v>1968845</v>
      </c>
      <c r="AZ163" s="621"/>
      <c r="BA163" s="428">
        <v>1</v>
      </c>
      <c r="BB163" s="621">
        <v>189739</v>
      </c>
      <c r="BC163" s="621">
        <v>189739</v>
      </c>
      <c r="BE163" s="621">
        <v>11299058</v>
      </c>
      <c r="BF163" s="621">
        <v>6116</v>
      </c>
      <c r="BG163" s="621">
        <v>8528</v>
      </c>
      <c r="BH163" s="4604">
        <v>33</v>
      </c>
      <c r="BI163" s="621">
        <v>160175688</v>
      </c>
      <c r="BJ163" s="621">
        <v>168561295</v>
      </c>
      <c r="BK163" s="621">
        <v>189739</v>
      </c>
      <c r="BL163" s="4605">
        <v>622</v>
      </c>
      <c r="BM163" s="621">
        <v>570</v>
      </c>
      <c r="BN163" s="621">
        <v>504</v>
      </c>
      <c r="BO163" s="621">
        <v>158</v>
      </c>
      <c r="BP163" s="621">
        <v>161</v>
      </c>
      <c r="BQ163" s="621">
        <v>143</v>
      </c>
    </row>
    <row r="164" spans="1:69">
      <c r="A164" s="888">
        <v>369</v>
      </c>
      <c r="B164" s="889" t="s">
        <v>483</v>
      </c>
      <c r="C164" s="890" t="s">
        <v>196</v>
      </c>
      <c r="D164" s="621">
        <v>17763096</v>
      </c>
      <c r="E164" s="621">
        <v>16408565</v>
      </c>
      <c r="F164" s="621">
        <v>17394867</v>
      </c>
      <c r="G164" s="621">
        <v>16039706</v>
      </c>
      <c r="H164" s="648">
        <v>220</v>
      </c>
      <c r="I164" s="648">
        <v>215.5</v>
      </c>
      <c r="J164" s="649">
        <v>95</v>
      </c>
      <c r="K164" s="621">
        <v>2234698</v>
      </c>
      <c r="L164" s="484">
        <v>228</v>
      </c>
      <c r="M164" s="648">
        <v>223.5</v>
      </c>
      <c r="N164" s="649">
        <v>217.5</v>
      </c>
      <c r="O164" s="648">
        <v>193.5</v>
      </c>
      <c r="P164" s="621">
        <v>233968</v>
      </c>
      <c r="Q164" s="621">
        <v>220968</v>
      </c>
      <c r="R164" s="621">
        <v>286485</v>
      </c>
      <c r="S164" s="621">
        <v>209309</v>
      </c>
      <c r="T164" s="621">
        <v>7762</v>
      </c>
      <c r="U164" s="621">
        <v>0</v>
      </c>
      <c r="V164" s="621"/>
      <c r="W164" s="650">
        <v>0.22</v>
      </c>
      <c r="X164" s="621">
        <v>86</v>
      </c>
      <c r="Y164" s="621">
        <v>22</v>
      </c>
      <c r="Z164" s="650">
        <v>0.22</v>
      </c>
      <c r="AA164" s="650">
        <v>0</v>
      </c>
      <c r="AB164" s="651">
        <v>0.39979999999999999</v>
      </c>
      <c r="AC164" s="621">
        <v>250857</v>
      </c>
      <c r="AD164" s="621">
        <v>241725</v>
      </c>
      <c r="AE164" s="621">
        <v>241725</v>
      </c>
      <c r="AF164" s="484">
        <v>228</v>
      </c>
      <c r="AG164" s="649">
        <v>223.5</v>
      </c>
      <c r="AH164" s="891">
        <v>217.5</v>
      </c>
      <c r="AI164" s="649">
        <v>193.5</v>
      </c>
      <c r="AJ164" s="652">
        <v>0</v>
      </c>
      <c r="AK164" s="621"/>
      <c r="AL164" s="621"/>
      <c r="AM164" s="621">
        <v>1</v>
      </c>
      <c r="AN164" s="621">
        <v>0</v>
      </c>
      <c r="AO164" s="649">
        <v>192</v>
      </c>
      <c r="AP164" s="649"/>
      <c r="AQ164" s="892">
        <v>0</v>
      </c>
      <c r="AR164" s="652"/>
      <c r="AS164" s="648"/>
      <c r="AT164" s="649">
        <v>0</v>
      </c>
      <c r="AU164" s="653">
        <v>0</v>
      </c>
      <c r="AV164" s="621">
        <v>1935860</v>
      </c>
      <c r="AW164" s="621">
        <v>42611</v>
      </c>
      <c r="AX164" s="621">
        <v>36178</v>
      </c>
      <c r="AY164" s="621">
        <v>287590</v>
      </c>
      <c r="AZ164" s="621"/>
      <c r="BA164" s="428">
        <v>1</v>
      </c>
      <c r="BB164" s="621">
        <v>0</v>
      </c>
      <c r="BC164" s="621">
        <v>0</v>
      </c>
      <c r="BE164" s="621">
        <v>2011848</v>
      </c>
      <c r="BF164" s="621">
        <v>800</v>
      </c>
      <c r="BG164" s="621">
        <v>669</v>
      </c>
      <c r="BH164" s="4604">
        <v>33</v>
      </c>
      <c r="BI164" s="621">
        <v>17761284</v>
      </c>
      <c r="BJ164" s="621">
        <v>17393076</v>
      </c>
      <c r="BK164" s="621">
        <v>0</v>
      </c>
      <c r="BL164" s="4605">
        <v>107</v>
      </c>
      <c r="BM164" s="621">
        <v>93</v>
      </c>
      <c r="BN164" s="621">
        <v>82</v>
      </c>
      <c r="BO164" s="621">
        <v>33</v>
      </c>
      <c r="BP164" s="621">
        <v>20</v>
      </c>
      <c r="BQ164" s="621">
        <v>26</v>
      </c>
    </row>
    <row r="165" spans="1:69">
      <c r="A165" s="888">
        <v>371</v>
      </c>
      <c r="B165" s="889" t="s">
        <v>484</v>
      </c>
      <c r="C165" s="890" t="s">
        <v>128</v>
      </c>
      <c r="D165" s="621">
        <v>26215494</v>
      </c>
      <c r="E165" s="621">
        <v>24882698</v>
      </c>
      <c r="F165" s="621">
        <v>27240843</v>
      </c>
      <c r="G165" s="621">
        <v>25894817</v>
      </c>
      <c r="H165" s="648">
        <v>184.5</v>
      </c>
      <c r="I165" s="648">
        <v>196.5</v>
      </c>
      <c r="J165" s="649">
        <v>200.8</v>
      </c>
      <c r="K165" s="621">
        <v>2023007</v>
      </c>
      <c r="L165" s="484">
        <v>195.5</v>
      </c>
      <c r="M165" s="648">
        <v>192.8</v>
      </c>
      <c r="N165" s="649">
        <v>206.5</v>
      </c>
      <c r="O165" s="648">
        <v>194.7</v>
      </c>
      <c r="P165" s="621">
        <v>125359</v>
      </c>
      <c r="Q165" s="621">
        <v>124821</v>
      </c>
      <c r="R165" s="621">
        <v>50094</v>
      </c>
      <c r="S165" s="621">
        <v>157284</v>
      </c>
      <c r="T165" s="621">
        <v>0</v>
      </c>
      <c r="U165" s="621">
        <v>0</v>
      </c>
      <c r="V165" s="621"/>
      <c r="W165" s="650">
        <v>0</v>
      </c>
      <c r="X165" s="621">
        <v>41</v>
      </c>
      <c r="Y165" s="621">
        <v>26</v>
      </c>
      <c r="Z165" s="650">
        <v>0</v>
      </c>
      <c r="AA165" s="650">
        <v>0</v>
      </c>
      <c r="AB165" s="651">
        <v>4.8899999999999999E-2</v>
      </c>
      <c r="AC165" s="621">
        <v>273501</v>
      </c>
      <c r="AD165" s="621">
        <v>255898</v>
      </c>
      <c r="AE165" s="621">
        <v>255898</v>
      </c>
      <c r="AF165" s="484">
        <v>195.5</v>
      </c>
      <c r="AG165" s="649">
        <v>186.5</v>
      </c>
      <c r="AH165" s="891">
        <v>199</v>
      </c>
      <c r="AI165" s="649">
        <v>188.5</v>
      </c>
      <c r="AJ165" s="652">
        <v>0</v>
      </c>
      <c r="AK165" s="621"/>
      <c r="AL165" s="621"/>
      <c r="AM165" s="621">
        <v>0</v>
      </c>
      <c r="AN165" s="621">
        <v>0</v>
      </c>
      <c r="AO165" s="649">
        <v>186</v>
      </c>
      <c r="AP165" s="649"/>
      <c r="AQ165" s="892">
        <v>0</v>
      </c>
      <c r="AR165" s="652"/>
      <c r="AS165" s="648"/>
      <c r="AT165" s="649">
        <v>0</v>
      </c>
      <c r="AU165" s="653">
        <v>0</v>
      </c>
      <c r="AV165" s="621">
        <v>1846954</v>
      </c>
      <c r="AW165" s="621">
        <v>0</v>
      </c>
      <c r="AX165" s="621">
        <v>0</v>
      </c>
      <c r="AY165" s="621">
        <v>52629</v>
      </c>
      <c r="AZ165" s="621"/>
      <c r="BA165" s="428">
        <v>1</v>
      </c>
      <c r="BB165" s="621">
        <v>0</v>
      </c>
      <c r="BC165" s="621">
        <v>0</v>
      </c>
      <c r="BE165" s="621">
        <v>1897605</v>
      </c>
      <c r="BF165" s="621">
        <v>2391</v>
      </c>
      <c r="BG165" s="621">
        <v>3354</v>
      </c>
      <c r="BH165" s="4604">
        <v>31</v>
      </c>
      <c r="BI165" s="621">
        <v>26083966</v>
      </c>
      <c r="BJ165" s="621">
        <v>26912584</v>
      </c>
      <c r="BK165" s="621">
        <v>0</v>
      </c>
      <c r="BL165" s="4605">
        <v>58</v>
      </c>
      <c r="BM165" s="621">
        <v>38</v>
      </c>
      <c r="BN165" s="621">
        <v>48</v>
      </c>
      <c r="BO165" s="621">
        <v>28</v>
      </c>
      <c r="BP165" s="621">
        <v>34</v>
      </c>
      <c r="BQ165" s="621">
        <v>39</v>
      </c>
    </row>
    <row r="166" spans="1:69">
      <c r="A166" s="888">
        <v>372</v>
      </c>
      <c r="B166" s="889" t="s">
        <v>485</v>
      </c>
      <c r="C166" s="890" t="s">
        <v>183</v>
      </c>
      <c r="D166" s="621">
        <v>36700010</v>
      </c>
      <c r="E166" s="621">
        <v>33817382</v>
      </c>
      <c r="F166" s="621">
        <v>37815228</v>
      </c>
      <c r="G166" s="621">
        <v>34928841</v>
      </c>
      <c r="H166" s="648">
        <v>694.5</v>
      </c>
      <c r="I166" s="648">
        <v>691.8</v>
      </c>
      <c r="J166" s="649">
        <v>94</v>
      </c>
      <c r="K166" s="621">
        <v>5375216</v>
      </c>
      <c r="L166" s="484">
        <v>709.6</v>
      </c>
      <c r="M166" s="648">
        <v>703.3</v>
      </c>
      <c r="N166" s="649">
        <v>701.5</v>
      </c>
      <c r="O166" s="648">
        <v>675.9</v>
      </c>
      <c r="P166" s="621">
        <v>644299</v>
      </c>
      <c r="Q166" s="621">
        <v>612906</v>
      </c>
      <c r="R166" s="621">
        <v>1017883</v>
      </c>
      <c r="S166" s="621">
        <v>620221</v>
      </c>
      <c r="T166" s="621">
        <v>5767</v>
      </c>
      <c r="U166" s="621">
        <v>0</v>
      </c>
      <c r="V166" s="621"/>
      <c r="W166" s="650">
        <v>0.56999999999999995</v>
      </c>
      <c r="X166" s="621">
        <v>77</v>
      </c>
      <c r="Y166" s="621">
        <v>31</v>
      </c>
      <c r="Z166" s="650">
        <v>0.56000000000000005</v>
      </c>
      <c r="AA166" s="650">
        <v>0.2</v>
      </c>
      <c r="AB166" s="651">
        <v>0.61699999999999999</v>
      </c>
      <c r="AC166" s="621">
        <v>776006</v>
      </c>
      <c r="AD166" s="621">
        <v>720859</v>
      </c>
      <c r="AE166" s="621">
        <v>720859</v>
      </c>
      <c r="AF166" s="484">
        <v>709.6</v>
      </c>
      <c r="AG166" s="649">
        <v>702.5</v>
      </c>
      <c r="AH166" s="891">
        <v>701.3</v>
      </c>
      <c r="AI166" s="649">
        <v>675</v>
      </c>
      <c r="AJ166" s="652">
        <v>0</v>
      </c>
      <c r="AK166" s="621"/>
      <c r="AL166" s="621"/>
      <c r="AM166" s="621">
        <v>1</v>
      </c>
      <c r="AN166" s="621">
        <v>0</v>
      </c>
      <c r="AO166" s="649">
        <v>668.5</v>
      </c>
      <c r="AP166" s="649"/>
      <c r="AQ166" s="892">
        <v>0</v>
      </c>
      <c r="AR166" s="652"/>
      <c r="AS166" s="648"/>
      <c r="AT166" s="649">
        <v>0</v>
      </c>
      <c r="AU166" s="653">
        <v>0</v>
      </c>
      <c r="AV166" s="621">
        <v>4693513</v>
      </c>
      <c r="AW166" s="621">
        <v>167268</v>
      </c>
      <c r="AX166" s="621">
        <v>169412</v>
      </c>
      <c r="AY166" s="621">
        <v>1014946</v>
      </c>
      <c r="AZ166" s="621"/>
      <c r="BA166" s="428">
        <v>1</v>
      </c>
      <c r="BB166" s="621">
        <v>0</v>
      </c>
      <c r="BC166" s="621">
        <v>0</v>
      </c>
      <c r="BE166" s="621">
        <v>4762310</v>
      </c>
      <c r="BF166" s="621">
        <v>4281</v>
      </c>
      <c r="BG166" s="621">
        <v>930</v>
      </c>
      <c r="BH166" s="4604">
        <v>31</v>
      </c>
      <c r="BI166" s="621">
        <v>36700010</v>
      </c>
      <c r="BJ166" s="621">
        <v>37815228</v>
      </c>
      <c r="BK166" s="621">
        <v>0</v>
      </c>
      <c r="BL166" s="4605">
        <v>100</v>
      </c>
      <c r="BM166" s="621">
        <v>78</v>
      </c>
      <c r="BN166" s="621">
        <v>83</v>
      </c>
      <c r="BO166" s="621">
        <v>27</v>
      </c>
      <c r="BP166" s="621">
        <v>38</v>
      </c>
      <c r="BQ166" s="621">
        <v>27</v>
      </c>
    </row>
    <row r="167" spans="1:69">
      <c r="A167" s="888">
        <v>373</v>
      </c>
      <c r="B167" s="889" t="s">
        <v>486</v>
      </c>
      <c r="C167" s="890" t="s">
        <v>196</v>
      </c>
      <c r="D167" s="621">
        <v>171238529</v>
      </c>
      <c r="E167" s="621">
        <v>153119158</v>
      </c>
      <c r="F167" s="621">
        <v>174440351</v>
      </c>
      <c r="G167" s="621">
        <v>156307513</v>
      </c>
      <c r="H167" s="648">
        <v>3325.3</v>
      </c>
      <c r="I167" s="648">
        <v>3310.4</v>
      </c>
      <c r="J167" s="649">
        <v>133.5</v>
      </c>
      <c r="K167" s="621">
        <v>23171586</v>
      </c>
      <c r="L167" s="484">
        <v>3341.8</v>
      </c>
      <c r="M167" s="648">
        <v>3365.4</v>
      </c>
      <c r="N167" s="649">
        <v>3344.8</v>
      </c>
      <c r="O167" s="648">
        <v>3110.2</v>
      </c>
      <c r="P167" s="621">
        <v>3138963</v>
      </c>
      <c r="Q167" s="621">
        <v>3196705</v>
      </c>
      <c r="R167" s="621">
        <v>4420045</v>
      </c>
      <c r="S167" s="621">
        <v>3030773</v>
      </c>
      <c r="T167" s="621">
        <v>0</v>
      </c>
      <c r="U167" s="621">
        <v>0</v>
      </c>
      <c r="V167" s="621"/>
      <c r="W167" s="650">
        <v>0.56999999999999995</v>
      </c>
      <c r="X167" s="621">
        <v>1311</v>
      </c>
      <c r="Y167" s="621">
        <v>331</v>
      </c>
      <c r="Z167" s="650">
        <v>0.56000000000000005</v>
      </c>
      <c r="AA167" s="650">
        <v>0.2</v>
      </c>
      <c r="AB167" s="651">
        <v>0.62560000000000004</v>
      </c>
      <c r="AC167" s="621">
        <v>4086471</v>
      </c>
      <c r="AD167" s="621">
        <v>3846576</v>
      </c>
      <c r="AE167" s="621">
        <v>3846576</v>
      </c>
      <c r="AF167" s="484">
        <v>3341.8</v>
      </c>
      <c r="AG167" s="649">
        <v>3353.3</v>
      </c>
      <c r="AH167" s="891">
        <v>3328.4</v>
      </c>
      <c r="AI167" s="649">
        <v>3103.3</v>
      </c>
      <c r="AJ167" s="652">
        <v>0</v>
      </c>
      <c r="AK167" s="621"/>
      <c r="AL167" s="621"/>
      <c r="AM167" s="621">
        <v>6</v>
      </c>
      <c r="AN167" s="621">
        <v>0</v>
      </c>
      <c r="AO167" s="649">
        <v>3086.3</v>
      </c>
      <c r="AP167" s="649"/>
      <c r="AQ167" s="892">
        <v>0</v>
      </c>
      <c r="AR167" s="652"/>
      <c r="AS167" s="648"/>
      <c r="AT167" s="649">
        <v>0</v>
      </c>
      <c r="AU167" s="653">
        <v>0</v>
      </c>
      <c r="AV167" s="621">
        <v>19678086</v>
      </c>
      <c r="AW167" s="621">
        <v>788114</v>
      </c>
      <c r="AX167" s="621">
        <v>790364</v>
      </c>
      <c r="AY167" s="621">
        <v>4338336</v>
      </c>
      <c r="AZ167" s="621"/>
      <c r="BA167" s="428">
        <v>1</v>
      </c>
      <c r="BB167" s="621">
        <v>84975</v>
      </c>
      <c r="BC167" s="621">
        <v>84427</v>
      </c>
      <c r="BE167" s="621">
        <v>19974881</v>
      </c>
      <c r="BF167" s="621">
        <v>8829</v>
      </c>
      <c r="BG167" s="621">
        <v>5000</v>
      </c>
      <c r="BH167" s="4604">
        <v>31</v>
      </c>
      <c r="BI167" s="621">
        <v>169852219</v>
      </c>
      <c r="BJ167" s="621">
        <v>173325515</v>
      </c>
      <c r="BK167" s="621">
        <v>84975</v>
      </c>
      <c r="BL167" s="4605">
        <v>1446</v>
      </c>
      <c r="BM167" s="621">
        <v>1430</v>
      </c>
      <c r="BN167" s="621">
        <v>1406</v>
      </c>
      <c r="BO167" s="621">
        <v>400</v>
      </c>
      <c r="BP167" s="621">
        <v>408</v>
      </c>
      <c r="BQ167" s="621">
        <v>394</v>
      </c>
    </row>
    <row r="168" spans="1:69">
      <c r="A168" s="888">
        <v>374</v>
      </c>
      <c r="B168" s="889" t="s">
        <v>487</v>
      </c>
      <c r="C168" s="890" t="s">
        <v>197</v>
      </c>
      <c r="D168" s="621">
        <v>77293453</v>
      </c>
      <c r="E168" s="621">
        <v>75325911</v>
      </c>
      <c r="F168" s="621">
        <v>60194051</v>
      </c>
      <c r="G168" s="621">
        <v>58210099</v>
      </c>
      <c r="H168" s="648">
        <v>392.7</v>
      </c>
      <c r="I168" s="648">
        <v>411</v>
      </c>
      <c r="J168" s="649">
        <v>355.5</v>
      </c>
      <c r="K168" s="621">
        <v>3934366</v>
      </c>
      <c r="L168" s="484">
        <v>436.7</v>
      </c>
      <c r="M168" s="648">
        <v>401.2</v>
      </c>
      <c r="N168" s="649">
        <v>417.5</v>
      </c>
      <c r="O168" s="648">
        <v>376.6</v>
      </c>
      <c r="P168" s="621">
        <v>258394</v>
      </c>
      <c r="Q168" s="621">
        <v>249641</v>
      </c>
      <c r="R168" s="621">
        <v>0</v>
      </c>
      <c r="S168" s="621">
        <v>311042</v>
      </c>
      <c r="T168" s="621">
        <v>11571</v>
      </c>
      <c r="U168" s="621">
        <v>0</v>
      </c>
      <c r="V168" s="621"/>
      <c r="W168" s="650">
        <v>0</v>
      </c>
      <c r="X168" s="621">
        <v>201</v>
      </c>
      <c r="Y168" s="621">
        <v>66</v>
      </c>
      <c r="Z168" s="650">
        <v>0</v>
      </c>
      <c r="AA168" s="650">
        <v>0</v>
      </c>
      <c r="AB168" s="651">
        <v>0</v>
      </c>
      <c r="AC168" s="621">
        <v>638163</v>
      </c>
      <c r="AD168" s="621">
        <v>592025</v>
      </c>
      <c r="AE168" s="621">
        <v>592025</v>
      </c>
      <c r="AF168" s="484">
        <v>436.7</v>
      </c>
      <c r="AG168" s="649">
        <v>401.2</v>
      </c>
      <c r="AH168" s="891">
        <v>417.5</v>
      </c>
      <c r="AI168" s="649">
        <v>376.6</v>
      </c>
      <c r="AJ168" s="652">
        <v>0</v>
      </c>
      <c r="AK168" s="621"/>
      <c r="AL168" s="621"/>
      <c r="AM168" s="621">
        <v>0</v>
      </c>
      <c r="AN168" s="621">
        <v>0</v>
      </c>
      <c r="AO168" s="649">
        <v>368.6</v>
      </c>
      <c r="AP168" s="649"/>
      <c r="AQ168" s="892">
        <v>0</v>
      </c>
      <c r="AR168" s="652"/>
      <c r="AS168" s="648"/>
      <c r="AT168" s="649">
        <v>0</v>
      </c>
      <c r="AU168" s="653">
        <v>0</v>
      </c>
      <c r="AV168" s="621">
        <v>3673233</v>
      </c>
      <c r="AW168" s="621">
        <v>0</v>
      </c>
      <c r="AX168" s="621">
        <v>0</v>
      </c>
      <c r="AY168" s="621">
        <v>0</v>
      </c>
      <c r="AZ168" s="621"/>
      <c r="BA168" s="428">
        <v>1</v>
      </c>
      <c r="BB168" s="621">
        <v>0</v>
      </c>
      <c r="BC168" s="621">
        <v>0</v>
      </c>
      <c r="BE168" s="621">
        <v>3665932</v>
      </c>
      <c r="BF168" s="621">
        <v>3864</v>
      </c>
      <c r="BG168" s="621">
        <v>5859</v>
      </c>
      <c r="BH168" s="4604">
        <v>33</v>
      </c>
      <c r="BI168" s="621">
        <v>77293453</v>
      </c>
      <c r="BJ168" s="621">
        <v>60194051</v>
      </c>
      <c r="BK168" s="621">
        <v>0</v>
      </c>
      <c r="BL168" s="4605">
        <v>223</v>
      </c>
      <c r="BM168" s="621">
        <v>203</v>
      </c>
      <c r="BN168" s="621">
        <v>239</v>
      </c>
      <c r="BO168" s="621">
        <v>41</v>
      </c>
      <c r="BP168" s="621">
        <v>57</v>
      </c>
      <c r="BQ168" s="621">
        <v>54</v>
      </c>
    </row>
    <row r="169" spans="1:69">
      <c r="A169" s="888">
        <v>375</v>
      </c>
      <c r="B169" s="889" t="s">
        <v>488</v>
      </c>
      <c r="C169" s="890" t="s">
        <v>137</v>
      </c>
      <c r="D169" s="621">
        <v>237187941</v>
      </c>
      <c r="E169" s="621">
        <v>228905133</v>
      </c>
      <c r="F169" s="621">
        <v>251232082</v>
      </c>
      <c r="G169" s="621">
        <v>242781605</v>
      </c>
      <c r="H169" s="648">
        <v>1936.8</v>
      </c>
      <c r="I169" s="648">
        <v>1938.3</v>
      </c>
      <c r="J169" s="649">
        <v>175</v>
      </c>
      <c r="K169" s="621">
        <v>12528402</v>
      </c>
      <c r="L169" s="484">
        <v>1914.7</v>
      </c>
      <c r="M169" s="648">
        <v>1956.4</v>
      </c>
      <c r="N169" s="649">
        <v>1960.1</v>
      </c>
      <c r="O169" s="648">
        <v>1892.5</v>
      </c>
      <c r="P169" s="621">
        <v>1661625</v>
      </c>
      <c r="Q169" s="621">
        <v>1632985</v>
      </c>
      <c r="R169" s="621">
        <v>619417</v>
      </c>
      <c r="S169" s="621">
        <v>1237181</v>
      </c>
      <c r="T169" s="621">
        <v>4792</v>
      </c>
      <c r="U169" s="621">
        <v>0</v>
      </c>
      <c r="V169" s="621"/>
      <c r="W169" s="650">
        <v>0</v>
      </c>
      <c r="X169" s="621">
        <v>409</v>
      </c>
      <c r="Y169" s="621">
        <v>130</v>
      </c>
      <c r="Z169" s="650">
        <v>0</v>
      </c>
      <c r="AA169" s="650">
        <v>0</v>
      </c>
      <c r="AB169" s="651">
        <v>0.1109</v>
      </c>
      <c r="AC169" s="621">
        <v>1631276</v>
      </c>
      <c r="AD169" s="621">
        <v>1581659</v>
      </c>
      <c r="AE169" s="621">
        <v>1581659</v>
      </c>
      <c r="AF169" s="484">
        <v>1914.7</v>
      </c>
      <c r="AG169" s="649">
        <v>1946.3</v>
      </c>
      <c r="AH169" s="891">
        <v>1949.8</v>
      </c>
      <c r="AI169" s="649">
        <v>1883</v>
      </c>
      <c r="AJ169" s="652">
        <v>0</v>
      </c>
      <c r="AK169" s="621"/>
      <c r="AL169" s="621"/>
      <c r="AM169" s="621">
        <v>3</v>
      </c>
      <c r="AN169" s="621">
        <v>0</v>
      </c>
      <c r="AO169" s="649">
        <v>1875.5</v>
      </c>
      <c r="AP169" s="649"/>
      <c r="AQ169" s="892">
        <v>0</v>
      </c>
      <c r="AR169" s="652"/>
      <c r="AS169" s="648"/>
      <c r="AT169" s="649">
        <v>0</v>
      </c>
      <c r="AU169" s="653">
        <v>0</v>
      </c>
      <c r="AV169" s="621">
        <v>10626588</v>
      </c>
      <c r="AW169" s="621">
        <v>0</v>
      </c>
      <c r="AX169" s="621">
        <v>0</v>
      </c>
      <c r="AY169" s="621">
        <v>625660</v>
      </c>
      <c r="AZ169" s="621"/>
      <c r="BA169" s="428">
        <v>1</v>
      </c>
      <c r="BB169" s="621">
        <v>0</v>
      </c>
      <c r="BC169" s="621">
        <v>0</v>
      </c>
      <c r="BE169" s="621">
        <v>10892360</v>
      </c>
      <c r="BF169" s="621">
        <v>10069</v>
      </c>
      <c r="BG169" s="621">
        <v>10859</v>
      </c>
      <c r="BH169" s="4604">
        <v>33</v>
      </c>
      <c r="BI169" s="621">
        <v>236721710</v>
      </c>
      <c r="BJ169" s="621">
        <v>256580605</v>
      </c>
      <c r="BK169" s="621">
        <v>0</v>
      </c>
      <c r="BL169" s="4605">
        <v>395</v>
      </c>
      <c r="BM169" s="621">
        <v>437</v>
      </c>
      <c r="BN169" s="621">
        <v>418</v>
      </c>
      <c r="BO169" s="621">
        <v>142</v>
      </c>
      <c r="BP169" s="621">
        <v>117</v>
      </c>
      <c r="BQ169" s="621">
        <v>130</v>
      </c>
    </row>
    <row r="170" spans="1:69">
      <c r="A170" s="888">
        <v>376</v>
      </c>
      <c r="B170" s="889" t="s">
        <v>489</v>
      </c>
      <c r="C170" s="890" t="s">
        <v>198</v>
      </c>
      <c r="D170" s="621">
        <v>41211259</v>
      </c>
      <c r="E170" s="621">
        <v>38561393</v>
      </c>
      <c r="F170" s="621">
        <v>41737968</v>
      </c>
      <c r="G170" s="621">
        <v>39075165</v>
      </c>
      <c r="H170" s="648">
        <v>483.5</v>
      </c>
      <c r="I170" s="648">
        <v>479.6</v>
      </c>
      <c r="J170" s="649">
        <v>158</v>
      </c>
      <c r="K170" s="621">
        <v>4166928</v>
      </c>
      <c r="L170" s="484">
        <v>493</v>
      </c>
      <c r="M170" s="648">
        <v>487.5</v>
      </c>
      <c r="N170" s="649">
        <v>483.1</v>
      </c>
      <c r="O170" s="648">
        <v>480.9</v>
      </c>
      <c r="P170" s="621">
        <v>512442</v>
      </c>
      <c r="Q170" s="621">
        <v>550558</v>
      </c>
      <c r="R170" s="621">
        <v>600028</v>
      </c>
      <c r="S170" s="621">
        <v>610570</v>
      </c>
      <c r="T170" s="621">
        <v>5953</v>
      </c>
      <c r="U170" s="621">
        <v>0</v>
      </c>
      <c r="V170" s="621"/>
      <c r="W170" s="650">
        <v>0.31</v>
      </c>
      <c r="X170" s="621">
        <v>134</v>
      </c>
      <c r="Y170" s="621">
        <v>63</v>
      </c>
      <c r="Z170" s="650">
        <v>0.3</v>
      </c>
      <c r="AA170" s="650">
        <v>0</v>
      </c>
      <c r="AB170" s="651">
        <v>0.40539999999999998</v>
      </c>
      <c r="AC170" s="621">
        <v>505963</v>
      </c>
      <c r="AD170" s="621">
        <v>468660</v>
      </c>
      <c r="AE170" s="621">
        <v>468660</v>
      </c>
      <c r="AF170" s="484">
        <v>493</v>
      </c>
      <c r="AG170" s="649">
        <v>487.5</v>
      </c>
      <c r="AH170" s="891">
        <v>483.1</v>
      </c>
      <c r="AI170" s="649">
        <v>480.9</v>
      </c>
      <c r="AJ170" s="652">
        <v>0</v>
      </c>
      <c r="AK170" s="621"/>
      <c r="AL170" s="621"/>
      <c r="AM170" s="621">
        <v>0</v>
      </c>
      <c r="AN170" s="621">
        <v>0</v>
      </c>
      <c r="AO170" s="649">
        <v>477.9</v>
      </c>
      <c r="AP170" s="649"/>
      <c r="AQ170" s="892">
        <v>0</v>
      </c>
      <c r="AR170" s="652"/>
      <c r="AS170" s="648"/>
      <c r="AT170" s="649">
        <v>0</v>
      </c>
      <c r="AU170" s="653">
        <v>0</v>
      </c>
      <c r="AV170" s="621">
        <v>3537020</v>
      </c>
      <c r="AW170" s="621">
        <v>50715</v>
      </c>
      <c r="AX170" s="621">
        <v>88434</v>
      </c>
      <c r="AY170" s="621">
        <v>597161</v>
      </c>
      <c r="AZ170" s="621"/>
      <c r="BA170" s="428">
        <v>1</v>
      </c>
      <c r="BB170" s="621">
        <v>0</v>
      </c>
      <c r="BC170" s="621">
        <v>0</v>
      </c>
      <c r="BE170" s="621">
        <v>3615170</v>
      </c>
      <c r="BF170" s="621">
        <v>1607</v>
      </c>
      <c r="BG170" s="621">
        <v>533</v>
      </c>
      <c r="BH170" s="4604">
        <v>33</v>
      </c>
      <c r="BI170" s="621">
        <v>37148340</v>
      </c>
      <c r="BJ170" s="621">
        <v>39664916</v>
      </c>
      <c r="BK170" s="621">
        <v>0</v>
      </c>
      <c r="BL170" s="4605">
        <v>138</v>
      </c>
      <c r="BM170" s="621">
        <v>139</v>
      </c>
      <c r="BN170" s="621">
        <v>122</v>
      </c>
      <c r="BO170" s="621">
        <v>69</v>
      </c>
      <c r="BP170" s="621">
        <v>57</v>
      </c>
      <c r="BQ170" s="621">
        <v>68</v>
      </c>
    </row>
    <row r="171" spans="1:69">
      <c r="A171" s="888">
        <v>377</v>
      </c>
      <c r="B171" s="889" t="s">
        <v>490</v>
      </c>
      <c r="C171" s="890" t="s">
        <v>199</v>
      </c>
      <c r="D171" s="621">
        <v>74061869</v>
      </c>
      <c r="E171" s="621">
        <v>69879270</v>
      </c>
      <c r="F171" s="621">
        <v>79141542</v>
      </c>
      <c r="G171" s="621">
        <v>74945907</v>
      </c>
      <c r="H171" s="648">
        <v>479</v>
      </c>
      <c r="I171" s="648">
        <v>490.5</v>
      </c>
      <c r="J171" s="649">
        <v>350</v>
      </c>
      <c r="K171" s="621">
        <v>4692940</v>
      </c>
      <c r="L171" s="484">
        <v>486</v>
      </c>
      <c r="M171" s="648">
        <v>483</v>
      </c>
      <c r="N171" s="649">
        <v>497.9</v>
      </c>
      <c r="O171" s="648">
        <v>462</v>
      </c>
      <c r="P171" s="621">
        <v>808163</v>
      </c>
      <c r="Q171" s="621">
        <v>747302</v>
      </c>
      <c r="R171" s="621">
        <v>0</v>
      </c>
      <c r="S171" s="621">
        <v>870652</v>
      </c>
      <c r="T171" s="621">
        <v>6148</v>
      </c>
      <c r="U171" s="621">
        <v>0</v>
      </c>
      <c r="V171" s="621"/>
      <c r="W171" s="650">
        <v>0</v>
      </c>
      <c r="X171" s="621">
        <v>120</v>
      </c>
      <c r="Y171" s="621">
        <v>49</v>
      </c>
      <c r="Z171" s="650">
        <v>0</v>
      </c>
      <c r="AA171" s="650">
        <v>0</v>
      </c>
      <c r="AB171" s="651">
        <v>0</v>
      </c>
      <c r="AC171" s="621">
        <v>468985</v>
      </c>
      <c r="AD171" s="621">
        <v>464210</v>
      </c>
      <c r="AE171" s="621">
        <v>464210</v>
      </c>
      <c r="AF171" s="484">
        <v>486</v>
      </c>
      <c r="AG171" s="649">
        <v>483</v>
      </c>
      <c r="AH171" s="891">
        <v>495.5</v>
      </c>
      <c r="AI171" s="649">
        <v>449</v>
      </c>
      <c r="AJ171" s="652">
        <v>0</v>
      </c>
      <c r="AK171" s="621"/>
      <c r="AL171" s="621"/>
      <c r="AM171" s="621">
        <v>0</v>
      </c>
      <c r="AN171" s="621">
        <v>0</v>
      </c>
      <c r="AO171" s="649">
        <v>446</v>
      </c>
      <c r="AP171" s="649"/>
      <c r="AQ171" s="892">
        <v>0</v>
      </c>
      <c r="AR171" s="652"/>
      <c r="AS171" s="648"/>
      <c r="AT171" s="649">
        <v>0</v>
      </c>
      <c r="AU171" s="653">
        <v>0</v>
      </c>
      <c r="AV171" s="621">
        <v>3825273</v>
      </c>
      <c r="AW171" s="621">
        <v>0</v>
      </c>
      <c r="AX171" s="621">
        <v>0</v>
      </c>
      <c r="AY171" s="621">
        <v>0</v>
      </c>
      <c r="AZ171" s="621"/>
      <c r="BA171" s="428">
        <v>1</v>
      </c>
      <c r="BB171" s="621">
        <v>0</v>
      </c>
      <c r="BC171" s="621">
        <v>0</v>
      </c>
      <c r="BE171" s="621">
        <v>3945638</v>
      </c>
      <c r="BF171" s="621">
        <v>1952</v>
      </c>
      <c r="BG171" s="621">
        <v>484</v>
      </c>
      <c r="BH171" s="4604">
        <v>33</v>
      </c>
      <c r="BI171" s="621">
        <v>72086050</v>
      </c>
      <c r="BJ171" s="621">
        <v>77037975</v>
      </c>
      <c r="BK171" s="621">
        <v>0</v>
      </c>
      <c r="BL171" s="4605">
        <v>155</v>
      </c>
      <c r="BM171" s="621">
        <v>157</v>
      </c>
      <c r="BN171" s="621">
        <v>149</v>
      </c>
      <c r="BO171" s="621">
        <v>84</v>
      </c>
      <c r="BP171" s="621">
        <v>57</v>
      </c>
      <c r="BQ171" s="621">
        <v>57</v>
      </c>
    </row>
    <row r="172" spans="1:69">
      <c r="A172" s="888">
        <v>378</v>
      </c>
      <c r="B172" s="889" t="s">
        <v>491</v>
      </c>
      <c r="C172" s="890" t="s">
        <v>200</v>
      </c>
      <c r="D172" s="621">
        <v>56650759</v>
      </c>
      <c r="E172" s="621">
        <v>52444256</v>
      </c>
      <c r="F172" s="621">
        <v>58503275</v>
      </c>
      <c r="G172" s="621">
        <v>54252966</v>
      </c>
      <c r="H172" s="648">
        <v>664.5</v>
      </c>
      <c r="I172" s="648">
        <v>662.3</v>
      </c>
      <c r="J172" s="649">
        <v>160</v>
      </c>
      <c r="K172" s="621">
        <v>5589258</v>
      </c>
      <c r="L172" s="484">
        <v>663.5</v>
      </c>
      <c r="M172" s="648">
        <v>664.5</v>
      </c>
      <c r="N172" s="649">
        <v>662.3</v>
      </c>
      <c r="O172" s="648">
        <v>648</v>
      </c>
      <c r="P172" s="621">
        <v>713096</v>
      </c>
      <c r="Q172" s="621">
        <v>781089</v>
      </c>
      <c r="R172" s="621">
        <v>643519</v>
      </c>
      <c r="S172" s="621">
        <v>682551</v>
      </c>
      <c r="T172" s="621">
        <v>0</v>
      </c>
      <c r="U172" s="621">
        <v>0</v>
      </c>
      <c r="V172" s="621"/>
      <c r="W172" s="650">
        <v>0.22</v>
      </c>
      <c r="X172" s="621">
        <v>110</v>
      </c>
      <c r="Y172" s="621">
        <v>45</v>
      </c>
      <c r="Z172" s="650">
        <v>0.22</v>
      </c>
      <c r="AA172" s="650">
        <v>0</v>
      </c>
      <c r="AB172" s="651">
        <v>0.37430000000000002</v>
      </c>
      <c r="AC172" s="621">
        <v>625368</v>
      </c>
      <c r="AD172" s="621">
        <v>578589</v>
      </c>
      <c r="AE172" s="621">
        <v>578589</v>
      </c>
      <c r="AF172" s="484">
        <v>663.5</v>
      </c>
      <c r="AG172" s="649">
        <v>664.5</v>
      </c>
      <c r="AH172" s="891">
        <v>662.3</v>
      </c>
      <c r="AI172" s="649">
        <v>648</v>
      </c>
      <c r="AJ172" s="652">
        <v>0</v>
      </c>
      <c r="AK172" s="621"/>
      <c r="AL172" s="621"/>
      <c r="AM172" s="621">
        <v>76</v>
      </c>
      <c r="AN172" s="621">
        <v>34008</v>
      </c>
      <c r="AO172" s="649">
        <v>648</v>
      </c>
      <c r="AP172" s="649"/>
      <c r="AQ172" s="892">
        <v>0</v>
      </c>
      <c r="AR172" s="652"/>
      <c r="AS172" s="648"/>
      <c r="AT172" s="649">
        <v>0</v>
      </c>
      <c r="AU172" s="653">
        <v>0</v>
      </c>
      <c r="AV172" s="621">
        <v>4637131</v>
      </c>
      <c r="AW172" s="621">
        <v>101071</v>
      </c>
      <c r="AX172" s="621">
        <v>102966</v>
      </c>
      <c r="AY172" s="621">
        <v>629105</v>
      </c>
      <c r="AZ172" s="621"/>
      <c r="BA172" s="428">
        <v>1</v>
      </c>
      <c r="BB172" s="621">
        <v>0</v>
      </c>
      <c r="BC172" s="621">
        <v>0</v>
      </c>
      <c r="BE172" s="621">
        <v>4774161</v>
      </c>
      <c r="BF172" s="621">
        <v>4529</v>
      </c>
      <c r="BG172" s="621">
        <v>9232</v>
      </c>
      <c r="BH172" s="4604">
        <v>31</v>
      </c>
      <c r="BI172" s="621">
        <v>56650759</v>
      </c>
      <c r="BJ172" s="621">
        <v>58503275</v>
      </c>
      <c r="BK172" s="621">
        <v>0</v>
      </c>
      <c r="BL172" s="4605">
        <v>119</v>
      </c>
      <c r="BM172" s="621">
        <v>142</v>
      </c>
      <c r="BN172" s="621">
        <v>130</v>
      </c>
      <c r="BO172" s="621">
        <v>78</v>
      </c>
      <c r="BP172" s="621">
        <v>59</v>
      </c>
      <c r="BQ172" s="621">
        <v>55</v>
      </c>
    </row>
    <row r="173" spans="1:69">
      <c r="A173" s="888">
        <v>379</v>
      </c>
      <c r="B173" s="889" t="s">
        <v>492</v>
      </c>
      <c r="C173" s="890" t="s">
        <v>201</v>
      </c>
      <c r="D173" s="621">
        <v>103838847</v>
      </c>
      <c r="E173" s="621">
        <v>95861966</v>
      </c>
      <c r="F173" s="621">
        <v>107589216</v>
      </c>
      <c r="G173" s="621">
        <v>99603600</v>
      </c>
      <c r="H173" s="648">
        <v>1292.5999999999999</v>
      </c>
      <c r="I173" s="648">
        <v>1270.7</v>
      </c>
      <c r="J173" s="649">
        <v>632.5</v>
      </c>
      <c r="K173" s="621">
        <v>9584314</v>
      </c>
      <c r="L173" s="484">
        <v>1290.0999999999999</v>
      </c>
      <c r="M173" s="648">
        <v>1301.8</v>
      </c>
      <c r="N173" s="649">
        <v>1283.2</v>
      </c>
      <c r="O173" s="648">
        <v>1289.5</v>
      </c>
      <c r="P173" s="621">
        <v>1170284</v>
      </c>
      <c r="Q173" s="621">
        <v>1238557</v>
      </c>
      <c r="R173" s="621">
        <v>1255459</v>
      </c>
      <c r="S173" s="621">
        <v>1199396</v>
      </c>
      <c r="T173" s="621">
        <v>0</v>
      </c>
      <c r="U173" s="621">
        <v>0</v>
      </c>
      <c r="V173" s="621"/>
      <c r="W173" s="650">
        <v>0.31</v>
      </c>
      <c r="X173" s="621">
        <v>395</v>
      </c>
      <c r="Y173" s="621">
        <v>126</v>
      </c>
      <c r="Z173" s="650">
        <v>0.3</v>
      </c>
      <c r="AA173" s="650">
        <v>0</v>
      </c>
      <c r="AB173" s="651">
        <v>0.42680000000000001</v>
      </c>
      <c r="AC173" s="621">
        <v>1602410</v>
      </c>
      <c r="AD173" s="621">
        <v>1533178</v>
      </c>
      <c r="AE173" s="621">
        <v>1533178</v>
      </c>
      <c r="AF173" s="484">
        <v>1290.0999999999999</v>
      </c>
      <c r="AG173" s="649">
        <v>1294.5999999999999</v>
      </c>
      <c r="AH173" s="891">
        <v>1274.2</v>
      </c>
      <c r="AI173" s="649">
        <v>1286.5</v>
      </c>
      <c r="AJ173" s="652">
        <v>0</v>
      </c>
      <c r="AK173" s="621"/>
      <c r="AL173" s="621"/>
      <c r="AM173" s="621">
        <v>72</v>
      </c>
      <c r="AN173" s="621">
        <v>19417</v>
      </c>
      <c r="AO173" s="649">
        <v>1281.5</v>
      </c>
      <c r="AP173" s="649"/>
      <c r="AQ173" s="892">
        <v>0</v>
      </c>
      <c r="AR173" s="652"/>
      <c r="AS173" s="648"/>
      <c r="AT173" s="649">
        <v>0</v>
      </c>
      <c r="AU173" s="653">
        <v>0</v>
      </c>
      <c r="AV173" s="621">
        <v>8078269</v>
      </c>
      <c r="AW173" s="621">
        <v>261213</v>
      </c>
      <c r="AX173" s="621">
        <v>237440</v>
      </c>
      <c r="AY173" s="621">
        <v>1237498</v>
      </c>
      <c r="AZ173" s="621"/>
      <c r="BA173" s="428">
        <v>1</v>
      </c>
      <c r="BB173" s="621">
        <v>62870</v>
      </c>
      <c r="BC173" s="621">
        <v>60435</v>
      </c>
      <c r="BE173" s="621">
        <v>8326340</v>
      </c>
      <c r="BF173" s="621">
        <v>3064</v>
      </c>
      <c r="BG173" s="621">
        <v>2573</v>
      </c>
      <c r="BH173" s="4604">
        <v>31</v>
      </c>
      <c r="BI173" s="621">
        <v>102036502</v>
      </c>
      <c r="BJ173" s="621">
        <v>106013174</v>
      </c>
      <c r="BK173" s="621">
        <v>62870</v>
      </c>
      <c r="BL173" s="4605">
        <v>384</v>
      </c>
      <c r="BM173" s="621">
        <v>395</v>
      </c>
      <c r="BN173" s="621">
        <v>396</v>
      </c>
      <c r="BO173" s="621">
        <v>142</v>
      </c>
      <c r="BP173" s="621">
        <v>122</v>
      </c>
      <c r="BQ173" s="621">
        <v>127</v>
      </c>
    </row>
    <row r="174" spans="1:69">
      <c r="A174" s="888">
        <v>380</v>
      </c>
      <c r="B174" s="889" t="s">
        <v>493</v>
      </c>
      <c r="C174" s="890" t="s">
        <v>192</v>
      </c>
      <c r="D174" s="621">
        <v>54715288</v>
      </c>
      <c r="E174" s="621">
        <v>51980581</v>
      </c>
      <c r="F174" s="621">
        <v>57693137</v>
      </c>
      <c r="G174" s="621">
        <v>54926309</v>
      </c>
      <c r="H174" s="648">
        <v>528.70000000000005</v>
      </c>
      <c r="I174" s="648">
        <v>541.4</v>
      </c>
      <c r="J174" s="649">
        <v>402</v>
      </c>
      <c r="K174" s="621">
        <v>4554379</v>
      </c>
      <c r="L174" s="484">
        <v>536.5</v>
      </c>
      <c r="M174" s="648">
        <v>538.70000000000005</v>
      </c>
      <c r="N174" s="649">
        <v>552.4</v>
      </c>
      <c r="O174" s="648">
        <v>553.29999999999995</v>
      </c>
      <c r="P174" s="621">
        <v>337184</v>
      </c>
      <c r="Q174" s="621">
        <v>399055</v>
      </c>
      <c r="R174" s="621">
        <v>423430</v>
      </c>
      <c r="S174" s="621">
        <v>381367</v>
      </c>
      <c r="T174" s="621">
        <v>16149</v>
      </c>
      <c r="U174" s="621">
        <v>0</v>
      </c>
      <c r="V174" s="621"/>
      <c r="W174" s="650">
        <v>0.08</v>
      </c>
      <c r="X174" s="621">
        <v>104</v>
      </c>
      <c r="Y174" s="621">
        <v>55</v>
      </c>
      <c r="Z174" s="650">
        <v>0.08</v>
      </c>
      <c r="AA174" s="650">
        <v>0</v>
      </c>
      <c r="AB174" s="651">
        <v>0.2838</v>
      </c>
      <c r="AC174" s="621">
        <v>521200</v>
      </c>
      <c r="AD174" s="621">
        <v>499853</v>
      </c>
      <c r="AE174" s="621">
        <v>499853</v>
      </c>
      <c r="AF174" s="484">
        <v>536.5</v>
      </c>
      <c r="AG174" s="649">
        <v>538.70000000000005</v>
      </c>
      <c r="AH174" s="891">
        <v>552.4</v>
      </c>
      <c r="AI174" s="649">
        <v>553.29999999999995</v>
      </c>
      <c r="AJ174" s="652">
        <v>0</v>
      </c>
      <c r="AK174" s="621"/>
      <c r="AL174" s="621"/>
      <c r="AM174" s="621">
        <v>0</v>
      </c>
      <c r="AN174" s="621">
        <v>0</v>
      </c>
      <c r="AO174" s="649">
        <v>541.79999999999995</v>
      </c>
      <c r="AP174" s="649"/>
      <c r="AQ174" s="892">
        <v>0</v>
      </c>
      <c r="AR174" s="652"/>
      <c r="AS174" s="648"/>
      <c r="AT174" s="649">
        <v>0</v>
      </c>
      <c r="AU174" s="653">
        <v>0</v>
      </c>
      <c r="AV174" s="621">
        <v>3965031</v>
      </c>
      <c r="AW174" s="621">
        <v>52286</v>
      </c>
      <c r="AX174" s="621">
        <v>36217</v>
      </c>
      <c r="AY174" s="621">
        <v>444061</v>
      </c>
      <c r="AZ174" s="621"/>
      <c r="BA174" s="428">
        <v>1</v>
      </c>
      <c r="BB174" s="621">
        <v>27249</v>
      </c>
      <c r="BC174" s="621">
        <v>27249</v>
      </c>
      <c r="BE174" s="621">
        <v>4155111</v>
      </c>
      <c r="BF174" s="621">
        <v>2168</v>
      </c>
      <c r="BG174" s="621">
        <v>1853</v>
      </c>
      <c r="BH174" s="4604">
        <v>31</v>
      </c>
      <c r="BI174" s="621">
        <v>54471256</v>
      </c>
      <c r="BJ174" s="621">
        <v>57487301</v>
      </c>
      <c r="BK174" s="621">
        <v>27249</v>
      </c>
      <c r="BL174" s="4605">
        <v>104</v>
      </c>
      <c r="BM174" s="621">
        <v>101</v>
      </c>
      <c r="BN174" s="621">
        <v>105</v>
      </c>
      <c r="BO174" s="621">
        <v>64</v>
      </c>
      <c r="BP174" s="621">
        <v>68</v>
      </c>
      <c r="BQ174" s="621">
        <v>58</v>
      </c>
    </row>
    <row r="175" spans="1:69">
      <c r="A175" s="888">
        <v>381</v>
      </c>
      <c r="B175" s="889" t="s">
        <v>494</v>
      </c>
      <c r="C175" s="890" t="s">
        <v>202</v>
      </c>
      <c r="D175" s="621">
        <v>29914939</v>
      </c>
      <c r="E175" s="621">
        <v>28801209</v>
      </c>
      <c r="F175" s="621">
        <v>31665465</v>
      </c>
      <c r="G175" s="621">
        <v>30548695</v>
      </c>
      <c r="H175" s="648">
        <v>318.5</v>
      </c>
      <c r="I175" s="648">
        <v>331.5</v>
      </c>
      <c r="J175" s="649">
        <v>182</v>
      </c>
      <c r="K175" s="621">
        <v>2746883</v>
      </c>
      <c r="L175" s="484">
        <v>329.5</v>
      </c>
      <c r="M175" s="648">
        <v>323</v>
      </c>
      <c r="N175" s="649">
        <v>334</v>
      </c>
      <c r="O175" s="648">
        <v>314.5</v>
      </c>
      <c r="P175" s="621">
        <v>235085</v>
      </c>
      <c r="Q175" s="621">
        <v>269563</v>
      </c>
      <c r="R175" s="621">
        <v>292216</v>
      </c>
      <c r="S175" s="621">
        <v>294126</v>
      </c>
      <c r="T175" s="621">
        <v>0</v>
      </c>
      <c r="U175" s="621">
        <v>0</v>
      </c>
      <c r="V175" s="621"/>
      <c r="W175" s="650">
        <v>0.11</v>
      </c>
      <c r="X175" s="621">
        <v>41</v>
      </c>
      <c r="Y175" s="621">
        <v>36</v>
      </c>
      <c r="Z175" s="650">
        <v>0.11</v>
      </c>
      <c r="AA175" s="650">
        <v>0</v>
      </c>
      <c r="AB175" s="651">
        <v>0.32469999999999999</v>
      </c>
      <c r="AC175" s="621">
        <v>328144</v>
      </c>
      <c r="AD175" s="621">
        <v>311646</v>
      </c>
      <c r="AE175" s="621">
        <v>311646</v>
      </c>
      <c r="AF175" s="484">
        <v>329.5</v>
      </c>
      <c r="AG175" s="649">
        <v>323</v>
      </c>
      <c r="AH175" s="891">
        <v>334</v>
      </c>
      <c r="AI175" s="649">
        <v>314.5</v>
      </c>
      <c r="AJ175" s="652">
        <v>0</v>
      </c>
      <c r="AK175" s="621"/>
      <c r="AL175" s="621"/>
      <c r="AM175" s="621">
        <v>0</v>
      </c>
      <c r="AN175" s="621">
        <v>0</v>
      </c>
      <c r="AO175" s="649">
        <v>311</v>
      </c>
      <c r="AP175" s="649"/>
      <c r="AQ175" s="892">
        <v>0</v>
      </c>
      <c r="AR175" s="652"/>
      <c r="AS175" s="648"/>
      <c r="AT175" s="649">
        <v>0</v>
      </c>
      <c r="AU175" s="653">
        <v>0</v>
      </c>
      <c r="AV175" s="621">
        <v>2466922</v>
      </c>
      <c r="AW175" s="621">
        <v>20342</v>
      </c>
      <c r="AX175" s="621">
        <v>22593</v>
      </c>
      <c r="AY175" s="621">
        <v>299245</v>
      </c>
      <c r="AZ175" s="621"/>
      <c r="BA175" s="428">
        <v>1</v>
      </c>
      <c r="BB175" s="621">
        <v>0</v>
      </c>
      <c r="BC175" s="621">
        <v>0</v>
      </c>
      <c r="BE175" s="621">
        <v>2476708</v>
      </c>
      <c r="BF175" s="621">
        <v>1130</v>
      </c>
      <c r="BG175" s="621">
        <v>3946</v>
      </c>
      <c r="BH175" s="4604">
        <v>31</v>
      </c>
      <c r="BI175" s="621">
        <v>29914939</v>
      </c>
      <c r="BJ175" s="621">
        <v>31665465</v>
      </c>
      <c r="BK175" s="621">
        <v>0</v>
      </c>
      <c r="BL175" s="4605">
        <v>67</v>
      </c>
      <c r="BM175" s="621">
        <v>67</v>
      </c>
      <c r="BN175" s="621">
        <v>71</v>
      </c>
      <c r="BO175" s="621">
        <v>38</v>
      </c>
      <c r="BP175" s="621">
        <v>30</v>
      </c>
      <c r="BQ175" s="621">
        <v>41</v>
      </c>
    </row>
    <row r="176" spans="1:69">
      <c r="A176" s="888">
        <v>382</v>
      </c>
      <c r="B176" s="889" t="s">
        <v>495</v>
      </c>
      <c r="C176" s="890" t="s">
        <v>203</v>
      </c>
      <c r="D176" s="621">
        <v>101173222</v>
      </c>
      <c r="E176" s="621">
        <v>93529174</v>
      </c>
      <c r="F176" s="621">
        <v>100530091</v>
      </c>
      <c r="G176" s="621">
        <v>92904846</v>
      </c>
      <c r="H176" s="648">
        <v>1126</v>
      </c>
      <c r="I176" s="648">
        <v>1159.2</v>
      </c>
      <c r="J176" s="649">
        <v>266.5</v>
      </c>
      <c r="K176" s="621">
        <v>9388210</v>
      </c>
      <c r="L176" s="484">
        <v>1125</v>
      </c>
      <c r="M176" s="648">
        <v>1151.8</v>
      </c>
      <c r="N176" s="649">
        <v>1195.2</v>
      </c>
      <c r="O176" s="648">
        <v>1162.5</v>
      </c>
      <c r="P176" s="621">
        <v>1339519</v>
      </c>
      <c r="Q176" s="621">
        <v>1377231</v>
      </c>
      <c r="R176" s="621">
        <v>1115110</v>
      </c>
      <c r="S176" s="621">
        <v>1113369</v>
      </c>
      <c r="T176" s="621">
        <v>0</v>
      </c>
      <c r="U176" s="621">
        <v>0</v>
      </c>
      <c r="V176" s="621"/>
      <c r="W176" s="650">
        <v>0.3</v>
      </c>
      <c r="X176" s="621">
        <v>433</v>
      </c>
      <c r="Y176" s="621">
        <v>123</v>
      </c>
      <c r="Z176" s="650">
        <v>0.28999999999999998</v>
      </c>
      <c r="AA176" s="650">
        <v>0</v>
      </c>
      <c r="AB176" s="651">
        <v>0.40660000000000002</v>
      </c>
      <c r="AC176" s="621">
        <v>964147</v>
      </c>
      <c r="AD176" s="621">
        <v>926418</v>
      </c>
      <c r="AE176" s="621">
        <v>926418</v>
      </c>
      <c r="AF176" s="484">
        <v>1125</v>
      </c>
      <c r="AG176" s="649">
        <v>1136.5</v>
      </c>
      <c r="AH176" s="891">
        <v>1174.7</v>
      </c>
      <c r="AI176" s="649">
        <v>1104.5</v>
      </c>
      <c r="AJ176" s="652">
        <v>0</v>
      </c>
      <c r="AK176" s="621"/>
      <c r="AL176" s="621"/>
      <c r="AM176" s="621">
        <v>1</v>
      </c>
      <c r="AN176" s="621">
        <v>0</v>
      </c>
      <c r="AO176" s="649">
        <v>1093</v>
      </c>
      <c r="AP176" s="649"/>
      <c r="AQ176" s="892">
        <v>0</v>
      </c>
      <c r="AR176" s="652"/>
      <c r="AS176" s="648"/>
      <c r="AT176" s="649">
        <v>0</v>
      </c>
      <c r="AU176" s="653">
        <v>0</v>
      </c>
      <c r="AV176" s="621">
        <v>7543695</v>
      </c>
      <c r="AW176" s="621">
        <v>185161</v>
      </c>
      <c r="AX176" s="621">
        <v>199035</v>
      </c>
      <c r="AY176" s="621">
        <v>1013956</v>
      </c>
      <c r="AZ176" s="621"/>
      <c r="BA176" s="428">
        <v>1</v>
      </c>
      <c r="BB176" s="621">
        <v>21522</v>
      </c>
      <c r="BC176" s="621">
        <v>21522</v>
      </c>
      <c r="BE176" s="621">
        <v>8006050</v>
      </c>
      <c r="BF176" s="621">
        <v>2912</v>
      </c>
      <c r="BG176" s="621">
        <v>867</v>
      </c>
      <c r="BH176" s="4604">
        <v>31</v>
      </c>
      <c r="BI176" s="621">
        <v>96438148</v>
      </c>
      <c r="BJ176" s="621">
        <v>96248468</v>
      </c>
      <c r="BK176" s="621">
        <v>21522</v>
      </c>
      <c r="BL176" s="4605">
        <v>437</v>
      </c>
      <c r="BM176" s="621">
        <v>417</v>
      </c>
      <c r="BN176" s="621">
        <v>465</v>
      </c>
      <c r="BO176" s="621">
        <v>135</v>
      </c>
      <c r="BP176" s="621">
        <v>130</v>
      </c>
      <c r="BQ176" s="621">
        <v>157</v>
      </c>
    </row>
    <row r="177" spans="1:69">
      <c r="A177" s="888">
        <v>383</v>
      </c>
      <c r="B177" s="889" t="s">
        <v>496</v>
      </c>
      <c r="C177" s="890" t="s">
        <v>200</v>
      </c>
      <c r="D177" s="621">
        <v>715727703</v>
      </c>
      <c r="E177" s="621">
        <v>677744617</v>
      </c>
      <c r="F177" s="621">
        <v>729692781</v>
      </c>
      <c r="G177" s="621">
        <v>691505349</v>
      </c>
      <c r="H177" s="648">
        <v>6436.4</v>
      </c>
      <c r="I177" s="648">
        <v>6532.5</v>
      </c>
      <c r="J177" s="649">
        <v>163</v>
      </c>
      <c r="K177" s="621">
        <v>47659521</v>
      </c>
      <c r="L177" s="484">
        <v>6403.1</v>
      </c>
      <c r="M177" s="648">
        <v>6665.8</v>
      </c>
      <c r="N177" s="649">
        <v>6775.5</v>
      </c>
      <c r="O177" s="648">
        <v>6530.9</v>
      </c>
      <c r="P177" s="621">
        <v>8334141</v>
      </c>
      <c r="Q177" s="621">
        <v>8209351</v>
      </c>
      <c r="R177" s="621">
        <v>3517752</v>
      </c>
      <c r="S177" s="621">
        <v>5959414</v>
      </c>
      <c r="T177" s="621">
        <v>0</v>
      </c>
      <c r="U177" s="621">
        <v>0</v>
      </c>
      <c r="V177" s="621"/>
      <c r="W177" s="650">
        <v>0.03</v>
      </c>
      <c r="X177" s="621">
        <v>1978</v>
      </c>
      <c r="Y177" s="621">
        <v>465</v>
      </c>
      <c r="Z177" s="650">
        <v>0.03</v>
      </c>
      <c r="AA177" s="650">
        <v>0</v>
      </c>
      <c r="AB177" s="651">
        <v>0.23710000000000001</v>
      </c>
      <c r="AC177" s="621">
        <v>7258773</v>
      </c>
      <c r="AD177" s="621">
        <v>6999991</v>
      </c>
      <c r="AE177" s="621">
        <v>6999991</v>
      </c>
      <c r="AF177" s="484">
        <v>6403.1</v>
      </c>
      <c r="AG177" s="649">
        <v>6502.9</v>
      </c>
      <c r="AH177" s="891">
        <v>6609.5</v>
      </c>
      <c r="AI177" s="649">
        <v>6309.8</v>
      </c>
      <c r="AJ177" s="652">
        <v>2.8899999999999999E-2</v>
      </c>
      <c r="AK177" s="621"/>
      <c r="AL177" s="621"/>
      <c r="AM177" s="621">
        <v>694</v>
      </c>
      <c r="AN177" s="621">
        <v>66218</v>
      </c>
      <c r="AO177" s="649">
        <v>6205.3</v>
      </c>
      <c r="AP177" s="649"/>
      <c r="AQ177" s="892">
        <v>46</v>
      </c>
      <c r="AR177" s="652"/>
      <c r="AS177" s="648"/>
      <c r="AT177" s="649">
        <v>56.5</v>
      </c>
      <c r="AU177" s="653">
        <v>64</v>
      </c>
      <c r="AV177" s="621">
        <v>37697099</v>
      </c>
      <c r="AW177" s="621">
        <v>167944</v>
      </c>
      <c r="AX177" s="621">
        <v>285635</v>
      </c>
      <c r="AY177" s="621">
        <v>2832473</v>
      </c>
      <c r="AZ177" s="621"/>
      <c r="BA177" s="428">
        <v>1</v>
      </c>
      <c r="BB177" s="621">
        <v>227579</v>
      </c>
      <c r="BC177" s="621">
        <v>212877</v>
      </c>
      <c r="BE177" s="621">
        <v>39376790</v>
      </c>
      <c r="BF177" s="621">
        <v>10638</v>
      </c>
      <c r="BG177" s="621">
        <v>8749</v>
      </c>
      <c r="BH177" s="4604">
        <v>33</v>
      </c>
      <c r="BI177" s="621">
        <v>699767658</v>
      </c>
      <c r="BJ177" s="621">
        <v>714087244</v>
      </c>
      <c r="BK177" s="621">
        <v>227579</v>
      </c>
      <c r="BL177" s="4605">
        <v>2007</v>
      </c>
      <c r="BM177" s="621">
        <v>2052</v>
      </c>
      <c r="BN177" s="621">
        <v>2020</v>
      </c>
      <c r="BO177" s="621">
        <v>592</v>
      </c>
      <c r="BP177" s="621">
        <v>566</v>
      </c>
      <c r="BQ177" s="621">
        <v>570</v>
      </c>
    </row>
    <row r="178" spans="1:69">
      <c r="A178" s="888">
        <v>384</v>
      </c>
      <c r="B178" s="889" t="s">
        <v>497</v>
      </c>
      <c r="C178" s="890" t="s">
        <v>200</v>
      </c>
      <c r="D178" s="621">
        <v>26020233</v>
      </c>
      <c r="E178" s="621">
        <v>24041216</v>
      </c>
      <c r="F178" s="621">
        <v>27505075</v>
      </c>
      <c r="G178" s="621">
        <v>25497153</v>
      </c>
      <c r="H178" s="648">
        <v>205.5</v>
      </c>
      <c r="I178" s="648">
        <v>215</v>
      </c>
      <c r="J178" s="649">
        <v>319</v>
      </c>
      <c r="K178" s="621">
        <v>2299578</v>
      </c>
      <c r="L178" s="484">
        <v>210.5</v>
      </c>
      <c r="M178" s="648">
        <v>208</v>
      </c>
      <c r="N178" s="649">
        <v>219.5</v>
      </c>
      <c r="O178" s="648">
        <v>207.5</v>
      </c>
      <c r="P178" s="621">
        <v>301348</v>
      </c>
      <c r="Q178" s="621">
        <v>323904</v>
      </c>
      <c r="R178" s="621">
        <v>108547</v>
      </c>
      <c r="S178" s="621">
        <v>285953</v>
      </c>
      <c r="T178" s="621">
        <v>0</v>
      </c>
      <c r="U178" s="621">
        <v>0</v>
      </c>
      <c r="V178" s="621"/>
      <c r="W178" s="650">
        <v>0</v>
      </c>
      <c r="X178" s="621">
        <v>30</v>
      </c>
      <c r="Y178" s="621">
        <v>25</v>
      </c>
      <c r="Z178" s="650">
        <v>0</v>
      </c>
      <c r="AA178" s="650">
        <v>0</v>
      </c>
      <c r="AB178" s="651">
        <v>0.1114</v>
      </c>
      <c r="AC178" s="621">
        <v>188778</v>
      </c>
      <c r="AD178" s="621">
        <v>191350</v>
      </c>
      <c r="AE178" s="621">
        <v>191350</v>
      </c>
      <c r="AF178" s="484">
        <v>210.5</v>
      </c>
      <c r="AG178" s="649">
        <v>208</v>
      </c>
      <c r="AH178" s="891">
        <v>219.5</v>
      </c>
      <c r="AI178" s="649">
        <v>207.5</v>
      </c>
      <c r="AJ178" s="652">
        <v>0</v>
      </c>
      <c r="AK178" s="621"/>
      <c r="AL178" s="621"/>
      <c r="AM178" s="621">
        <v>1</v>
      </c>
      <c r="AN178" s="621">
        <v>56843</v>
      </c>
      <c r="AO178" s="649">
        <v>203</v>
      </c>
      <c r="AP178" s="649"/>
      <c r="AQ178" s="892">
        <v>0</v>
      </c>
      <c r="AR178" s="652"/>
      <c r="AS178" s="648"/>
      <c r="AT178" s="649">
        <v>0</v>
      </c>
      <c r="AU178" s="653">
        <v>0</v>
      </c>
      <c r="AV178" s="621">
        <v>1856596</v>
      </c>
      <c r="AW178" s="621">
        <v>0</v>
      </c>
      <c r="AX178" s="621">
        <v>0</v>
      </c>
      <c r="AY178" s="621">
        <v>106627</v>
      </c>
      <c r="AZ178" s="621"/>
      <c r="BA178" s="428">
        <v>1</v>
      </c>
      <c r="BB178" s="621">
        <v>0</v>
      </c>
      <c r="BC178" s="621">
        <v>0</v>
      </c>
      <c r="BE178" s="621">
        <v>1918831</v>
      </c>
      <c r="BF178" s="621">
        <v>554</v>
      </c>
      <c r="BG178" s="621">
        <v>485</v>
      </c>
      <c r="BH178" s="4604">
        <v>33</v>
      </c>
      <c r="BI178" s="621">
        <v>26020233</v>
      </c>
      <c r="BJ178" s="621">
        <v>27505075</v>
      </c>
      <c r="BK178" s="621">
        <v>0</v>
      </c>
      <c r="BL178" s="4605">
        <v>38</v>
      </c>
      <c r="BM178" s="621">
        <v>38</v>
      </c>
      <c r="BN178" s="621">
        <v>41</v>
      </c>
      <c r="BO178" s="621">
        <v>32</v>
      </c>
      <c r="BP178" s="621">
        <v>22</v>
      </c>
      <c r="BQ178" s="621">
        <v>21</v>
      </c>
    </row>
    <row r="179" spans="1:69">
      <c r="A179" s="888">
        <v>385</v>
      </c>
      <c r="B179" s="889" t="s">
        <v>498</v>
      </c>
      <c r="C179" s="890" t="s">
        <v>137</v>
      </c>
      <c r="D179" s="621">
        <v>358814644</v>
      </c>
      <c r="E179" s="621">
        <v>338416438</v>
      </c>
      <c r="F179" s="621">
        <v>380098555</v>
      </c>
      <c r="G179" s="621">
        <v>359450278</v>
      </c>
      <c r="H179" s="648">
        <v>5364</v>
      </c>
      <c r="I179" s="648">
        <v>5605.8</v>
      </c>
      <c r="J179" s="649">
        <v>46.8</v>
      </c>
      <c r="K179" s="621">
        <v>40286029</v>
      </c>
      <c r="L179" s="484">
        <v>5261.9</v>
      </c>
      <c r="M179" s="648">
        <v>6290.9</v>
      </c>
      <c r="N179" s="649">
        <v>6530.9</v>
      </c>
      <c r="O179" s="648">
        <v>6425.9</v>
      </c>
      <c r="P179" s="621">
        <v>5078851</v>
      </c>
      <c r="Q179" s="621">
        <v>5133278</v>
      </c>
      <c r="R179" s="621">
        <v>6749890</v>
      </c>
      <c r="S179" s="621">
        <v>3115951</v>
      </c>
      <c r="T179" s="621">
        <v>0</v>
      </c>
      <c r="U179" s="621">
        <v>0</v>
      </c>
      <c r="V179" s="621"/>
      <c r="W179" s="650">
        <v>0.54</v>
      </c>
      <c r="X179" s="621">
        <v>523</v>
      </c>
      <c r="Y179" s="621">
        <v>206</v>
      </c>
      <c r="Z179" s="650">
        <v>0.53</v>
      </c>
      <c r="AA179" s="650">
        <v>0.17</v>
      </c>
      <c r="AB179" s="651">
        <v>0.59250000000000003</v>
      </c>
      <c r="AC179" s="621">
        <v>4337417</v>
      </c>
      <c r="AD179" s="621">
        <v>4264611</v>
      </c>
      <c r="AE179" s="621">
        <v>4264611</v>
      </c>
      <c r="AF179" s="484">
        <v>5261.9</v>
      </c>
      <c r="AG179" s="649">
        <v>5388</v>
      </c>
      <c r="AH179" s="891">
        <v>5629.8</v>
      </c>
      <c r="AI179" s="649">
        <v>4912.2</v>
      </c>
      <c r="AJ179" s="652">
        <v>4.2999999999999997E-2</v>
      </c>
      <c r="AK179" s="621"/>
      <c r="AL179" s="621"/>
      <c r="AM179" s="621">
        <v>241</v>
      </c>
      <c r="AN179" s="621">
        <v>0</v>
      </c>
      <c r="AO179" s="649">
        <v>4890.2</v>
      </c>
      <c r="AP179" s="649"/>
      <c r="AQ179" s="892">
        <v>0</v>
      </c>
      <c r="AR179" s="652"/>
      <c r="AS179" s="648"/>
      <c r="AT179" s="649">
        <v>0</v>
      </c>
      <c r="AU179" s="653">
        <v>0</v>
      </c>
      <c r="AV179" s="621">
        <v>30314646</v>
      </c>
      <c r="AW179" s="621">
        <v>1490434</v>
      </c>
      <c r="AX179" s="621">
        <v>1617179</v>
      </c>
      <c r="AY179" s="621">
        <v>5940673</v>
      </c>
      <c r="AZ179" s="621"/>
      <c r="BA179" s="428">
        <v>1</v>
      </c>
      <c r="BB179" s="621">
        <v>0</v>
      </c>
      <c r="BC179" s="621">
        <v>0</v>
      </c>
      <c r="BE179" s="621">
        <v>35152680</v>
      </c>
      <c r="BF179" s="621">
        <v>15932</v>
      </c>
      <c r="BG179" s="621">
        <v>9640</v>
      </c>
      <c r="BH179" s="4604">
        <v>33</v>
      </c>
      <c r="BI179" s="621">
        <v>358277474</v>
      </c>
      <c r="BJ179" s="621">
        <v>381696513</v>
      </c>
      <c r="BK179" s="621">
        <v>0</v>
      </c>
      <c r="BL179" s="4605">
        <v>649</v>
      </c>
      <c r="BM179" s="621">
        <v>644</v>
      </c>
      <c r="BN179" s="621">
        <v>583</v>
      </c>
      <c r="BO179" s="621">
        <v>268</v>
      </c>
      <c r="BP179" s="621">
        <v>281</v>
      </c>
      <c r="BQ179" s="621">
        <v>268</v>
      </c>
    </row>
    <row r="180" spans="1:69">
      <c r="A180" s="888">
        <v>386</v>
      </c>
      <c r="B180" s="889" t="s">
        <v>499</v>
      </c>
      <c r="C180" s="890" t="s">
        <v>204</v>
      </c>
      <c r="D180" s="621">
        <v>17803984</v>
      </c>
      <c r="E180" s="621">
        <v>16351949</v>
      </c>
      <c r="F180" s="621">
        <v>18301216</v>
      </c>
      <c r="G180" s="621">
        <v>16842926</v>
      </c>
      <c r="H180" s="648">
        <v>217</v>
      </c>
      <c r="I180" s="648">
        <v>215.5</v>
      </c>
      <c r="J180" s="649">
        <v>253</v>
      </c>
      <c r="K180" s="621">
        <v>2403294</v>
      </c>
      <c r="L180" s="484">
        <v>223</v>
      </c>
      <c r="M180" s="648">
        <v>219.5</v>
      </c>
      <c r="N180" s="649">
        <v>217.5</v>
      </c>
      <c r="O180" s="648">
        <v>220</v>
      </c>
      <c r="P180" s="621">
        <v>406883</v>
      </c>
      <c r="Q180" s="621">
        <v>383477</v>
      </c>
      <c r="R180" s="621">
        <v>307329</v>
      </c>
      <c r="S180" s="621">
        <v>254392</v>
      </c>
      <c r="T180" s="621">
        <v>5617</v>
      </c>
      <c r="U180" s="621">
        <v>0</v>
      </c>
      <c r="V180" s="621"/>
      <c r="W180" s="650">
        <v>0.3</v>
      </c>
      <c r="X180" s="621">
        <v>77</v>
      </c>
      <c r="Y180" s="621">
        <v>29</v>
      </c>
      <c r="Z180" s="650">
        <v>0.28999999999999998</v>
      </c>
      <c r="AA180" s="650">
        <v>0</v>
      </c>
      <c r="AB180" s="651">
        <v>0.41439999999999999</v>
      </c>
      <c r="AC180" s="621">
        <v>274300</v>
      </c>
      <c r="AD180" s="621">
        <v>265153</v>
      </c>
      <c r="AE180" s="621">
        <v>265153</v>
      </c>
      <c r="AF180" s="484">
        <v>223</v>
      </c>
      <c r="AG180" s="649">
        <v>219.5</v>
      </c>
      <c r="AH180" s="891">
        <v>217.5</v>
      </c>
      <c r="AI180" s="649">
        <v>220</v>
      </c>
      <c r="AJ180" s="652">
        <v>0</v>
      </c>
      <c r="AK180" s="621"/>
      <c r="AL180" s="621"/>
      <c r="AM180" s="621">
        <v>0</v>
      </c>
      <c r="AN180" s="621">
        <v>0</v>
      </c>
      <c r="AO180" s="649">
        <v>211.5</v>
      </c>
      <c r="AP180" s="649"/>
      <c r="AQ180" s="892">
        <v>0</v>
      </c>
      <c r="AR180" s="652"/>
      <c r="AS180" s="648"/>
      <c r="AT180" s="649">
        <v>0</v>
      </c>
      <c r="AU180" s="653">
        <v>0</v>
      </c>
      <c r="AV180" s="621">
        <v>1911096</v>
      </c>
      <c r="AW180" s="621">
        <v>42564</v>
      </c>
      <c r="AX180" s="621">
        <v>37998</v>
      </c>
      <c r="AY180" s="621">
        <v>291472</v>
      </c>
      <c r="AZ180" s="621"/>
      <c r="BA180" s="428">
        <v>1</v>
      </c>
      <c r="BB180" s="621">
        <v>0</v>
      </c>
      <c r="BC180" s="621">
        <v>0</v>
      </c>
      <c r="BE180" s="621">
        <v>2016366</v>
      </c>
      <c r="BF180" s="621">
        <v>1074</v>
      </c>
      <c r="BG180" s="621">
        <v>1186</v>
      </c>
      <c r="BH180" s="4604">
        <v>31</v>
      </c>
      <c r="BI180" s="621">
        <v>17763681</v>
      </c>
      <c r="BJ180" s="621">
        <v>18268214</v>
      </c>
      <c r="BK180" s="621">
        <v>0</v>
      </c>
      <c r="BL180" s="4605">
        <v>80</v>
      </c>
      <c r="BM180" s="621">
        <v>76</v>
      </c>
      <c r="BN180" s="621">
        <v>69</v>
      </c>
      <c r="BO180" s="621">
        <v>30</v>
      </c>
      <c r="BP180" s="621">
        <v>23</v>
      </c>
      <c r="BQ180" s="621">
        <v>31</v>
      </c>
    </row>
    <row r="181" spans="1:69">
      <c r="A181" s="888">
        <v>387</v>
      </c>
      <c r="B181" s="889" t="s">
        <v>500</v>
      </c>
      <c r="C181" s="890" t="s">
        <v>205</v>
      </c>
      <c r="D181" s="621">
        <v>32283661</v>
      </c>
      <c r="E181" s="621">
        <v>30631913</v>
      </c>
      <c r="F181" s="621">
        <v>31087847</v>
      </c>
      <c r="G181" s="621">
        <v>29449551</v>
      </c>
      <c r="H181" s="648">
        <v>170.5</v>
      </c>
      <c r="I181" s="648">
        <v>169</v>
      </c>
      <c r="J181" s="649">
        <v>192</v>
      </c>
      <c r="K181" s="621">
        <v>2001653</v>
      </c>
      <c r="L181" s="484">
        <v>171.5</v>
      </c>
      <c r="M181" s="648">
        <v>172</v>
      </c>
      <c r="N181" s="649">
        <v>171.5</v>
      </c>
      <c r="O181" s="648">
        <v>163.5</v>
      </c>
      <c r="P181" s="621">
        <v>227350</v>
      </c>
      <c r="Q181" s="621">
        <v>209575</v>
      </c>
      <c r="R181" s="621">
        <v>0</v>
      </c>
      <c r="S181" s="621">
        <v>266166</v>
      </c>
      <c r="T181" s="621">
        <v>0</v>
      </c>
      <c r="U181" s="621">
        <v>0</v>
      </c>
      <c r="V181" s="621"/>
      <c r="W181" s="650">
        <v>0</v>
      </c>
      <c r="X181" s="621">
        <v>79</v>
      </c>
      <c r="Y181" s="621">
        <v>31</v>
      </c>
      <c r="Z181" s="650">
        <v>0</v>
      </c>
      <c r="AA181" s="650">
        <v>0</v>
      </c>
      <c r="AB181" s="651">
        <v>0</v>
      </c>
      <c r="AC181" s="621">
        <v>250421</v>
      </c>
      <c r="AD181" s="621">
        <v>228717</v>
      </c>
      <c r="AE181" s="621">
        <v>228717</v>
      </c>
      <c r="AF181" s="484">
        <v>171.5</v>
      </c>
      <c r="AG181" s="649">
        <v>172</v>
      </c>
      <c r="AH181" s="891">
        <v>171.5</v>
      </c>
      <c r="AI181" s="649">
        <v>162.5</v>
      </c>
      <c r="AJ181" s="652">
        <v>0</v>
      </c>
      <c r="AK181" s="621"/>
      <c r="AL181" s="621"/>
      <c r="AM181" s="621">
        <v>0</v>
      </c>
      <c r="AN181" s="621">
        <v>0</v>
      </c>
      <c r="AO181" s="649">
        <v>162.5</v>
      </c>
      <c r="AP181" s="649"/>
      <c r="AQ181" s="892">
        <v>0</v>
      </c>
      <c r="AR181" s="652"/>
      <c r="AS181" s="648"/>
      <c r="AT181" s="649">
        <v>0</v>
      </c>
      <c r="AU181" s="653">
        <v>0</v>
      </c>
      <c r="AV181" s="621">
        <v>1771506</v>
      </c>
      <c r="AW181" s="621">
        <v>0</v>
      </c>
      <c r="AX181" s="621">
        <v>0</v>
      </c>
      <c r="AY181" s="621">
        <v>0</v>
      </c>
      <c r="AZ181" s="621"/>
      <c r="BA181" s="428">
        <v>1</v>
      </c>
      <c r="BB181" s="621">
        <v>0</v>
      </c>
      <c r="BC181" s="621">
        <v>0</v>
      </c>
      <c r="BE181" s="621">
        <v>1789066</v>
      </c>
      <c r="BF181" s="621">
        <v>905</v>
      </c>
      <c r="BG181" s="621">
        <v>1949</v>
      </c>
      <c r="BH181" s="4604">
        <v>33</v>
      </c>
      <c r="BI181" s="621">
        <v>32276954</v>
      </c>
      <c r="BJ181" s="621">
        <v>31080967</v>
      </c>
      <c r="BK181" s="621">
        <v>0</v>
      </c>
      <c r="BL181" s="4605">
        <v>85</v>
      </c>
      <c r="BM181" s="621">
        <v>88</v>
      </c>
      <c r="BN181" s="621">
        <v>86</v>
      </c>
      <c r="BO181" s="621">
        <v>26</v>
      </c>
      <c r="BP181" s="621">
        <v>35</v>
      </c>
      <c r="BQ181" s="621">
        <v>27</v>
      </c>
    </row>
    <row r="182" spans="1:69">
      <c r="A182" s="888">
        <v>388</v>
      </c>
      <c r="B182" s="889" t="s">
        <v>501</v>
      </c>
      <c r="C182" s="890" t="s">
        <v>206</v>
      </c>
      <c r="D182" s="621">
        <v>35274187</v>
      </c>
      <c r="E182" s="621">
        <v>32665147</v>
      </c>
      <c r="F182" s="621">
        <v>32669443</v>
      </c>
      <c r="G182" s="621">
        <v>30058348</v>
      </c>
      <c r="H182" s="648">
        <v>412.6</v>
      </c>
      <c r="I182" s="648">
        <v>403.9</v>
      </c>
      <c r="J182" s="649">
        <v>280.5</v>
      </c>
      <c r="K182" s="621">
        <v>3457819</v>
      </c>
      <c r="L182" s="484">
        <v>426.8</v>
      </c>
      <c r="M182" s="648">
        <v>412.6</v>
      </c>
      <c r="N182" s="649">
        <v>403.9</v>
      </c>
      <c r="O182" s="648">
        <v>375.9</v>
      </c>
      <c r="P182" s="621">
        <v>391663</v>
      </c>
      <c r="Q182" s="621">
        <v>399156</v>
      </c>
      <c r="R182" s="621">
        <v>430765</v>
      </c>
      <c r="S182" s="621">
        <v>382482</v>
      </c>
      <c r="T182" s="621">
        <v>0</v>
      </c>
      <c r="U182" s="621">
        <v>0</v>
      </c>
      <c r="V182" s="621"/>
      <c r="W182" s="650">
        <v>0.28999999999999998</v>
      </c>
      <c r="X182" s="621">
        <v>84</v>
      </c>
      <c r="Y182" s="621">
        <v>48</v>
      </c>
      <c r="Z182" s="650">
        <v>0.28000000000000003</v>
      </c>
      <c r="AA182" s="650">
        <v>0</v>
      </c>
      <c r="AB182" s="651">
        <v>0.40839999999999999</v>
      </c>
      <c r="AC182" s="621">
        <v>406898</v>
      </c>
      <c r="AD182" s="621">
        <v>380113</v>
      </c>
      <c r="AE182" s="621">
        <v>380113</v>
      </c>
      <c r="AF182" s="484">
        <v>426.8</v>
      </c>
      <c r="AG182" s="649">
        <v>412.6</v>
      </c>
      <c r="AH182" s="891">
        <v>403.9</v>
      </c>
      <c r="AI182" s="649">
        <v>375.9</v>
      </c>
      <c r="AJ182" s="652">
        <v>0</v>
      </c>
      <c r="AK182" s="621"/>
      <c r="AL182" s="621"/>
      <c r="AM182" s="621">
        <v>0</v>
      </c>
      <c r="AN182" s="621">
        <v>0</v>
      </c>
      <c r="AO182" s="649">
        <v>375.9</v>
      </c>
      <c r="AP182" s="649"/>
      <c r="AQ182" s="892">
        <v>0</v>
      </c>
      <c r="AR182" s="652"/>
      <c r="AS182" s="648"/>
      <c r="AT182" s="649">
        <v>0</v>
      </c>
      <c r="AU182" s="653">
        <v>0</v>
      </c>
      <c r="AV182" s="621">
        <v>3023095</v>
      </c>
      <c r="AW182" s="621">
        <v>81795</v>
      </c>
      <c r="AX182" s="621">
        <v>60356</v>
      </c>
      <c r="AY182" s="621">
        <v>445981</v>
      </c>
      <c r="AZ182" s="621"/>
      <c r="BA182" s="428">
        <v>1</v>
      </c>
      <c r="BB182" s="621">
        <v>0</v>
      </c>
      <c r="BC182" s="621">
        <v>0</v>
      </c>
      <c r="BE182" s="621">
        <v>3050799</v>
      </c>
      <c r="BF182" s="621">
        <v>3492</v>
      </c>
      <c r="BG182" s="621">
        <v>4965</v>
      </c>
      <c r="BH182" s="4604">
        <v>31</v>
      </c>
      <c r="BI182" s="621">
        <v>34081205</v>
      </c>
      <c r="BJ182" s="621">
        <v>31441957</v>
      </c>
      <c r="BK182" s="621">
        <v>0</v>
      </c>
      <c r="BL182" s="4605">
        <v>106</v>
      </c>
      <c r="BM182" s="621">
        <v>89</v>
      </c>
      <c r="BN182" s="621">
        <v>74</v>
      </c>
      <c r="BO182" s="621">
        <v>52</v>
      </c>
      <c r="BP182" s="621">
        <v>51</v>
      </c>
      <c r="BQ182" s="621">
        <v>65</v>
      </c>
    </row>
    <row r="183" spans="1:69">
      <c r="A183" s="888">
        <v>389</v>
      </c>
      <c r="B183" s="889" t="s">
        <v>502</v>
      </c>
      <c r="C183" s="890" t="s">
        <v>204</v>
      </c>
      <c r="D183" s="621">
        <v>36231687</v>
      </c>
      <c r="E183" s="621">
        <v>31180625</v>
      </c>
      <c r="F183" s="621">
        <v>37873739</v>
      </c>
      <c r="G183" s="621">
        <v>32812381</v>
      </c>
      <c r="H183" s="648">
        <v>619</v>
      </c>
      <c r="I183" s="648">
        <v>605</v>
      </c>
      <c r="J183" s="649">
        <v>580</v>
      </c>
      <c r="K183" s="621">
        <v>5749486</v>
      </c>
      <c r="L183" s="484">
        <v>650.5</v>
      </c>
      <c r="M183" s="648">
        <v>635.5</v>
      </c>
      <c r="N183" s="649">
        <v>618</v>
      </c>
      <c r="O183" s="648">
        <v>586</v>
      </c>
      <c r="P183" s="621">
        <v>590754</v>
      </c>
      <c r="Q183" s="621">
        <v>672351</v>
      </c>
      <c r="R183" s="621">
        <v>1034153</v>
      </c>
      <c r="S183" s="621">
        <v>562510</v>
      </c>
      <c r="T183" s="621">
        <v>14829</v>
      </c>
      <c r="U183" s="621">
        <v>0</v>
      </c>
      <c r="V183" s="621"/>
      <c r="W183" s="650">
        <v>0.49</v>
      </c>
      <c r="X183" s="621">
        <v>327</v>
      </c>
      <c r="Y183" s="621">
        <v>37</v>
      </c>
      <c r="Z183" s="650">
        <v>0.48</v>
      </c>
      <c r="AA183" s="650">
        <v>0.12</v>
      </c>
      <c r="AB183" s="651">
        <v>0.57220000000000004</v>
      </c>
      <c r="AC183" s="621">
        <v>787997</v>
      </c>
      <c r="AD183" s="621">
        <v>760967</v>
      </c>
      <c r="AE183" s="621">
        <v>760967</v>
      </c>
      <c r="AF183" s="484">
        <v>650.5</v>
      </c>
      <c r="AG183" s="649">
        <v>635.5</v>
      </c>
      <c r="AH183" s="891">
        <v>618</v>
      </c>
      <c r="AI183" s="649">
        <v>586</v>
      </c>
      <c r="AJ183" s="652">
        <v>0</v>
      </c>
      <c r="AK183" s="621"/>
      <c r="AL183" s="621"/>
      <c r="AM183" s="621">
        <v>0</v>
      </c>
      <c r="AN183" s="621">
        <v>8342</v>
      </c>
      <c r="AO183" s="649">
        <v>576.5</v>
      </c>
      <c r="AP183" s="649"/>
      <c r="AQ183" s="892">
        <v>0</v>
      </c>
      <c r="AR183" s="652"/>
      <c r="AS183" s="648"/>
      <c r="AT183" s="649">
        <v>0</v>
      </c>
      <c r="AU183" s="653">
        <v>0</v>
      </c>
      <c r="AV183" s="621">
        <v>5129454</v>
      </c>
      <c r="AW183" s="621">
        <v>152352</v>
      </c>
      <c r="AX183" s="621">
        <v>150430</v>
      </c>
      <c r="AY183" s="621">
        <v>1025291</v>
      </c>
      <c r="AZ183" s="621"/>
      <c r="BA183" s="428">
        <v>1</v>
      </c>
      <c r="BB183" s="621">
        <v>0</v>
      </c>
      <c r="BC183" s="621">
        <v>0</v>
      </c>
      <c r="BE183" s="621">
        <v>5068696</v>
      </c>
      <c r="BF183" s="621">
        <v>1548</v>
      </c>
      <c r="BG183" s="621">
        <v>3080</v>
      </c>
      <c r="BH183" s="4604">
        <v>31</v>
      </c>
      <c r="BI183" s="621">
        <v>36004180</v>
      </c>
      <c r="BJ183" s="621">
        <v>37607538</v>
      </c>
      <c r="BK183" s="621">
        <v>0</v>
      </c>
      <c r="BL183" s="4605">
        <v>368</v>
      </c>
      <c r="BM183" s="621">
        <v>356</v>
      </c>
      <c r="BN183" s="621">
        <v>345</v>
      </c>
      <c r="BO183" s="621">
        <v>51</v>
      </c>
      <c r="BP183" s="621">
        <v>56</v>
      </c>
      <c r="BQ183" s="621">
        <v>50</v>
      </c>
    </row>
    <row r="184" spans="1:69">
      <c r="A184" s="888">
        <v>390</v>
      </c>
      <c r="B184" s="889" t="s">
        <v>503</v>
      </c>
      <c r="C184" s="890" t="s">
        <v>204</v>
      </c>
      <c r="D184" s="621">
        <v>10277979</v>
      </c>
      <c r="E184" s="621">
        <v>9744453</v>
      </c>
      <c r="F184" s="621">
        <v>10532641</v>
      </c>
      <c r="G184" s="621">
        <v>9995454</v>
      </c>
      <c r="H184" s="648">
        <v>60.5</v>
      </c>
      <c r="I184" s="648">
        <v>57</v>
      </c>
      <c r="J184" s="649">
        <v>210</v>
      </c>
      <c r="K184" s="621">
        <v>820136</v>
      </c>
      <c r="L184" s="484">
        <v>57.5</v>
      </c>
      <c r="M184" s="648">
        <v>61</v>
      </c>
      <c r="N184" s="649">
        <v>58</v>
      </c>
      <c r="O184" s="648">
        <v>55.5</v>
      </c>
      <c r="P184" s="621">
        <v>140399</v>
      </c>
      <c r="Q184" s="621">
        <v>120871</v>
      </c>
      <c r="R184" s="621">
        <v>0</v>
      </c>
      <c r="S184" s="621">
        <v>135051</v>
      </c>
      <c r="T184" s="621">
        <v>11336</v>
      </c>
      <c r="U184" s="621">
        <v>0</v>
      </c>
      <c r="V184" s="621"/>
      <c r="W184" s="650">
        <v>0</v>
      </c>
      <c r="X184" s="621">
        <v>36</v>
      </c>
      <c r="Y184" s="621">
        <v>7</v>
      </c>
      <c r="Z184" s="650">
        <v>0</v>
      </c>
      <c r="AA184" s="650">
        <v>0</v>
      </c>
      <c r="AB184" s="651">
        <v>0</v>
      </c>
      <c r="AC184" s="621">
        <v>105588</v>
      </c>
      <c r="AD184" s="621">
        <v>102309</v>
      </c>
      <c r="AE184" s="621">
        <v>102309</v>
      </c>
      <c r="AF184" s="484">
        <v>57.5</v>
      </c>
      <c r="AG184" s="649">
        <v>61</v>
      </c>
      <c r="AH184" s="891">
        <v>58</v>
      </c>
      <c r="AI184" s="649">
        <v>55.5</v>
      </c>
      <c r="AJ184" s="652">
        <v>0</v>
      </c>
      <c r="AK184" s="621"/>
      <c r="AL184" s="621"/>
      <c r="AM184" s="621">
        <v>0</v>
      </c>
      <c r="AN184" s="621">
        <v>0</v>
      </c>
      <c r="AO184" s="649">
        <v>55</v>
      </c>
      <c r="AP184" s="649"/>
      <c r="AQ184" s="892">
        <v>0</v>
      </c>
      <c r="AR184" s="652"/>
      <c r="AS184" s="648"/>
      <c r="AT184" s="649">
        <v>0</v>
      </c>
      <c r="AU184" s="653">
        <v>0</v>
      </c>
      <c r="AV184" s="621">
        <v>691671</v>
      </c>
      <c r="AW184" s="621">
        <v>0</v>
      </c>
      <c r="AX184" s="621">
        <v>0</v>
      </c>
      <c r="AY184" s="621">
        <v>0</v>
      </c>
      <c r="AZ184" s="621"/>
      <c r="BA184" s="428">
        <v>1</v>
      </c>
      <c r="BB184" s="621">
        <v>0</v>
      </c>
      <c r="BC184" s="621">
        <v>0</v>
      </c>
      <c r="BE184" s="621">
        <v>699265</v>
      </c>
      <c r="BF184" s="621">
        <v>358</v>
      </c>
      <c r="BG184" s="621">
        <v>191</v>
      </c>
      <c r="BH184" s="4604">
        <v>31</v>
      </c>
      <c r="BI184" s="621">
        <v>10277979</v>
      </c>
      <c r="BJ184" s="621">
        <v>10532641</v>
      </c>
      <c r="BK184" s="621">
        <v>0</v>
      </c>
      <c r="BL184" s="4605">
        <v>36</v>
      </c>
      <c r="BM184" s="621">
        <v>39</v>
      </c>
      <c r="BN184" s="621">
        <v>39</v>
      </c>
      <c r="BO184" s="621">
        <v>5</v>
      </c>
      <c r="BP184" s="621">
        <v>6</v>
      </c>
      <c r="BQ184" s="621">
        <v>3</v>
      </c>
    </row>
    <row r="185" spans="1:69">
      <c r="A185" s="888">
        <v>392</v>
      </c>
      <c r="B185" s="889" t="s">
        <v>504</v>
      </c>
      <c r="C185" s="890" t="s">
        <v>207</v>
      </c>
      <c r="D185" s="621">
        <v>32462088</v>
      </c>
      <c r="E185" s="621">
        <v>30250856</v>
      </c>
      <c r="F185" s="621">
        <v>33994881</v>
      </c>
      <c r="G185" s="621">
        <v>31810408</v>
      </c>
      <c r="H185" s="648">
        <v>282.3</v>
      </c>
      <c r="I185" s="648">
        <v>289.60000000000002</v>
      </c>
      <c r="J185" s="649">
        <v>511</v>
      </c>
      <c r="K185" s="621">
        <v>2745055</v>
      </c>
      <c r="L185" s="484">
        <v>274.10000000000002</v>
      </c>
      <c r="M185" s="648">
        <v>285.8</v>
      </c>
      <c r="N185" s="649">
        <v>290.60000000000002</v>
      </c>
      <c r="O185" s="648">
        <v>289.89999999999998</v>
      </c>
      <c r="P185" s="621">
        <v>347912</v>
      </c>
      <c r="Q185" s="621">
        <v>399313</v>
      </c>
      <c r="R185" s="621">
        <v>169553</v>
      </c>
      <c r="S185" s="621">
        <v>395888</v>
      </c>
      <c r="T185" s="621">
        <v>0</v>
      </c>
      <c r="U185" s="621">
        <v>0</v>
      </c>
      <c r="V185" s="621"/>
      <c r="W185" s="650">
        <v>0</v>
      </c>
      <c r="X185" s="621">
        <v>88</v>
      </c>
      <c r="Y185" s="621">
        <v>57</v>
      </c>
      <c r="Z185" s="650">
        <v>0</v>
      </c>
      <c r="AA185" s="650">
        <v>0</v>
      </c>
      <c r="AB185" s="651">
        <v>0.19450000000000001</v>
      </c>
      <c r="AC185" s="621">
        <v>292695</v>
      </c>
      <c r="AD185" s="621">
        <v>285974</v>
      </c>
      <c r="AE185" s="621">
        <v>285974</v>
      </c>
      <c r="AF185" s="484">
        <v>274.10000000000002</v>
      </c>
      <c r="AG185" s="649">
        <v>285.8</v>
      </c>
      <c r="AH185" s="891">
        <v>290.60000000000002</v>
      </c>
      <c r="AI185" s="649">
        <v>289.89999999999998</v>
      </c>
      <c r="AJ185" s="652">
        <v>0</v>
      </c>
      <c r="AK185" s="621"/>
      <c r="AL185" s="621"/>
      <c r="AM185" s="621">
        <v>0</v>
      </c>
      <c r="AN185" s="621">
        <v>0</v>
      </c>
      <c r="AO185" s="649">
        <v>289.89999999999998</v>
      </c>
      <c r="AP185" s="649"/>
      <c r="AQ185" s="892">
        <v>0</v>
      </c>
      <c r="AR185" s="652"/>
      <c r="AS185" s="648"/>
      <c r="AT185" s="649">
        <v>0</v>
      </c>
      <c r="AU185" s="653">
        <v>0</v>
      </c>
      <c r="AV185" s="621">
        <v>2216031</v>
      </c>
      <c r="AW185" s="621">
        <v>0</v>
      </c>
      <c r="AX185" s="621">
        <v>0</v>
      </c>
      <c r="AY185" s="621">
        <v>154275</v>
      </c>
      <c r="AZ185" s="621"/>
      <c r="BA185" s="428">
        <v>1</v>
      </c>
      <c r="BB185" s="621">
        <v>0</v>
      </c>
      <c r="BC185" s="621">
        <v>0</v>
      </c>
      <c r="BE185" s="621">
        <v>2344814</v>
      </c>
      <c r="BF185" s="621">
        <v>823</v>
      </c>
      <c r="BG185" s="621">
        <v>178</v>
      </c>
      <c r="BH185" s="4604">
        <v>31</v>
      </c>
      <c r="BI185" s="621">
        <v>32162903</v>
      </c>
      <c r="BJ185" s="621">
        <v>33811043</v>
      </c>
      <c r="BK185" s="621">
        <v>0</v>
      </c>
      <c r="BL185" s="4605">
        <v>114</v>
      </c>
      <c r="BM185" s="621">
        <v>100</v>
      </c>
      <c r="BN185" s="621">
        <v>85</v>
      </c>
      <c r="BO185" s="621">
        <v>38</v>
      </c>
      <c r="BP185" s="621">
        <v>56</v>
      </c>
      <c r="BQ185" s="621">
        <v>52</v>
      </c>
    </row>
    <row r="186" spans="1:69">
      <c r="A186" s="888">
        <v>393</v>
      </c>
      <c r="B186" s="889" t="s">
        <v>505</v>
      </c>
      <c r="C186" s="890" t="s">
        <v>208</v>
      </c>
      <c r="D186" s="621">
        <v>28516454</v>
      </c>
      <c r="E186" s="621">
        <v>26706810</v>
      </c>
      <c r="F186" s="621">
        <v>29060388</v>
      </c>
      <c r="G186" s="621">
        <v>27252319</v>
      </c>
      <c r="H186" s="648">
        <v>322.5</v>
      </c>
      <c r="I186" s="648">
        <v>338</v>
      </c>
      <c r="J186" s="649">
        <v>187.5</v>
      </c>
      <c r="K186" s="621">
        <v>3192360</v>
      </c>
      <c r="L186" s="484">
        <v>310</v>
      </c>
      <c r="M186" s="648">
        <v>327</v>
      </c>
      <c r="N186" s="649">
        <v>341.5</v>
      </c>
      <c r="O186" s="648">
        <v>355.5</v>
      </c>
      <c r="P186" s="621">
        <v>358683</v>
      </c>
      <c r="Q186" s="621">
        <v>414382</v>
      </c>
      <c r="R186" s="621">
        <v>396394</v>
      </c>
      <c r="S186" s="621">
        <v>363948</v>
      </c>
      <c r="T186" s="621">
        <v>19420</v>
      </c>
      <c r="U186" s="621">
        <v>0</v>
      </c>
      <c r="V186" s="621"/>
      <c r="W186" s="650">
        <v>0.33</v>
      </c>
      <c r="X186" s="621">
        <v>144</v>
      </c>
      <c r="Y186" s="621">
        <v>50</v>
      </c>
      <c r="Z186" s="650">
        <v>0.32</v>
      </c>
      <c r="AA186" s="650">
        <v>0</v>
      </c>
      <c r="AB186" s="651">
        <v>0.40410000000000001</v>
      </c>
      <c r="AC186" s="621">
        <v>320450</v>
      </c>
      <c r="AD186" s="621">
        <v>309534</v>
      </c>
      <c r="AE186" s="621">
        <v>309534</v>
      </c>
      <c r="AF186" s="484">
        <v>310</v>
      </c>
      <c r="AG186" s="649">
        <v>327</v>
      </c>
      <c r="AH186" s="891">
        <v>341.5</v>
      </c>
      <c r="AI186" s="649">
        <v>355.5</v>
      </c>
      <c r="AJ186" s="652">
        <v>0</v>
      </c>
      <c r="AK186" s="621"/>
      <c r="AL186" s="621"/>
      <c r="AM186" s="621">
        <v>7</v>
      </c>
      <c r="AN186" s="621">
        <v>0</v>
      </c>
      <c r="AO186" s="649">
        <v>353.5</v>
      </c>
      <c r="AP186" s="649"/>
      <c r="AQ186" s="892">
        <v>0</v>
      </c>
      <c r="AR186" s="652"/>
      <c r="AS186" s="648"/>
      <c r="AT186" s="649">
        <v>0</v>
      </c>
      <c r="AU186" s="653">
        <v>0</v>
      </c>
      <c r="AV186" s="621">
        <v>2677759</v>
      </c>
      <c r="AW186" s="621">
        <v>46896</v>
      </c>
      <c r="AX186" s="621">
        <v>59133</v>
      </c>
      <c r="AY186" s="621">
        <v>350446</v>
      </c>
      <c r="AZ186" s="621"/>
      <c r="BA186" s="428">
        <v>1</v>
      </c>
      <c r="BB186" s="621">
        <v>0</v>
      </c>
      <c r="BC186" s="621">
        <v>0</v>
      </c>
      <c r="BE186" s="621">
        <v>2777978</v>
      </c>
      <c r="BF186" s="621">
        <v>0</v>
      </c>
      <c r="BG186" s="621">
        <v>1477</v>
      </c>
      <c r="BH186" s="4604">
        <v>33</v>
      </c>
      <c r="BI186" s="621">
        <v>27938720</v>
      </c>
      <c r="BJ186" s="621">
        <v>28447329</v>
      </c>
      <c r="BK186" s="621">
        <v>0</v>
      </c>
      <c r="BL186" s="4605">
        <v>119</v>
      </c>
      <c r="BM186" s="621">
        <v>138</v>
      </c>
      <c r="BN186" s="621">
        <v>161</v>
      </c>
      <c r="BO186" s="621">
        <v>50</v>
      </c>
      <c r="BP186" s="621">
        <v>52</v>
      </c>
      <c r="BQ186" s="621">
        <v>53</v>
      </c>
    </row>
    <row r="187" spans="1:69">
      <c r="A187" s="888">
        <v>394</v>
      </c>
      <c r="B187" s="889" t="s">
        <v>506</v>
      </c>
      <c r="C187" s="890" t="s">
        <v>137</v>
      </c>
      <c r="D187" s="621">
        <v>76533059</v>
      </c>
      <c r="E187" s="621">
        <v>69740355</v>
      </c>
      <c r="F187" s="621">
        <v>79986223</v>
      </c>
      <c r="G187" s="621">
        <v>73165537</v>
      </c>
      <c r="H187" s="648">
        <v>1541.7</v>
      </c>
      <c r="I187" s="648">
        <v>1561</v>
      </c>
      <c r="J187" s="649">
        <v>55</v>
      </c>
      <c r="K187" s="621">
        <v>10624562</v>
      </c>
      <c r="L187" s="484">
        <v>1547.5</v>
      </c>
      <c r="M187" s="648">
        <v>1584.5</v>
      </c>
      <c r="N187" s="649">
        <v>1603.3</v>
      </c>
      <c r="O187" s="648">
        <v>1578.7</v>
      </c>
      <c r="P187" s="621">
        <v>1409422</v>
      </c>
      <c r="Q187" s="621">
        <v>1416289</v>
      </c>
      <c r="R187" s="621">
        <v>2219742</v>
      </c>
      <c r="S187" s="621">
        <v>1297380</v>
      </c>
      <c r="T187" s="621">
        <v>0</v>
      </c>
      <c r="U187" s="621">
        <v>0</v>
      </c>
      <c r="V187" s="621"/>
      <c r="W187" s="650">
        <v>0.63</v>
      </c>
      <c r="X187" s="621">
        <v>301</v>
      </c>
      <c r="Y187" s="621">
        <v>113</v>
      </c>
      <c r="Z187" s="650">
        <v>0.62</v>
      </c>
      <c r="AA187" s="650">
        <v>0.26</v>
      </c>
      <c r="AB187" s="651">
        <v>0.65069999999999995</v>
      </c>
      <c r="AC187" s="621">
        <v>1381652</v>
      </c>
      <c r="AD187" s="621">
        <v>1321754</v>
      </c>
      <c r="AE187" s="621">
        <v>1321754</v>
      </c>
      <c r="AF187" s="484">
        <v>1547.5</v>
      </c>
      <c r="AG187" s="649">
        <v>1558.7</v>
      </c>
      <c r="AH187" s="891">
        <v>1581</v>
      </c>
      <c r="AI187" s="649">
        <v>1479.9</v>
      </c>
      <c r="AJ187" s="652">
        <v>0</v>
      </c>
      <c r="AK187" s="621"/>
      <c r="AL187" s="621"/>
      <c r="AM187" s="621">
        <v>56</v>
      </c>
      <c r="AN187" s="621">
        <v>0</v>
      </c>
      <c r="AO187" s="649">
        <v>1463.9</v>
      </c>
      <c r="AP187" s="649"/>
      <c r="AQ187" s="892">
        <v>0</v>
      </c>
      <c r="AR187" s="652"/>
      <c r="AS187" s="648"/>
      <c r="AT187" s="649">
        <v>0</v>
      </c>
      <c r="AU187" s="653">
        <v>0</v>
      </c>
      <c r="AV187" s="621">
        <v>8577377</v>
      </c>
      <c r="AW187" s="621">
        <v>364867</v>
      </c>
      <c r="AX187" s="621">
        <v>388125</v>
      </c>
      <c r="AY187" s="621">
        <v>2175261</v>
      </c>
      <c r="AZ187" s="621"/>
      <c r="BA187" s="428">
        <v>1</v>
      </c>
      <c r="BB187" s="621">
        <v>32442</v>
      </c>
      <c r="BC187" s="621">
        <v>34890</v>
      </c>
      <c r="BE187" s="621">
        <v>9208269</v>
      </c>
      <c r="BF187" s="621">
        <v>0</v>
      </c>
      <c r="BG187" s="621">
        <v>0</v>
      </c>
      <c r="BH187" s="4604">
        <v>33</v>
      </c>
      <c r="BI187" s="621">
        <v>76014031</v>
      </c>
      <c r="BJ187" s="621">
        <v>79553784</v>
      </c>
      <c r="BK187" s="621">
        <v>32442</v>
      </c>
      <c r="BL187" s="4605">
        <v>349</v>
      </c>
      <c r="BM187" s="621">
        <v>326</v>
      </c>
      <c r="BN187" s="621">
        <v>330</v>
      </c>
      <c r="BO187" s="621">
        <v>149</v>
      </c>
      <c r="BP187" s="621">
        <v>164</v>
      </c>
      <c r="BQ187" s="621">
        <v>140</v>
      </c>
    </row>
    <row r="188" spans="1:69">
      <c r="A188" s="888">
        <v>395</v>
      </c>
      <c r="B188" s="889" t="s">
        <v>508</v>
      </c>
      <c r="C188" s="890" t="s">
        <v>209</v>
      </c>
      <c r="D188" s="621">
        <v>31875080</v>
      </c>
      <c r="E188" s="621">
        <v>29463624</v>
      </c>
      <c r="F188" s="621">
        <v>31535137</v>
      </c>
      <c r="G188" s="621">
        <v>29126921</v>
      </c>
      <c r="H188" s="648">
        <v>260</v>
      </c>
      <c r="I188" s="648">
        <v>274</v>
      </c>
      <c r="J188" s="649">
        <v>486</v>
      </c>
      <c r="K188" s="621">
        <v>2707133</v>
      </c>
      <c r="L188" s="484">
        <v>286.5</v>
      </c>
      <c r="M188" s="648">
        <v>260</v>
      </c>
      <c r="N188" s="649">
        <v>274</v>
      </c>
      <c r="O188" s="648">
        <v>270.5</v>
      </c>
      <c r="P188" s="621">
        <v>295515</v>
      </c>
      <c r="Q188" s="621">
        <v>299666</v>
      </c>
      <c r="R188" s="621">
        <v>140997</v>
      </c>
      <c r="S188" s="621">
        <v>365920</v>
      </c>
      <c r="T188" s="621">
        <v>0</v>
      </c>
      <c r="U188" s="621">
        <v>0</v>
      </c>
      <c r="V188" s="621"/>
      <c r="W188" s="650">
        <v>0</v>
      </c>
      <c r="X188" s="621">
        <v>109</v>
      </c>
      <c r="Y188" s="621">
        <v>13</v>
      </c>
      <c r="Z188" s="650">
        <v>0</v>
      </c>
      <c r="AA188" s="650">
        <v>0</v>
      </c>
      <c r="AB188" s="651">
        <v>0.16339999999999999</v>
      </c>
      <c r="AC188" s="621">
        <v>331282</v>
      </c>
      <c r="AD188" s="621">
        <v>328560</v>
      </c>
      <c r="AE188" s="621">
        <v>328560</v>
      </c>
      <c r="AF188" s="484">
        <v>286.5</v>
      </c>
      <c r="AG188" s="649">
        <v>260</v>
      </c>
      <c r="AH188" s="891">
        <v>274</v>
      </c>
      <c r="AI188" s="649">
        <v>270.5</v>
      </c>
      <c r="AJ188" s="652">
        <v>0</v>
      </c>
      <c r="AK188" s="621"/>
      <c r="AL188" s="621"/>
      <c r="AM188" s="621">
        <v>0</v>
      </c>
      <c r="AN188" s="621">
        <v>0</v>
      </c>
      <c r="AO188" s="649">
        <v>270.5</v>
      </c>
      <c r="AP188" s="649"/>
      <c r="AQ188" s="892">
        <v>0</v>
      </c>
      <c r="AR188" s="652"/>
      <c r="AS188" s="648"/>
      <c r="AT188" s="649">
        <v>0</v>
      </c>
      <c r="AU188" s="653">
        <v>0</v>
      </c>
      <c r="AV188" s="621">
        <v>2383430</v>
      </c>
      <c r="AW188" s="621">
        <v>0</v>
      </c>
      <c r="AX188" s="621">
        <v>0</v>
      </c>
      <c r="AY188" s="621">
        <v>140194</v>
      </c>
      <c r="AZ188" s="621"/>
      <c r="BA188" s="428">
        <v>1</v>
      </c>
      <c r="BB188" s="621">
        <v>0</v>
      </c>
      <c r="BC188" s="621">
        <v>0</v>
      </c>
      <c r="BE188" s="621">
        <v>2404713</v>
      </c>
      <c r="BF188" s="621">
        <v>0</v>
      </c>
      <c r="BG188" s="621">
        <v>0</v>
      </c>
      <c r="BH188" s="4604">
        <v>31</v>
      </c>
      <c r="BI188" s="621">
        <v>31285467</v>
      </c>
      <c r="BJ188" s="621">
        <v>30866312</v>
      </c>
      <c r="BK188" s="621">
        <v>0</v>
      </c>
      <c r="BL188" s="4605">
        <v>111</v>
      </c>
      <c r="BM188" s="621">
        <v>106</v>
      </c>
      <c r="BN188" s="621">
        <v>110</v>
      </c>
      <c r="BO188" s="621">
        <v>18</v>
      </c>
      <c r="BP188" s="621">
        <v>12</v>
      </c>
      <c r="BQ188" s="621">
        <v>15</v>
      </c>
    </row>
    <row r="189" spans="1:69">
      <c r="A189" s="888">
        <v>396</v>
      </c>
      <c r="B189" s="889" t="s">
        <v>509</v>
      </c>
      <c r="C189" s="890" t="s">
        <v>137</v>
      </c>
      <c r="D189" s="621">
        <v>33329810</v>
      </c>
      <c r="E189" s="621">
        <v>30244037</v>
      </c>
      <c r="F189" s="621">
        <v>34256741</v>
      </c>
      <c r="G189" s="621">
        <v>31161117</v>
      </c>
      <c r="H189" s="648">
        <v>643.4</v>
      </c>
      <c r="I189" s="648">
        <v>622.1</v>
      </c>
      <c r="J189" s="649">
        <v>125</v>
      </c>
      <c r="K189" s="621">
        <v>5378451</v>
      </c>
      <c r="L189" s="484">
        <v>658.2</v>
      </c>
      <c r="M189" s="648">
        <v>654.70000000000005</v>
      </c>
      <c r="N189" s="649">
        <v>630.4</v>
      </c>
      <c r="O189" s="648">
        <v>621.79999999999995</v>
      </c>
      <c r="P189" s="621">
        <v>717460</v>
      </c>
      <c r="Q189" s="621">
        <v>713257</v>
      </c>
      <c r="R189" s="621">
        <v>1137431</v>
      </c>
      <c r="S189" s="621">
        <v>745599</v>
      </c>
      <c r="T189" s="621">
        <v>0</v>
      </c>
      <c r="U189" s="621">
        <v>0</v>
      </c>
      <c r="V189" s="621"/>
      <c r="W189" s="650">
        <v>0.57999999999999996</v>
      </c>
      <c r="X189" s="621">
        <v>150</v>
      </c>
      <c r="Y189" s="621">
        <v>74</v>
      </c>
      <c r="Z189" s="650">
        <v>0.56999999999999995</v>
      </c>
      <c r="AA189" s="650">
        <v>0.21</v>
      </c>
      <c r="AB189" s="651">
        <v>0.62529999999999997</v>
      </c>
      <c r="AC189" s="621">
        <v>662118</v>
      </c>
      <c r="AD189" s="621">
        <v>623445</v>
      </c>
      <c r="AE189" s="621">
        <v>623445</v>
      </c>
      <c r="AF189" s="484">
        <v>658.2</v>
      </c>
      <c r="AG189" s="649">
        <v>648.4</v>
      </c>
      <c r="AH189" s="891">
        <v>625.1</v>
      </c>
      <c r="AI189" s="649">
        <v>611.5</v>
      </c>
      <c r="AJ189" s="652">
        <v>0</v>
      </c>
      <c r="AK189" s="621"/>
      <c r="AL189" s="621"/>
      <c r="AM189" s="621">
        <v>22</v>
      </c>
      <c r="AN189" s="621">
        <v>0</v>
      </c>
      <c r="AO189" s="649">
        <v>609</v>
      </c>
      <c r="AP189" s="649"/>
      <c r="AQ189" s="892">
        <v>0</v>
      </c>
      <c r="AR189" s="652"/>
      <c r="AS189" s="648"/>
      <c r="AT189" s="649">
        <v>0</v>
      </c>
      <c r="AU189" s="653">
        <v>0</v>
      </c>
      <c r="AV189" s="621">
        <v>4595446</v>
      </c>
      <c r="AW189" s="621">
        <v>156561</v>
      </c>
      <c r="AX189" s="621">
        <v>149193</v>
      </c>
      <c r="AY189" s="621">
        <v>1170626</v>
      </c>
      <c r="AZ189" s="621"/>
      <c r="BA189" s="428">
        <v>1</v>
      </c>
      <c r="BB189" s="621">
        <v>0</v>
      </c>
      <c r="BC189" s="621">
        <v>0</v>
      </c>
      <c r="BE189" s="621">
        <v>4664996</v>
      </c>
      <c r="BF189" s="621">
        <v>5148</v>
      </c>
      <c r="BG189" s="621">
        <v>5586</v>
      </c>
      <c r="BH189" s="4604">
        <v>33</v>
      </c>
      <c r="BI189" s="621">
        <v>33169732</v>
      </c>
      <c r="BJ189" s="621">
        <v>33911729</v>
      </c>
      <c r="BK189" s="621">
        <v>0</v>
      </c>
      <c r="BL189" s="4605">
        <v>204</v>
      </c>
      <c r="BM189" s="621">
        <v>172</v>
      </c>
      <c r="BN189" s="621">
        <v>167</v>
      </c>
      <c r="BO189" s="621">
        <v>81</v>
      </c>
      <c r="BP189" s="621">
        <v>94</v>
      </c>
      <c r="BQ189" s="621">
        <v>75</v>
      </c>
    </row>
    <row r="190" spans="1:69">
      <c r="A190" s="888">
        <v>397</v>
      </c>
      <c r="B190" s="889" t="s">
        <v>510</v>
      </c>
      <c r="C190" s="890" t="s">
        <v>210</v>
      </c>
      <c r="D190" s="621">
        <v>29004180</v>
      </c>
      <c r="E190" s="621">
        <v>27562688</v>
      </c>
      <c r="F190" s="621">
        <v>29146913</v>
      </c>
      <c r="G190" s="621">
        <v>27711999</v>
      </c>
      <c r="H190" s="648">
        <v>192.5</v>
      </c>
      <c r="I190" s="648">
        <v>176</v>
      </c>
      <c r="J190" s="649">
        <v>400</v>
      </c>
      <c r="K190" s="621">
        <v>3870717</v>
      </c>
      <c r="L190" s="484">
        <v>194.5</v>
      </c>
      <c r="M190" s="648">
        <v>373.4</v>
      </c>
      <c r="N190" s="649">
        <v>354.5</v>
      </c>
      <c r="O190" s="648">
        <v>472.3</v>
      </c>
      <c r="P190" s="621">
        <v>446044</v>
      </c>
      <c r="Q190" s="621">
        <v>439927</v>
      </c>
      <c r="R190" s="621">
        <v>316091</v>
      </c>
      <c r="S190" s="621">
        <v>311503</v>
      </c>
      <c r="T190" s="621">
        <v>0</v>
      </c>
      <c r="U190" s="621">
        <v>0</v>
      </c>
      <c r="V190" s="621"/>
      <c r="W190" s="650">
        <v>0.51</v>
      </c>
      <c r="X190" s="621">
        <v>48</v>
      </c>
      <c r="Y190" s="621">
        <v>27</v>
      </c>
      <c r="Z190" s="650">
        <v>0.5</v>
      </c>
      <c r="AA190" s="650">
        <v>0.14000000000000001</v>
      </c>
      <c r="AB190" s="651">
        <v>0.47410000000000002</v>
      </c>
      <c r="AC190" s="621">
        <v>252203</v>
      </c>
      <c r="AD190" s="621">
        <v>268766</v>
      </c>
      <c r="AE190" s="621">
        <v>268766</v>
      </c>
      <c r="AF190" s="484">
        <v>194.5</v>
      </c>
      <c r="AG190" s="649">
        <v>193.5</v>
      </c>
      <c r="AH190" s="891">
        <v>176.5</v>
      </c>
      <c r="AI190" s="649">
        <v>152.5</v>
      </c>
      <c r="AJ190" s="652">
        <v>0</v>
      </c>
      <c r="AK190" s="621"/>
      <c r="AL190" s="621"/>
      <c r="AM190" s="621">
        <v>7</v>
      </c>
      <c r="AN190" s="621">
        <v>0</v>
      </c>
      <c r="AO190" s="649">
        <v>152</v>
      </c>
      <c r="AP190" s="649"/>
      <c r="AQ190" s="892">
        <v>0</v>
      </c>
      <c r="AR190" s="652"/>
      <c r="AS190" s="648"/>
      <c r="AT190" s="649">
        <v>0</v>
      </c>
      <c r="AU190" s="653">
        <v>0</v>
      </c>
      <c r="AV190" s="621">
        <v>2694698</v>
      </c>
      <c r="AW190" s="621">
        <v>76054</v>
      </c>
      <c r="AX190" s="621">
        <v>60491</v>
      </c>
      <c r="AY190" s="621">
        <v>311817</v>
      </c>
      <c r="AZ190" s="621"/>
      <c r="BA190" s="428">
        <v>1</v>
      </c>
      <c r="BB190" s="621">
        <v>0</v>
      </c>
      <c r="BC190" s="621">
        <v>0</v>
      </c>
      <c r="BE190" s="621">
        <v>3430339</v>
      </c>
      <c r="BF190" s="621">
        <v>2468</v>
      </c>
      <c r="BG190" s="621">
        <v>457</v>
      </c>
      <c r="BH190" s="4604">
        <v>31</v>
      </c>
      <c r="BI190" s="621">
        <v>28920329</v>
      </c>
      <c r="BJ190" s="621">
        <v>29093164</v>
      </c>
      <c r="BK190" s="621">
        <v>0</v>
      </c>
      <c r="BL190" s="4605">
        <v>69</v>
      </c>
      <c r="BM190" s="621">
        <v>61</v>
      </c>
      <c r="BN190" s="621">
        <v>53</v>
      </c>
      <c r="BO190" s="621">
        <v>40</v>
      </c>
      <c r="BP190" s="621">
        <v>51</v>
      </c>
      <c r="BQ190" s="621">
        <v>29</v>
      </c>
    </row>
    <row r="191" spans="1:69">
      <c r="A191" s="888">
        <v>398</v>
      </c>
      <c r="B191" s="889" t="s">
        <v>511</v>
      </c>
      <c r="C191" s="890" t="s">
        <v>210</v>
      </c>
      <c r="D191" s="621">
        <v>28556029</v>
      </c>
      <c r="E191" s="621">
        <v>26421217</v>
      </c>
      <c r="F191" s="621">
        <v>27777383</v>
      </c>
      <c r="G191" s="621">
        <v>25653985</v>
      </c>
      <c r="H191" s="648">
        <v>230.5</v>
      </c>
      <c r="I191" s="648">
        <v>235.5</v>
      </c>
      <c r="J191" s="649">
        <v>235</v>
      </c>
      <c r="K191" s="621">
        <v>2566134</v>
      </c>
      <c r="L191" s="484">
        <v>244.5</v>
      </c>
      <c r="M191" s="648">
        <v>236.6</v>
      </c>
      <c r="N191" s="649">
        <v>245.5</v>
      </c>
      <c r="O191" s="648">
        <v>207.6</v>
      </c>
      <c r="P191" s="621">
        <v>361566</v>
      </c>
      <c r="Q191" s="621">
        <v>372103</v>
      </c>
      <c r="R191" s="621">
        <v>144244</v>
      </c>
      <c r="S191" s="621">
        <v>429491</v>
      </c>
      <c r="T191" s="621">
        <v>7798</v>
      </c>
      <c r="U191" s="621">
        <v>0</v>
      </c>
      <c r="V191" s="621"/>
      <c r="W191" s="650">
        <v>0</v>
      </c>
      <c r="X191" s="621">
        <v>95</v>
      </c>
      <c r="Y191" s="621">
        <v>24</v>
      </c>
      <c r="Z191" s="650">
        <v>0</v>
      </c>
      <c r="AA191" s="650">
        <v>0</v>
      </c>
      <c r="AB191" s="651">
        <v>0.1202</v>
      </c>
      <c r="AC191" s="621">
        <v>277641</v>
      </c>
      <c r="AD191" s="621">
        <v>272192</v>
      </c>
      <c r="AE191" s="621">
        <v>272192</v>
      </c>
      <c r="AF191" s="484">
        <v>244.5</v>
      </c>
      <c r="AG191" s="649">
        <v>234.5</v>
      </c>
      <c r="AH191" s="891">
        <v>238.5</v>
      </c>
      <c r="AI191" s="649">
        <v>200.8</v>
      </c>
      <c r="AJ191" s="652">
        <v>0</v>
      </c>
      <c r="AK191" s="621"/>
      <c r="AL191" s="621"/>
      <c r="AM191" s="621">
        <v>0</v>
      </c>
      <c r="AN191" s="621">
        <v>0</v>
      </c>
      <c r="AO191" s="649">
        <v>199.3</v>
      </c>
      <c r="AP191" s="649"/>
      <c r="AQ191" s="892">
        <v>0</v>
      </c>
      <c r="AR191" s="652"/>
      <c r="AS191" s="648"/>
      <c r="AT191" s="649">
        <v>0</v>
      </c>
      <c r="AU191" s="653">
        <v>0</v>
      </c>
      <c r="AV191" s="621">
        <v>2226653</v>
      </c>
      <c r="AW191" s="621">
        <v>0</v>
      </c>
      <c r="AX191" s="621">
        <v>0</v>
      </c>
      <c r="AY191" s="621">
        <v>148838</v>
      </c>
      <c r="AZ191" s="621"/>
      <c r="BA191" s="428">
        <v>1</v>
      </c>
      <c r="BB191" s="621">
        <v>0</v>
      </c>
      <c r="BC191" s="621">
        <v>0</v>
      </c>
      <c r="BE191" s="621">
        <v>2193272</v>
      </c>
      <c r="BF191" s="621">
        <v>1070</v>
      </c>
      <c r="BG191" s="621">
        <v>330</v>
      </c>
      <c r="BH191" s="4604">
        <v>33</v>
      </c>
      <c r="BI191" s="621">
        <v>28357928</v>
      </c>
      <c r="BJ191" s="621">
        <v>27562518</v>
      </c>
      <c r="BK191" s="621">
        <v>0</v>
      </c>
      <c r="BL191" s="4605">
        <v>102</v>
      </c>
      <c r="BM191" s="621">
        <v>116</v>
      </c>
      <c r="BN191" s="621">
        <v>112</v>
      </c>
      <c r="BO191" s="621">
        <v>41</v>
      </c>
      <c r="BP191" s="621">
        <v>32</v>
      </c>
      <c r="BQ191" s="621">
        <v>34</v>
      </c>
    </row>
    <row r="192" spans="1:69">
      <c r="A192" s="888">
        <v>399</v>
      </c>
      <c r="B192" s="889" t="s">
        <v>512</v>
      </c>
      <c r="C192" s="890" t="s">
        <v>211</v>
      </c>
      <c r="D192" s="621">
        <v>27511943</v>
      </c>
      <c r="E192" s="621">
        <v>26752644</v>
      </c>
      <c r="F192" s="621">
        <v>24080745</v>
      </c>
      <c r="G192" s="621">
        <v>23329909</v>
      </c>
      <c r="H192" s="648">
        <v>111.1</v>
      </c>
      <c r="I192" s="648">
        <v>102.7</v>
      </c>
      <c r="J192" s="649">
        <v>439</v>
      </c>
      <c r="K192" s="621">
        <v>1383036</v>
      </c>
      <c r="L192" s="484">
        <v>113</v>
      </c>
      <c r="M192" s="648">
        <v>114.1</v>
      </c>
      <c r="N192" s="649">
        <v>105.7</v>
      </c>
      <c r="O192" s="648">
        <v>100</v>
      </c>
      <c r="P192" s="621">
        <v>133761</v>
      </c>
      <c r="Q192" s="621">
        <v>134483</v>
      </c>
      <c r="R192" s="621">
        <v>0</v>
      </c>
      <c r="S192" s="621">
        <v>173570</v>
      </c>
      <c r="T192" s="621">
        <v>0</v>
      </c>
      <c r="U192" s="621">
        <v>0</v>
      </c>
      <c r="V192" s="621"/>
      <c r="W192" s="650">
        <v>0</v>
      </c>
      <c r="X192" s="621">
        <v>49</v>
      </c>
      <c r="Y192" s="621">
        <v>17</v>
      </c>
      <c r="Z192" s="650">
        <v>0</v>
      </c>
      <c r="AA192" s="650">
        <v>0</v>
      </c>
      <c r="AB192" s="651">
        <v>0</v>
      </c>
      <c r="AC192" s="621">
        <v>165444</v>
      </c>
      <c r="AD192" s="621">
        <v>155850</v>
      </c>
      <c r="AE192" s="621">
        <v>155850</v>
      </c>
      <c r="AF192" s="484">
        <v>113</v>
      </c>
      <c r="AG192" s="649">
        <v>114.1</v>
      </c>
      <c r="AH192" s="891">
        <v>105.7</v>
      </c>
      <c r="AI192" s="649">
        <v>100</v>
      </c>
      <c r="AJ192" s="652">
        <v>0</v>
      </c>
      <c r="AK192" s="621"/>
      <c r="AL192" s="621"/>
      <c r="AM192" s="621">
        <v>0</v>
      </c>
      <c r="AN192" s="621">
        <v>0</v>
      </c>
      <c r="AO192" s="649">
        <v>96</v>
      </c>
      <c r="AP192" s="649"/>
      <c r="AQ192" s="892">
        <v>0</v>
      </c>
      <c r="AR192" s="652"/>
      <c r="AS192" s="648"/>
      <c r="AT192" s="649">
        <v>0</v>
      </c>
      <c r="AU192" s="653">
        <v>0</v>
      </c>
      <c r="AV192" s="621">
        <v>1193071</v>
      </c>
      <c r="AW192" s="621">
        <v>0</v>
      </c>
      <c r="AX192" s="621">
        <v>0</v>
      </c>
      <c r="AY192" s="621">
        <v>0</v>
      </c>
      <c r="AZ192" s="621"/>
      <c r="BA192" s="428">
        <v>1</v>
      </c>
      <c r="BB192" s="621">
        <v>0</v>
      </c>
      <c r="BC192" s="621">
        <v>0</v>
      </c>
      <c r="BE192" s="621">
        <v>1242904</v>
      </c>
      <c r="BF192" s="621">
        <v>0</v>
      </c>
      <c r="BG192" s="621">
        <v>0</v>
      </c>
      <c r="BH192" s="4604">
        <v>33</v>
      </c>
      <c r="BI192" s="621">
        <v>27474138</v>
      </c>
      <c r="BJ192" s="621">
        <v>24053668</v>
      </c>
      <c r="BK192" s="621">
        <v>0</v>
      </c>
      <c r="BL192" s="4605">
        <v>37</v>
      </c>
      <c r="BM192" s="621">
        <v>47</v>
      </c>
      <c r="BN192" s="621">
        <v>48</v>
      </c>
      <c r="BO192" s="621">
        <v>15</v>
      </c>
      <c r="BP192" s="621">
        <v>21</v>
      </c>
      <c r="BQ192" s="621">
        <v>23</v>
      </c>
    </row>
    <row r="193" spans="1:69">
      <c r="A193" s="888">
        <v>400</v>
      </c>
      <c r="B193" s="889" t="s">
        <v>513</v>
      </c>
      <c r="C193" s="890" t="s">
        <v>212</v>
      </c>
      <c r="D193" s="621">
        <v>81500023</v>
      </c>
      <c r="E193" s="621">
        <v>75454575</v>
      </c>
      <c r="F193" s="621">
        <v>83189622</v>
      </c>
      <c r="G193" s="621">
        <v>77140414</v>
      </c>
      <c r="H193" s="648">
        <v>809.9</v>
      </c>
      <c r="I193" s="648">
        <v>801.4</v>
      </c>
      <c r="J193" s="649">
        <v>395.5</v>
      </c>
      <c r="K193" s="621">
        <v>7715410</v>
      </c>
      <c r="L193" s="484">
        <v>829</v>
      </c>
      <c r="M193" s="648">
        <v>1037.5</v>
      </c>
      <c r="N193" s="649">
        <v>1043.4000000000001</v>
      </c>
      <c r="O193" s="648">
        <v>975.8</v>
      </c>
      <c r="P193" s="621">
        <v>1074322</v>
      </c>
      <c r="Q193" s="621">
        <v>1141670</v>
      </c>
      <c r="R193" s="621">
        <v>970403</v>
      </c>
      <c r="S193" s="621">
        <v>934526</v>
      </c>
      <c r="T193" s="621">
        <v>14774</v>
      </c>
      <c r="U193" s="621">
        <v>0</v>
      </c>
      <c r="V193" s="621"/>
      <c r="W193" s="650">
        <v>0.28000000000000003</v>
      </c>
      <c r="X193" s="621">
        <v>156</v>
      </c>
      <c r="Y193" s="621">
        <v>55</v>
      </c>
      <c r="Z193" s="650">
        <v>0.27</v>
      </c>
      <c r="AA193" s="650">
        <v>0</v>
      </c>
      <c r="AB193" s="651">
        <v>0.4199</v>
      </c>
      <c r="AC193" s="621">
        <v>848695</v>
      </c>
      <c r="AD193" s="621">
        <v>803463</v>
      </c>
      <c r="AE193" s="621">
        <v>803463</v>
      </c>
      <c r="AF193" s="484">
        <v>829</v>
      </c>
      <c r="AG193" s="649">
        <v>815.9</v>
      </c>
      <c r="AH193" s="891">
        <v>809.4</v>
      </c>
      <c r="AI193" s="649">
        <v>714.9</v>
      </c>
      <c r="AJ193" s="652">
        <v>0</v>
      </c>
      <c r="AK193" s="621"/>
      <c r="AL193" s="621"/>
      <c r="AM193" s="621">
        <v>14</v>
      </c>
      <c r="AN193" s="621">
        <v>0</v>
      </c>
      <c r="AO193" s="649">
        <v>707.4</v>
      </c>
      <c r="AP193" s="649"/>
      <c r="AQ193" s="892">
        <v>0</v>
      </c>
      <c r="AR193" s="652"/>
      <c r="AS193" s="648"/>
      <c r="AT193" s="649">
        <v>0</v>
      </c>
      <c r="AU193" s="653">
        <v>0</v>
      </c>
      <c r="AV193" s="621">
        <v>6298052</v>
      </c>
      <c r="AW193" s="621">
        <v>202120</v>
      </c>
      <c r="AX193" s="621">
        <v>199248</v>
      </c>
      <c r="AY193" s="621">
        <v>966913</v>
      </c>
      <c r="AZ193" s="621"/>
      <c r="BA193" s="428">
        <v>1</v>
      </c>
      <c r="BB193" s="621">
        <v>0</v>
      </c>
      <c r="BC193" s="621">
        <v>0</v>
      </c>
      <c r="BE193" s="621">
        <v>6573671</v>
      </c>
      <c r="BF193" s="621">
        <v>5425</v>
      </c>
      <c r="BG193" s="621">
        <v>4280</v>
      </c>
      <c r="BH193" s="4604">
        <v>33</v>
      </c>
      <c r="BI193" s="621">
        <v>81500023</v>
      </c>
      <c r="BJ193" s="621">
        <v>83189622</v>
      </c>
      <c r="BK193" s="621">
        <v>0</v>
      </c>
      <c r="BL193" s="4605">
        <v>194</v>
      </c>
      <c r="BM193" s="621">
        <v>183</v>
      </c>
      <c r="BN193" s="621">
        <v>189</v>
      </c>
      <c r="BO193" s="621">
        <v>85</v>
      </c>
      <c r="BP193" s="621">
        <v>78</v>
      </c>
      <c r="BQ193" s="621">
        <v>75</v>
      </c>
    </row>
    <row r="194" spans="1:69">
      <c r="A194" s="888">
        <v>401</v>
      </c>
      <c r="B194" s="889" t="s">
        <v>514</v>
      </c>
      <c r="C194" s="890" t="s">
        <v>198</v>
      </c>
      <c r="D194" s="621">
        <v>23608231</v>
      </c>
      <c r="E194" s="621">
        <v>22850423</v>
      </c>
      <c r="F194" s="621">
        <v>21416087</v>
      </c>
      <c r="G194" s="621">
        <v>20644650</v>
      </c>
      <c r="H194" s="648">
        <v>146.5</v>
      </c>
      <c r="I194" s="648">
        <v>138</v>
      </c>
      <c r="J194" s="649">
        <v>196</v>
      </c>
      <c r="K194" s="621">
        <v>1756546</v>
      </c>
      <c r="L194" s="484">
        <v>165.5</v>
      </c>
      <c r="M194" s="648">
        <v>149</v>
      </c>
      <c r="N194" s="649">
        <v>141</v>
      </c>
      <c r="O194" s="648">
        <v>149</v>
      </c>
      <c r="P194" s="621">
        <v>167978</v>
      </c>
      <c r="Q194" s="621">
        <v>180245</v>
      </c>
      <c r="R194" s="621">
        <v>0</v>
      </c>
      <c r="S194" s="621">
        <v>145015</v>
      </c>
      <c r="T194" s="621">
        <v>0</v>
      </c>
      <c r="U194" s="621">
        <v>0</v>
      </c>
      <c r="V194" s="621"/>
      <c r="W194" s="650">
        <v>0</v>
      </c>
      <c r="X194" s="621">
        <v>91</v>
      </c>
      <c r="Y194" s="621">
        <v>24</v>
      </c>
      <c r="Z194" s="650">
        <v>0</v>
      </c>
      <c r="AA194" s="650">
        <v>0</v>
      </c>
      <c r="AB194" s="651">
        <v>0</v>
      </c>
      <c r="AC194" s="621">
        <v>161566</v>
      </c>
      <c r="AD194" s="621">
        <v>153255</v>
      </c>
      <c r="AE194" s="621">
        <v>153255</v>
      </c>
      <c r="AF194" s="484">
        <v>165.5</v>
      </c>
      <c r="AG194" s="649">
        <v>149</v>
      </c>
      <c r="AH194" s="891">
        <v>141</v>
      </c>
      <c r="AI194" s="649">
        <v>149</v>
      </c>
      <c r="AJ194" s="652">
        <v>0</v>
      </c>
      <c r="AK194" s="621"/>
      <c r="AL194" s="621"/>
      <c r="AM194" s="621">
        <v>0</v>
      </c>
      <c r="AN194" s="621">
        <v>0</v>
      </c>
      <c r="AO194" s="649">
        <v>149</v>
      </c>
      <c r="AP194" s="649"/>
      <c r="AQ194" s="892">
        <v>0</v>
      </c>
      <c r="AR194" s="652"/>
      <c r="AS194" s="648"/>
      <c r="AT194" s="649">
        <v>0</v>
      </c>
      <c r="AU194" s="653">
        <v>0</v>
      </c>
      <c r="AV194" s="621">
        <v>1648699</v>
      </c>
      <c r="AW194" s="621">
        <v>0</v>
      </c>
      <c r="AX194" s="621">
        <v>0</v>
      </c>
      <c r="AY194" s="621">
        <v>0</v>
      </c>
      <c r="AZ194" s="621"/>
      <c r="BA194" s="428">
        <v>1</v>
      </c>
      <c r="BB194" s="621">
        <v>0</v>
      </c>
      <c r="BC194" s="621">
        <v>0</v>
      </c>
      <c r="BE194" s="621">
        <v>1576271</v>
      </c>
      <c r="BF194" s="621">
        <v>1062</v>
      </c>
      <c r="BG194" s="621">
        <v>2227</v>
      </c>
      <c r="BH194" s="4604">
        <v>31</v>
      </c>
      <c r="BI194" s="621">
        <v>21883590</v>
      </c>
      <c r="BJ194" s="621">
        <v>19765319</v>
      </c>
      <c r="BK194" s="621">
        <v>0</v>
      </c>
      <c r="BL194" s="4605">
        <v>98</v>
      </c>
      <c r="BM194" s="621">
        <v>91</v>
      </c>
      <c r="BN194" s="621">
        <v>90</v>
      </c>
      <c r="BO194" s="621">
        <v>22</v>
      </c>
      <c r="BP194" s="621">
        <v>19</v>
      </c>
      <c r="BQ194" s="621">
        <v>16</v>
      </c>
    </row>
    <row r="195" spans="1:69">
      <c r="A195" s="888">
        <v>402</v>
      </c>
      <c r="B195" s="889" t="s">
        <v>515</v>
      </c>
      <c r="C195" s="890" t="s">
        <v>137</v>
      </c>
      <c r="D195" s="621">
        <v>99608682</v>
      </c>
      <c r="E195" s="621">
        <v>89556720</v>
      </c>
      <c r="F195" s="621">
        <v>102517230</v>
      </c>
      <c r="G195" s="621">
        <v>92466631</v>
      </c>
      <c r="H195" s="648">
        <v>2137</v>
      </c>
      <c r="I195" s="648">
        <v>2035.8</v>
      </c>
      <c r="J195" s="649">
        <v>69.5</v>
      </c>
      <c r="K195" s="621">
        <v>13806449</v>
      </c>
      <c r="L195" s="484">
        <v>2171.6999999999998</v>
      </c>
      <c r="M195" s="648">
        <v>2149.5</v>
      </c>
      <c r="N195" s="649">
        <v>2052.3000000000002</v>
      </c>
      <c r="O195" s="648">
        <v>1983.6</v>
      </c>
      <c r="P195" s="621">
        <v>1814301</v>
      </c>
      <c r="Q195" s="621">
        <v>1795552</v>
      </c>
      <c r="R195" s="621">
        <v>3043285</v>
      </c>
      <c r="S195" s="621">
        <v>1657128</v>
      </c>
      <c r="T195" s="621">
        <v>19052</v>
      </c>
      <c r="U195" s="621">
        <v>0</v>
      </c>
      <c r="V195" s="621"/>
      <c r="W195" s="650">
        <v>0.62</v>
      </c>
      <c r="X195" s="621">
        <v>591</v>
      </c>
      <c r="Y195" s="621">
        <v>177</v>
      </c>
      <c r="Z195" s="650">
        <v>0.61</v>
      </c>
      <c r="AA195" s="650">
        <v>0.25</v>
      </c>
      <c r="AB195" s="651">
        <v>0.65280000000000005</v>
      </c>
      <c r="AC195" s="621">
        <v>1736670</v>
      </c>
      <c r="AD195" s="621">
        <v>1638066</v>
      </c>
      <c r="AE195" s="621">
        <v>1638066</v>
      </c>
      <c r="AF195" s="484">
        <v>2171.6999999999998</v>
      </c>
      <c r="AG195" s="649">
        <v>2148.5</v>
      </c>
      <c r="AH195" s="891">
        <v>2049.3000000000002</v>
      </c>
      <c r="AI195" s="649">
        <v>1977.6</v>
      </c>
      <c r="AJ195" s="652">
        <v>0</v>
      </c>
      <c r="AK195" s="621"/>
      <c r="AL195" s="621"/>
      <c r="AM195" s="621">
        <v>7</v>
      </c>
      <c r="AN195" s="621">
        <v>0</v>
      </c>
      <c r="AO195" s="649">
        <v>1966.1</v>
      </c>
      <c r="AP195" s="649"/>
      <c r="AQ195" s="892">
        <v>0</v>
      </c>
      <c r="AR195" s="652"/>
      <c r="AS195" s="648"/>
      <c r="AT195" s="649">
        <v>0</v>
      </c>
      <c r="AU195" s="653">
        <v>0</v>
      </c>
      <c r="AV195" s="621">
        <v>11854622</v>
      </c>
      <c r="AW195" s="621">
        <v>496829</v>
      </c>
      <c r="AX195" s="621">
        <v>488164</v>
      </c>
      <c r="AY195" s="621">
        <v>3063872</v>
      </c>
      <c r="AZ195" s="621"/>
      <c r="BA195" s="428">
        <v>1</v>
      </c>
      <c r="BB195" s="621">
        <v>0</v>
      </c>
      <c r="BC195" s="621">
        <v>0</v>
      </c>
      <c r="BE195" s="621">
        <v>12010139</v>
      </c>
      <c r="BF195" s="621">
        <v>4898</v>
      </c>
      <c r="BG195" s="621">
        <v>8677</v>
      </c>
      <c r="BH195" s="4604">
        <v>33</v>
      </c>
      <c r="BI195" s="621">
        <v>98601916</v>
      </c>
      <c r="BJ195" s="621">
        <v>101700924</v>
      </c>
      <c r="BK195" s="621">
        <v>0</v>
      </c>
      <c r="BL195" s="4605">
        <v>685</v>
      </c>
      <c r="BM195" s="621">
        <v>677</v>
      </c>
      <c r="BN195" s="621">
        <v>631</v>
      </c>
      <c r="BO195" s="621">
        <v>205</v>
      </c>
      <c r="BP195" s="621">
        <v>218</v>
      </c>
      <c r="BQ195" s="621">
        <v>190</v>
      </c>
    </row>
    <row r="196" spans="1:69">
      <c r="A196" s="888">
        <v>403</v>
      </c>
      <c r="B196" s="889" t="s">
        <v>516</v>
      </c>
      <c r="C196" s="890" t="s">
        <v>209</v>
      </c>
      <c r="D196" s="621">
        <v>27895936</v>
      </c>
      <c r="E196" s="621">
        <v>26375508</v>
      </c>
      <c r="F196" s="621">
        <v>26773255</v>
      </c>
      <c r="G196" s="621">
        <v>25254526</v>
      </c>
      <c r="H196" s="648">
        <v>245.6</v>
      </c>
      <c r="I196" s="648">
        <v>224.6</v>
      </c>
      <c r="J196" s="649">
        <v>339.5</v>
      </c>
      <c r="K196" s="621">
        <v>2451236</v>
      </c>
      <c r="L196" s="484">
        <v>240.5</v>
      </c>
      <c r="M196" s="648">
        <v>253.6</v>
      </c>
      <c r="N196" s="649">
        <v>230.6</v>
      </c>
      <c r="O196" s="648">
        <v>220.7</v>
      </c>
      <c r="P196" s="621">
        <v>314417</v>
      </c>
      <c r="Q196" s="621">
        <v>275882</v>
      </c>
      <c r="R196" s="621">
        <v>112675</v>
      </c>
      <c r="S196" s="621">
        <v>252027</v>
      </c>
      <c r="T196" s="621">
        <v>0</v>
      </c>
      <c r="U196" s="621">
        <v>0</v>
      </c>
      <c r="V196" s="621"/>
      <c r="W196" s="650">
        <v>0</v>
      </c>
      <c r="X196" s="621">
        <v>47</v>
      </c>
      <c r="Y196" s="621">
        <v>26</v>
      </c>
      <c r="Z196" s="650">
        <v>0</v>
      </c>
      <c r="AA196" s="650">
        <v>0</v>
      </c>
      <c r="AB196" s="651">
        <v>0.14810000000000001</v>
      </c>
      <c r="AC196" s="621">
        <v>254452</v>
      </c>
      <c r="AD196" s="621">
        <v>242519</v>
      </c>
      <c r="AE196" s="621">
        <v>242519</v>
      </c>
      <c r="AF196" s="484">
        <v>240.5</v>
      </c>
      <c r="AG196" s="649">
        <v>247.6</v>
      </c>
      <c r="AH196" s="891">
        <v>226.6</v>
      </c>
      <c r="AI196" s="649">
        <v>209.8</v>
      </c>
      <c r="AJ196" s="652">
        <v>0</v>
      </c>
      <c r="AK196" s="621"/>
      <c r="AL196" s="621"/>
      <c r="AM196" s="621">
        <v>0</v>
      </c>
      <c r="AN196" s="621">
        <v>0</v>
      </c>
      <c r="AO196" s="649">
        <v>205.8</v>
      </c>
      <c r="AP196" s="649"/>
      <c r="AQ196" s="892">
        <v>0</v>
      </c>
      <c r="AR196" s="652"/>
      <c r="AS196" s="648"/>
      <c r="AT196" s="649">
        <v>0</v>
      </c>
      <c r="AU196" s="653">
        <v>0</v>
      </c>
      <c r="AV196" s="621">
        <v>2092700</v>
      </c>
      <c r="AW196" s="621">
        <v>0</v>
      </c>
      <c r="AX196" s="621">
        <v>0</v>
      </c>
      <c r="AY196" s="621">
        <v>101361</v>
      </c>
      <c r="AZ196" s="621"/>
      <c r="BA196" s="428">
        <v>1</v>
      </c>
      <c r="BB196" s="621">
        <v>0</v>
      </c>
      <c r="BC196" s="621">
        <v>0</v>
      </c>
      <c r="BE196" s="621">
        <v>2173099</v>
      </c>
      <c r="BF196" s="621">
        <v>2195</v>
      </c>
      <c r="BG196" s="621">
        <v>1041</v>
      </c>
      <c r="BH196" s="4604">
        <v>33</v>
      </c>
      <c r="BI196" s="621">
        <v>27857714</v>
      </c>
      <c r="BJ196" s="621">
        <v>26734724</v>
      </c>
      <c r="BK196" s="621">
        <v>0</v>
      </c>
      <c r="BL196" s="4605">
        <v>103</v>
      </c>
      <c r="BM196" s="621">
        <v>64</v>
      </c>
      <c r="BN196" s="621">
        <v>60</v>
      </c>
      <c r="BO196" s="621">
        <v>20</v>
      </c>
      <c r="BP196" s="621">
        <v>15</v>
      </c>
      <c r="BQ196" s="621">
        <v>16</v>
      </c>
    </row>
    <row r="197" spans="1:69">
      <c r="A197" s="888">
        <v>404</v>
      </c>
      <c r="B197" s="889" t="s">
        <v>517</v>
      </c>
      <c r="C197" s="890" t="s">
        <v>213</v>
      </c>
      <c r="D197" s="621">
        <v>35919749</v>
      </c>
      <c r="E197" s="621">
        <v>32473841</v>
      </c>
      <c r="F197" s="621">
        <v>37950006</v>
      </c>
      <c r="G197" s="621">
        <v>34512589</v>
      </c>
      <c r="H197" s="648">
        <v>716</v>
      </c>
      <c r="I197" s="648">
        <v>699.2</v>
      </c>
      <c r="J197" s="649">
        <v>60</v>
      </c>
      <c r="K197" s="621">
        <v>5998815</v>
      </c>
      <c r="L197" s="484">
        <v>732.5</v>
      </c>
      <c r="M197" s="648">
        <v>722.3</v>
      </c>
      <c r="N197" s="649">
        <v>713.4</v>
      </c>
      <c r="O197" s="648">
        <v>659.9</v>
      </c>
      <c r="P197" s="621">
        <v>734001</v>
      </c>
      <c r="Q197" s="621">
        <v>720466</v>
      </c>
      <c r="R197" s="621">
        <v>1154113</v>
      </c>
      <c r="S197" s="621">
        <v>675003</v>
      </c>
      <c r="T197" s="621">
        <v>6567</v>
      </c>
      <c r="U197" s="621">
        <v>0</v>
      </c>
      <c r="V197" s="621"/>
      <c r="W197" s="650">
        <v>0.56000000000000005</v>
      </c>
      <c r="X197" s="621">
        <v>244</v>
      </c>
      <c r="Y197" s="621">
        <v>100</v>
      </c>
      <c r="Z197" s="650">
        <v>0.55000000000000004</v>
      </c>
      <c r="AA197" s="650">
        <v>0.19</v>
      </c>
      <c r="AB197" s="651">
        <v>0.62439999999999996</v>
      </c>
      <c r="AC197" s="621">
        <v>739062</v>
      </c>
      <c r="AD197" s="621">
        <v>706088</v>
      </c>
      <c r="AE197" s="621">
        <v>706088</v>
      </c>
      <c r="AF197" s="484">
        <v>732.5</v>
      </c>
      <c r="AG197" s="649">
        <v>722</v>
      </c>
      <c r="AH197" s="891">
        <v>709.2</v>
      </c>
      <c r="AI197" s="649">
        <v>656.7</v>
      </c>
      <c r="AJ197" s="652">
        <v>0</v>
      </c>
      <c r="AK197" s="621"/>
      <c r="AL197" s="621"/>
      <c r="AM197" s="621">
        <v>0</v>
      </c>
      <c r="AN197" s="621">
        <v>0</v>
      </c>
      <c r="AO197" s="649">
        <v>650.9</v>
      </c>
      <c r="AP197" s="649"/>
      <c r="AQ197" s="892">
        <v>0</v>
      </c>
      <c r="AR197" s="652"/>
      <c r="AS197" s="648"/>
      <c r="AT197" s="649">
        <v>0</v>
      </c>
      <c r="AU197" s="653">
        <v>0</v>
      </c>
      <c r="AV197" s="621">
        <v>5321013</v>
      </c>
      <c r="AW197" s="621">
        <v>137773</v>
      </c>
      <c r="AX197" s="621">
        <v>175380</v>
      </c>
      <c r="AY197" s="621">
        <v>1182198</v>
      </c>
      <c r="AZ197" s="621"/>
      <c r="BA197" s="428">
        <v>1</v>
      </c>
      <c r="BB197" s="621">
        <v>0</v>
      </c>
      <c r="BC197" s="621">
        <v>0</v>
      </c>
      <c r="BE197" s="621">
        <v>5278349</v>
      </c>
      <c r="BF197" s="621">
        <v>441</v>
      </c>
      <c r="BG197" s="621">
        <v>242</v>
      </c>
      <c r="BH197" s="4604">
        <v>31</v>
      </c>
      <c r="BI197" s="621">
        <v>35919749</v>
      </c>
      <c r="BJ197" s="621">
        <v>37863611</v>
      </c>
      <c r="BK197" s="621">
        <v>0</v>
      </c>
      <c r="BL197" s="4605">
        <v>312</v>
      </c>
      <c r="BM197" s="621">
        <v>310</v>
      </c>
      <c r="BN197" s="621">
        <v>279</v>
      </c>
      <c r="BO197" s="621">
        <v>99</v>
      </c>
      <c r="BP197" s="621">
        <v>92</v>
      </c>
      <c r="BQ197" s="621">
        <v>109</v>
      </c>
    </row>
    <row r="198" spans="1:69">
      <c r="A198" s="888">
        <v>405</v>
      </c>
      <c r="B198" s="889" t="s">
        <v>518</v>
      </c>
      <c r="C198" s="890" t="s">
        <v>198</v>
      </c>
      <c r="D198" s="621">
        <v>48051979</v>
      </c>
      <c r="E198" s="621">
        <v>44367206</v>
      </c>
      <c r="F198" s="621">
        <v>48775823</v>
      </c>
      <c r="G198" s="621">
        <v>45088968</v>
      </c>
      <c r="H198" s="648">
        <v>768.6</v>
      </c>
      <c r="I198" s="648">
        <v>764</v>
      </c>
      <c r="J198" s="649">
        <v>116</v>
      </c>
      <c r="K198" s="621">
        <v>7127640</v>
      </c>
      <c r="L198" s="484">
        <v>766.1</v>
      </c>
      <c r="M198" s="648">
        <v>779.1</v>
      </c>
      <c r="N198" s="649">
        <v>774.5</v>
      </c>
      <c r="O198" s="648">
        <v>731.9</v>
      </c>
      <c r="P198" s="621">
        <v>795358</v>
      </c>
      <c r="Q198" s="621">
        <v>856008</v>
      </c>
      <c r="R198" s="621">
        <v>1187000</v>
      </c>
      <c r="S198" s="621">
        <v>845087</v>
      </c>
      <c r="T198" s="621">
        <v>0</v>
      </c>
      <c r="U198" s="621">
        <v>0</v>
      </c>
      <c r="V198" s="621"/>
      <c r="W198" s="650">
        <v>0.47</v>
      </c>
      <c r="X198" s="621">
        <v>465</v>
      </c>
      <c r="Y198" s="621">
        <v>68</v>
      </c>
      <c r="Z198" s="650">
        <v>0.46</v>
      </c>
      <c r="AA198" s="650">
        <v>0.1</v>
      </c>
      <c r="AB198" s="651">
        <v>0.5605</v>
      </c>
      <c r="AC198" s="621">
        <v>1195602</v>
      </c>
      <c r="AD198" s="621">
        <v>1133022</v>
      </c>
      <c r="AE198" s="621">
        <v>1133022</v>
      </c>
      <c r="AF198" s="484">
        <v>766.1</v>
      </c>
      <c r="AG198" s="649">
        <v>779.1</v>
      </c>
      <c r="AH198" s="891">
        <v>774.5</v>
      </c>
      <c r="AI198" s="649">
        <v>731.9</v>
      </c>
      <c r="AJ198" s="652">
        <v>0</v>
      </c>
      <c r="AK198" s="621"/>
      <c r="AL198" s="621"/>
      <c r="AM198" s="621">
        <v>0</v>
      </c>
      <c r="AN198" s="621">
        <v>0</v>
      </c>
      <c r="AO198" s="649">
        <v>723.9</v>
      </c>
      <c r="AP198" s="649"/>
      <c r="AQ198" s="892">
        <v>0</v>
      </c>
      <c r="AR198" s="652"/>
      <c r="AS198" s="648"/>
      <c r="AT198" s="649">
        <v>0</v>
      </c>
      <c r="AU198" s="653">
        <v>0</v>
      </c>
      <c r="AV198" s="621">
        <v>6126508</v>
      </c>
      <c r="AW198" s="621">
        <v>95243</v>
      </c>
      <c r="AX198" s="621">
        <v>92381</v>
      </c>
      <c r="AY198" s="621">
        <v>1153941</v>
      </c>
      <c r="AZ198" s="621"/>
      <c r="BA198" s="428">
        <v>1</v>
      </c>
      <c r="BB198" s="621">
        <v>65271</v>
      </c>
      <c r="BC198" s="621">
        <v>61212</v>
      </c>
      <c r="BE198" s="621">
        <v>6271632</v>
      </c>
      <c r="BF198" s="621">
        <v>8235</v>
      </c>
      <c r="BG198" s="621">
        <v>7269</v>
      </c>
      <c r="BH198" s="4604">
        <v>31</v>
      </c>
      <c r="BI198" s="621">
        <v>46699312</v>
      </c>
      <c r="BJ198" s="621">
        <v>48115293</v>
      </c>
      <c r="BK198" s="621">
        <v>65271</v>
      </c>
      <c r="BL198" s="4605">
        <v>460</v>
      </c>
      <c r="BM198" s="621">
        <v>484</v>
      </c>
      <c r="BN198" s="621">
        <v>480</v>
      </c>
      <c r="BO198" s="621">
        <v>78</v>
      </c>
      <c r="BP198" s="621">
        <v>88</v>
      </c>
      <c r="BQ198" s="621">
        <v>86</v>
      </c>
    </row>
    <row r="199" spans="1:69">
      <c r="A199" s="888">
        <v>407</v>
      </c>
      <c r="B199" s="889" t="s">
        <v>519</v>
      </c>
      <c r="C199" s="890" t="s">
        <v>211</v>
      </c>
      <c r="D199" s="621">
        <v>73996953</v>
      </c>
      <c r="E199" s="621">
        <v>68210074</v>
      </c>
      <c r="F199" s="621">
        <v>66183947</v>
      </c>
      <c r="G199" s="621">
        <v>60435841</v>
      </c>
      <c r="H199" s="648">
        <v>852</v>
      </c>
      <c r="I199" s="648">
        <v>848.2</v>
      </c>
      <c r="J199" s="649">
        <v>489</v>
      </c>
      <c r="K199" s="621">
        <v>7002449</v>
      </c>
      <c r="L199" s="484">
        <v>846.5</v>
      </c>
      <c r="M199" s="648">
        <v>852</v>
      </c>
      <c r="N199" s="649">
        <v>848.2</v>
      </c>
      <c r="O199" s="648">
        <v>804.7</v>
      </c>
      <c r="P199" s="621">
        <v>857054</v>
      </c>
      <c r="Q199" s="621">
        <v>834527</v>
      </c>
      <c r="R199" s="621">
        <v>879616</v>
      </c>
      <c r="S199" s="621">
        <v>833131</v>
      </c>
      <c r="T199" s="621">
        <v>6173</v>
      </c>
      <c r="U199" s="621">
        <v>0</v>
      </c>
      <c r="V199" s="621"/>
      <c r="W199" s="650">
        <v>0.32</v>
      </c>
      <c r="X199" s="621">
        <v>335</v>
      </c>
      <c r="Y199" s="621">
        <v>108</v>
      </c>
      <c r="Z199" s="650">
        <v>0.31</v>
      </c>
      <c r="AA199" s="650">
        <v>0</v>
      </c>
      <c r="AB199" s="651">
        <v>0.39829999999999999</v>
      </c>
      <c r="AC199" s="621">
        <v>921475</v>
      </c>
      <c r="AD199" s="621">
        <v>894875</v>
      </c>
      <c r="AE199" s="621">
        <v>894875</v>
      </c>
      <c r="AF199" s="484">
        <v>846.5</v>
      </c>
      <c r="AG199" s="649">
        <v>852</v>
      </c>
      <c r="AH199" s="891">
        <v>848.2</v>
      </c>
      <c r="AI199" s="649">
        <v>804.7</v>
      </c>
      <c r="AJ199" s="652">
        <v>0</v>
      </c>
      <c r="AK199" s="621"/>
      <c r="AL199" s="621"/>
      <c r="AM199" s="621">
        <v>4</v>
      </c>
      <c r="AN199" s="621">
        <v>0</v>
      </c>
      <c r="AO199" s="649">
        <v>800.2</v>
      </c>
      <c r="AP199" s="649"/>
      <c r="AQ199" s="892">
        <v>0</v>
      </c>
      <c r="AR199" s="652"/>
      <c r="AS199" s="648"/>
      <c r="AT199" s="649">
        <v>0</v>
      </c>
      <c r="AU199" s="653">
        <v>0</v>
      </c>
      <c r="AV199" s="621">
        <v>6052987</v>
      </c>
      <c r="AW199" s="621">
        <v>139369</v>
      </c>
      <c r="AX199" s="621">
        <v>114377</v>
      </c>
      <c r="AY199" s="621">
        <v>844796</v>
      </c>
      <c r="AZ199" s="621"/>
      <c r="BA199" s="428">
        <v>1</v>
      </c>
      <c r="BB199" s="621">
        <v>0</v>
      </c>
      <c r="BC199" s="621">
        <v>0</v>
      </c>
      <c r="BE199" s="621">
        <v>6159089</v>
      </c>
      <c r="BF199" s="621">
        <v>321</v>
      </c>
      <c r="BG199" s="621">
        <v>1485</v>
      </c>
      <c r="BH199" s="4604">
        <v>33</v>
      </c>
      <c r="BI199" s="621">
        <v>72724492</v>
      </c>
      <c r="BJ199" s="621">
        <v>64986777</v>
      </c>
      <c r="BK199" s="621">
        <v>0</v>
      </c>
      <c r="BL199" s="4605">
        <v>355</v>
      </c>
      <c r="BM199" s="621">
        <v>379</v>
      </c>
      <c r="BN199" s="621">
        <v>373</v>
      </c>
      <c r="BO199" s="621">
        <v>110</v>
      </c>
      <c r="BP199" s="621">
        <v>97</v>
      </c>
      <c r="BQ199" s="621">
        <v>118</v>
      </c>
    </row>
    <row r="200" spans="1:69">
      <c r="A200" s="888">
        <v>408</v>
      </c>
      <c r="B200" s="889" t="s">
        <v>520</v>
      </c>
      <c r="C200" s="890" t="s">
        <v>210</v>
      </c>
      <c r="D200" s="621">
        <v>37001995</v>
      </c>
      <c r="E200" s="621">
        <v>33054471</v>
      </c>
      <c r="F200" s="621">
        <v>37253242</v>
      </c>
      <c r="G200" s="621">
        <v>33301507</v>
      </c>
      <c r="H200" s="648">
        <v>488</v>
      </c>
      <c r="I200" s="648">
        <v>480.5</v>
      </c>
      <c r="J200" s="649">
        <v>237</v>
      </c>
      <c r="K200" s="621">
        <v>4564117</v>
      </c>
      <c r="L200" s="484">
        <v>501</v>
      </c>
      <c r="M200" s="648">
        <v>493</v>
      </c>
      <c r="N200" s="649">
        <v>486.6</v>
      </c>
      <c r="O200" s="648">
        <v>470.1</v>
      </c>
      <c r="P200" s="621">
        <v>731445</v>
      </c>
      <c r="Q200" s="621">
        <v>731579</v>
      </c>
      <c r="R200" s="621">
        <v>646695</v>
      </c>
      <c r="S200" s="621">
        <v>733262</v>
      </c>
      <c r="T200" s="621">
        <v>13190</v>
      </c>
      <c r="U200" s="621">
        <v>0</v>
      </c>
      <c r="V200" s="621"/>
      <c r="W200" s="650">
        <v>0.35</v>
      </c>
      <c r="X200" s="621">
        <v>162</v>
      </c>
      <c r="Y200" s="621">
        <v>44</v>
      </c>
      <c r="Z200" s="650">
        <v>0.34</v>
      </c>
      <c r="AA200" s="650">
        <v>0</v>
      </c>
      <c r="AB200" s="651">
        <v>0.45760000000000001</v>
      </c>
      <c r="AC200" s="621">
        <v>505520</v>
      </c>
      <c r="AD200" s="621">
        <v>505903</v>
      </c>
      <c r="AE200" s="621">
        <v>505903</v>
      </c>
      <c r="AF200" s="484">
        <v>501</v>
      </c>
      <c r="AG200" s="649">
        <v>488</v>
      </c>
      <c r="AH200" s="891">
        <v>480.5</v>
      </c>
      <c r="AI200" s="649">
        <v>461.5</v>
      </c>
      <c r="AJ200" s="652">
        <v>0</v>
      </c>
      <c r="AK200" s="621"/>
      <c r="AL200" s="621"/>
      <c r="AM200" s="621">
        <v>5</v>
      </c>
      <c r="AN200" s="621">
        <v>0</v>
      </c>
      <c r="AO200" s="649">
        <v>460</v>
      </c>
      <c r="AP200" s="649"/>
      <c r="AQ200" s="892">
        <v>0</v>
      </c>
      <c r="AR200" s="652"/>
      <c r="AS200" s="648"/>
      <c r="AT200" s="649">
        <v>0</v>
      </c>
      <c r="AU200" s="653">
        <v>0</v>
      </c>
      <c r="AV200" s="621">
        <v>3735566</v>
      </c>
      <c r="AW200" s="621">
        <v>104813</v>
      </c>
      <c r="AX200" s="621">
        <v>97189</v>
      </c>
      <c r="AY200" s="621">
        <v>638719</v>
      </c>
      <c r="AZ200" s="621"/>
      <c r="BA200" s="428">
        <v>1</v>
      </c>
      <c r="BB200" s="621">
        <v>0</v>
      </c>
      <c r="BC200" s="621">
        <v>0</v>
      </c>
      <c r="BE200" s="621">
        <v>3832371</v>
      </c>
      <c r="BF200" s="621">
        <v>3451</v>
      </c>
      <c r="BG200" s="621">
        <v>4612</v>
      </c>
      <c r="BH200" s="4604">
        <v>31</v>
      </c>
      <c r="BI200" s="621">
        <v>36407107</v>
      </c>
      <c r="BJ200" s="621">
        <v>36823351</v>
      </c>
      <c r="BK200" s="621">
        <v>0</v>
      </c>
      <c r="BL200" s="4605">
        <v>161</v>
      </c>
      <c r="BM200" s="621">
        <v>157</v>
      </c>
      <c r="BN200" s="621">
        <v>148</v>
      </c>
      <c r="BO200" s="621">
        <v>64</v>
      </c>
      <c r="BP200" s="621">
        <v>75</v>
      </c>
      <c r="BQ200" s="621">
        <v>65</v>
      </c>
    </row>
    <row r="201" spans="1:69">
      <c r="A201" s="888">
        <v>409</v>
      </c>
      <c r="B201" s="889" t="s">
        <v>521</v>
      </c>
      <c r="C201" s="890" t="s">
        <v>199</v>
      </c>
      <c r="D201" s="621">
        <v>95151865</v>
      </c>
      <c r="E201" s="621">
        <v>85814892</v>
      </c>
      <c r="F201" s="621">
        <v>96976870</v>
      </c>
      <c r="G201" s="621">
        <v>87641327</v>
      </c>
      <c r="H201" s="648">
        <v>1632.7</v>
      </c>
      <c r="I201" s="648">
        <v>1670.7</v>
      </c>
      <c r="J201" s="649">
        <v>52.7</v>
      </c>
      <c r="K201" s="621">
        <v>12339498</v>
      </c>
      <c r="L201" s="484">
        <v>1688.8</v>
      </c>
      <c r="M201" s="648">
        <v>1650.2</v>
      </c>
      <c r="N201" s="649">
        <v>1683.7</v>
      </c>
      <c r="O201" s="648">
        <v>1584.1</v>
      </c>
      <c r="P201" s="621">
        <v>2268820</v>
      </c>
      <c r="Q201" s="621">
        <v>2152050</v>
      </c>
      <c r="R201" s="621">
        <v>2279270</v>
      </c>
      <c r="S201" s="621">
        <v>1734681</v>
      </c>
      <c r="T201" s="621">
        <v>0</v>
      </c>
      <c r="U201" s="621">
        <v>0</v>
      </c>
      <c r="V201" s="621"/>
      <c r="W201" s="650">
        <v>0.55000000000000004</v>
      </c>
      <c r="X201" s="621">
        <v>764</v>
      </c>
      <c r="Y201" s="621">
        <v>172</v>
      </c>
      <c r="Z201" s="650">
        <v>0.54</v>
      </c>
      <c r="AA201" s="650">
        <v>0.18</v>
      </c>
      <c r="AB201" s="651">
        <v>0.60289999999999999</v>
      </c>
      <c r="AC201" s="621">
        <v>1806837</v>
      </c>
      <c r="AD201" s="621">
        <v>1715613</v>
      </c>
      <c r="AE201" s="621">
        <v>1715613</v>
      </c>
      <c r="AF201" s="484">
        <v>1688.8</v>
      </c>
      <c r="AG201" s="649">
        <v>1650.2</v>
      </c>
      <c r="AH201" s="891">
        <v>1683.7</v>
      </c>
      <c r="AI201" s="649">
        <v>1584.1</v>
      </c>
      <c r="AJ201" s="652">
        <v>0</v>
      </c>
      <c r="AK201" s="621"/>
      <c r="AL201" s="621"/>
      <c r="AM201" s="621">
        <v>6</v>
      </c>
      <c r="AN201" s="621">
        <v>0</v>
      </c>
      <c r="AO201" s="649">
        <v>1576.1</v>
      </c>
      <c r="AP201" s="649"/>
      <c r="AQ201" s="892">
        <v>0</v>
      </c>
      <c r="AR201" s="652"/>
      <c r="AS201" s="648"/>
      <c r="AT201" s="649">
        <v>0</v>
      </c>
      <c r="AU201" s="653">
        <v>0</v>
      </c>
      <c r="AV201" s="621">
        <v>10251790</v>
      </c>
      <c r="AW201" s="621">
        <v>239995</v>
      </c>
      <c r="AX201" s="621">
        <v>253934</v>
      </c>
      <c r="AY201" s="621">
        <v>2309801</v>
      </c>
      <c r="AZ201" s="621"/>
      <c r="BA201" s="428">
        <v>1</v>
      </c>
      <c r="BB201" s="621">
        <v>0</v>
      </c>
      <c r="BC201" s="621">
        <v>0</v>
      </c>
      <c r="BE201" s="621">
        <v>10187448</v>
      </c>
      <c r="BF201" s="621">
        <v>2017</v>
      </c>
      <c r="BG201" s="621">
        <v>2062</v>
      </c>
      <c r="BH201" s="4604">
        <v>31</v>
      </c>
      <c r="BI201" s="621">
        <v>88887072</v>
      </c>
      <c r="BJ201" s="621">
        <v>92358371</v>
      </c>
      <c r="BK201" s="621">
        <v>0</v>
      </c>
      <c r="BL201" s="4605">
        <v>945</v>
      </c>
      <c r="BM201" s="621">
        <v>907</v>
      </c>
      <c r="BN201" s="621">
        <v>862</v>
      </c>
      <c r="BO201" s="621">
        <v>173</v>
      </c>
      <c r="BP201" s="621">
        <v>196</v>
      </c>
      <c r="BQ201" s="621">
        <v>187</v>
      </c>
    </row>
    <row r="202" spans="1:69">
      <c r="A202" s="888">
        <v>410</v>
      </c>
      <c r="B202" s="889" t="s">
        <v>1343</v>
      </c>
      <c r="C202" s="890" t="s">
        <v>210</v>
      </c>
      <c r="D202" s="621">
        <v>42921574</v>
      </c>
      <c r="E202" s="621">
        <v>39272082</v>
      </c>
      <c r="F202" s="621">
        <v>42921744</v>
      </c>
      <c r="G202" s="621">
        <v>39278255</v>
      </c>
      <c r="H202" s="648">
        <v>581</v>
      </c>
      <c r="I202" s="648">
        <v>558.6</v>
      </c>
      <c r="J202" s="649">
        <v>231.8</v>
      </c>
      <c r="K202" s="621">
        <v>5235287</v>
      </c>
      <c r="L202" s="484">
        <v>572</v>
      </c>
      <c r="M202" s="648">
        <v>591.29999999999995</v>
      </c>
      <c r="N202" s="649">
        <v>571.29999999999995</v>
      </c>
      <c r="O202" s="648">
        <v>567.1</v>
      </c>
      <c r="P202" s="621">
        <v>872549</v>
      </c>
      <c r="Q202" s="621">
        <v>860557</v>
      </c>
      <c r="R202" s="621">
        <v>810094</v>
      </c>
      <c r="S202" s="621">
        <v>785523</v>
      </c>
      <c r="T202" s="621">
        <v>0</v>
      </c>
      <c r="U202" s="621">
        <v>0</v>
      </c>
      <c r="V202" s="621"/>
      <c r="W202" s="650">
        <v>0.39</v>
      </c>
      <c r="X202" s="621">
        <v>128</v>
      </c>
      <c r="Y202" s="621">
        <v>92</v>
      </c>
      <c r="Z202" s="650">
        <v>0.38</v>
      </c>
      <c r="AA202" s="650">
        <v>0.02</v>
      </c>
      <c r="AB202" s="651">
        <v>0.4733</v>
      </c>
      <c r="AC202" s="621">
        <v>560724</v>
      </c>
      <c r="AD202" s="621">
        <v>526823</v>
      </c>
      <c r="AE202" s="621">
        <v>526823</v>
      </c>
      <c r="AF202" s="484">
        <v>572</v>
      </c>
      <c r="AG202" s="649">
        <v>583.5</v>
      </c>
      <c r="AH202" s="891">
        <v>561.6</v>
      </c>
      <c r="AI202" s="649">
        <v>552</v>
      </c>
      <c r="AJ202" s="652">
        <v>0</v>
      </c>
      <c r="AK202" s="621"/>
      <c r="AL202" s="621"/>
      <c r="AM202" s="621">
        <v>0</v>
      </c>
      <c r="AN202" s="621">
        <v>0</v>
      </c>
      <c r="AO202" s="649">
        <v>546.5</v>
      </c>
      <c r="AP202" s="649"/>
      <c r="AQ202" s="892">
        <v>0</v>
      </c>
      <c r="AR202" s="652"/>
      <c r="AS202" s="648"/>
      <c r="AT202" s="649">
        <v>0</v>
      </c>
      <c r="AU202" s="653">
        <v>0</v>
      </c>
      <c r="AV202" s="621">
        <v>4256150</v>
      </c>
      <c r="AW202" s="621">
        <v>123892</v>
      </c>
      <c r="AX202" s="621">
        <v>118104</v>
      </c>
      <c r="AY202" s="621">
        <v>786424</v>
      </c>
      <c r="AZ202" s="621"/>
      <c r="BA202" s="428">
        <v>1</v>
      </c>
      <c r="BB202" s="621">
        <v>93854</v>
      </c>
      <c r="BC202" s="621">
        <v>93854</v>
      </c>
      <c r="BE202" s="621">
        <v>4374604</v>
      </c>
      <c r="BF202" s="621">
        <v>6636</v>
      </c>
      <c r="BG202" s="621">
        <v>4211</v>
      </c>
      <c r="BH202" s="4604">
        <v>33</v>
      </c>
      <c r="BI202" s="621">
        <v>41855486</v>
      </c>
      <c r="BJ202" s="621">
        <v>42190613</v>
      </c>
      <c r="BK202" s="621">
        <v>93854</v>
      </c>
      <c r="BL202" s="4605">
        <v>154</v>
      </c>
      <c r="BM202" s="621">
        <v>158</v>
      </c>
      <c r="BN202" s="621">
        <v>149</v>
      </c>
      <c r="BO202" s="621">
        <v>93</v>
      </c>
      <c r="BP202" s="621">
        <v>90</v>
      </c>
      <c r="BQ202" s="621">
        <v>90</v>
      </c>
    </row>
    <row r="203" spans="1:69">
      <c r="A203" s="888">
        <v>411</v>
      </c>
      <c r="B203" s="889" t="s">
        <v>522</v>
      </c>
      <c r="C203" s="890" t="s">
        <v>210</v>
      </c>
      <c r="D203" s="621">
        <v>16353276</v>
      </c>
      <c r="E203" s="621">
        <v>14952316</v>
      </c>
      <c r="F203" s="621">
        <v>16576712</v>
      </c>
      <c r="G203" s="621">
        <v>15172193</v>
      </c>
      <c r="H203" s="648">
        <v>301.5</v>
      </c>
      <c r="I203" s="648">
        <v>283.3</v>
      </c>
      <c r="J203" s="649">
        <v>111.2</v>
      </c>
      <c r="K203" s="621">
        <v>2740486</v>
      </c>
      <c r="L203" s="484">
        <v>294.10000000000002</v>
      </c>
      <c r="M203" s="648">
        <v>304.5</v>
      </c>
      <c r="N203" s="649">
        <v>286.3</v>
      </c>
      <c r="O203" s="648">
        <v>283.5</v>
      </c>
      <c r="P203" s="621">
        <v>448242</v>
      </c>
      <c r="Q203" s="621">
        <v>424950</v>
      </c>
      <c r="R203" s="621">
        <v>548631</v>
      </c>
      <c r="S203" s="621">
        <v>323216</v>
      </c>
      <c r="T203" s="621">
        <v>0</v>
      </c>
      <c r="U203" s="621">
        <v>0</v>
      </c>
      <c r="V203" s="621"/>
      <c r="W203" s="650">
        <v>0.56000000000000005</v>
      </c>
      <c r="X203" s="621">
        <v>40</v>
      </c>
      <c r="Y203" s="621">
        <v>38</v>
      </c>
      <c r="Z203" s="650">
        <v>0.55000000000000004</v>
      </c>
      <c r="AA203" s="650">
        <v>0.19</v>
      </c>
      <c r="AB203" s="651">
        <v>0.60150000000000003</v>
      </c>
      <c r="AC203" s="621">
        <v>284492</v>
      </c>
      <c r="AD203" s="621">
        <v>269972</v>
      </c>
      <c r="AE203" s="621">
        <v>269972</v>
      </c>
      <c r="AF203" s="484">
        <v>294.10000000000002</v>
      </c>
      <c r="AG203" s="649">
        <v>304.5</v>
      </c>
      <c r="AH203" s="891">
        <v>286.3</v>
      </c>
      <c r="AI203" s="649">
        <v>283.5</v>
      </c>
      <c r="AJ203" s="652">
        <v>0</v>
      </c>
      <c r="AK203" s="621"/>
      <c r="AL203" s="621"/>
      <c r="AM203" s="621">
        <v>0</v>
      </c>
      <c r="AN203" s="621">
        <v>0</v>
      </c>
      <c r="AO203" s="649">
        <v>279</v>
      </c>
      <c r="AP203" s="649"/>
      <c r="AQ203" s="892">
        <v>0</v>
      </c>
      <c r="AR203" s="652"/>
      <c r="AS203" s="648"/>
      <c r="AT203" s="649">
        <v>0</v>
      </c>
      <c r="AU203" s="653">
        <v>0</v>
      </c>
      <c r="AV203" s="621">
        <v>2276869</v>
      </c>
      <c r="AW203" s="621">
        <v>62793</v>
      </c>
      <c r="AX203" s="621">
        <v>67773</v>
      </c>
      <c r="AY203" s="621">
        <v>537089</v>
      </c>
      <c r="AZ203" s="621"/>
      <c r="BA203" s="428">
        <v>1</v>
      </c>
      <c r="BB203" s="621">
        <v>0</v>
      </c>
      <c r="BC203" s="621">
        <v>0</v>
      </c>
      <c r="BE203" s="621">
        <v>2315520</v>
      </c>
      <c r="BF203" s="621">
        <v>1709</v>
      </c>
      <c r="BG203" s="621">
        <v>0</v>
      </c>
      <c r="BH203" s="4604">
        <v>33</v>
      </c>
      <c r="BI203" s="621">
        <v>16018596</v>
      </c>
      <c r="BJ203" s="621">
        <v>16297780</v>
      </c>
      <c r="BK203" s="621">
        <v>0</v>
      </c>
      <c r="BL203" s="4605">
        <v>63</v>
      </c>
      <c r="BM203" s="621">
        <v>63</v>
      </c>
      <c r="BN203" s="621">
        <v>47</v>
      </c>
      <c r="BO203" s="621">
        <v>41</v>
      </c>
      <c r="BP203" s="621">
        <v>44</v>
      </c>
      <c r="BQ203" s="621">
        <v>32</v>
      </c>
    </row>
    <row r="204" spans="1:69">
      <c r="A204" s="888">
        <v>412</v>
      </c>
      <c r="B204" s="889" t="s">
        <v>523</v>
      </c>
      <c r="C204" s="890" t="s">
        <v>215</v>
      </c>
      <c r="D204" s="621">
        <v>60730845</v>
      </c>
      <c r="E204" s="621">
        <v>58410164</v>
      </c>
      <c r="F204" s="621">
        <v>61250153</v>
      </c>
      <c r="G204" s="621">
        <v>58917740</v>
      </c>
      <c r="H204" s="648">
        <v>403.3</v>
      </c>
      <c r="I204" s="648">
        <v>408.4</v>
      </c>
      <c r="J204" s="649">
        <v>674</v>
      </c>
      <c r="K204" s="621">
        <v>3500311</v>
      </c>
      <c r="L204" s="484">
        <v>400.5</v>
      </c>
      <c r="M204" s="648">
        <v>403.3</v>
      </c>
      <c r="N204" s="649">
        <v>408.4</v>
      </c>
      <c r="O204" s="648">
        <v>422.5</v>
      </c>
      <c r="P204" s="621">
        <v>312654</v>
      </c>
      <c r="Q204" s="621">
        <v>358089</v>
      </c>
      <c r="R204" s="621">
        <v>19130</v>
      </c>
      <c r="S204" s="621">
        <v>373688</v>
      </c>
      <c r="T204" s="621">
        <v>0</v>
      </c>
      <c r="U204" s="621">
        <v>0</v>
      </c>
      <c r="V204" s="621"/>
      <c r="W204" s="650">
        <v>0</v>
      </c>
      <c r="X204" s="621">
        <v>102</v>
      </c>
      <c r="Y204" s="621">
        <v>47</v>
      </c>
      <c r="Z204" s="650">
        <v>0</v>
      </c>
      <c r="AA204" s="650">
        <v>0</v>
      </c>
      <c r="AB204" s="651">
        <v>0</v>
      </c>
      <c r="AC204" s="621">
        <v>366606</v>
      </c>
      <c r="AD204" s="621">
        <v>365094</v>
      </c>
      <c r="AE204" s="621">
        <v>365094</v>
      </c>
      <c r="AF204" s="484">
        <v>400.5</v>
      </c>
      <c r="AG204" s="649">
        <v>403.3</v>
      </c>
      <c r="AH204" s="891">
        <v>408.4</v>
      </c>
      <c r="AI204" s="649">
        <v>422.5</v>
      </c>
      <c r="AJ204" s="652">
        <v>0</v>
      </c>
      <c r="AK204" s="621"/>
      <c r="AL204" s="621"/>
      <c r="AM204" s="621">
        <v>0</v>
      </c>
      <c r="AN204" s="621">
        <v>0</v>
      </c>
      <c r="AO204" s="649">
        <v>422.5</v>
      </c>
      <c r="AP204" s="649"/>
      <c r="AQ204" s="892">
        <v>0</v>
      </c>
      <c r="AR204" s="652"/>
      <c r="AS204" s="648"/>
      <c r="AT204" s="649">
        <v>0</v>
      </c>
      <c r="AU204" s="653">
        <v>0</v>
      </c>
      <c r="AV204" s="621">
        <v>2961505</v>
      </c>
      <c r="AW204" s="621">
        <v>0</v>
      </c>
      <c r="AX204" s="621">
        <v>0</v>
      </c>
      <c r="AY204" s="621">
        <v>48594</v>
      </c>
      <c r="AZ204" s="621"/>
      <c r="BA204" s="428">
        <v>1</v>
      </c>
      <c r="BB204" s="621">
        <v>0</v>
      </c>
      <c r="BC204" s="621">
        <v>0</v>
      </c>
      <c r="BE204" s="621">
        <v>3136721</v>
      </c>
      <c r="BF204" s="621">
        <v>717</v>
      </c>
      <c r="BG204" s="621">
        <v>2071</v>
      </c>
      <c r="BH204" s="4604">
        <v>31</v>
      </c>
      <c r="BI204" s="621">
        <v>58887950</v>
      </c>
      <c r="BJ204" s="621">
        <v>59645917</v>
      </c>
      <c r="BK204" s="621">
        <v>0</v>
      </c>
      <c r="BL204" s="4605">
        <v>85</v>
      </c>
      <c r="BM204" s="621">
        <v>70</v>
      </c>
      <c r="BN204" s="621">
        <v>94</v>
      </c>
      <c r="BO204" s="621">
        <v>52</v>
      </c>
      <c r="BP204" s="621">
        <v>69</v>
      </c>
      <c r="BQ204" s="621">
        <v>52</v>
      </c>
    </row>
    <row r="205" spans="1:69">
      <c r="A205" s="888">
        <v>413</v>
      </c>
      <c r="B205" s="889" t="s">
        <v>524</v>
      </c>
      <c r="C205" s="890" t="s">
        <v>127</v>
      </c>
      <c r="D205" s="621">
        <v>87849464</v>
      </c>
      <c r="E205" s="621">
        <v>78081741</v>
      </c>
      <c r="F205" s="621">
        <v>87205325</v>
      </c>
      <c r="G205" s="621">
        <v>77474018</v>
      </c>
      <c r="H205" s="648">
        <v>1822.5</v>
      </c>
      <c r="I205" s="648">
        <v>1804.1</v>
      </c>
      <c r="J205" s="649">
        <v>125</v>
      </c>
      <c r="K205" s="621">
        <v>14040323</v>
      </c>
      <c r="L205" s="484">
        <v>1828</v>
      </c>
      <c r="M205" s="648">
        <v>1844.3</v>
      </c>
      <c r="N205" s="649">
        <v>1821.6</v>
      </c>
      <c r="O205" s="648">
        <v>1706.4</v>
      </c>
      <c r="P205" s="621">
        <v>2315547</v>
      </c>
      <c r="Q205" s="621">
        <v>2359584</v>
      </c>
      <c r="R205" s="621">
        <v>3001483</v>
      </c>
      <c r="S205" s="621">
        <v>2137449</v>
      </c>
      <c r="T205" s="621">
        <v>6666</v>
      </c>
      <c r="U205" s="621">
        <v>0</v>
      </c>
      <c r="V205" s="621"/>
      <c r="W205" s="650">
        <v>0.64</v>
      </c>
      <c r="X205" s="621">
        <v>834</v>
      </c>
      <c r="Y205" s="621">
        <v>161</v>
      </c>
      <c r="Z205" s="650">
        <v>0.63</v>
      </c>
      <c r="AA205" s="650">
        <v>0.27</v>
      </c>
      <c r="AB205" s="651">
        <v>0.65349999999999997</v>
      </c>
      <c r="AC205" s="621">
        <v>1538929</v>
      </c>
      <c r="AD205" s="621">
        <v>1505543</v>
      </c>
      <c r="AE205" s="621">
        <v>1505543</v>
      </c>
      <c r="AF205" s="484">
        <v>1828</v>
      </c>
      <c r="AG205" s="649">
        <v>1842.5</v>
      </c>
      <c r="AH205" s="891">
        <v>1821.6</v>
      </c>
      <c r="AI205" s="649">
        <v>1675.5</v>
      </c>
      <c r="AJ205" s="652">
        <v>0</v>
      </c>
      <c r="AK205" s="621"/>
      <c r="AL205" s="621"/>
      <c r="AM205" s="621">
        <v>20</v>
      </c>
      <c r="AN205" s="621">
        <v>0</v>
      </c>
      <c r="AO205" s="649">
        <v>1663.5</v>
      </c>
      <c r="AP205" s="649"/>
      <c r="AQ205" s="892">
        <v>0</v>
      </c>
      <c r="AR205" s="652"/>
      <c r="AS205" s="648"/>
      <c r="AT205" s="649">
        <v>0</v>
      </c>
      <c r="AU205" s="653">
        <v>0</v>
      </c>
      <c r="AV205" s="621">
        <v>11508787</v>
      </c>
      <c r="AW205" s="621">
        <v>206650</v>
      </c>
      <c r="AX205" s="621">
        <v>411705</v>
      </c>
      <c r="AY205" s="621">
        <v>2654374</v>
      </c>
      <c r="AZ205" s="621"/>
      <c r="BA205" s="428">
        <v>1</v>
      </c>
      <c r="BB205" s="621">
        <v>0</v>
      </c>
      <c r="BC205" s="621">
        <v>0</v>
      </c>
      <c r="BE205" s="621">
        <v>11680719</v>
      </c>
      <c r="BF205" s="621">
        <v>22025</v>
      </c>
      <c r="BG205" s="621">
        <v>33234</v>
      </c>
      <c r="BH205" s="4604">
        <v>33</v>
      </c>
      <c r="BI205" s="621">
        <v>86039361</v>
      </c>
      <c r="BJ205" s="621">
        <v>84397535</v>
      </c>
      <c r="BK205" s="621">
        <v>0</v>
      </c>
      <c r="BL205" s="4605">
        <v>943</v>
      </c>
      <c r="BM205" s="621">
        <v>956</v>
      </c>
      <c r="BN205" s="621">
        <v>913</v>
      </c>
      <c r="BO205" s="621">
        <v>168</v>
      </c>
      <c r="BP205" s="621">
        <v>194</v>
      </c>
      <c r="BQ205" s="621">
        <v>223</v>
      </c>
    </row>
    <row r="206" spans="1:69">
      <c r="A206" s="888">
        <v>415</v>
      </c>
      <c r="B206" s="889" t="s">
        <v>525</v>
      </c>
      <c r="C206" s="890" t="s">
        <v>216</v>
      </c>
      <c r="D206" s="621">
        <v>128972651</v>
      </c>
      <c r="E206" s="621">
        <v>123560901</v>
      </c>
      <c r="F206" s="621">
        <v>133942888</v>
      </c>
      <c r="G206" s="621">
        <v>128536341</v>
      </c>
      <c r="H206" s="648">
        <v>950.7</v>
      </c>
      <c r="I206" s="648">
        <v>958.8</v>
      </c>
      <c r="J206" s="649">
        <v>331</v>
      </c>
      <c r="K206" s="621">
        <v>7811297</v>
      </c>
      <c r="L206" s="484">
        <v>912</v>
      </c>
      <c r="M206" s="648">
        <v>961</v>
      </c>
      <c r="N206" s="649">
        <v>962.8</v>
      </c>
      <c r="O206" s="648">
        <v>937.9</v>
      </c>
      <c r="P206" s="621">
        <v>1020876</v>
      </c>
      <c r="Q206" s="621">
        <v>1038678</v>
      </c>
      <c r="R206" s="621">
        <v>107486</v>
      </c>
      <c r="S206" s="621">
        <v>976775</v>
      </c>
      <c r="T206" s="621">
        <v>14732</v>
      </c>
      <c r="U206" s="621">
        <v>0</v>
      </c>
      <c r="V206" s="621"/>
      <c r="W206" s="650">
        <v>0</v>
      </c>
      <c r="X206" s="621">
        <v>363</v>
      </c>
      <c r="Y206" s="621">
        <v>93</v>
      </c>
      <c r="Z206" s="650">
        <v>0</v>
      </c>
      <c r="AA206" s="650">
        <v>0</v>
      </c>
      <c r="AB206" s="651">
        <v>3.0200000000000001E-2</v>
      </c>
      <c r="AC206" s="621">
        <v>864926</v>
      </c>
      <c r="AD206" s="621">
        <v>824148</v>
      </c>
      <c r="AE206" s="621">
        <v>824148</v>
      </c>
      <c r="AF206" s="484">
        <v>912</v>
      </c>
      <c r="AG206" s="649">
        <v>958.2</v>
      </c>
      <c r="AH206" s="891">
        <v>961.3</v>
      </c>
      <c r="AI206" s="649">
        <v>936.1</v>
      </c>
      <c r="AJ206" s="652">
        <v>0</v>
      </c>
      <c r="AK206" s="621"/>
      <c r="AL206" s="621"/>
      <c r="AM206" s="621">
        <v>3</v>
      </c>
      <c r="AN206" s="621">
        <v>0</v>
      </c>
      <c r="AO206" s="649">
        <v>931.6</v>
      </c>
      <c r="AP206" s="649"/>
      <c r="AQ206" s="892">
        <v>0</v>
      </c>
      <c r="AR206" s="652"/>
      <c r="AS206" s="648"/>
      <c r="AT206" s="649">
        <v>0</v>
      </c>
      <c r="AU206" s="653">
        <v>0</v>
      </c>
      <c r="AV206" s="621">
        <v>6691158</v>
      </c>
      <c r="AW206" s="621">
        <v>0</v>
      </c>
      <c r="AX206" s="621">
        <v>0</v>
      </c>
      <c r="AY206" s="621">
        <v>88971</v>
      </c>
      <c r="AZ206" s="621"/>
      <c r="BA206" s="428">
        <v>1</v>
      </c>
      <c r="BB206" s="621">
        <v>0</v>
      </c>
      <c r="BC206" s="621">
        <v>0</v>
      </c>
      <c r="BE206" s="621">
        <v>6772619</v>
      </c>
      <c r="BF206" s="621">
        <v>0</v>
      </c>
      <c r="BG206" s="621">
        <v>0</v>
      </c>
      <c r="BH206" s="4604">
        <v>31</v>
      </c>
      <c r="BI206" s="621">
        <v>127432221</v>
      </c>
      <c r="BJ206" s="621">
        <v>132811209</v>
      </c>
      <c r="BK206" s="621">
        <v>0</v>
      </c>
      <c r="BL206" s="4605">
        <v>383</v>
      </c>
      <c r="BM206" s="621">
        <v>394</v>
      </c>
      <c r="BN206" s="621">
        <v>406</v>
      </c>
      <c r="BO206" s="621">
        <v>97</v>
      </c>
      <c r="BP206" s="621">
        <v>104</v>
      </c>
      <c r="BQ206" s="621">
        <v>85</v>
      </c>
    </row>
    <row r="207" spans="1:69">
      <c r="A207" s="888">
        <v>416</v>
      </c>
      <c r="B207" s="889" t="s">
        <v>526</v>
      </c>
      <c r="C207" s="890" t="s">
        <v>195</v>
      </c>
      <c r="D207" s="621">
        <v>140340634</v>
      </c>
      <c r="E207" s="621">
        <v>132231705</v>
      </c>
      <c r="F207" s="621">
        <v>149597701</v>
      </c>
      <c r="G207" s="621">
        <v>141391475</v>
      </c>
      <c r="H207" s="648">
        <v>1681.8</v>
      </c>
      <c r="I207" s="648">
        <v>1701.4</v>
      </c>
      <c r="J207" s="649">
        <v>156</v>
      </c>
      <c r="K207" s="621">
        <v>11271575</v>
      </c>
      <c r="L207" s="484">
        <v>1688.5</v>
      </c>
      <c r="M207" s="648">
        <v>1698.5</v>
      </c>
      <c r="N207" s="649">
        <v>1719.3</v>
      </c>
      <c r="O207" s="648">
        <v>1631</v>
      </c>
      <c r="P207" s="621">
        <v>1423959</v>
      </c>
      <c r="Q207" s="621">
        <v>1496663</v>
      </c>
      <c r="R207" s="621">
        <v>1540811</v>
      </c>
      <c r="S207" s="621">
        <v>1237349</v>
      </c>
      <c r="T207" s="621">
        <v>2206</v>
      </c>
      <c r="U207" s="621">
        <v>0</v>
      </c>
      <c r="V207" s="621"/>
      <c r="W207" s="650">
        <v>0.2</v>
      </c>
      <c r="X207" s="621">
        <v>175</v>
      </c>
      <c r="Y207" s="621">
        <v>99</v>
      </c>
      <c r="Z207" s="650">
        <v>0.2</v>
      </c>
      <c r="AA207" s="650">
        <v>0</v>
      </c>
      <c r="AB207" s="651">
        <v>0.3947</v>
      </c>
      <c r="AC207" s="621">
        <v>1252347</v>
      </c>
      <c r="AD207" s="621">
        <v>1194146</v>
      </c>
      <c r="AE207" s="621">
        <v>1194146</v>
      </c>
      <c r="AF207" s="484">
        <v>1688.5</v>
      </c>
      <c r="AG207" s="649">
        <v>1681.8</v>
      </c>
      <c r="AH207" s="891">
        <v>1704.9</v>
      </c>
      <c r="AI207" s="649">
        <v>1528.9</v>
      </c>
      <c r="AJ207" s="652">
        <v>1.35E-2</v>
      </c>
      <c r="AK207" s="621"/>
      <c r="AL207" s="621"/>
      <c r="AM207" s="621">
        <v>12</v>
      </c>
      <c r="AN207" s="621">
        <v>0</v>
      </c>
      <c r="AO207" s="649">
        <v>1523.9</v>
      </c>
      <c r="AP207" s="649"/>
      <c r="AQ207" s="892">
        <v>0</v>
      </c>
      <c r="AR207" s="652"/>
      <c r="AS207" s="648"/>
      <c r="AT207" s="649">
        <v>0</v>
      </c>
      <c r="AU207" s="653">
        <v>0</v>
      </c>
      <c r="AV207" s="621">
        <v>9215312</v>
      </c>
      <c r="AW207" s="621">
        <v>336818</v>
      </c>
      <c r="AX207" s="621">
        <v>311163</v>
      </c>
      <c r="AY207" s="621">
        <v>1509001</v>
      </c>
      <c r="AZ207" s="621"/>
      <c r="BA207" s="428">
        <v>1</v>
      </c>
      <c r="BB207" s="621">
        <v>0</v>
      </c>
      <c r="BC207" s="621">
        <v>0</v>
      </c>
      <c r="BE207" s="621">
        <v>9774912</v>
      </c>
      <c r="BF207" s="621">
        <v>8104</v>
      </c>
      <c r="BG207" s="621">
        <v>3582</v>
      </c>
      <c r="BH207" s="4604">
        <v>33</v>
      </c>
      <c r="BI207" s="621">
        <v>140340634</v>
      </c>
      <c r="BJ207" s="621">
        <v>149597701</v>
      </c>
      <c r="BK207" s="621">
        <v>0</v>
      </c>
      <c r="BL207" s="4605">
        <v>275</v>
      </c>
      <c r="BM207" s="621">
        <v>265</v>
      </c>
      <c r="BN207" s="621">
        <v>243</v>
      </c>
      <c r="BO207" s="621">
        <v>125</v>
      </c>
      <c r="BP207" s="621">
        <v>119</v>
      </c>
      <c r="BQ207" s="621">
        <v>113</v>
      </c>
    </row>
    <row r="208" spans="1:69">
      <c r="A208" s="888">
        <v>417</v>
      </c>
      <c r="B208" s="889" t="s">
        <v>527</v>
      </c>
      <c r="C208" s="890" t="s">
        <v>217</v>
      </c>
      <c r="D208" s="621">
        <v>66394710</v>
      </c>
      <c r="E208" s="621">
        <v>59756996</v>
      </c>
      <c r="F208" s="621">
        <v>67197628</v>
      </c>
      <c r="G208" s="621">
        <v>60617433</v>
      </c>
      <c r="H208" s="648">
        <v>770.2</v>
      </c>
      <c r="I208" s="648">
        <v>785.4</v>
      </c>
      <c r="J208" s="649">
        <v>537</v>
      </c>
      <c r="K208" s="621">
        <v>6816034</v>
      </c>
      <c r="L208" s="484">
        <v>753.5</v>
      </c>
      <c r="M208" s="648">
        <v>785.7</v>
      </c>
      <c r="N208" s="649">
        <v>799.6</v>
      </c>
      <c r="O208" s="648">
        <v>754.5</v>
      </c>
      <c r="P208" s="621">
        <v>905910</v>
      </c>
      <c r="Q208" s="621">
        <v>952040</v>
      </c>
      <c r="R208" s="621">
        <v>863582</v>
      </c>
      <c r="S208" s="621">
        <v>672573</v>
      </c>
      <c r="T208" s="621">
        <v>14430</v>
      </c>
      <c r="U208" s="621">
        <v>0</v>
      </c>
      <c r="V208" s="621"/>
      <c r="W208" s="650">
        <v>0.23</v>
      </c>
      <c r="X208" s="621">
        <v>290</v>
      </c>
      <c r="Y208" s="621">
        <v>100</v>
      </c>
      <c r="Z208" s="650">
        <v>0.23</v>
      </c>
      <c r="AA208" s="650">
        <v>0</v>
      </c>
      <c r="AB208" s="651">
        <v>0.3856</v>
      </c>
      <c r="AC208" s="621">
        <v>733781</v>
      </c>
      <c r="AD208" s="621">
        <v>710721</v>
      </c>
      <c r="AE208" s="621">
        <v>710721</v>
      </c>
      <c r="AF208" s="484">
        <v>753.5</v>
      </c>
      <c r="AG208" s="649">
        <v>785.7</v>
      </c>
      <c r="AH208" s="891">
        <v>798.9</v>
      </c>
      <c r="AI208" s="649">
        <v>754.5</v>
      </c>
      <c r="AJ208" s="652">
        <v>0</v>
      </c>
      <c r="AK208" s="621"/>
      <c r="AL208" s="621"/>
      <c r="AM208" s="621">
        <v>15</v>
      </c>
      <c r="AN208" s="621">
        <v>0</v>
      </c>
      <c r="AO208" s="649">
        <v>746.5</v>
      </c>
      <c r="AP208" s="649"/>
      <c r="AQ208" s="892">
        <v>0</v>
      </c>
      <c r="AR208" s="652"/>
      <c r="AS208" s="648"/>
      <c r="AT208" s="649">
        <v>0</v>
      </c>
      <c r="AU208" s="653">
        <v>0</v>
      </c>
      <c r="AV208" s="621">
        <v>5635000</v>
      </c>
      <c r="AW208" s="621">
        <v>127478</v>
      </c>
      <c r="AX208" s="621">
        <v>134395</v>
      </c>
      <c r="AY208" s="621">
        <v>735904</v>
      </c>
      <c r="AZ208" s="621"/>
      <c r="BA208" s="428">
        <v>1</v>
      </c>
      <c r="BB208" s="621">
        <v>0</v>
      </c>
      <c r="BC208" s="621">
        <v>0</v>
      </c>
      <c r="BE208" s="621">
        <v>5863673</v>
      </c>
      <c r="BF208" s="621">
        <v>7540</v>
      </c>
      <c r="BG208" s="621">
        <v>275</v>
      </c>
      <c r="BH208" s="4604">
        <v>33</v>
      </c>
      <c r="BI208" s="621">
        <v>66394710</v>
      </c>
      <c r="BJ208" s="621">
        <v>67197628</v>
      </c>
      <c r="BK208" s="621">
        <v>0</v>
      </c>
      <c r="BL208" s="4605">
        <v>258</v>
      </c>
      <c r="BM208" s="621">
        <v>286</v>
      </c>
      <c r="BN208" s="621">
        <v>287</v>
      </c>
      <c r="BO208" s="621">
        <v>131</v>
      </c>
      <c r="BP208" s="621">
        <v>120</v>
      </c>
      <c r="BQ208" s="621">
        <v>127</v>
      </c>
    </row>
    <row r="209" spans="1:69">
      <c r="A209" s="888">
        <v>418</v>
      </c>
      <c r="B209" s="889" t="s">
        <v>528</v>
      </c>
      <c r="C209" s="890" t="s">
        <v>212</v>
      </c>
      <c r="D209" s="621">
        <v>245960277</v>
      </c>
      <c r="E209" s="621">
        <v>233551835</v>
      </c>
      <c r="F209" s="621">
        <v>258966109</v>
      </c>
      <c r="G209" s="621">
        <v>246411585</v>
      </c>
      <c r="H209" s="648">
        <v>2354.6</v>
      </c>
      <c r="I209" s="648">
        <v>2374.1999999999998</v>
      </c>
      <c r="J209" s="649">
        <v>156.30000000000001</v>
      </c>
      <c r="K209" s="621">
        <v>16429667</v>
      </c>
      <c r="L209" s="484">
        <v>2367.6</v>
      </c>
      <c r="M209" s="648">
        <v>2371.6</v>
      </c>
      <c r="N209" s="649">
        <v>2387.1999999999998</v>
      </c>
      <c r="O209" s="648">
        <v>2297.4</v>
      </c>
      <c r="P209" s="621">
        <v>2896428</v>
      </c>
      <c r="Q209" s="621">
        <v>3009633</v>
      </c>
      <c r="R209" s="621">
        <v>1427686</v>
      </c>
      <c r="S209" s="621">
        <v>2296201</v>
      </c>
      <c r="T209" s="621">
        <v>0</v>
      </c>
      <c r="U209" s="621">
        <v>0</v>
      </c>
      <c r="V209" s="621"/>
      <c r="W209" s="650">
        <v>0</v>
      </c>
      <c r="X209" s="621">
        <v>704</v>
      </c>
      <c r="Y209" s="621">
        <v>227</v>
      </c>
      <c r="Z209" s="650">
        <v>0</v>
      </c>
      <c r="AA209" s="650">
        <v>0</v>
      </c>
      <c r="AB209" s="651">
        <v>0.24360000000000001</v>
      </c>
      <c r="AC209" s="621">
        <v>3133407</v>
      </c>
      <c r="AD209" s="621">
        <v>2942680</v>
      </c>
      <c r="AE209" s="621">
        <v>2942680</v>
      </c>
      <c r="AF209" s="484">
        <v>2367.6</v>
      </c>
      <c r="AG209" s="649">
        <v>2366.6</v>
      </c>
      <c r="AH209" s="891">
        <v>2387.1999999999998</v>
      </c>
      <c r="AI209" s="649">
        <v>2297.4</v>
      </c>
      <c r="AJ209" s="652">
        <v>0</v>
      </c>
      <c r="AK209" s="621"/>
      <c r="AL209" s="621"/>
      <c r="AM209" s="621">
        <v>11</v>
      </c>
      <c r="AN209" s="621">
        <v>0</v>
      </c>
      <c r="AO209" s="649">
        <v>2272.9</v>
      </c>
      <c r="AP209" s="649"/>
      <c r="AQ209" s="892">
        <v>0</v>
      </c>
      <c r="AR209" s="652"/>
      <c r="AS209" s="648"/>
      <c r="AT209" s="649">
        <v>0</v>
      </c>
      <c r="AU209" s="653">
        <v>0</v>
      </c>
      <c r="AV209" s="621">
        <v>12918012</v>
      </c>
      <c r="AW209" s="621">
        <v>178620</v>
      </c>
      <c r="AX209" s="621">
        <v>82878</v>
      </c>
      <c r="AY209" s="621">
        <v>1296662</v>
      </c>
      <c r="AZ209" s="621"/>
      <c r="BA209" s="428">
        <v>1</v>
      </c>
      <c r="BB209" s="621">
        <v>0</v>
      </c>
      <c r="BC209" s="621">
        <v>0</v>
      </c>
      <c r="BE209" s="621">
        <v>13413822</v>
      </c>
      <c r="BF209" s="621">
        <v>16588</v>
      </c>
      <c r="BG209" s="621">
        <v>14257</v>
      </c>
      <c r="BH209" s="4604">
        <v>33</v>
      </c>
      <c r="BI209" s="621">
        <v>248082795</v>
      </c>
      <c r="BJ209" s="621">
        <v>260941076</v>
      </c>
      <c r="BK209" s="621">
        <v>0</v>
      </c>
      <c r="BL209" s="4605">
        <v>732</v>
      </c>
      <c r="BM209" s="621">
        <v>738</v>
      </c>
      <c r="BN209" s="621">
        <v>731</v>
      </c>
      <c r="BO209" s="621">
        <v>274</v>
      </c>
      <c r="BP209" s="621">
        <v>259</v>
      </c>
      <c r="BQ209" s="621">
        <v>259</v>
      </c>
    </row>
    <row r="210" spans="1:69">
      <c r="A210" s="888">
        <v>419</v>
      </c>
      <c r="B210" s="889" t="s">
        <v>529</v>
      </c>
      <c r="C210" s="890" t="s">
        <v>212</v>
      </c>
      <c r="D210" s="621">
        <v>36422633</v>
      </c>
      <c r="E210" s="621">
        <v>33856765</v>
      </c>
      <c r="F210" s="621">
        <v>36198728</v>
      </c>
      <c r="G210" s="621">
        <v>33640181</v>
      </c>
      <c r="H210" s="648">
        <v>319.89999999999998</v>
      </c>
      <c r="I210" s="648">
        <v>328.5</v>
      </c>
      <c r="J210" s="649">
        <v>167.5</v>
      </c>
      <c r="K210" s="621">
        <v>3009563</v>
      </c>
      <c r="L210" s="484">
        <v>337.9</v>
      </c>
      <c r="M210" s="648">
        <v>324.39999999999998</v>
      </c>
      <c r="N210" s="649">
        <v>335</v>
      </c>
      <c r="O210" s="648">
        <v>295.2</v>
      </c>
      <c r="P210" s="621">
        <v>413222</v>
      </c>
      <c r="Q210" s="621">
        <v>430410</v>
      </c>
      <c r="R210" s="621">
        <v>209510</v>
      </c>
      <c r="S210" s="621">
        <v>394917</v>
      </c>
      <c r="T210" s="621">
        <v>12848</v>
      </c>
      <c r="U210" s="621">
        <v>0</v>
      </c>
      <c r="V210" s="621"/>
      <c r="W210" s="650">
        <v>0</v>
      </c>
      <c r="X210" s="621">
        <v>80</v>
      </c>
      <c r="Y210" s="621">
        <v>38</v>
      </c>
      <c r="Z210" s="650">
        <v>0</v>
      </c>
      <c r="AA210" s="650">
        <v>0</v>
      </c>
      <c r="AB210" s="651">
        <v>0.1774</v>
      </c>
      <c r="AC210" s="621">
        <v>313744</v>
      </c>
      <c r="AD210" s="621">
        <v>309254</v>
      </c>
      <c r="AE210" s="621">
        <v>309254</v>
      </c>
      <c r="AF210" s="484">
        <v>337.9</v>
      </c>
      <c r="AG210" s="649">
        <v>323.39999999999998</v>
      </c>
      <c r="AH210" s="891">
        <v>334</v>
      </c>
      <c r="AI210" s="649">
        <v>295.2</v>
      </c>
      <c r="AJ210" s="652">
        <v>0</v>
      </c>
      <c r="AK210" s="621"/>
      <c r="AL210" s="621"/>
      <c r="AM210" s="621">
        <v>0</v>
      </c>
      <c r="AN210" s="621">
        <v>0</v>
      </c>
      <c r="AO210" s="649">
        <v>290.2</v>
      </c>
      <c r="AP210" s="649"/>
      <c r="AQ210" s="892">
        <v>0</v>
      </c>
      <c r="AR210" s="652"/>
      <c r="AS210" s="648"/>
      <c r="AT210" s="649">
        <v>0</v>
      </c>
      <c r="AU210" s="653">
        <v>0</v>
      </c>
      <c r="AV210" s="621">
        <v>2609837</v>
      </c>
      <c r="AW210" s="621">
        <v>0</v>
      </c>
      <c r="AX210" s="621">
        <v>0</v>
      </c>
      <c r="AY210" s="621">
        <v>203653</v>
      </c>
      <c r="AZ210" s="621"/>
      <c r="BA210" s="428">
        <v>1</v>
      </c>
      <c r="BB210" s="621">
        <v>0</v>
      </c>
      <c r="BC210" s="621">
        <v>0</v>
      </c>
      <c r="BE210" s="621">
        <v>2579153</v>
      </c>
      <c r="BF210" s="621">
        <v>658</v>
      </c>
      <c r="BG210" s="621">
        <v>1630</v>
      </c>
      <c r="BH210" s="4604">
        <v>33</v>
      </c>
      <c r="BI210" s="621">
        <v>36422633</v>
      </c>
      <c r="BJ210" s="621">
        <v>36198728</v>
      </c>
      <c r="BK210" s="621">
        <v>0</v>
      </c>
      <c r="BL210" s="4605">
        <v>114</v>
      </c>
      <c r="BM210" s="621">
        <v>101</v>
      </c>
      <c r="BN210" s="621">
        <v>98</v>
      </c>
      <c r="BO210" s="621">
        <v>32</v>
      </c>
      <c r="BP210" s="621">
        <v>34</v>
      </c>
      <c r="BQ210" s="621">
        <v>39</v>
      </c>
    </row>
    <row r="211" spans="1:69">
      <c r="A211" s="888">
        <v>420</v>
      </c>
      <c r="B211" s="889" t="s">
        <v>530</v>
      </c>
      <c r="C211" s="890" t="s">
        <v>218</v>
      </c>
      <c r="D211" s="621">
        <v>31434470</v>
      </c>
      <c r="E211" s="621">
        <v>28019486</v>
      </c>
      <c r="F211" s="621">
        <v>32564694</v>
      </c>
      <c r="G211" s="621">
        <v>29119976</v>
      </c>
      <c r="H211" s="648">
        <v>673.5</v>
      </c>
      <c r="I211" s="648">
        <v>680.7</v>
      </c>
      <c r="J211" s="649">
        <v>127.3</v>
      </c>
      <c r="K211" s="621">
        <v>5780259</v>
      </c>
      <c r="L211" s="484">
        <v>667.8</v>
      </c>
      <c r="M211" s="648">
        <v>680</v>
      </c>
      <c r="N211" s="649">
        <v>691.7</v>
      </c>
      <c r="O211" s="648">
        <v>681.8</v>
      </c>
      <c r="P211" s="621">
        <v>889490</v>
      </c>
      <c r="Q211" s="621">
        <v>883027</v>
      </c>
      <c r="R211" s="621">
        <v>1161463</v>
      </c>
      <c r="S211" s="621">
        <v>822116</v>
      </c>
      <c r="T211" s="621">
        <v>19816</v>
      </c>
      <c r="U211" s="621">
        <v>0</v>
      </c>
      <c r="V211" s="621"/>
      <c r="W211" s="650">
        <v>0.66</v>
      </c>
      <c r="X211" s="621">
        <v>221</v>
      </c>
      <c r="Y211" s="621">
        <v>89</v>
      </c>
      <c r="Z211" s="650">
        <v>0.65</v>
      </c>
      <c r="AA211" s="650">
        <v>0.28999999999999998</v>
      </c>
      <c r="AB211" s="651">
        <v>0.66990000000000005</v>
      </c>
      <c r="AC211" s="621">
        <v>632034</v>
      </c>
      <c r="AD211" s="621">
        <v>601181</v>
      </c>
      <c r="AE211" s="621">
        <v>601181</v>
      </c>
      <c r="AF211" s="484">
        <v>667.8</v>
      </c>
      <c r="AG211" s="649">
        <v>677.5</v>
      </c>
      <c r="AH211" s="891">
        <v>688.2</v>
      </c>
      <c r="AI211" s="649">
        <v>676</v>
      </c>
      <c r="AJ211" s="652">
        <v>0</v>
      </c>
      <c r="AK211" s="621"/>
      <c r="AL211" s="621"/>
      <c r="AM211" s="621">
        <v>6</v>
      </c>
      <c r="AN211" s="621">
        <v>0</v>
      </c>
      <c r="AO211" s="649">
        <v>671</v>
      </c>
      <c r="AP211" s="649"/>
      <c r="AQ211" s="892">
        <v>0</v>
      </c>
      <c r="AR211" s="652"/>
      <c r="AS211" s="648"/>
      <c r="AT211" s="649">
        <v>0</v>
      </c>
      <c r="AU211" s="653">
        <v>0</v>
      </c>
      <c r="AV211" s="621">
        <v>4733942</v>
      </c>
      <c r="AW211" s="621">
        <v>97753</v>
      </c>
      <c r="AX211" s="621">
        <v>122005</v>
      </c>
      <c r="AY211" s="621">
        <v>1120676</v>
      </c>
      <c r="AZ211" s="621"/>
      <c r="BA211" s="428">
        <v>1</v>
      </c>
      <c r="BB211" s="621">
        <v>0</v>
      </c>
      <c r="BC211" s="621">
        <v>0</v>
      </c>
      <c r="BE211" s="621">
        <v>4897232</v>
      </c>
      <c r="BF211" s="621">
        <v>1064</v>
      </c>
      <c r="BG211" s="621">
        <v>1096</v>
      </c>
      <c r="BH211" s="4604">
        <v>31</v>
      </c>
      <c r="BI211" s="621">
        <v>30964750</v>
      </c>
      <c r="BJ211" s="621">
        <v>32276443</v>
      </c>
      <c r="BK211" s="621">
        <v>0</v>
      </c>
      <c r="BL211" s="4605">
        <v>269</v>
      </c>
      <c r="BM211" s="621">
        <v>228</v>
      </c>
      <c r="BN211" s="621">
        <v>228</v>
      </c>
      <c r="BO211" s="621">
        <v>63</v>
      </c>
      <c r="BP211" s="621">
        <v>84</v>
      </c>
      <c r="BQ211" s="621">
        <v>98</v>
      </c>
    </row>
    <row r="212" spans="1:69">
      <c r="A212" s="888">
        <v>421</v>
      </c>
      <c r="B212" s="889" t="s">
        <v>531</v>
      </c>
      <c r="C212" s="890" t="s">
        <v>218</v>
      </c>
      <c r="D212" s="621">
        <v>23442591</v>
      </c>
      <c r="E212" s="621">
        <v>20737904</v>
      </c>
      <c r="F212" s="621">
        <v>25240111</v>
      </c>
      <c r="G212" s="621">
        <v>22531952</v>
      </c>
      <c r="H212" s="648">
        <v>418</v>
      </c>
      <c r="I212" s="648">
        <v>417.5</v>
      </c>
      <c r="J212" s="649">
        <v>109</v>
      </c>
      <c r="K212" s="621">
        <v>3739661</v>
      </c>
      <c r="L212" s="484">
        <v>433</v>
      </c>
      <c r="M212" s="648">
        <v>419.3</v>
      </c>
      <c r="N212" s="649">
        <v>421.3</v>
      </c>
      <c r="O212" s="648">
        <v>383</v>
      </c>
      <c r="P212" s="621">
        <v>576168</v>
      </c>
      <c r="Q212" s="621">
        <v>556455</v>
      </c>
      <c r="R212" s="621">
        <v>681804</v>
      </c>
      <c r="S212" s="621">
        <v>529037</v>
      </c>
      <c r="T212" s="621">
        <v>23373</v>
      </c>
      <c r="U212" s="621">
        <v>0</v>
      </c>
      <c r="V212" s="621"/>
      <c r="W212" s="650">
        <v>0.47</v>
      </c>
      <c r="X212" s="621">
        <v>91</v>
      </c>
      <c r="Y212" s="621">
        <v>51</v>
      </c>
      <c r="Z212" s="650">
        <v>0.46</v>
      </c>
      <c r="AA212" s="650">
        <v>0.1</v>
      </c>
      <c r="AB212" s="651">
        <v>0.57940000000000003</v>
      </c>
      <c r="AC212" s="621">
        <v>398080</v>
      </c>
      <c r="AD212" s="621">
        <v>381891</v>
      </c>
      <c r="AE212" s="621">
        <v>381891</v>
      </c>
      <c r="AF212" s="484">
        <v>433</v>
      </c>
      <c r="AG212" s="649">
        <v>419</v>
      </c>
      <c r="AH212" s="891">
        <v>420</v>
      </c>
      <c r="AI212" s="649">
        <v>383</v>
      </c>
      <c r="AJ212" s="652">
        <v>0</v>
      </c>
      <c r="AK212" s="621"/>
      <c r="AL212" s="621"/>
      <c r="AM212" s="621">
        <v>3</v>
      </c>
      <c r="AN212" s="621">
        <v>0</v>
      </c>
      <c r="AO212" s="649">
        <v>379.5</v>
      </c>
      <c r="AP212" s="649"/>
      <c r="AQ212" s="892">
        <v>0</v>
      </c>
      <c r="AR212" s="652"/>
      <c r="AS212" s="648"/>
      <c r="AT212" s="649">
        <v>0</v>
      </c>
      <c r="AU212" s="653">
        <v>0</v>
      </c>
      <c r="AV212" s="621">
        <v>3217263</v>
      </c>
      <c r="AW212" s="621">
        <v>100284</v>
      </c>
      <c r="AX212" s="621">
        <v>106534</v>
      </c>
      <c r="AY212" s="621">
        <v>683678</v>
      </c>
      <c r="AZ212" s="621"/>
      <c r="BA212" s="428">
        <v>1</v>
      </c>
      <c r="BB212" s="621">
        <v>0</v>
      </c>
      <c r="BC212" s="621">
        <v>0</v>
      </c>
      <c r="BE212" s="621">
        <v>3183206</v>
      </c>
      <c r="BF212" s="621">
        <v>967</v>
      </c>
      <c r="BG212" s="621">
        <v>1223</v>
      </c>
      <c r="BH212" s="4604">
        <v>31</v>
      </c>
      <c r="BI212" s="621">
        <v>23213814</v>
      </c>
      <c r="BJ212" s="621">
        <v>25176304</v>
      </c>
      <c r="BK212" s="621">
        <v>0</v>
      </c>
      <c r="BL212" s="4605">
        <v>120</v>
      </c>
      <c r="BM212" s="621">
        <v>88</v>
      </c>
      <c r="BN212" s="621">
        <v>119</v>
      </c>
      <c r="BO212" s="621">
        <v>52</v>
      </c>
      <c r="BP212" s="621">
        <v>52</v>
      </c>
      <c r="BQ212" s="621">
        <v>44</v>
      </c>
    </row>
    <row r="213" spans="1:69">
      <c r="A213" s="888">
        <v>422</v>
      </c>
      <c r="B213" s="889" t="s">
        <v>1289</v>
      </c>
      <c r="C213" s="890" t="s">
        <v>219</v>
      </c>
      <c r="D213" s="621">
        <v>63721445</v>
      </c>
      <c r="E213" s="621">
        <v>62152654</v>
      </c>
      <c r="F213" s="621">
        <v>67009349</v>
      </c>
      <c r="G213" s="621">
        <v>65437886</v>
      </c>
      <c r="H213" s="648">
        <v>252</v>
      </c>
      <c r="I213" s="648">
        <v>231.2</v>
      </c>
      <c r="J213" s="649">
        <v>459.8</v>
      </c>
      <c r="K213" s="621">
        <v>3074102</v>
      </c>
      <c r="L213" s="484">
        <v>242</v>
      </c>
      <c r="M213" s="648">
        <v>395.6</v>
      </c>
      <c r="N213" s="649">
        <v>362</v>
      </c>
      <c r="O213" s="648">
        <v>374.7</v>
      </c>
      <c r="P213" s="621">
        <v>323433</v>
      </c>
      <c r="Q213" s="621">
        <v>299799</v>
      </c>
      <c r="R213" s="621">
        <v>0</v>
      </c>
      <c r="S213" s="621">
        <v>289543</v>
      </c>
      <c r="T213" s="621">
        <v>0</v>
      </c>
      <c r="U213" s="621">
        <v>0</v>
      </c>
      <c r="V213" s="621"/>
      <c r="W213" s="650">
        <v>0</v>
      </c>
      <c r="X213" s="621">
        <v>55</v>
      </c>
      <c r="Y213" s="621">
        <v>32</v>
      </c>
      <c r="Z213" s="650">
        <v>0</v>
      </c>
      <c r="AA213" s="650">
        <v>0</v>
      </c>
      <c r="AB213" s="651">
        <v>0</v>
      </c>
      <c r="AC213" s="621">
        <v>371868</v>
      </c>
      <c r="AD213" s="621">
        <v>373147</v>
      </c>
      <c r="AE213" s="621">
        <v>373147</v>
      </c>
      <c r="AF213" s="484">
        <v>242</v>
      </c>
      <c r="AG213" s="649">
        <v>252</v>
      </c>
      <c r="AH213" s="891">
        <v>231.2</v>
      </c>
      <c r="AI213" s="649">
        <v>246.5</v>
      </c>
      <c r="AJ213" s="652">
        <v>0</v>
      </c>
      <c r="AK213" s="621"/>
      <c r="AL213" s="621"/>
      <c r="AM213" s="621">
        <v>1</v>
      </c>
      <c r="AN213" s="621">
        <v>0</v>
      </c>
      <c r="AO213" s="649">
        <v>242</v>
      </c>
      <c r="AP213" s="649"/>
      <c r="AQ213" s="892">
        <v>0</v>
      </c>
      <c r="AR213" s="652"/>
      <c r="AS213" s="648"/>
      <c r="AT213" s="649">
        <v>0</v>
      </c>
      <c r="AU213" s="653">
        <v>0</v>
      </c>
      <c r="AV213" s="621">
        <v>2693117</v>
      </c>
      <c r="AW213" s="621">
        <v>0</v>
      </c>
      <c r="AX213" s="621">
        <v>0</v>
      </c>
      <c r="AY213" s="621">
        <v>0</v>
      </c>
      <c r="AZ213" s="621"/>
      <c r="BA213" s="428">
        <v>1</v>
      </c>
      <c r="BB213" s="621">
        <v>0</v>
      </c>
      <c r="BC213" s="621">
        <v>0</v>
      </c>
      <c r="BE213" s="621">
        <v>2770063</v>
      </c>
      <c r="BF213" s="621">
        <v>3407</v>
      </c>
      <c r="BG213" s="621">
        <v>4893</v>
      </c>
      <c r="BH213" s="4604">
        <v>31</v>
      </c>
      <c r="BI213" s="621">
        <v>62567032</v>
      </c>
      <c r="BJ213" s="621">
        <v>66300619</v>
      </c>
      <c r="BK213" s="621">
        <v>0</v>
      </c>
      <c r="BL213" s="4605">
        <v>64</v>
      </c>
      <c r="BM213" s="621">
        <v>68</v>
      </c>
      <c r="BN213" s="621">
        <v>56</v>
      </c>
      <c r="BO213" s="621">
        <v>38</v>
      </c>
      <c r="BP213" s="621">
        <v>35</v>
      </c>
      <c r="BQ213" s="621">
        <v>26</v>
      </c>
    </row>
    <row r="214" spans="1:69">
      <c r="A214" s="888">
        <v>423</v>
      </c>
      <c r="B214" s="889" t="s">
        <v>533</v>
      </c>
      <c r="C214" s="890" t="s">
        <v>212</v>
      </c>
      <c r="D214" s="621">
        <v>54103427</v>
      </c>
      <c r="E214" s="621">
        <v>51161352</v>
      </c>
      <c r="F214" s="621">
        <v>54670775</v>
      </c>
      <c r="G214" s="621">
        <v>51723658</v>
      </c>
      <c r="H214" s="648">
        <v>394.1</v>
      </c>
      <c r="I214" s="648">
        <v>401</v>
      </c>
      <c r="J214" s="649">
        <v>156</v>
      </c>
      <c r="K214" s="621">
        <v>3566105</v>
      </c>
      <c r="L214" s="484">
        <v>401.7</v>
      </c>
      <c r="M214" s="648">
        <v>401.6</v>
      </c>
      <c r="N214" s="649">
        <v>407.5</v>
      </c>
      <c r="O214" s="648">
        <v>409</v>
      </c>
      <c r="P214" s="621">
        <v>481418</v>
      </c>
      <c r="Q214" s="621">
        <v>519297</v>
      </c>
      <c r="R214" s="621">
        <v>29041</v>
      </c>
      <c r="S214" s="621">
        <v>412532</v>
      </c>
      <c r="T214" s="621">
        <v>0</v>
      </c>
      <c r="U214" s="621">
        <v>0</v>
      </c>
      <c r="V214" s="621"/>
      <c r="W214" s="650">
        <v>0</v>
      </c>
      <c r="X214" s="621">
        <v>90</v>
      </c>
      <c r="Y214" s="621">
        <v>55</v>
      </c>
      <c r="Z214" s="650">
        <v>0</v>
      </c>
      <c r="AA214" s="650">
        <v>0</v>
      </c>
      <c r="AB214" s="651">
        <v>3.5999999999999997E-2</v>
      </c>
      <c r="AC214" s="621">
        <v>367446</v>
      </c>
      <c r="AD214" s="621">
        <v>338157</v>
      </c>
      <c r="AE214" s="621">
        <v>338157</v>
      </c>
      <c r="AF214" s="484">
        <v>401.7</v>
      </c>
      <c r="AG214" s="649">
        <v>401.6</v>
      </c>
      <c r="AH214" s="891">
        <v>407.5</v>
      </c>
      <c r="AI214" s="649">
        <v>409</v>
      </c>
      <c r="AJ214" s="652">
        <v>0</v>
      </c>
      <c r="AK214" s="621"/>
      <c r="AL214" s="621"/>
      <c r="AM214" s="621">
        <v>0</v>
      </c>
      <c r="AN214" s="621">
        <v>0</v>
      </c>
      <c r="AO214" s="649">
        <v>404.5</v>
      </c>
      <c r="AP214" s="649"/>
      <c r="AQ214" s="892">
        <v>0</v>
      </c>
      <c r="AR214" s="652"/>
      <c r="AS214" s="648"/>
      <c r="AT214" s="649">
        <v>0</v>
      </c>
      <c r="AU214" s="653">
        <v>0</v>
      </c>
      <c r="AV214" s="621">
        <v>2913009</v>
      </c>
      <c r="AW214" s="621">
        <v>0</v>
      </c>
      <c r="AX214" s="621">
        <v>0</v>
      </c>
      <c r="AY214" s="621">
        <v>1147</v>
      </c>
      <c r="AZ214" s="621"/>
      <c r="BA214" s="428">
        <v>1</v>
      </c>
      <c r="BB214" s="621">
        <v>0</v>
      </c>
      <c r="BC214" s="621">
        <v>0</v>
      </c>
      <c r="BE214" s="621">
        <v>3046808</v>
      </c>
      <c r="BF214" s="621">
        <v>0</v>
      </c>
      <c r="BG214" s="621">
        <v>0</v>
      </c>
      <c r="BH214" s="4604">
        <v>33</v>
      </c>
      <c r="BI214" s="621">
        <v>54103427</v>
      </c>
      <c r="BJ214" s="621">
        <v>54670775</v>
      </c>
      <c r="BK214" s="621">
        <v>0</v>
      </c>
      <c r="BL214" s="4605">
        <v>90</v>
      </c>
      <c r="BM214" s="621">
        <v>85</v>
      </c>
      <c r="BN214" s="621">
        <v>80</v>
      </c>
      <c r="BO214" s="621">
        <v>37</v>
      </c>
      <c r="BP214" s="621">
        <v>49</v>
      </c>
      <c r="BQ214" s="621">
        <v>49</v>
      </c>
    </row>
    <row r="215" spans="1:69">
      <c r="A215" s="888">
        <v>426</v>
      </c>
      <c r="B215" s="889" t="s">
        <v>534</v>
      </c>
      <c r="C215" s="890" t="s">
        <v>134</v>
      </c>
      <c r="D215" s="621">
        <v>27753981</v>
      </c>
      <c r="E215" s="621">
        <v>26500349</v>
      </c>
      <c r="F215" s="621">
        <v>28628353</v>
      </c>
      <c r="G215" s="621">
        <v>27377363</v>
      </c>
      <c r="H215" s="648">
        <v>200</v>
      </c>
      <c r="I215" s="648">
        <v>200</v>
      </c>
      <c r="J215" s="649">
        <v>194.8</v>
      </c>
      <c r="K215" s="621">
        <v>2057421</v>
      </c>
      <c r="L215" s="484">
        <v>206.5</v>
      </c>
      <c r="M215" s="648">
        <v>202.5</v>
      </c>
      <c r="N215" s="649">
        <v>203</v>
      </c>
      <c r="O215" s="648">
        <v>202</v>
      </c>
      <c r="P215" s="621">
        <v>189341</v>
      </c>
      <c r="Q215" s="621">
        <v>189310</v>
      </c>
      <c r="R215" s="621">
        <v>55803</v>
      </c>
      <c r="S215" s="621">
        <v>291358</v>
      </c>
      <c r="T215" s="621">
        <v>0</v>
      </c>
      <c r="U215" s="621">
        <v>0</v>
      </c>
      <c r="V215" s="621"/>
      <c r="W215" s="650">
        <v>0</v>
      </c>
      <c r="X215" s="621">
        <v>55</v>
      </c>
      <c r="Y215" s="621">
        <v>45</v>
      </c>
      <c r="Z215" s="650">
        <v>0</v>
      </c>
      <c r="AA215" s="650">
        <v>0</v>
      </c>
      <c r="AB215" s="651">
        <v>4.1500000000000002E-2</v>
      </c>
      <c r="AC215" s="621">
        <v>215300</v>
      </c>
      <c r="AD215" s="621">
        <v>196718</v>
      </c>
      <c r="AE215" s="621">
        <v>196718</v>
      </c>
      <c r="AF215" s="484">
        <v>206.5</v>
      </c>
      <c r="AG215" s="649">
        <v>202.5</v>
      </c>
      <c r="AH215" s="891">
        <v>203</v>
      </c>
      <c r="AI215" s="649">
        <v>202</v>
      </c>
      <c r="AJ215" s="652">
        <v>0</v>
      </c>
      <c r="AK215" s="621"/>
      <c r="AL215" s="621"/>
      <c r="AM215" s="621">
        <v>0</v>
      </c>
      <c r="AN215" s="621">
        <v>0</v>
      </c>
      <c r="AO215" s="649">
        <v>200</v>
      </c>
      <c r="AP215" s="649"/>
      <c r="AQ215" s="892">
        <v>0</v>
      </c>
      <c r="AR215" s="652"/>
      <c r="AS215" s="648"/>
      <c r="AT215" s="649">
        <v>0</v>
      </c>
      <c r="AU215" s="653">
        <v>0</v>
      </c>
      <c r="AV215" s="621">
        <v>1848909</v>
      </c>
      <c r="AW215" s="621">
        <v>0</v>
      </c>
      <c r="AX215" s="621">
        <v>0</v>
      </c>
      <c r="AY215" s="621">
        <v>88412</v>
      </c>
      <c r="AZ215" s="621"/>
      <c r="BA215" s="428">
        <v>1</v>
      </c>
      <c r="BB215" s="621">
        <v>0</v>
      </c>
      <c r="BC215" s="621">
        <v>0</v>
      </c>
      <c r="BE215" s="621">
        <v>1868073</v>
      </c>
      <c r="BF215" s="621">
        <v>3248</v>
      </c>
      <c r="BG215" s="621">
        <v>2914</v>
      </c>
      <c r="BH215" s="4604">
        <v>31</v>
      </c>
      <c r="BI215" s="621">
        <v>27343927</v>
      </c>
      <c r="BJ215" s="621">
        <v>28335238</v>
      </c>
      <c r="BK215" s="621">
        <v>0</v>
      </c>
      <c r="BL215" s="4605">
        <v>83</v>
      </c>
      <c r="BM215" s="621">
        <v>76</v>
      </c>
      <c r="BN215" s="621">
        <v>61</v>
      </c>
      <c r="BO215" s="621">
        <v>25</v>
      </c>
      <c r="BP215" s="621">
        <v>26</v>
      </c>
      <c r="BQ215" s="621">
        <v>52</v>
      </c>
    </row>
    <row r="216" spans="1:69">
      <c r="A216" s="888">
        <v>428</v>
      </c>
      <c r="B216" s="889" t="s">
        <v>535</v>
      </c>
      <c r="C216" s="890" t="s">
        <v>189</v>
      </c>
      <c r="D216" s="621">
        <v>162814159</v>
      </c>
      <c r="E216" s="621">
        <v>146907571</v>
      </c>
      <c r="F216" s="621">
        <v>158223013</v>
      </c>
      <c r="G216" s="621">
        <v>142339620</v>
      </c>
      <c r="H216" s="648">
        <v>2802.5</v>
      </c>
      <c r="I216" s="648">
        <v>2832.4</v>
      </c>
      <c r="J216" s="649">
        <v>190</v>
      </c>
      <c r="K216" s="621">
        <v>20763410</v>
      </c>
      <c r="L216" s="484">
        <v>2858.3</v>
      </c>
      <c r="M216" s="648">
        <v>2816</v>
      </c>
      <c r="N216" s="649">
        <v>2860.9</v>
      </c>
      <c r="O216" s="648">
        <v>2822.9</v>
      </c>
      <c r="P216" s="621">
        <v>2255857</v>
      </c>
      <c r="Q216" s="621">
        <v>2443596</v>
      </c>
      <c r="R216" s="621">
        <v>3678288</v>
      </c>
      <c r="S216" s="621">
        <v>2088537</v>
      </c>
      <c r="T216" s="621">
        <v>0</v>
      </c>
      <c r="U216" s="621">
        <v>0</v>
      </c>
      <c r="V216" s="621"/>
      <c r="W216" s="650">
        <v>0.56999999999999995</v>
      </c>
      <c r="X216" s="621">
        <v>1513</v>
      </c>
      <c r="Y216" s="621">
        <v>305</v>
      </c>
      <c r="Z216" s="650">
        <v>0.56000000000000005</v>
      </c>
      <c r="AA216" s="650">
        <v>0.2</v>
      </c>
      <c r="AB216" s="651">
        <v>0.59240000000000004</v>
      </c>
      <c r="AC216" s="621">
        <v>3887227</v>
      </c>
      <c r="AD216" s="621">
        <v>3659010</v>
      </c>
      <c r="AE216" s="621">
        <v>3659010</v>
      </c>
      <c r="AF216" s="484">
        <v>2858.3</v>
      </c>
      <c r="AG216" s="649">
        <v>2816</v>
      </c>
      <c r="AH216" s="891">
        <v>2860.9</v>
      </c>
      <c r="AI216" s="649">
        <v>2822.9</v>
      </c>
      <c r="AJ216" s="652">
        <v>0</v>
      </c>
      <c r="AK216" s="621"/>
      <c r="AL216" s="621"/>
      <c r="AM216" s="621">
        <v>10</v>
      </c>
      <c r="AN216" s="621">
        <v>0</v>
      </c>
      <c r="AO216" s="649">
        <v>2804.9</v>
      </c>
      <c r="AP216" s="649"/>
      <c r="AQ216" s="892">
        <v>0</v>
      </c>
      <c r="AR216" s="652"/>
      <c r="AS216" s="648"/>
      <c r="AT216" s="649">
        <v>0</v>
      </c>
      <c r="AU216" s="653">
        <v>0</v>
      </c>
      <c r="AV216" s="621">
        <v>18126059</v>
      </c>
      <c r="AW216" s="621">
        <v>606925</v>
      </c>
      <c r="AX216" s="621">
        <v>532989</v>
      </c>
      <c r="AY216" s="621">
        <v>3575581</v>
      </c>
      <c r="AZ216" s="621"/>
      <c r="BA216" s="428">
        <v>1</v>
      </c>
      <c r="BB216" s="621">
        <v>51031</v>
      </c>
      <c r="BC216" s="621">
        <v>51031</v>
      </c>
      <c r="BE216" s="621">
        <v>18317528</v>
      </c>
      <c r="BF216" s="621">
        <v>26153</v>
      </c>
      <c r="BG216" s="621">
        <v>20368</v>
      </c>
      <c r="BH216" s="4604">
        <v>31</v>
      </c>
      <c r="BI216" s="621">
        <v>160689575</v>
      </c>
      <c r="BJ216" s="621">
        <v>156916466</v>
      </c>
      <c r="BK216" s="621">
        <v>51031</v>
      </c>
      <c r="BL216" s="4605">
        <v>1645</v>
      </c>
      <c r="BM216" s="621">
        <v>1574</v>
      </c>
      <c r="BN216" s="621">
        <v>1582</v>
      </c>
      <c r="BO216" s="621">
        <v>289</v>
      </c>
      <c r="BP216" s="621">
        <v>286</v>
      </c>
      <c r="BQ216" s="621">
        <v>320</v>
      </c>
    </row>
    <row r="217" spans="1:69">
      <c r="A217" s="888">
        <v>429</v>
      </c>
      <c r="B217" s="889" t="s">
        <v>536</v>
      </c>
      <c r="C217" s="890" t="s">
        <v>214</v>
      </c>
      <c r="D217" s="621">
        <v>28110358</v>
      </c>
      <c r="E217" s="621">
        <v>26332945</v>
      </c>
      <c r="F217" s="621">
        <v>29448210</v>
      </c>
      <c r="G217" s="621">
        <v>27659100</v>
      </c>
      <c r="H217" s="648">
        <v>349</v>
      </c>
      <c r="I217" s="648">
        <v>337.4</v>
      </c>
      <c r="J217" s="649">
        <v>95</v>
      </c>
      <c r="K217" s="621">
        <v>2964367</v>
      </c>
      <c r="L217" s="484">
        <v>336</v>
      </c>
      <c r="M217" s="648">
        <v>349</v>
      </c>
      <c r="N217" s="649">
        <v>337.4</v>
      </c>
      <c r="O217" s="648">
        <v>309.7</v>
      </c>
      <c r="P217" s="621">
        <v>325506</v>
      </c>
      <c r="Q217" s="621">
        <v>373520</v>
      </c>
      <c r="R217" s="621">
        <v>372237</v>
      </c>
      <c r="S217" s="621">
        <v>338671</v>
      </c>
      <c r="T217" s="621">
        <v>0</v>
      </c>
      <c r="U217" s="621">
        <v>0</v>
      </c>
      <c r="V217" s="621"/>
      <c r="W217" s="650">
        <v>0.19</v>
      </c>
      <c r="X217" s="621">
        <v>58</v>
      </c>
      <c r="Y217" s="621">
        <v>24</v>
      </c>
      <c r="Z217" s="650">
        <v>0.19</v>
      </c>
      <c r="AA217" s="650">
        <v>0</v>
      </c>
      <c r="AB217" s="651">
        <v>0.3916</v>
      </c>
      <c r="AC217" s="621">
        <v>274347</v>
      </c>
      <c r="AD217" s="621">
        <v>263516</v>
      </c>
      <c r="AE217" s="621">
        <v>263516</v>
      </c>
      <c r="AF217" s="484">
        <v>336</v>
      </c>
      <c r="AG217" s="649">
        <v>349</v>
      </c>
      <c r="AH217" s="891">
        <v>337.4</v>
      </c>
      <c r="AI217" s="649">
        <v>309.7</v>
      </c>
      <c r="AJ217" s="652">
        <v>0</v>
      </c>
      <c r="AK217" s="621"/>
      <c r="AL217" s="621"/>
      <c r="AM217" s="621">
        <v>0</v>
      </c>
      <c r="AN217" s="621">
        <v>0</v>
      </c>
      <c r="AO217" s="649">
        <v>309.7</v>
      </c>
      <c r="AP217" s="649"/>
      <c r="AQ217" s="892">
        <v>0</v>
      </c>
      <c r="AR217" s="652"/>
      <c r="AS217" s="648"/>
      <c r="AT217" s="649">
        <v>0</v>
      </c>
      <c r="AU217" s="653">
        <v>0</v>
      </c>
      <c r="AV217" s="621">
        <v>2559709</v>
      </c>
      <c r="AW217" s="621">
        <v>0</v>
      </c>
      <c r="AX217" s="621">
        <v>0</v>
      </c>
      <c r="AY217" s="621">
        <v>362499</v>
      </c>
      <c r="AZ217" s="621"/>
      <c r="BA217" s="428">
        <v>1</v>
      </c>
      <c r="BB217" s="621">
        <v>0</v>
      </c>
      <c r="BC217" s="621">
        <v>0</v>
      </c>
      <c r="BE217" s="621">
        <v>2572800</v>
      </c>
      <c r="BF217" s="621">
        <v>2898</v>
      </c>
      <c r="BG217" s="621">
        <v>1808</v>
      </c>
      <c r="BH217" s="4604">
        <v>31</v>
      </c>
      <c r="BI217" s="621">
        <v>27277369</v>
      </c>
      <c r="BJ217" s="621">
        <v>28693049</v>
      </c>
      <c r="BK217" s="621">
        <v>0</v>
      </c>
      <c r="BL217" s="4605">
        <v>78</v>
      </c>
      <c r="BM217" s="621">
        <v>81</v>
      </c>
      <c r="BN217" s="621">
        <v>79</v>
      </c>
      <c r="BO217" s="621">
        <v>41</v>
      </c>
      <c r="BP217" s="621">
        <v>34</v>
      </c>
      <c r="BQ217" s="621">
        <v>28</v>
      </c>
    </row>
    <row r="218" spans="1:69">
      <c r="A218" s="888">
        <v>430</v>
      </c>
      <c r="B218" s="889" t="s">
        <v>537</v>
      </c>
      <c r="C218" s="890" t="s">
        <v>216</v>
      </c>
      <c r="D218" s="621">
        <v>39992176</v>
      </c>
      <c r="E218" s="621">
        <v>37164735</v>
      </c>
      <c r="F218" s="621">
        <v>41729623</v>
      </c>
      <c r="G218" s="621">
        <v>38897599</v>
      </c>
      <c r="H218" s="648">
        <v>513.4</v>
      </c>
      <c r="I218" s="648">
        <v>515</v>
      </c>
      <c r="J218" s="649">
        <v>156.4</v>
      </c>
      <c r="K218" s="621">
        <v>4981581</v>
      </c>
      <c r="L218" s="484">
        <v>564.5</v>
      </c>
      <c r="M218" s="648">
        <v>513.4</v>
      </c>
      <c r="N218" s="649">
        <v>515</v>
      </c>
      <c r="O218" s="648">
        <v>464.7</v>
      </c>
      <c r="P218" s="621">
        <v>690300</v>
      </c>
      <c r="Q218" s="621">
        <v>631413</v>
      </c>
      <c r="R218" s="621">
        <v>741170</v>
      </c>
      <c r="S218" s="621">
        <v>830393</v>
      </c>
      <c r="T218" s="621">
        <v>0</v>
      </c>
      <c r="U218" s="621">
        <v>0</v>
      </c>
      <c r="V218" s="621"/>
      <c r="W218" s="650">
        <v>0.23</v>
      </c>
      <c r="X218" s="621">
        <v>251</v>
      </c>
      <c r="Y218" s="621">
        <v>28</v>
      </c>
      <c r="Z218" s="650">
        <v>0.23</v>
      </c>
      <c r="AA218" s="650">
        <v>0</v>
      </c>
      <c r="AB218" s="651">
        <v>0.4244</v>
      </c>
      <c r="AC218" s="621">
        <v>643071</v>
      </c>
      <c r="AD218" s="621">
        <v>604234</v>
      </c>
      <c r="AE218" s="621">
        <v>604234</v>
      </c>
      <c r="AF218" s="484">
        <v>564.5</v>
      </c>
      <c r="AG218" s="649">
        <v>513.4</v>
      </c>
      <c r="AH218" s="891">
        <v>515</v>
      </c>
      <c r="AI218" s="649">
        <v>464.7</v>
      </c>
      <c r="AJ218" s="652">
        <v>0</v>
      </c>
      <c r="AK218" s="621"/>
      <c r="AL218" s="621"/>
      <c r="AM218" s="621">
        <v>1</v>
      </c>
      <c r="AN218" s="621">
        <v>111544</v>
      </c>
      <c r="AO218" s="649">
        <v>463.7</v>
      </c>
      <c r="AP218" s="649"/>
      <c r="AQ218" s="892">
        <v>0</v>
      </c>
      <c r="AR218" s="652"/>
      <c r="AS218" s="648"/>
      <c r="AT218" s="649">
        <v>0</v>
      </c>
      <c r="AU218" s="653">
        <v>0</v>
      </c>
      <c r="AV218" s="621">
        <v>4520418</v>
      </c>
      <c r="AW218" s="621">
        <v>41413</v>
      </c>
      <c r="AX218" s="621">
        <v>38490</v>
      </c>
      <c r="AY218" s="621">
        <v>823781</v>
      </c>
      <c r="AZ218" s="621"/>
      <c r="BA218" s="428">
        <v>1</v>
      </c>
      <c r="BB218" s="621">
        <v>0</v>
      </c>
      <c r="BC218" s="621">
        <v>0</v>
      </c>
      <c r="BE218" s="621">
        <v>4238624</v>
      </c>
      <c r="BF218" s="621">
        <v>0</v>
      </c>
      <c r="BG218" s="621">
        <v>0</v>
      </c>
      <c r="BH218" s="4604">
        <v>31</v>
      </c>
      <c r="BI218" s="621">
        <v>39440543</v>
      </c>
      <c r="BJ218" s="621">
        <v>41387310</v>
      </c>
      <c r="BK218" s="621">
        <v>0</v>
      </c>
      <c r="BL218" s="4605">
        <v>314</v>
      </c>
      <c r="BM218" s="621">
        <v>287</v>
      </c>
      <c r="BN218" s="621">
        <v>290</v>
      </c>
      <c r="BO218" s="621">
        <v>52</v>
      </c>
      <c r="BP218" s="621">
        <v>44</v>
      </c>
      <c r="BQ218" s="621">
        <v>44</v>
      </c>
    </row>
    <row r="219" spans="1:69">
      <c r="A219" s="888">
        <v>431</v>
      </c>
      <c r="B219" s="889" t="s">
        <v>538</v>
      </c>
      <c r="C219" s="890" t="s">
        <v>189</v>
      </c>
      <c r="D219" s="621">
        <v>47840750</v>
      </c>
      <c r="E219" s="621">
        <v>44125620</v>
      </c>
      <c r="F219" s="621">
        <v>45608184</v>
      </c>
      <c r="G219" s="621">
        <v>41872542</v>
      </c>
      <c r="H219" s="648">
        <v>708.9</v>
      </c>
      <c r="I219" s="648">
        <v>729.5</v>
      </c>
      <c r="J219" s="649">
        <v>292</v>
      </c>
      <c r="K219" s="621">
        <v>6278263</v>
      </c>
      <c r="L219" s="484">
        <v>716.2</v>
      </c>
      <c r="M219" s="648">
        <v>719.4</v>
      </c>
      <c r="N219" s="649">
        <v>742</v>
      </c>
      <c r="O219" s="648">
        <v>720.7</v>
      </c>
      <c r="P219" s="621">
        <v>774453</v>
      </c>
      <c r="Q219" s="621">
        <v>840059</v>
      </c>
      <c r="R219" s="621">
        <v>1060429</v>
      </c>
      <c r="S219" s="621">
        <v>573375</v>
      </c>
      <c r="T219" s="621">
        <v>0</v>
      </c>
      <c r="U219" s="621">
        <v>0</v>
      </c>
      <c r="V219" s="621"/>
      <c r="W219" s="650">
        <v>0.5</v>
      </c>
      <c r="X219" s="621">
        <v>283</v>
      </c>
      <c r="Y219" s="621">
        <v>122</v>
      </c>
      <c r="Z219" s="650">
        <v>0.49</v>
      </c>
      <c r="AA219" s="650">
        <v>0.13</v>
      </c>
      <c r="AB219" s="651">
        <v>0.55579999999999996</v>
      </c>
      <c r="AC219" s="621">
        <v>670574</v>
      </c>
      <c r="AD219" s="621">
        <v>647082</v>
      </c>
      <c r="AE219" s="621">
        <v>647082</v>
      </c>
      <c r="AF219" s="484">
        <v>716.2</v>
      </c>
      <c r="AG219" s="649">
        <v>719.4</v>
      </c>
      <c r="AH219" s="891">
        <v>742</v>
      </c>
      <c r="AI219" s="649">
        <v>720.7</v>
      </c>
      <c r="AJ219" s="652">
        <v>0</v>
      </c>
      <c r="AK219" s="621"/>
      <c r="AL219" s="621"/>
      <c r="AM219" s="621">
        <v>0</v>
      </c>
      <c r="AN219" s="621">
        <v>0</v>
      </c>
      <c r="AO219" s="649">
        <v>711.2</v>
      </c>
      <c r="AP219" s="649"/>
      <c r="AQ219" s="892">
        <v>0</v>
      </c>
      <c r="AR219" s="652"/>
      <c r="AS219" s="648"/>
      <c r="AT219" s="649">
        <v>0</v>
      </c>
      <c r="AU219" s="653">
        <v>0</v>
      </c>
      <c r="AV219" s="621">
        <v>5297738</v>
      </c>
      <c r="AW219" s="621">
        <v>143029</v>
      </c>
      <c r="AX219" s="621">
        <v>119582</v>
      </c>
      <c r="AY219" s="621">
        <v>1070532</v>
      </c>
      <c r="AZ219" s="621"/>
      <c r="BA219" s="428">
        <v>1</v>
      </c>
      <c r="BB219" s="621">
        <v>0</v>
      </c>
      <c r="BC219" s="621">
        <v>0</v>
      </c>
      <c r="BE219" s="621">
        <v>5433762</v>
      </c>
      <c r="BF219" s="621">
        <v>3077</v>
      </c>
      <c r="BG219" s="621">
        <v>2979</v>
      </c>
      <c r="BH219" s="4604">
        <v>31</v>
      </c>
      <c r="BI219" s="621">
        <v>47557424</v>
      </c>
      <c r="BJ219" s="621">
        <v>45243431</v>
      </c>
      <c r="BK219" s="621">
        <v>0</v>
      </c>
      <c r="BL219" s="4605">
        <v>316</v>
      </c>
      <c r="BM219" s="621">
        <v>300</v>
      </c>
      <c r="BN219" s="621">
        <v>315</v>
      </c>
      <c r="BO219" s="621">
        <v>121</v>
      </c>
      <c r="BP219" s="621">
        <v>123</v>
      </c>
      <c r="BQ219" s="621">
        <v>126</v>
      </c>
    </row>
    <row r="220" spans="1:69">
      <c r="A220" s="888">
        <v>432</v>
      </c>
      <c r="B220" s="889" t="s">
        <v>539</v>
      </c>
      <c r="C220" s="890" t="s">
        <v>206</v>
      </c>
      <c r="D220" s="621">
        <v>32122356</v>
      </c>
      <c r="E220" s="621">
        <v>30204420</v>
      </c>
      <c r="F220" s="621">
        <v>29434978</v>
      </c>
      <c r="G220" s="621">
        <v>27513172</v>
      </c>
      <c r="H220" s="648">
        <v>287.5</v>
      </c>
      <c r="I220" s="648">
        <v>282</v>
      </c>
      <c r="J220" s="649">
        <v>193.3</v>
      </c>
      <c r="K220" s="621">
        <v>2470553</v>
      </c>
      <c r="L220" s="484">
        <v>287</v>
      </c>
      <c r="M220" s="648">
        <v>287.5</v>
      </c>
      <c r="N220" s="649">
        <v>284</v>
      </c>
      <c r="O220" s="648">
        <v>272.3</v>
      </c>
      <c r="P220" s="621">
        <v>272943</v>
      </c>
      <c r="Q220" s="621">
        <v>272011</v>
      </c>
      <c r="R220" s="621">
        <v>170839</v>
      </c>
      <c r="S220" s="621">
        <v>270667</v>
      </c>
      <c r="T220" s="621">
        <v>0</v>
      </c>
      <c r="U220" s="621">
        <v>0</v>
      </c>
      <c r="V220" s="621"/>
      <c r="W220" s="650">
        <v>0.04</v>
      </c>
      <c r="X220" s="621">
        <v>50</v>
      </c>
      <c r="Y220" s="621">
        <v>32</v>
      </c>
      <c r="Z220" s="650">
        <v>0.04</v>
      </c>
      <c r="AA220" s="650">
        <v>0</v>
      </c>
      <c r="AB220" s="651">
        <v>0.21379999999999999</v>
      </c>
      <c r="AC220" s="621">
        <v>264570</v>
      </c>
      <c r="AD220" s="621">
        <v>249359</v>
      </c>
      <c r="AE220" s="621">
        <v>249359</v>
      </c>
      <c r="AF220" s="484">
        <v>287</v>
      </c>
      <c r="AG220" s="649">
        <v>287.5</v>
      </c>
      <c r="AH220" s="891">
        <v>282</v>
      </c>
      <c r="AI220" s="649">
        <v>272.3</v>
      </c>
      <c r="AJ220" s="652">
        <v>0</v>
      </c>
      <c r="AK220" s="621"/>
      <c r="AL220" s="621"/>
      <c r="AM220" s="621">
        <v>0</v>
      </c>
      <c r="AN220" s="621">
        <v>0</v>
      </c>
      <c r="AO220" s="649">
        <v>272.3</v>
      </c>
      <c r="AP220" s="649"/>
      <c r="AQ220" s="892">
        <v>0</v>
      </c>
      <c r="AR220" s="652"/>
      <c r="AS220" s="648"/>
      <c r="AT220" s="649">
        <v>0</v>
      </c>
      <c r="AU220" s="653">
        <v>0</v>
      </c>
      <c r="AV220" s="621">
        <v>2159153</v>
      </c>
      <c r="AW220" s="621">
        <v>5140</v>
      </c>
      <c r="AX220" s="621">
        <v>0</v>
      </c>
      <c r="AY220" s="621">
        <v>151305</v>
      </c>
      <c r="AZ220" s="621"/>
      <c r="BA220" s="428">
        <v>1</v>
      </c>
      <c r="BB220" s="621">
        <v>0</v>
      </c>
      <c r="BC220" s="621">
        <v>0</v>
      </c>
      <c r="BE220" s="621">
        <v>2192536</v>
      </c>
      <c r="BF220" s="621">
        <v>0</v>
      </c>
      <c r="BG220" s="621">
        <v>0</v>
      </c>
      <c r="BH220" s="4604">
        <v>33</v>
      </c>
      <c r="BI220" s="621">
        <v>32122356</v>
      </c>
      <c r="BJ220" s="621">
        <v>29434978</v>
      </c>
      <c r="BK220" s="621">
        <v>0</v>
      </c>
      <c r="BL220" s="4605">
        <v>45</v>
      </c>
      <c r="BM220" s="621">
        <v>41</v>
      </c>
      <c r="BN220" s="621">
        <v>55</v>
      </c>
      <c r="BO220" s="621">
        <v>32</v>
      </c>
      <c r="BP220" s="621">
        <v>31</v>
      </c>
      <c r="BQ220" s="621">
        <v>24</v>
      </c>
    </row>
    <row r="221" spans="1:69">
      <c r="A221" s="888">
        <v>434</v>
      </c>
      <c r="B221" s="889" t="s">
        <v>540</v>
      </c>
      <c r="C221" s="890" t="s">
        <v>218</v>
      </c>
      <c r="D221" s="621">
        <v>56168240</v>
      </c>
      <c r="E221" s="621">
        <v>50477345</v>
      </c>
      <c r="F221" s="621">
        <v>59392987</v>
      </c>
      <c r="G221" s="621">
        <v>53692953</v>
      </c>
      <c r="H221" s="648">
        <v>989.4</v>
      </c>
      <c r="I221" s="648">
        <v>992.5</v>
      </c>
      <c r="J221" s="649">
        <v>201</v>
      </c>
      <c r="K221" s="621">
        <v>8539625</v>
      </c>
      <c r="L221" s="484">
        <v>996.6</v>
      </c>
      <c r="M221" s="648">
        <v>1003.4</v>
      </c>
      <c r="N221" s="649">
        <v>1009.5</v>
      </c>
      <c r="O221" s="648">
        <v>969.2</v>
      </c>
      <c r="P221" s="621">
        <v>1523311</v>
      </c>
      <c r="Q221" s="621">
        <v>1429663</v>
      </c>
      <c r="R221" s="621">
        <v>1692922</v>
      </c>
      <c r="S221" s="621">
        <v>1411795</v>
      </c>
      <c r="T221" s="621">
        <v>30022</v>
      </c>
      <c r="U221" s="621">
        <v>0</v>
      </c>
      <c r="V221" s="621"/>
      <c r="W221" s="650">
        <v>0.52</v>
      </c>
      <c r="X221" s="621">
        <v>339</v>
      </c>
      <c r="Y221" s="621">
        <v>109</v>
      </c>
      <c r="Z221" s="650">
        <v>0.51</v>
      </c>
      <c r="AA221" s="650">
        <v>0.15</v>
      </c>
      <c r="AB221" s="651">
        <v>0.58720000000000006</v>
      </c>
      <c r="AC221" s="621">
        <v>902376</v>
      </c>
      <c r="AD221" s="621">
        <v>855945</v>
      </c>
      <c r="AE221" s="621">
        <v>855945</v>
      </c>
      <c r="AF221" s="484">
        <v>996.6</v>
      </c>
      <c r="AG221" s="649">
        <v>1000.9</v>
      </c>
      <c r="AH221" s="891">
        <v>1002.5</v>
      </c>
      <c r="AI221" s="649">
        <v>965</v>
      </c>
      <c r="AJ221" s="652">
        <v>0</v>
      </c>
      <c r="AK221" s="621"/>
      <c r="AL221" s="621"/>
      <c r="AM221" s="621">
        <v>7</v>
      </c>
      <c r="AN221" s="621">
        <v>0</v>
      </c>
      <c r="AO221" s="649">
        <v>954.5</v>
      </c>
      <c r="AP221" s="649"/>
      <c r="AQ221" s="892">
        <v>0</v>
      </c>
      <c r="AR221" s="652"/>
      <c r="AS221" s="648"/>
      <c r="AT221" s="649">
        <v>0</v>
      </c>
      <c r="AU221" s="653">
        <v>0</v>
      </c>
      <c r="AV221" s="621">
        <v>7022085</v>
      </c>
      <c r="AW221" s="621">
        <v>178244</v>
      </c>
      <c r="AX221" s="621">
        <v>246991</v>
      </c>
      <c r="AY221" s="621">
        <v>1680170</v>
      </c>
      <c r="AZ221" s="621"/>
      <c r="BA221" s="428">
        <v>1</v>
      </c>
      <c r="BB221" s="621">
        <v>0</v>
      </c>
      <c r="BC221" s="621">
        <v>0</v>
      </c>
      <c r="BE221" s="621">
        <v>7109962</v>
      </c>
      <c r="BF221" s="621">
        <v>11027</v>
      </c>
      <c r="BG221" s="621">
        <v>9963</v>
      </c>
      <c r="BH221" s="4604">
        <v>33</v>
      </c>
      <c r="BI221" s="621">
        <v>56117102</v>
      </c>
      <c r="BJ221" s="621">
        <v>59372862</v>
      </c>
      <c r="BK221" s="621">
        <v>0</v>
      </c>
      <c r="BL221" s="4605">
        <v>370</v>
      </c>
      <c r="BM221" s="621">
        <v>395</v>
      </c>
      <c r="BN221" s="621">
        <v>379</v>
      </c>
      <c r="BO221" s="621">
        <v>127</v>
      </c>
      <c r="BP221" s="621">
        <v>117</v>
      </c>
      <c r="BQ221" s="621">
        <v>113</v>
      </c>
    </row>
    <row r="222" spans="1:69">
      <c r="A222" s="888">
        <v>435</v>
      </c>
      <c r="B222" s="889" t="s">
        <v>541</v>
      </c>
      <c r="C222" s="890" t="s">
        <v>208</v>
      </c>
      <c r="D222" s="621">
        <v>88382862</v>
      </c>
      <c r="E222" s="621">
        <v>80590205</v>
      </c>
      <c r="F222" s="621">
        <v>89224149</v>
      </c>
      <c r="G222" s="621">
        <v>81432358</v>
      </c>
      <c r="H222" s="648">
        <v>1481.9</v>
      </c>
      <c r="I222" s="648">
        <v>1417.3</v>
      </c>
      <c r="J222" s="649">
        <v>101.5</v>
      </c>
      <c r="K222" s="621">
        <v>10705289</v>
      </c>
      <c r="L222" s="484">
        <v>1504.2</v>
      </c>
      <c r="M222" s="648">
        <v>1494.4</v>
      </c>
      <c r="N222" s="649">
        <v>1434.6</v>
      </c>
      <c r="O222" s="648">
        <v>1411.6</v>
      </c>
      <c r="P222" s="621">
        <v>1523617</v>
      </c>
      <c r="Q222" s="621">
        <v>1602233</v>
      </c>
      <c r="R222" s="621">
        <v>1827770</v>
      </c>
      <c r="S222" s="621">
        <v>1393535</v>
      </c>
      <c r="T222" s="621">
        <v>20647</v>
      </c>
      <c r="U222" s="621">
        <v>0</v>
      </c>
      <c r="V222" s="621"/>
      <c r="W222" s="650">
        <v>0.51</v>
      </c>
      <c r="X222" s="621">
        <v>514</v>
      </c>
      <c r="Y222" s="621">
        <v>172</v>
      </c>
      <c r="Z222" s="650">
        <v>0.5</v>
      </c>
      <c r="AA222" s="650">
        <v>0.14000000000000001</v>
      </c>
      <c r="AB222" s="651">
        <v>0.56759999999999999</v>
      </c>
      <c r="AC222" s="621">
        <v>1304530</v>
      </c>
      <c r="AD222" s="621">
        <v>1190320</v>
      </c>
      <c r="AE222" s="621">
        <v>1190320</v>
      </c>
      <c r="AF222" s="484">
        <v>1504.2</v>
      </c>
      <c r="AG222" s="649">
        <v>1481.9</v>
      </c>
      <c r="AH222" s="891">
        <v>1417.3</v>
      </c>
      <c r="AI222" s="649">
        <v>1383</v>
      </c>
      <c r="AJ222" s="652">
        <v>0</v>
      </c>
      <c r="AK222" s="621"/>
      <c r="AL222" s="621"/>
      <c r="AM222" s="621">
        <v>55</v>
      </c>
      <c r="AN222" s="621">
        <v>0</v>
      </c>
      <c r="AO222" s="649">
        <v>1377</v>
      </c>
      <c r="AP222" s="649"/>
      <c r="AQ222" s="892">
        <v>0</v>
      </c>
      <c r="AR222" s="652"/>
      <c r="AS222" s="648"/>
      <c r="AT222" s="649">
        <v>0</v>
      </c>
      <c r="AU222" s="653">
        <v>0</v>
      </c>
      <c r="AV222" s="621">
        <v>8858297</v>
      </c>
      <c r="AW222" s="621">
        <v>355171</v>
      </c>
      <c r="AX222" s="621">
        <v>330004</v>
      </c>
      <c r="AY222" s="621">
        <v>1803698</v>
      </c>
      <c r="AZ222" s="621"/>
      <c r="BA222" s="428">
        <v>1</v>
      </c>
      <c r="BB222" s="621">
        <v>102768</v>
      </c>
      <c r="BC222" s="621">
        <v>105963</v>
      </c>
      <c r="BE222" s="621">
        <v>9103056</v>
      </c>
      <c r="BF222" s="621">
        <v>7094</v>
      </c>
      <c r="BG222" s="621">
        <v>4217</v>
      </c>
      <c r="BH222" s="4604">
        <v>30</v>
      </c>
      <c r="BI222" s="621">
        <v>87062675</v>
      </c>
      <c r="BJ222" s="621">
        <v>87778116</v>
      </c>
      <c r="BK222" s="621">
        <v>102768</v>
      </c>
      <c r="BL222" s="4605">
        <v>528</v>
      </c>
      <c r="BM222" s="621">
        <v>527</v>
      </c>
      <c r="BN222" s="621">
        <v>534</v>
      </c>
      <c r="BO222" s="621">
        <v>238</v>
      </c>
      <c r="BP222" s="621">
        <v>244</v>
      </c>
      <c r="BQ222" s="621">
        <v>182</v>
      </c>
    </row>
    <row r="223" spans="1:69">
      <c r="A223" s="888">
        <v>436</v>
      </c>
      <c r="B223" s="889" t="s">
        <v>542</v>
      </c>
      <c r="C223" s="890" t="s">
        <v>220</v>
      </c>
      <c r="D223" s="621">
        <v>54089294</v>
      </c>
      <c r="E223" s="621">
        <v>49971657</v>
      </c>
      <c r="F223" s="621">
        <v>53261242</v>
      </c>
      <c r="G223" s="621">
        <v>49223514</v>
      </c>
      <c r="H223" s="648">
        <v>741.5</v>
      </c>
      <c r="I223" s="648">
        <v>758.7</v>
      </c>
      <c r="J223" s="649">
        <v>168</v>
      </c>
      <c r="K223" s="621">
        <v>6059611</v>
      </c>
      <c r="L223" s="484">
        <v>773.5</v>
      </c>
      <c r="M223" s="648">
        <v>749.5</v>
      </c>
      <c r="N223" s="649">
        <v>768.7</v>
      </c>
      <c r="O223" s="648">
        <v>725.9</v>
      </c>
      <c r="P223" s="621">
        <v>529539</v>
      </c>
      <c r="Q223" s="621">
        <v>542681</v>
      </c>
      <c r="R223" s="621">
        <v>892230</v>
      </c>
      <c r="S223" s="621">
        <v>526930</v>
      </c>
      <c r="T223" s="621">
        <v>12345</v>
      </c>
      <c r="U223" s="621">
        <v>0</v>
      </c>
      <c r="V223" s="621"/>
      <c r="W223" s="650">
        <v>0.4</v>
      </c>
      <c r="X223" s="621">
        <v>234</v>
      </c>
      <c r="Y223" s="621">
        <v>80</v>
      </c>
      <c r="Z223" s="650">
        <v>0.39</v>
      </c>
      <c r="AA223" s="650">
        <v>0.03</v>
      </c>
      <c r="AB223" s="651">
        <v>0.47839999999999999</v>
      </c>
      <c r="AC223" s="621">
        <v>746966</v>
      </c>
      <c r="AD223" s="621">
        <v>711872</v>
      </c>
      <c r="AE223" s="621">
        <v>711872</v>
      </c>
      <c r="AF223" s="484">
        <v>773.5</v>
      </c>
      <c r="AG223" s="649">
        <v>749.5</v>
      </c>
      <c r="AH223" s="891">
        <v>767.7</v>
      </c>
      <c r="AI223" s="649">
        <v>725.9</v>
      </c>
      <c r="AJ223" s="652">
        <v>0</v>
      </c>
      <c r="AK223" s="621"/>
      <c r="AL223" s="621"/>
      <c r="AM223" s="621">
        <v>0</v>
      </c>
      <c r="AN223" s="621">
        <v>0</v>
      </c>
      <c r="AO223" s="649">
        <v>715.4</v>
      </c>
      <c r="AP223" s="649"/>
      <c r="AQ223" s="892">
        <v>0</v>
      </c>
      <c r="AR223" s="652"/>
      <c r="AS223" s="648"/>
      <c r="AT223" s="649">
        <v>0</v>
      </c>
      <c r="AU223" s="653">
        <v>0</v>
      </c>
      <c r="AV223" s="621">
        <v>5515759</v>
      </c>
      <c r="AW223" s="621">
        <v>150812</v>
      </c>
      <c r="AX223" s="621">
        <v>161819</v>
      </c>
      <c r="AY223" s="621">
        <v>871354</v>
      </c>
      <c r="AZ223" s="621"/>
      <c r="BA223" s="428">
        <v>1</v>
      </c>
      <c r="BB223" s="621">
        <v>0</v>
      </c>
      <c r="BC223" s="621">
        <v>0</v>
      </c>
      <c r="BE223" s="621">
        <v>5515923</v>
      </c>
      <c r="BF223" s="621">
        <v>4446</v>
      </c>
      <c r="BG223" s="621">
        <v>14343</v>
      </c>
      <c r="BH223" s="4604">
        <v>33</v>
      </c>
      <c r="BI223" s="621">
        <v>54050604</v>
      </c>
      <c r="BJ223" s="621">
        <v>53243152</v>
      </c>
      <c r="BK223" s="621">
        <v>0</v>
      </c>
      <c r="BL223" s="4605">
        <v>327</v>
      </c>
      <c r="BM223" s="621">
        <v>294</v>
      </c>
      <c r="BN223" s="621">
        <v>281</v>
      </c>
      <c r="BO223" s="621">
        <v>78</v>
      </c>
      <c r="BP223" s="621">
        <v>74</v>
      </c>
      <c r="BQ223" s="621">
        <v>85</v>
      </c>
    </row>
    <row r="224" spans="1:69">
      <c r="A224" s="888">
        <v>437</v>
      </c>
      <c r="B224" s="889" t="s">
        <v>543</v>
      </c>
      <c r="C224" s="890" t="s">
        <v>183</v>
      </c>
      <c r="D224" s="621">
        <v>529791762</v>
      </c>
      <c r="E224" s="621">
        <v>501371418</v>
      </c>
      <c r="F224" s="621">
        <v>548976905</v>
      </c>
      <c r="G224" s="621">
        <v>520427799</v>
      </c>
      <c r="H224" s="648">
        <v>6159.4</v>
      </c>
      <c r="I224" s="648">
        <v>6186.4</v>
      </c>
      <c r="J224" s="649">
        <v>128</v>
      </c>
      <c r="K224" s="621">
        <v>42056105</v>
      </c>
      <c r="L224" s="484">
        <v>6250.3</v>
      </c>
      <c r="M224" s="648">
        <v>6200.5</v>
      </c>
      <c r="N224" s="649">
        <v>6228.4</v>
      </c>
      <c r="O224" s="648">
        <v>5917.1</v>
      </c>
      <c r="P224" s="621">
        <v>6946716</v>
      </c>
      <c r="Q224" s="621">
        <v>7099090</v>
      </c>
      <c r="R224" s="621">
        <v>5195257</v>
      </c>
      <c r="S224" s="621">
        <v>5497178</v>
      </c>
      <c r="T224" s="621">
        <v>2743</v>
      </c>
      <c r="U224" s="621">
        <v>0</v>
      </c>
      <c r="V224" s="621"/>
      <c r="W224" s="650">
        <v>0.18</v>
      </c>
      <c r="X224" s="621">
        <v>1337</v>
      </c>
      <c r="Y224" s="621">
        <v>464</v>
      </c>
      <c r="Z224" s="650">
        <v>0.19</v>
      </c>
      <c r="AA224" s="650">
        <v>0</v>
      </c>
      <c r="AB224" s="651">
        <v>0.36530000000000001</v>
      </c>
      <c r="AC224" s="621">
        <v>6299228</v>
      </c>
      <c r="AD224" s="621">
        <v>6103056</v>
      </c>
      <c r="AE224" s="621">
        <v>6103056</v>
      </c>
      <c r="AF224" s="484">
        <v>6250.3</v>
      </c>
      <c r="AG224" s="649">
        <v>6194.9</v>
      </c>
      <c r="AH224" s="891">
        <v>6224.9</v>
      </c>
      <c r="AI224" s="649">
        <v>5913.5</v>
      </c>
      <c r="AJ224" s="652">
        <v>1.6400000000000001E-2</v>
      </c>
      <c r="AK224" s="621"/>
      <c r="AL224" s="621"/>
      <c r="AM224" s="621">
        <v>131</v>
      </c>
      <c r="AN224" s="621">
        <v>0</v>
      </c>
      <c r="AO224" s="649">
        <v>5881</v>
      </c>
      <c r="AP224" s="649"/>
      <c r="AQ224" s="892">
        <v>0</v>
      </c>
      <c r="AR224" s="652"/>
      <c r="AS224" s="648"/>
      <c r="AT224" s="649">
        <v>0</v>
      </c>
      <c r="AU224" s="653">
        <v>0</v>
      </c>
      <c r="AV224" s="621">
        <v>34567644</v>
      </c>
      <c r="AW224" s="621">
        <v>890584</v>
      </c>
      <c r="AX224" s="621">
        <v>1013605</v>
      </c>
      <c r="AY224" s="621">
        <v>4592606</v>
      </c>
      <c r="AZ224" s="621"/>
      <c r="BA224" s="428">
        <v>1</v>
      </c>
      <c r="BB224" s="621">
        <v>101363</v>
      </c>
      <c r="BC224" s="621">
        <v>101363</v>
      </c>
      <c r="BE224" s="621">
        <v>34957015</v>
      </c>
      <c r="BF224" s="621">
        <v>10931</v>
      </c>
      <c r="BG224" s="621">
        <v>0</v>
      </c>
      <c r="BH224" s="4604">
        <v>33</v>
      </c>
      <c r="BI224" s="621">
        <v>531704738</v>
      </c>
      <c r="BJ224" s="621">
        <v>554240973</v>
      </c>
      <c r="BK224" s="621">
        <v>101363</v>
      </c>
      <c r="BL224" s="4605">
        <v>1531</v>
      </c>
      <c r="BM224" s="621">
        <v>1502</v>
      </c>
      <c r="BN224" s="621">
        <v>1472</v>
      </c>
      <c r="BO224" s="621">
        <v>491</v>
      </c>
      <c r="BP224" s="621">
        <v>438</v>
      </c>
      <c r="BQ224" s="621">
        <v>443</v>
      </c>
    </row>
    <row r="225" spans="1:69">
      <c r="A225" s="888">
        <v>438</v>
      </c>
      <c r="B225" s="889" t="s">
        <v>544</v>
      </c>
      <c r="C225" s="890" t="s">
        <v>203</v>
      </c>
      <c r="D225" s="621">
        <v>38887989</v>
      </c>
      <c r="E225" s="621">
        <v>37718206</v>
      </c>
      <c r="F225" s="621">
        <v>38596431</v>
      </c>
      <c r="G225" s="621">
        <v>37432528</v>
      </c>
      <c r="H225" s="648">
        <v>385.5</v>
      </c>
      <c r="I225" s="648">
        <v>359.3</v>
      </c>
      <c r="J225" s="649">
        <v>490</v>
      </c>
      <c r="K225" s="621">
        <v>3447767</v>
      </c>
      <c r="L225" s="484">
        <v>396.5</v>
      </c>
      <c r="M225" s="648">
        <v>388</v>
      </c>
      <c r="N225" s="649">
        <v>364.3</v>
      </c>
      <c r="O225" s="648">
        <v>339.8</v>
      </c>
      <c r="P225" s="621">
        <v>500181</v>
      </c>
      <c r="Q225" s="621">
        <v>426547</v>
      </c>
      <c r="R225" s="621">
        <v>318392</v>
      </c>
      <c r="S225" s="621">
        <v>415786</v>
      </c>
      <c r="T225" s="621">
        <v>0</v>
      </c>
      <c r="U225" s="621">
        <v>0</v>
      </c>
      <c r="V225" s="621"/>
      <c r="W225" s="650">
        <v>0.02</v>
      </c>
      <c r="X225" s="621">
        <v>68</v>
      </c>
      <c r="Y225" s="621">
        <v>36</v>
      </c>
      <c r="Z225" s="650">
        <v>0.02</v>
      </c>
      <c r="AA225" s="650">
        <v>0</v>
      </c>
      <c r="AB225" s="651">
        <v>0.26150000000000001</v>
      </c>
      <c r="AC225" s="621">
        <v>385205</v>
      </c>
      <c r="AD225" s="621">
        <v>353602</v>
      </c>
      <c r="AE225" s="621">
        <v>353602</v>
      </c>
      <c r="AF225" s="484">
        <v>396.5</v>
      </c>
      <c r="AG225" s="649">
        <v>388</v>
      </c>
      <c r="AH225" s="891">
        <v>364.3</v>
      </c>
      <c r="AI225" s="649">
        <v>339.8</v>
      </c>
      <c r="AJ225" s="652">
        <v>0</v>
      </c>
      <c r="AK225" s="621"/>
      <c r="AL225" s="621"/>
      <c r="AM225" s="621">
        <v>0</v>
      </c>
      <c r="AN225" s="621">
        <v>0</v>
      </c>
      <c r="AO225" s="649">
        <v>335.8</v>
      </c>
      <c r="AP225" s="649"/>
      <c r="AQ225" s="892">
        <v>0</v>
      </c>
      <c r="AR225" s="652"/>
      <c r="AS225" s="648"/>
      <c r="AT225" s="649">
        <v>0</v>
      </c>
      <c r="AU225" s="653">
        <v>0</v>
      </c>
      <c r="AV225" s="621">
        <v>2992749</v>
      </c>
      <c r="AW225" s="621">
        <v>38849</v>
      </c>
      <c r="AX225" s="621">
        <v>14476</v>
      </c>
      <c r="AY225" s="621">
        <v>334126</v>
      </c>
      <c r="AZ225" s="621"/>
      <c r="BA225" s="428">
        <v>1</v>
      </c>
      <c r="BB225" s="621">
        <v>0</v>
      </c>
      <c r="BC225" s="621">
        <v>0</v>
      </c>
      <c r="BE225" s="621">
        <v>3017085</v>
      </c>
      <c r="BF225" s="621">
        <v>2812</v>
      </c>
      <c r="BG225" s="621">
        <v>1382</v>
      </c>
      <c r="BH225" s="4604">
        <v>31</v>
      </c>
      <c r="BI225" s="621">
        <v>37354428</v>
      </c>
      <c r="BJ225" s="621">
        <v>37363453</v>
      </c>
      <c r="BK225" s="621">
        <v>0</v>
      </c>
      <c r="BL225" s="4605">
        <v>95</v>
      </c>
      <c r="BM225" s="621">
        <v>71</v>
      </c>
      <c r="BN225" s="621">
        <v>83</v>
      </c>
      <c r="BO225" s="621">
        <v>32</v>
      </c>
      <c r="BP225" s="621">
        <v>37</v>
      </c>
      <c r="BQ225" s="621">
        <v>33</v>
      </c>
    </row>
    <row r="226" spans="1:69">
      <c r="A226" s="888">
        <v>439</v>
      </c>
      <c r="B226" s="889" t="s">
        <v>545</v>
      </c>
      <c r="C226" s="890" t="s">
        <v>196</v>
      </c>
      <c r="D226" s="621">
        <v>21039118</v>
      </c>
      <c r="E226" s="621">
        <v>19268416</v>
      </c>
      <c r="F226" s="621">
        <v>21379053</v>
      </c>
      <c r="G226" s="621">
        <v>19612566</v>
      </c>
      <c r="H226" s="648">
        <v>457.5</v>
      </c>
      <c r="I226" s="648">
        <v>449.5</v>
      </c>
      <c r="J226" s="649">
        <v>42</v>
      </c>
      <c r="K226" s="621">
        <v>3871314</v>
      </c>
      <c r="L226" s="484">
        <v>475.5</v>
      </c>
      <c r="M226" s="648">
        <v>457.5</v>
      </c>
      <c r="N226" s="649">
        <v>449.5</v>
      </c>
      <c r="O226" s="648">
        <v>463</v>
      </c>
      <c r="P226" s="621">
        <v>456149</v>
      </c>
      <c r="Q226" s="621">
        <v>456305</v>
      </c>
      <c r="R226" s="621">
        <v>796485</v>
      </c>
      <c r="S226" s="621">
        <v>453550</v>
      </c>
      <c r="T226" s="621">
        <v>11217</v>
      </c>
      <c r="U226" s="621">
        <v>0</v>
      </c>
      <c r="V226" s="621"/>
      <c r="W226" s="650">
        <v>0.67</v>
      </c>
      <c r="X226" s="621">
        <v>116</v>
      </c>
      <c r="Y226" s="621">
        <v>61</v>
      </c>
      <c r="Z226" s="650">
        <v>0.66</v>
      </c>
      <c r="AA226" s="650">
        <v>0.3</v>
      </c>
      <c r="AB226" s="651">
        <v>0.67490000000000006</v>
      </c>
      <c r="AC226" s="621">
        <v>483719</v>
      </c>
      <c r="AD226" s="621">
        <v>466609</v>
      </c>
      <c r="AE226" s="621">
        <v>466609</v>
      </c>
      <c r="AF226" s="484">
        <v>475.5</v>
      </c>
      <c r="AG226" s="649">
        <v>457.5</v>
      </c>
      <c r="AH226" s="891">
        <v>449.5</v>
      </c>
      <c r="AI226" s="649">
        <v>463</v>
      </c>
      <c r="AJ226" s="652">
        <v>0</v>
      </c>
      <c r="AK226" s="621"/>
      <c r="AL226" s="621"/>
      <c r="AM226" s="621">
        <v>20</v>
      </c>
      <c r="AN226" s="621">
        <v>0</v>
      </c>
      <c r="AO226" s="649">
        <v>456</v>
      </c>
      <c r="AP226" s="649"/>
      <c r="AQ226" s="892">
        <v>0</v>
      </c>
      <c r="AR226" s="652"/>
      <c r="AS226" s="648"/>
      <c r="AT226" s="649">
        <v>0</v>
      </c>
      <c r="AU226" s="653">
        <v>0</v>
      </c>
      <c r="AV226" s="621">
        <v>3352901</v>
      </c>
      <c r="AW226" s="621">
        <v>77784</v>
      </c>
      <c r="AX226" s="621">
        <v>105327</v>
      </c>
      <c r="AY226" s="621">
        <v>799661</v>
      </c>
      <c r="AZ226" s="621"/>
      <c r="BA226" s="428">
        <v>1</v>
      </c>
      <c r="BB226" s="621">
        <v>0</v>
      </c>
      <c r="BC226" s="621">
        <v>0</v>
      </c>
      <c r="BE226" s="621">
        <v>3414775</v>
      </c>
      <c r="BF226" s="621">
        <v>2496</v>
      </c>
      <c r="BG226" s="621">
        <v>3365</v>
      </c>
      <c r="BH226" s="4604">
        <v>31</v>
      </c>
      <c r="BI226" s="621">
        <v>20818831</v>
      </c>
      <c r="BJ226" s="621">
        <v>21235428</v>
      </c>
      <c r="BK226" s="621">
        <v>0</v>
      </c>
      <c r="BL226" s="4605">
        <v>120</v>
      </c>
      <c r="BM226" s="621">
        <v>111</v>
      </c>
      <c r="BN226" s="621">
        <v>108</v>
      </c>
      <c r="BO226" s="621">
        <v>61</v>
      </c>
      <c r="BP226" s="621">
        <v>45</v>
      </c>
      <c r="BQ226" s="621">
        <v>63</v>
      </c>
    </row>
    <row r="227" spans="1:69">
      <c r="A227" s="888">
        <v>440</v>
      </c>
      <c r="B227" s="889" t="s">
        <v>546</v>
      </c>
      <c r="C227" s="890" t="s">
        <v>196</v>
      </c>
      <c r="D227" s="621">
        <v>48426055</v>
      </c>
      <c r="E227" s="621">
        <v>44354572</v>
      </c>
      <c r="F227" s="621">
        <v>49397947</v>
      </c>
      <c r="G227" s="621">
        <v>45355638</v>
      </c>
      <c r="H227" s="648">
        <v>774.5</v>
      </c>
      <c r="I227" s="648">
        <v>774.6</v>
      </c>
      <c r="J227" s="649">
        <v>130</v>
      </c>
      <c r="K227" s="621">
        <v>6241762</v>
      </c>
      <c r="L227" s="484">
        <v>765.5</v>
      </c>
      <c r="M227" s="648">
        <v>782.5</v>
      </c>
      <c r="N227" s="649">
        <v>784.6</v>
      </c>
      <c r="O227" s="648">
        <v>775</v>
      </c>
      <c r="P227" s="621">
        <v>643451</v>
      </c>
      <c r="Q227" s="621">
        <v>642536</v>
      </c>
      <c r="R227" s="621">
        <v>1055679</v>
      </c>
      <c r="S227" s="621">
        <v>657735</v>
      </c>
      <c r="T227" s="621">
        <v>7752</v>
      </c>
      <c r="U227" s="621">
        <v>0</v>
      </c>
      <c r="V227" s="621"/>
      <c r="W227" s="650">
        <v>0.49</v>
      </c>
      <c r="X227" s="621">
        <v>214</v>
      </c>
      <c r="Y227" s="621">
        <v>110</v>
      </c>
      <c r="Z227" s="650">
        <v>0.48</v>
      </c>
      <c r="AA227" s="650">
        <v>0.12</v>
      </c>
      <c r="AB227" s="651">
        <v>0.55489999999999995</v>
      </c>
      <c r="AC227" s="621">
        <v>719852</v>
      </c>
      <c r="AD227" s="621">
        <v>662593</v>
      </c>
      <c r="AE227" s="621">
        <v>662593</v>
      </c>
      <c r="AF227" s="484">
        <v>765.5</v>
      </c>
      <c r="AG227" s="649">
        <v>782.5</v>
      </c>
      <c r="AH227" s="891">
        <v>784.6</v>
      </c>
      <c r="AI227" s="649">
        <v>775</v>
      </c>
      <c r="AJ227" s="652">
        <v>0</v>
      </c>
      <c r="AK227" s="621"/>
      <c r="AL227" s="621"/>
      <c r="AM227" s="621">
        <v>4</v>
      </c>
      <c r="AN227" s="621">
        <v>0</v>
      </c>
      <c r="AO227" s="649">
        <v>763.5</v>
      </c>
      <c r="AP227" s="649"/>
      <c r="AQ227" s="892">
        <v>0</v>
      </c>
      <c r="AR227" s="652"/>
      <c r="AS227" s="648"/>
      <c r="AT227" s="649">
        <v>0</v>
      </c>
      <c r="AU227" s="653">
        <v>0</v>
      </c>
      <c r="AV227" s="621">
        <v>5546894</v>
      </c>
      <c r="AW227" s="621">
        <v>138352</v>
      </c>
      <c r="AX227" s="621">
        <v>135481</v>
      </c>
      <c r="AY227" s="621">
        <v>1015024</v>
      </c>
      <c r="AZ227" s="621"/>
      <c r="BA227" s="428">
        <v>1</v>
      </c>
      <c r="BB227" s="621">
        <v>0</v>
      </c>
      <c r="BC227" s="621">
        <v>0</v>
      </c>
      <c r="BE227" s="621">
        <v>5599226</v>
      </c>
      <c r="BF227" s="621">
        <v>4580</v>
      </c>
      <c r="BG227" s="621">
        <v>3309</v>
      </c>
      <c r="BH227" s="4604">
        <v>31</v>
      </c>
      <c r="BI227" s="621">
        <v>48320830</v>
      </c>
      <c r="BJ227" s="621">
        <v>49309028</v>
      </c>
      <c r="BK227" s="621">
        <v>0</v>
      </c>
      <c r="BL227" s="4605">
        <v>238</v>
      </c>
      <c r="BM227" s="621">
        <v>230</v>
      </c>
      <c r="BN227" s="621">
        <v>228</v>
      </c>
      <c r="BO227" s="621">
        <v>94</v>
      </c>
      <c r="BP227" s="621">
        <v>100</v>
      </c>
      <c r="BQ227" s="621">
        <v>121</v>
      </c>
    </row>
    <row r="228" spans="1:69">
      <c r="A228" s="888">
        <v>443</v>
      </c>
      <c r="B228" s="889" t="s">
        <v>547</v>
      </c>
      <c r="C228" s="890" t="s">
        <v>202</v>
      </c>
      <c r="D228" s="621">
        <v>242723656</v>
      </c>
      <c r="E228" s="621">
        <v>222693883</v>
      </c>
      <c r="F228" s="621">
        <v>246398004</v>
      </c>
      <c r="G228" s="621">
        <v>226282840</v>
      </c>
      <c r="H228" s="648">
        <v>6669</v>
      </c>
      <c r="I228" s="648">
        <v>6809.7</v>
      </c>
      <c r="J228" s="649">
        <v>425.7</v>
      </c>
      <c r="K228" s="621">
        <v>57158527</v>
      </c>
      <c r="L228" s="484">
        <v>6780.9</v>
      </c>
      <c r="M228" s="648">
        <v>6811.4</v>
      </c>
      <c r="N228" s="649">
        <v>6909.4</v>
      </c>
      <c r="O228" s="648">
        <v>6815.5</v>
      </c>
      <c r="P228" s="621">
        <v>5172481</v>
      </c>
      <c r="Q228" s="621">
        <v>5789315</v>
      </c>
      <c r="R228" s="621">
        <v>14263179</v>
      </c>
      <c r="S228" s="621">
        <v>4812211</v>
      </c>
      <c r="T228" s="621">
        <v>277</v>
      </c>
      <c r="U228" s="621">
        <v>0</v>
      </c>
      <c r="V228" s="621"/>
      <c r="W228" s="650">
        <v>0.77</v>
      </c>
      <c r="X228" s="621">
        <v>4597</v>
      </c>
      <c r="Y228" s="621">
        <v>888</v>
      </c>
      <c r="Z228" s="650">
        <v>0.76</v>
      </c>
      <c r="AA228" s="650">
        <v>0.4</v>
      </c>
      <c r="AB228" s="651">
        <v>0.74629999999999996</v>
      </c>
      <c r="AC228" s="621">
        <v>7689566</v>
      </c>
      <c r="AD228" s="621">
        <v>7367812</v>
      </c>
      <c r="AE228" s="621">
        <v>7367812</v>
      </c>
      <c r="AF228" s="484">
        <v>6780.9</v>
      </c>
      <c r="AG228" s="649">
        <v>6789</v>
      </c>
      <c r="AH228" s="891">
        <v>6888.7</v>
      </c>
      <c r="AI228" s="649">
        <v>6795.1</v>
      </c>
      <c r="AJ228" s="652">
        <v>0</v>
      </c>
      <c r="AK228" s="621"/>
      <c r="AL228" s="621"/>
      <c r="AM228" s="621">
        <v>12</v>
      </c>
      <c r="AN228" s="621">
        <v>0</v>
      </c>
      <c r="AO228" s="649">
        <v>6681.6</v>
      </c>
      <c r="AP228" s="649"/>
      <c r="AQ228" s="892">
        <v>0</v>
      </c>
      <c r="AR228" s="652"/>
      <c r="AS228" s="648"/>
      <c r="AT228" s="649">
        <v>0</v>
      </c>
      <c r="AU228" s="653">
        <v>0</v>
      </c>
      <c r="AV228" s="621">
        <v>51340228</v>
      </c>
      <c r="AW228" s="621">
        <v>1399417</v>
      </c>
      <c r="AX228" s="621">
        <v>1391055</v>
      </c>
      <c r="AY228" s="621">
        <v>14126209</v>
      </c>
      <c r="AZ228" s="621"/>
      <c r="BA228" s="428">
        <v>1</v>
      </c>
      <c r="BB228" s="621">
        <v>40819</v>
      </c>
      <c r="BC228" s="621">
        <v>40819</v>
      </c>
      <c r="BE228" s="621">
        <v>51361606</v>
      </c>
      <c r="BF228" s="621">
        <v>30483</v>
      </c>
      <c r="BG228" s="621">
        <v>32655</v>
      </c>
      <c r="BH228" s="4604">
        <v>33</v>
      </c>
      <c r="BI228" s="621">
        <v>239626255</v>
      </c>
      <c r="BJ228" s="621">
        <v>243542726</v>
      </c>
      <c r="BK228" s="621">
        <v>40819</v>
      </c>
      <c r="BL228" s="4605">
        <v>4693</v>
      </c>
      <c r="BM228" s="621">
        <v>4720</v>
      </c>
      <c r="BN228" s="621">
        <v>4716</v>
      </c>
      <c r="BO228" s="621">
        <v>847</v>
      </c>
      <c r="BP228" s="621">
        <v>845</v>
      </c>
      <c r="BQ228" s="621">
        <v>857</v>
      </c>
    </row>
    <row r="229" spans="1:69">
      <c r="A229" s="888">
        <v>444</v>
      </c>
      <c r="B229" s="889" t="s">
        <v>548</v>
      </c>
      <c r="C229" s="890" t="s">
        <v>198</v>
      </c>
      <c r="D229" s="621">
        <v>65866958</v>
      </c>
      <c r="E229" s="621">
        <v>64479859</v>
      </c>
      <c r="F229" s="621">
        <v>65872508</v>
      </c>
      <c r="G229" s="621">
        <v>64471677</v>
      </c>
      <c r="H229" s="648">
        <v>288</v>
      </c>
      <c r="I229" s="648">
        <v>285</v>
      </c>
      <c r="J229" s="649">
        <v>244.5</v>
      </c>
      <c r="K229" s="621">
        <v>2649696</v>
      </c>
      <c r="L229" s="484">
        <v>290.5</v>
      </c>
      <c r="M229" s="648">
        <v>294.5</v>
      </c>
      <c r="N229" s="649">
        <v>291.5</v>
      </c>
      <c r="O229" s="648">
        <v>271.5</v>
      </c>
      <c r="P229" s="621">
        <v>317553</v>
      </c>
      <c r="Q229" s="621">
        <v>334171</v>
      </c>
      <c r="R229" s="621">
        <v>0</v>
      </c>
      <c r="S229" s="621">
        <v>348040</v>
      </c>
      <c r="T229" s="621">
        <v>0</v>
      </c>
      <c r="U229" s="621">
        <v>0</v>
      </c>
      <c r="V229" s="621"/>
      <c r="W229" s="650">
        <v>0</v>
      </c>
      <c r="X229" s="621">
        <v>52</v>
      </c>
      <c r="Y229" s="621">
        <v>24</v>
      </c>
      <c r="Z229" s="650">
        <v>0</v>
      </c>
      <c r="AA229" s="650">
        <v>0</v>
      </c>
      <c r="AB229" s="651">
        <v>0</v>
      </c>
      <c r="AC229" s="621">
        <v>303820</v>
      </c>
      <c r="AD229" s="621">
        <v>286545</v>
      </c>
      <c r="AE229" s="621">
        <v>286545</v>
      </c>
      <c r="AF229" s="484">
        <v>290.5</v>
      </c>
      <c r="AG229" s="649">
        <v>294.5</v>
      </c>
      <c r="AH229" s="891">
        <v>291.5</v>
      </c>
      <c r="AI229" s="649">
        <v>271.5</v>
      </c>
      <c r="AJ229" s="652">
        <v>0</v>
      </c>
      <c r="AK229" s="621"/>
      <c r="AL229" s="621"/>
      <c r="AM229" s="621">
        <v>1</v>
      </c>
      <c r="AN229" s="621">
        <v>0</v>
      </c>
      <c r="AO229" s="649">
        <v>267.5</v>
      </c>
      <c r="AP229" s="649"/>
      <c r="AQ229" s="892">
        <v>0</v>
      </c>
      <c r="AR229" s="652"/>
      <c r="AS229" s="648"/>
      <c r="AT229" s="649">
        <v>0</v>
      </c>
      <c r="AU229" s="653">
        <v>0</v>
      </c>
      <c r="AV229" s="621">
        <v>2321255</v>
      </c>
      <c r="AW229" s="621">
        <v>0</v>
      </c>
      <c r="AX229" s="621">
        <v>0</v>
      </c>
      <c r="AY229" s="621">
        <v>0</v>
      </c>
      <c r="AZ229" s="621"/>
      <c r="BA229" s="428">
        <v>1</v>
      </c>
      <c r="BB229" s="621">
        <v>0</v>
      </c>
      <c r="BC229" s="621">
        <v>0</v>
      </c>
      <c r="BE229" s="621">
        <v>2315525</v>
      </c>
      <c r="BF229" s="621">
        <v>4205</v>
      </c>
      <c r="BG229" s="621">
        <v>3580</v>
      </c>
      <c r="BH229" s="4604">
        <v>33</v>
      </c>
      <c r="BI229" s="621">
        <v>65349463</v>
      </c>
      <c r="BJ229" s="621">
        <v>65362243</v>
      </c>
      <c r="BK229" s="621">
        <v>0</v>
      </c>
      <c r="BL229" s="4605">
        <v>61</v>
      </c>
      <c r="BM229" s="621">
        <v>67</v>
      </c>
      <c r="BN229" s="621">
        <v>62</v>
      </c>
      <c r="BO229" s="621">
        <v>21</v>
      </c>
      <c r="BP229" s="621">
        <v>18</v>
      </c>
      <c r="BQ229" s="621">
        <v>19</v>
      </c>
    </row>
    <row r="230" spans="1:69">
      <c r="A230" s="888">
        <v>445</v>
      </c>
      <c r="B230" s="889" t="s">
        <v>549</v>
      </c>
      <c r="C230" s="890" t="s">
        <v>220</v>
      </c>
      <c r="D230" s="621">
        <v>134011752</v>
      </c>
      <c r="E230" s="621">
        <v>122340546</v>
      </c>
      <c r="F230" s="621">
        <v>130613267</v>
      </c>
      <c r="G230" s="621">
        <v>119181294</v>
      </c>
      <c r="H230" s="648">
        <v>1705.9</v>
      </c>
      <c r="I230" s="648">
        <v>1696.3</v>
      </c>
      <c r="J230" s="649">
        <v>120</v>
      </c>
      <c r="K230" s="621">
        <v>13463281</v>
      </c>
      <c r="L230" s="484">
        <v>1740.9</v>
      </c>
      <c r="M230" s="648">
        <v>1770.6</v>
      </c>
      <c r="N230" s="649">
        <v>1752.5</v>
      </c>
      <c r="O230" s="648">
        <v>1684</v>
      </c>
      <c r="P230" s="621">
        <v>1411100</v>
      </c>
      <c r="Q230" s="621">
        <v>1501134</v>
      </c>
      <c r="R230" s="621">
        <v>1783981</v>
      </c>
      <c r="S230" s="621">
        <v>1548644</v>
      </c>
      <c r="T230" s="621">
        <v>0</v>
      </c>
      <c r="U230" s="621">
        <v>0</v>
      </c>
      <c r="V230" s="621"/>
      <c r="W230" s="650">
        <v>0.36</v>
      </c>
      <c r="X230" s="621">
        <v>1129</v>
      </c>
      <c r="Y230" s="621">
        <v>163</v>
      </c>
      <c r="Z230" s="650">
        <v>0.35</v>
      </c>
      <c r="AA230" s="650">
        <v>0</v>
      </c>
      <c r="AB230" s="651">
        <v>0.45190000000000002</v>
      </c>
      <c r="AC230" s="621">
        <v>1536288</v>
      </c>
      <c r="AD230" s="621">
        <v>1464849</v>
      </c>
      <c r="AE230" s="621">
        <v>1464849</v>
      </c>
      <c r="AF230" s="484">
        <v>1740.9</v>
      </c>
      <c r="AG230" s="649">
        <v>1741.9</v>
      </c>
      <c r="AH230" s="891">
        <v>1730.3</v>
      </c>
      <c r="AI230" s="649">
        <v>1657.5</v>
      </c>
      <c r="AJ230" s="652">
        <v>0</v>
      </c>
      <c r="AK230" s="621"/>
      <c r="AL230" s="621"/>
      <c r="AM230" s="621">
        <v>0</v>
      </c>
      <c r="AN230" s="621">
        <v>0</v>
      </c>
      <c r="AO230" s="649">
        <v>1630</v>
      </c>
      <c r="AP230" s="649"/>
      <c r="AQ230" s="892">
        <v>0</v>
      </c>
      <c r="AR230" s="652"/>
      <c r="AS230" s="648"/>
      <c r="AT230" s="649">
        <v>0</v>
      </c>
      <c r="AU230" s="653">
        <v>0</v>
      </c>
      <c r="AV230" s="621">
        <v>11860107</v>
      </c>
      <c r="AW230" s="621">
        <v>226535</v>
      </c>
      <c r="AX230" s="621">
        <v>296169</v>
      </c>
      <c r="AY230" s="621">
        <v>1660969</v>
      </c>
      <c r="AZ230" s="621"/>
      <c r="BA230" s="428">
        <v>1</v>
      </c>
      <c r="BB230" s="621">
        <v>75925</v>
      </c>
      <c r="BC230" s="621">
        <v>75677</v>
      </c>
      <c r="BE230" s="621">
        <v>11961797</v>
      </c>
      <c r="BF230" s="621">
        <v>0</v>
      </c>
      <c r="BG230" s="621">
        <v>0</v>
      </c>
      <c r="BH230" s="4604">
        <v>31</v>
      </c>
      <c r="BI230" s="621">
        <v>133576641</v>
      </c>
      <c r="BJ230" s="621">
        <v>130282714</v>
      </c>
      <c r="BK230" s="621">
        <v>75925</v>
      </c>
      <c r="BL230" s="4605">
        <v>1250</v>
      </c>
      <c r="BM230" s="621">
        <v>1222</v>
      </c>
      <c r="BN230" s="621">
        <v>1194</v>
      </c>
      <c r="BO230" s="621">
        <v>87</v>
      </c>
      <c r="BP230" s="621">
        <v>142</v>
      </c>
      <c r="BQ230" s="621">
        <v>148</v>
      </c>
    </row>
    <row r="231" spans="1:69">
      <c r="A231" s="888">
        <v>446</v>
      </c>
      <c r="B231" s="889" t="s">
        <v>550</v>
      </c>
      <c r="C231" s="890" t="s">
        <v>220</v>
      </c>
      <c r="D231" s="621">
        <v>113453579</v>
      </c>
      <c r="E231" s="621">
        <v>101778085</v>
      </c>
      <c r="F231" s="621">
        <v>110531454</v>
      </c>
      <c r="G231" s="621">
        <v>99016487</v>
      </c>
      <c r="H231" s="648">
        <v>1957.5</v>
      </c>
      <c r="I231" s="648">
        <v>1965.2</v>
      </c>
      <c r="J231" s="649">
        <v>210.9</v>
      </c>
      <c r="K231" s="621">
        <v>14419307</v>
      </c>
      <c r="L231" s="484">
        <v>1997.1</v>
      </c>
      <c r="M231" s="648">
        <v>1981.5</v>
      </c>
      <c r="N231" s="649">
        <v>1988.2</v>
      </c>
      <c r="O231" s="648">
        <v>1892.5</v>
      </c>
      <c r="P231" s="621">
        <v>1585402</v>
      </c>
      <c r="Q231" s="621">
        <v>1619026</v>
      </c>
      <c r="R231" s="621">
        <v>2503523</v>
      </c>
      <c r="S231" s="621">
        <v>1410849</v>
      </c>
      <c r="T231" s="621">
        <v>9778</v>
      </c>
      <c r="U231" s="621">
        <v>0</v>
      </c>
      <c r="V231" s="621"/>
      <c r="W231" s="650">
        <v>0.55000000000000004</v>
      </c>
      <c r="X231" s="621">
        <v>1063</v>
      </c>
      <c r="Y231" s="621">
        <v>224</v>
      </c>
      <c r="Z231" s="650">
        <v>0.54</v>
      </c>
      <c r="AA231" s="650">
        <v>0.18</v>
      </c>
      <c r="AB231" s="651">
        <v>0.58509999999999995</v>
      </c>
      <c r="AC231" s="621">
        <v>1752348</v>
      </c>
      <c r="AD231" s="621">
        <v>1535827</v>
      </c>
      <c r="AE231" s="621">
        <v>1535827</v>
      </c>
      <c r="AF231" s="484">
        <v>1997.1</v>
      </c>
      <c r="AG231" s="649">
        <v>1981.5</v>
      </c>
      <c r="AH231" s="891">
        <v>1988.2</v>
      </c>
      <c r="AI231" s="649">
        <v>1892.5</v>
      </c>
      <c r="AJ231" s="652">
        <v>0</v>
      </c>
      <c r="AK231" s="621"/>
      <c r="AL231" s="621"/>
      <c r="AM231" s="621">
        <v>0</v>
      </c>
      <c r="AN231" s="621">
        <v>18424</v>
      </c>
      <c r="AO231" s="649">
        <v>1877</v>
      </c>
      <c r="AP231" s="649"/>
      <c r="AQ231" s="892">
        <v>0</v>
      </c>
      <c r="AR231" s="652"/>
      <c r="AS231" s="648"/>
      <c r="AT231" s="649">
        <v>0</v>
      </c>
      <c r="AU231" s="653">
        <v>0</v>
      </c>
      <c r="AV231" s="621">
        <v>12670079</v>
      </c>
      <c r="AW231" s="621">
        <v>243265</v>
      </c>
      <c r="AX231" s="621">
        <v>240583</v>
      </c>
      <c r="AY231" s="621">
        <v>2370995</v>
      </c>
      <c r="AZ231" s="621"/>
      <c r="BA231" s="428">
        <v>1</v>
      </c>
      <c r="BB231" s="621">
        <v>0</v>
      </c>
      <c r="BC231" s="621">
        <v>0</v>
      </c>
      <c r="BE231" s="621">
        <v>12780965</v>
      </c>
      <c r="BF231" s="621">
        <v>8118</v>
      </c>
      <c r="BG231" s="621">
        <v>3512</v>
      </c>
      <c r="BH231" s="4604">
        <v>31</v>
      </c>
      <c r="BI231" s="621">
        <v>112700947</v>
      </c>
      <c r="BJ231" s="621">
        <v>109730492</v>
      </c>
      <c r="BK231" s="621">
        <v>0</v>
      </c>
      <c r="BL231" s="4605">
        <v>1087</v>
      </c>
      <c r="BM231" s="621">
        <v>1084</v>
      </c>
      <c r="BN231" s="621">
        <v>1127</v>
      </c>
      <c r="BO231" s="621">
        <v>271</v>
      </c>
      <c r="BP231" s="621">
        <v>281</v>
      </c>
      <c r="BQ231" s="621">
        <v>274</v>
      </c>
    </row>
    <row r="232" spans="1:69">
      <c r="A232" s="888">
        <v>447</v>
      </c>
      <c r="B232" s="889" t="s">
        <v>551</v>
      </c>
      <c r="C232" s="890" t="s">
        <v>220</v>
      </c>
      <c r="D232" s="621">
        <v>25385326</v>
      </c>
      <c r="E232" s="621">
        <v>21445940</v>
      </c>
      <c r="F232" s="621">
        <v>24714374</v>
      </c>
      <c r="G232" s="621">
        <v>20923595</v>
      </c>
      <c r="H232" s="648">
        <v>777.5</v>
      </c>
      <c r="I232" s="648">
        <v>747.5</v>
      </c>
      <c r="J232" s="649">
        <v>140</v>
      </c>
      <c r="K232" s="621">
        <v>6711861</v>
      </c>
      <c r="L232" s="484">
        <v>798.5</v>
      </c>
      <c r="M232" s="648">
        <f>786.5-1</f>
        <v>785.5</v>
      </c>
      <c r="N232" s="649">
        <v>757.5</v>
      </c>
      <c r="O232" s="648">
        <v>737</v>
      </c>
      <c r="P232" s="621">
        <v>610766</v>
      </c>
      <c r="Q232" s="621">
        <v>609480</v>
      </c>
      <c r="R232" s="621">
        <v>1543407</v>
      </c>
      <c r="S232" s="621">
        <v>609546</v>
      </c>
      <c r="T232" s="621">
        <v>6318</v>
      </c>
      <c r="U232" s="621">
        <v>0</v>
      </c>
      <c r="V232" s="621"/>
      <c r="W232" s="650">
        <v>0.79</v>
      </c>
      <c r="X232" s="621">
        <v>413</v>
      </c>
      <c r="Y232" s="621">
        <v>86</v>
      </c>
      <c r="Z232" s="650">
        <v>0.78</v>
      </c>
      <c r="AA232" s="650">
        <v>0.42</v>
      </c>
      <c r="AB232" s="651">
        <v>0.76119999999999999</v>
      </c>
      <c r="AC232" s="621">
        <v>814142</v>
      </c>
      <c r="AD232" s="621">
        <v>776013</v>
      </c>
      <c r="AE232" s="621">
        <v>776013</v>
      </c>
      <c r="AF232" s="484">
        <v>798.5</v>
      </c>
      <c r="AG232" s="649">
        <v>785.5</v>
      </c>
      <c r="AH232" s="4602">
        <v>757.5</v>
      </c>
      <c r="AI232" s="649">
        <v>737</v>
      </c>
      <c r="AJ232" s="652">
        <v>0</v>
      </c>
      <c r="AK232" s="621"/>
      <c r="AL232" s="621"/>
      <c r="AM232" s="621">
        <v>0</v>
      </c>
      <c r="AN232" s="621">
        <v>0</v>
      </c>
      <c r="AO232" s="649">
        <v>730</v>
      </c>
      <c r="AP232" s="649"/>
      <c r="AQ232" s="892">
        <v>0</v>
      </c>
      <c r="AR232" s="652"/>
      <c r="AS232" s="648"/>
      <c r="AT232" s="649">
        <v>0</v>
      </c>
      <c r="AU232" s="653">
        <v>0</v>
      </c>
      <c r="AV232" s="621">
        <v>6037085</v>
      </c>
      <c r="AW232" s="621">
        <v>150317</v>
      </c>
      <c r="AX232" s="621">
        <v>148170</v>
      </c>
      <c r="AY232" s="621">
        <v>1553230</v>
      </c>
      <c r="AZ232" s="621"/>
      <c r="BA232" s="428">
        <v>1</v>
      </c>
      <c r="BB232" s="621">
        <v>0</v>
      </c>
      <c r="BC232" s="621">
        <v>0</v>
      </c>
      <c r="BE232" s="621">
        <v>6102180</v>
      </c>
      <c r="BF232" s="621">
        <v>3639</v>
      </c>
      <c r="BG232" s="621">
        <v>1346</v>
      </c>
      <c r="BH232" s="4604">
        <v>31</v>
      </c>
      <c r="BI232" s="621">
        <v>25366795</v>
      </c>
      <c r="BJ232" s="621">
        <v>24701140</v>
      </c>
      <c r="BK232" s="621">
        <v>0</v>
      </c>
      <c r="BL232" s="4605">
        <v>440</v>
      </c>
      <c r="BM232" s="621">
        <v>437</v>
      </c>
      <c r="BN232" s="621">
        <v>433</v>
      </c>
      <c r="BO232" s="621">
        <v>102</v>
      </c>
      <c r="BP232" s="621">
        <v>99</v>
      </c>
      <c r="BQ232" s="621">
        <v>91</v>
      </c>
    </row>
    <row r="233" spans="1:69">
      <c r="A233" s="888">
        <v>448</v>
      </c>
      <c r="B233" s="889" t="s">
        <v>552</v>
      </c>
      <c r="C233" s="890" t="s">
        <v>212</v>
      </c>
      <c r="D233" s="621">
        <v>44787031</v>
      </c>
      <c r="E233" s="621">
        <v>42603655</v>
      </c>
      <c r="F233" s="621">
        <v>45457349</v>
      </c>
      <c r="G233" s="621">
        <v>43257314</v>
      </c>
      <c r="H233" s="648">
        <v>387.5</v>
      </c>
      <c r="I233" s="648">
        <v>390</v>
      </c>
      <c r="J233" s="649">
        <v>144</v>
      </c>
      <c r="K233" s="621">
        <v>3454681</v>
      </c>
      <c r="L233" s="484">
        <v>422.5</v>
      </c>
      <c r="M233" s="648">
        <v>393.5</v>
      </c>
      <c r="N233" s="649">
        <v>394.5</v>
      </c>
      <c r="O233" s="648">
        <v>393.5</v>
      </c>
      <c r="P233" s="621">
        <v>534251</v>
      </c>
      <c r="Q233" s="621">
        <v>557744</v>
      </c>
      <c r="R233" s="621">
        <v>224903</v>
      </c>
      <c r="S233" s="621">
        <v>403182</v>
      </c>
      <c r="T233" s="621">
        <v>11335</v>
      </c>
      <c r="U233" s="621">
        <v>0</v>
      </c>
      <c r="V233" s="621"/>
      <c r="W233" s="650">
        <v>0</v>
      </c>
      <c r="X233" s="621">
        <v>69</v>
      </c>
      <c r="Y233" s="621">
        <v>28</v>
      </c>
      <c r="Z233" s="650">
        <v>0</v>
      </c>
      <c r="AA233" s="650">
        <v>0</v>
      </c>
      <c r="AB233" s="651">
        <v>0.17910000000000001</v>
      </c>
      <c r="AC233" s="621">
        <v>413131</v>
      </c>
      <c r="AD233" s="621">
        <v>404417</v>
      </c>
      <c r="AE233" s="621">
        <v>404417</v>
      </c>
      <c r="AF233" s="484">
        <v>422.5</v>
      </c>
      <c r="AG233" s="649">
        <v>393.5</v>
      </c>
      <c r="AH233" s="891">
        <v>394.5</v>
      </c>
      <c r="AI233" s="649">
        <v>393.5</v>
      </c>
      <c r="AJ233" s="652">
        <v>0</v>
      </c>
      <c r="AK233" s="621"/>
      <c r="AL233" s="621"/>
      <c r="AM233" s="621">
        <v>1</v>
      </c>
      <c r="AN233" s="621">
        <v>0</v>
      </c>
      <c r="AO233" s="649">
        <v>390.5</v>
      </c>
      <c r="AP233" s="649"/>
      <c r="AQ233" s="892">
        <v>0</v>
      </c>
      <c r="AR233" s="652"/>
      <c r="AS233" s="648"/>
      <c r="AT233" s="649">
        <v>0</v>
      </c>
      <c r="AU233" s="653">
        <v>0</v>
      </c>
      <c r="AV233" s="621">
        <v>3030952</v>
      </c>
      <c r="AW233" s="621">
        <v>0</v>
      </c>
      <c r="AX233" s="621">
        <v>0</v>
      </c>
      <c r="AY233" s="621">
        <v>244514</v>
      </c>
      <c r="AZ233" s="621"/>
      <c r="BA233" s="428">
        <v>1</v>
      </c>
      <c r="BB233" s="621">
        <v>0</v>
      </c>
      <c r="BC233" s="621">
        <v>0</v>
      </c>
      <c r="BE233" s="621">
        <v>2896937</v>
      </c>
      <c r="BF233" s="621">
        <v>340</v>
      </c>
      <c r="BG233" s="621">
        <v>316</v>
      </c>
      <c r="BH233" s="4604">
        <v>33</v>
      </c>
      <c r="BI233" s="621">
        <v>44770551</v>
      </c>
      <c r="BJ233" s="621">
        <v>45444669</v>
      </c>
      <c r="BK233" s="621">
        <v>0</v>
      </c>
      <c r="BL233" s="4605">
        <v>89</v>
      </c>
      <c r="BM233" s="621">
        <v>80</v>
      </c>
      <c r="BN233" s="621">
        <v>99</v>
      </c>
      <c r="BO233" s="621">
        <v>29</v>
      </c>
      <c r="BP233" s="621">
        <v>17</v>
      </c>
      <c r="BQ233" s="621">
        <v>18</v>
      </c>
    </row>
    <row r="234" spans="1:69">
      <c r="A234" s="888">
        <v>449</v>
      </c>
      <c r="B234" s="889" t="s">
        <v>553</v>
      </c>
      <c r="C234" s="890" t="s">
        <v>138</v>
      </c>
      <c r="D234" s="621">
        <v>44543692</v>
      </c>
      <c r="E234" s="621">
        <v>41375568</v>
      </c>
      <c r="F234" s="621">
        <v>46403783</v>
      </c>
      <c r="G234" s="621">
        <v>43226419</v>
      </c>
      <c r="H234" s="648">
        <v>651.29999999999995</v>
      </c>
      <c r="I234" s="648">
        <v>628.79999999999995</v>
      </c>
      <c r="J234" s="649">
        <v>117</v>
      </c>
      <c r="K234" s="621">
        <v>5526206</v>
      </c>
      <c r="L234" s="484">
        <v>624.29999999999995</v>
      </c>
      <c r="M234" s="648">
        <v>651.29999999999995</v>
      </c>
      <c r="N234" s="649">
        <v>630.79999999999995</v>
      </c>
      <c r="O234" s="648">
        <v>625</v>
      </c>
      <c r="P234" s="621">
        <v>984024</v>
      </c>
      <c r="Q234" s="621">
        <v>902039</v>
      </c>
      <c r="R234" s="621">
        <v>854699</v>
      </c>
      <c r="S234" s="621">
        <v>742094</v>
      </c>
      <c r="T234" s="621">
        <v>14684</v>
      </c>
      <c r="U234" s="621">
        <v>0</v>
      </c>
      <c r="V234" s="621"/>
      <c r="W234" s="650">
        <v>0.39</v>
      </c>
      <c r="X234" s="621">
        <v>84</v>
      </c>
      <c r="Y234" s="621">
        <v>80</v>
      </c>
      <c r="Z234" s="650">
        <v>0.38</v>
      </c>
      <c r="AA234" s="650">
        <v>0.02</v>
      </c>
      <c r="AB234" s="651">
        <v>0.49759999999999999</v>
      </c>
      <c r="AC234" s="621">
        <v>602447</v>
      </c>
      <c r="AD234" s="621">
        <v>579105</v>
      </c>
      <c r="AE234" s="621">
        <v>579105</v>
      </c>
      <c r="AF234" s="484">
        <v>624.29999999999995</v>
      </c>
      <c r="AG234" s="649">
        <v>651.29999999999995</v>
      </c>
      <c r="AH234" s="891">
        <v>630.79999999999995</v>
      </c>
      <c r="AI234" s="649">
        <v>625</v>
      </c>
      <c r="AJ234" s="652">
        <v>0</v>
      </c>
      <c r="AK234" s="621"/>
      <c r="AL234" s="621"/>
      <c r="AM234" s="621">
        <v>39</v>
      </c>
      <c r="AN234" s="621">
        <v>0</v>
      </c>
      <c r="AO234" s="649">
        <v>625</v>
      </c>
      <c r="AP234" s="649"/>
      <c r="AQ234" s="892">
        <v>0</v>
      </c>
      <c r="AR234" s="652"/>
      <c r="AS234" s="648"/>
      <c r="AT234" s="649">
        <v>0</v>
      </c>
      <c r="AU234" s="653">
        <v>0</v>
      </c>
      <c r="AV234" s="621">
        <v>4569196</v>
      </c>
      <c r="AW234" s="621">
        <v>156794</v>
      </c>
      <c r="AX234" s="621">
        <v>137355</v>
      </c>
      <c r="AY234" s="621">
        <v>867387</v>
      </c>
      <c r="AZ234" s="621"/>
      <c r="BA234" s="428">
        <v>1</v>
      </c>
      <c r="BB234" s="621">
        <v>0</v>
      </c>
      <c r="BC234" s="621">
        <v>0</v>
      </c>
      <c r="BE234" s="621">
        <v>4623594</v>
      </c>
      <c r="BF234" s="621">
        <v>2120</v>
      </c>
      <c r="BG234" s="621">
        <v>761</v>
      </c>
      <c r="BH234" s="4604">
        <v>31</v>
      </c>
      <c r="BI234" s="621">
        <v>44543692</v>
      </c>
      <c r="BJ234" s="621">
        <v>46403783</v>
      </c>
      <c r="BK234" s="621">
        <v>0</v>
      </c>
      <c r="BL234" s="4605">
        <v>120</v>
      </c>
      <c r="BM234" s="621">
        <v>138</v>
      </c>
      <c r="BN234" s="621">
        <v>113</v>
      </c>
      <c r="BO234" s="621">
        <v>92</v>
      </c>
      <c r="BP234" s="621">
        <v>78</v>
      </c>
      <c r="BQ234" s="621">
        <v>69</v>
      </c>
    </row>
    <row r="235" spans="1:69">
      <c r="A235" s="888">
        <v>450</v>
      </c>
      <c r="B235" s="889" t="s">
        <v>554</v>
      </c>
      <c r="C235" s="890" t="s">
        <v>183</v>
      </c>
      <c r="D235" s="621">
        <v>212278280</v>
      </c>
      <c r="E235" s="621">
        <v>194724910</v>
      </c>
      <c r="F235" s="621">
        <v>207754341</v>
      </c>
      <c r="G235" s="621">
        <v>189937542</v>
      </c>
      <c r="H235" s="648">
        <v>3420.5</v>
      </c>
      <c r="I235" s="648">
        <v>3611.5</v>
      </c>
      <c r="J235" s="649">
        <v>140</v>
      </c>
      <c r="K235" s="621">
        <v>24830788</v>
      </c>
      <c r="L235" s="484">
        <v>3490.7</v>
      </c>
      <c r="M235" s="648">
        <v>3460.5</v>
      </c>
      <c r="N235" s="649">
        <v>3648.6</v>
      </c>
      <c r="O235" s="648">
        <v>3522.3</v>
      </c>
      <c r="P235" s="621">
        <v>3503898</v>
      </c>
      <c r="Q235" s="621">
        <v>3783040</v>
      </c>
      <c r="R235" s="621">
        <v>4643613</v>
      </c>
      <c r="S235" s="621">
        <v>3011455</v>
      </c>
      <c r="T235" s="621">
        <v>11931</v>
      </c>
      <c r="U235" s="621">
        <v>0</v>
      </c>
      <c r="V235" s="621"/>
      <c r="W235" s="650">
        <v>0.52</v>
      </c>
      <c r="X235" s="621">
        <v>953</v>
      </c>
      <c r="Y235" s="621">
        <v>329</v>
      </c>
      <c r="Z235" s="650">
        <v>0.53</v>
      </c>
      <c r="AA235" s="650">
        <v>0.17</v>
      </c>
      <c r="AB235" s="651">
        <v>0.56889999999999996</v>
      </c>
      <c r="AC235" s="621">
        <v>3630476</v>
      </c>
      <c r="AD235" s="621">
        <v>3473837</v>
      </c>
      <c r="AE235" s="621">
        <v>3473837</v>
      </c>
      <c r="AF235" s="484">
        <v>3490.7</v>
      </c>
      <c r="AG235" s="649">
        <v>3440.5</v>
      </c>
      <c r="AH235" s="891">
        <v>3627</v>
      </c>
      <c r="AI235" s="649">
        <v>3506.5</v>
      </c>
      <c r="AJ235" s="652">
        <v>0</v>
      </c>
      <c r="AK235" s="621"/>
      <c r="AL235" s="621"/>
      <c r="AM235" s="621">
        <v>56</v>
      </c>
      <c r="AN235" s="621">
        <v>0</v>
      </c>
      <c r="AO235" s="649">
        <v>3493.5</v>
      </c>
      <c r="AP235" s="649"/>
      <c r="AQ235" s="892">
        <v>0</v>
      </c>
      <c r="AR235" s="652"/>
      <c r="AS235" s="648"/>
      <c r="AT235" s="649">
        <v>0</v>
      </c>
      <c r="AU235" s="653">
        <v>0</v>
      </c>
      <c r="AV235" s="621">
        <v>20077376</v>
      </c>
      <c r="AW235" s="621">
        <v>812328</v>
      </c>
      <c r="AX235" s="621">
        <v>780302</v>
      </c>
      <c r="AY235" s="621">
        <v>4185821</v>
      </c>
      <c r="AZ235" s="621"/>
      <c r="BA235" s="428">
        <v>1</v>
      </c>
      <c r="BB235" s="621">
        <v>0</v>
      </c>
      <c r="BC235" s="621">
        <v>0</v>
      </c>
      <c r="BE235" s="621">
        <v>21047748</v>
      </c>
      <c r="BF235" s="621">
        <v>13346</v>
      </c>
      <c r="BG235" s="621">
        <v>6135</v>
      </c>
      <c r="BH235" s="4604">
        <v>33</v>
      </c>
      <c r="BI235" s="621">
        <v>220741229</v>
      </c>
      <c r="BJ235" s="621">
        <v>216373643</v>
      </c>
      <c r="BK235" s="621">
        <v>0</v>
      </c>
      <c r="BL235" s="4605">
        <v>979</v>
      </c>
      <c r="BM235" s="621">
        <v>957</v>
      </c>
      <c r="BN235" s="621">
        <v>979</v>
      </c>
      <c r="BO235" s="621">
        <v>307</v>
      </c>
      <c r="BP235" s="621">
        <v>329</v>
      </c>
      <c r="BQ235" s="621">
        <v>361</v>
      </c>
    </row>
    <row r="236" spans="1:69">
      <c r="A236" s="888">
        <v>452</v>
      </c>
      <c r="B236" s="889" t="s">
        <v>556</v>
      </c>
      <c r="C236" s="890" t="s">
        <v>222</v>
      </c>
      <c r="D236" s="621">
        <v>51683698</v>
      </c>
      <c r="E236" s="621">
        <v>49879020</v>
      </c>
      <c r="F236" s="621">
        <v>42060007</v>
      </c>
      <c r="G236" s="621">
        <v>40247484</v>
      </c>
      <c r="H236" s="648">
        <v>430</v>
      </c>
      <c r="I236" s="648">
        <v>443.5</v>
      </c>
      <c r="J236" s="649">
        <v>690</v>
      </c>
      <c r="K236" s="621">
        <v>4035798</v>
      </c>
      <c r="L236" s="484">
        <v>424</v>
      </c>
      <c r="M236" s="648">
        <v>433.5</v>
      </c>
      <c r="N236" s="649">
        <v>448.5</v>
      </c>
      <c r="O236" s="648">
        <v>429</v>
      </c>
      <c r="P236" s="621">
        <v>259972</v>
      </c>
      <c r="Q236" s="621">
        <v>268682</v>
      </c>
      <c r="R236" s="621">
        <v>123603</v>
      </c>
      <c r="S236" s="621">
        <v>289235</v>
      </c>
      <c r="T236" s="621">
        <v>0</v>
      </c>
      <c r="U236" s="621">
        <v>0</v>
      </c>
      <c r="V236" s="621"/>
      <c r="W236" s="650">
        <v>0.14000000000000001</v>
      </c>
      <c r="X236" s="621">
        <v>180</v>
      </c>
      <c r="Y236" s="621">
        <v>81</v>
      </c>
      <c r="Z236" s="650">
        <v>0.14000000000000001</v>
      </c>
      <c r="AA236" s="650">
        <v>0</v>
      </c>
      <c r="AB236" s="651">
        <v>0.1857</v>
      </c>
      <c r="AC236" s="621">
        <v>446540</v>
      </c>
      <c r="AD236" s="621">
        <v>390770</v>
      </c>
      <c r="AE236" s="621">
        <v>390770</v>
      </c>
      <c r="AF236" s="484">
        <v>424</v>
      </c>
      <c r="AG236" s="649">
        <v>433.5</v>
      </c>
      <c r="AH236" s="891">
        <v>448.5</v>
      </c>
      <c r="AI236" s="649">
        <v>429</v>
      </c>
      <c r="AJ236" s="652">
        <v>0</v>
      </c>
      <c r="AK236" s="621"/>
      <c r="AL236" s="621"/>
      <c r="AM236" s="621">
        <v>0</v>
      </c>
      <c r="AN236" s="621">
        <v>0</v>
      </c>
      <c r="AO236" s="649">
        <v>420</v>
      </c>
      <c r="AP236" s="649"/>
      <c r="AQ236" s="892">
        <v>0</v>
      </c>
      <c r="AR236" s="652"/>
      <c r="AS236" s="648"/>
      <c r="AT236" s="649">
        <v>0</v>
      </c>
      <c r="AU236" s="653">
        <v>0</v>
      </c>
      <c r="AV236" s="621">
        <v>3624664</v>
      </c>
      <c r="AW236" s="621">
        <v>0</v>
      </c>
      <c r="AX236" s="621">
        <v>0</v>
      </c>
      <c r="AY236" s="621">
        <v>94707</v>
      </c>
      <c r="AZ236" s="621"/>
      <c r="BA236" s="428">
        <v>1</v>
      </c>
      <c r="BB236" s="621">
        <v>0</v>
      </c>
      <c r="BC236" s="621">
        <v>0</v>
      </c>
      <c r="BE236" s="621">
        <v>3766752</v>
      </c>
      <c r="BF236" s="621">
        <v>932</v>
      </c>
      <c r="BG236" s="621">
        <v>888</v>
      </c>
      <c r="BH236" s="4604">
        <v>30</v>
      </c>
      <c r="BI236" s="621">
        <v>51683698</v>
      </c>
      <c r="BJ236" s="621">
        <v>42060007</v>
      </c>
      <c r="BK236" s="621">
        <v>0</v>
      </c>
      <c r="BL236" s="4605">
        <v>161</v>
      </c>
      <c r="BM236" s="621">
        <v>166</v>
      </c>
      <c r="BN236" s="621">
        <v>196</v>
      </c>
      <c r="BO236" s="621">
        <v>104</v>
      </c>
      <c r="BP236" s="621">
        <v>111</v>
      </c>
      <c r="BQ236" s="621">
        <v>92</v>
      </c>
    </row>
    <row r="237" spans="1:69">
      <c r="A237" s="888">
        <v>453</v>
      </c>
      <c r="B237" s="889" t="s">
        <v>557</v>
      </c>
      <c r="C237" s="890" t="s">
        <v>138</v>
      </c>
      <c r="D237" s="621">
        <v>206185314</v>
      </c>
      <c r="E237" s="621">
        <v>184742575</v>
      </c>
      <c r="F237" s="621">
        <v>214983426</v>
      </c>
      <c r="G237" s="621">
        <v>193545720</v>
      </c>
      <c r="H237" s="648">
        <v>3620.7</v>
      </c>
      <c r="I237" s="648">
        <v>3549.7</v>
      </c>
      <c r="J237" s="649">
        <v>17</v>
      </c>
      <c r="K237" s="621">
        <v>26321496</v>
      </c>
      <c r="L237" s="484">
        <v>3648.4</v>
      </c>
      <c r="M237" s="648">
        <v>3753</v>
      </c>
      <c r="N237" s="649">
        <v>3673.7</v>
      </c>
      <c r="O237" s="648">
        <v>3519.7</v>
      </c>
      <c r="P237" s="621">
        <v>3744601</v>
      </c>
      <c r="Q237" s="621">
        <v>3970030</v>
      </c>
      <c r="R237" s="621">
        <v>4654466</v>
      </c>
      <c r="S237" s="621">
        <v>3833833</v>
      </c>
      <c r="T237" s="621">
        <v>0</v>
      </c>
      <c r="U237" s="621">
        <v>0</v>
      </c>
      <c r="V237" s="621"/>
      <c r="W237" s="650">
        <v>0.54</v>
      </c>
      <c r="X237" s="621">
        <v>1397</v>
      </c>
      <c r="Y237" s="621">
        <v>309</v>
      </c>
      <c r="Z237" s="650">
        <v>0.53</v>
      </c>
      <c r="AA237" s="650">
        <v>0.17</v>
      </c>
      <c r="AB237" s="651">
        <v>0.60299999999999998</v>
      </c>
      <c r="AC237" s="621">
        <v>3953720</v>
      </c>
      <c r="AD237" s="621">
        <v>3661106</v>
      </c>
      <c r="AE237" s="621">
        <v>3661106</v>
      </c>
      <c r="AF237" s="484">
        <v>3648.4</v>
      </c>
      <c r="AG237" s="649">
        <v>3656.7</v>
      </c>
      <c r="AH237" s="891">
        <v>3589.7</v>
      </c>
      <c r="AI237" s="649">
        <v>3298.8</v>
      </c>
      <c r="AJ237" s="652">
        <v>0</v>
      </c>
      <c r="AK237" s="621"/>
      <c r="AL237" s="621"/>
      <c r="AM237" s="621">
        <v>446</v>
      </c>
      <c r="AN237" s="621">
        <v>61662</v>
      </c>
      <c r="AO237" s="649">
        <v>3276.3</v>
      </c>
      <c r="AP237" s="649"/>
      <c r="AQ237" s="892">
        <v>0</v>
      </c>
      <c r="AR237" s="652"/>
      <c r="AS237" s="648"/>
      <c r="AT237" s="649">
        <v>0</v>
      </c>
      <c r="AU237" s="653">
        <v>0</v>
      </c>
      <c r="AV237" s="621">
        <v>21709791</v>
      </c>
      <c r="AW237" s="621">
        <v>889555</v>
      </c>
      <c r="AX237" s="621">
        <v>896028</v>
      </c>
      <c r="AY237" s="621">
        <v>4626825</v>
      </c>
      <c r="AZ237" s="621"/>
      <c r="BA237" s="428">
        <v>1</v>
      </c>
      <c r="BB237" s="621">
        <v>0</v>
      </c>
      <c r="BC237" s="621">
        <v>0</v>
      </c>
      <c r="BE237" s="621">
        <v>22272210</v>
      </c>
      <c r="BF237" s="621">
        <v>7447</v>
      </c>
      <c r="BG237" s="621">
        <v>0</v>
      </c>
      <c r="BH237" s="4604">
        <v>31</v>
      </c>
      <c r="BI237" s="621">
        <v>198561341</v>
      </c>
      <c r="BJ237" s="621">
        <v>207413957</v>
      </c>
      <c r="BK237" s="621">
        <v>0</v>
      </c>
      <c r="BL237" s="4605">
        <v>1820</v>
      </c>
      <c r="BM237" s="621">
        <v>1687</v>
      </c>
      <c r="BN237" s="621">
        <v>1612</v>
      </c>
      <c r="BO237" s="621">
        <v>388</v>
      </c>
      <c r="BP237" s="621">
        <v>410</v>
      </c>
      <c r="BQ237" s="621">
        <v>424</v>
      </c>
    </row>
    <row r="238" spans="1:69">
      <c r="A238" s="888">
        <v>454</v>
      </c>
      <c r="B238" s="889" t="s">
        <v>558</v>
      </c>
      <c r="C238" s="890" t="s">
        <v>218</v>
      </c>
      <c r="D238" s="621">
        <v>13983251</v>
      </c>
      <c r="E238" s="621">
        <v>12291412</v>
      </c>
      <c r="F238" s="621">
        <v>14722339</v>
      </c>
      <c r="G238" s="621">
        <v>13028357</v>
      </c>
      <c r="H238" s="648">
        <v>291</v>
      </c>
      <c r="I238" s="648">
        <v>277.5</v>
      </c>
      <c r="J238" s="649">
        <v>74</v>
      </c>
      <c r="K238" s="621">
        <v>2665477</v>
      </c>
      <c r="L238" s="484">
        <v>287.5</v>
      </c>
      <c r="M238" s="648">
        <v>291.5</v>
      </c>
      <c r="N238" s="649">
        <v>281.5</v>
      </c>
      <c r="O238" s="648">
        <v>270.5</v>
      </c>
      <c r="P238" s="621">
        <v>388913</v>
      </c>
      <c r="Q238" s="621">
        <v>370336</v>
      </c>
      <c r="R238" s="621">
        <v>525609</v>
      </c>
      <c r="S238" s="621">
        <v>386535</v>
      </c>
      <c r="T238" s="621">
        <v>7444</v>
      </c>
      <c r="U238" s="621">
        <v>0</v>
      </c>
      <c r="V238" s="621"/>
      <c r="W238" s="650">
        <v>0.59</v>
      </c>
      <c r="X238" s="621">
        <v>81</v>
      </c>
      <c r="Y238" s="621">
        <v>47</v>
      </c>
      <c r="Z238" s="650">
        <v>0.57999999999999996</v>
      </c>
      <c r="AA238" s="650">
        <v>0.22</v>
      </c>
      <c r="AB238" s="651">
        <v>0.63759999999999994</v>
      </c>
      <c r="AC238" s="621">
        <v>243198</v>
      </c>
      <c r="AD238" s="621">
        <v>242685</v>
      </c>
      <c r="AE238" s="621">
        <v>242685</v>
      </c>
      <c r="AF238" s="484">
        <v>287.5</v>
      </c>
      <c r="AG238" s="649">
        <v>291.5</v>
      </c>
      <c r="AH238" s="891">
        <v>280.5</v>
      </c>
      <c r="AI238" s="649">
        <v>267.5</v>
      </c>
      <c r="AJ238" s="652">
        <v>0</v>
      </c>
      <c r="AK238" s="621"/>
      <c r="AL238" s="621"/>
      <c r="AM238" s="621">
        <v>0</v>
      </c>
      <c r="AN238" s="621">
        <v>0</v>
      </c>
      <c r="AO238" s="649">
        <v>264.5</v>
      </c>
      <c r="AP238" s="649"/>
      <c r="AQ238" s="892">
        <v>0</v>
      </c>
      <c r="AR238" s="652"/>
      <c r="AS238" s="648"/>
      <c r="AT238" s="649">
        <v>0</v>
      </c>
      <c r="AU238" s="653">
        <v>0</v>
      </c>
      <c r="AV238" s="621">
        <v>2218245</v>
      </c>
      <c r="AW238" s="621">
        <v>34195</v>
      </c>
      <c r="AX238" s="621">
        <v>34119</v>
      </c>
      <c r="AY238" s="621">
        <v>521582</v>
      </c>
      <c r="AZ238" s="621"/>
      <c r="BA238" s="428">
        <v>1</v>
      </c>
      <c r="BB238" s="621">
        <v>0</v>
      </c>
      <c r="BC238" s="621">
        <v>0</v>
      </c>
      <c r="BE238" s="621">
        <v>2295141</v>
      </c>
      <c r="BF238" s="621">
        <v>388</v>
      </c>
      <c r="BG238" s="621">
        <v>444</v>
      </c>
      <c r="BH238" s="4604">
        <v>31</v>
      </c>
      <c r="BI238" s="621">
        <v>13962258</v>
      </c>
      <c r="BJ238" s="621">
        <v>14706429</v>
      </c>
      <c r="BK238" s="621">
        <v>0</v>
      </c>
      <c r="BL238" s="4605">
        <v>96</v>
      </c>
      <c r="BM238" s="621">
        <v>98</v>
      </c>
      <c r="BN238" s="621">
        <v>80</v>
      </c>
      <c r="BO238" s="621">
        <v>48</v>
      </c>
      <c r="BP238" s="621">
        <v>51</v>
      </c>
      <c r="BQ238" s="621">
        <v>52</v>
      </c>
    </row>
    <row r="239" spans="1:69">
      <c r="A239" s="888">
        <v>456</v>
      </c>
      <c r="B239" s="889" t="s">
        <v>559</v>
      </c>
      <c r="C239" s="890" t="s">
        <v>218</v>
      </c>
      <c r="D239" s="621">
        <v>21461141</v>
      </c>
      <c r="E239" s="621">
        <v>19865301</v>
      </c>
      <c r="F239" s="621">
        <v>22279355</v>
      </c>
      <c r="G239" s="621">
        <v>20653761</v>
      </c>
      <c r="H239" s="648">
        <v>205</v>
      </c>
      <c r="I239" s="648">
        <v>217.5</v>
      </c>
      <c r="J239" s="649">
        <v>133</v>
      </c>
      <c r="K239" s="621">
        <v>2356654</v>
      </c>
      <c r="L239" s="484">
        <v>209.5</v>
      </c>
      <c r="M239" s="648">
        <v>207.4</v>
      </c>
      <c r="N239" s="649">
        <v>218.5</v>
      </c>
      <c r="O239" s="648">
        <v>208.5</v>
      </c>
      <c r="P239" s="621">
        <v>298876</v>
      </c>
      <c r="Q239" s="621">
        <v>286614</v>
      </c>
      <c r="R239" s="621">
        <v>216742</v>
      </c>
      <c r="S239" s="621">
        <v>341448</v>
      </c>
      <c r="T239" s="621">
        <v>10062</v>
      </c>
      <c r="U239" s="621">
        <v>0</v>
      </c>
      <c r="V239" s="621"/>
      <c r="W239" s="650">
        <v>0.05</v>
      </c>
      <c r="X239" s="621">
        <v>99</v>
      </c>
      <c r="Y239" s="621">
        <v>25</v>
      </c>
      <c r="Z239" s="650">
        <v>0.05</v>
      </c>
      <c r="AA239" s="650">
        <v>0</v>
      </c>
      <c r="AB239" s="651">
        <v>0.26779999999999998</v>
      </c>
      <c r="AC239" s="621">
        <v>273472</v>
      </c>
      <c r="AD239" s="621">
        <v>258215</v>
      </c>
      <c r="AE239" s="621">
        <v>258215</v>
      </c>
      <c r="AF239" s="484">
        <v>209.5</v>
      </c>
      <c r="AG239" s="649">
        <v>207</v>
      </c>
      <c r="AH239" s="891">
        <v>218.5</v>
      </c>
      <c r="AI239" s="649">
        <v>208.5</v>
      </c>
      <c r="AJ239" s="652">
        <v>0</v>
      </c>
      <c r="AK239" s="621"/>
      <c r="AL239" s="621"/>
      <c r="AM239" s="621">
        <v>1</v>
      </c>
      <c r="AN239" s="621">
        <v>0</v>
      </c>
      <c r="AO239" s="649">
        <v>207</v>
      </c>
      <c r="AP239" s="649"/>
      <c r="AQ239" s="892">
        <v>0</v>
      </c>
      <c r="AR239" s="652"/>
      <c r="AS239" s="648"/>
      <c r="AT239" s="649">
        <v>0</v>
      </c>
      <c r="AU239" s="653">
        <v>0</v>
      </c>
      <c r="AV239" s="621">
        <v>1989004</v>
      </c>
      <c r="AW239" s="621">
        <v>9990</v>
      </c>
      <c r="AX239" s="621">
        <v>12996</v>
      </c>
      <c r="AY239" s="621">
        <v>210491</v>
      </c>
      <c r="AZ239" s="621"/>
      <c r="BA239" s="428">
        <v>1</v>
      </c>
      <c r="BB239" s="621">
        <v>0</v>
      </c>
      <c r="BC239" s="621">
        <v>0</v>
      </c>
      <c r="BE239" s="621">
        <v>2070040</v>
      </c>
      <c r="BF239" s="621">
        <v>753</v>
      </c>
      <c r="BG239" s="621">
        <v>54</v>
      </c>
      <c r="BH239" s="4604">
        <v>33</v>
      </c>
      <c r="BI239" s="621">
        <v>21415724</v>
      </c>
      <c r="BJ239" s="621">
        <v>22242658</v>
      </c>
      <c r="BK239" s="621">
        <v>0</v>
      </c>
      <c r="BL239" s="4605">
        <v>106</v>
      </c>
      <c r="BM239" s="621">
        <v>95</v>
      </c>
      <c r="BN239" s="621">
        <v>101</v>
      </c>
      <c r="BO239" s="621">
        <v>13</v>
      </c>
      <c r="BP239" s="621">
        <v>13</v>
      </c>
      <c r="BQ239" s="621">
        <v>22</v>
      </c>
    </row>
    <row r="240" spans="1:69">
      <c r="A240" s="888">
        <v>457</v>
      </c>
      <c r="B240" s="889" t="s">
        <v>560</v>
      </c>
      <c r="C240" s="890" t="s">
        <v>191</v>
      </c>
      <c r="D240" s="621">
        <v>385016156</v>
      </c>
      <c r="E240" s="621">
        <v>362898097</v>
      </c>
      <c r="F240" s="621">
        <v>390058187</v>
      </c>
      <c r="G240" s="621">
        <v>367730344</v>
      </c>
      <c r="H240" s="648">
        <v>7125.2</v>
      </c>
      <c r="I240" s="648">
        <v>6964.4</v>
      </c>
      <c r="J240" s="649">
        <v>928</v>
      </c>
      <c r="K240" s="621">
        <v>54816637</v>
      </c>
      <c r="L240" s="484">
        <v>7271.8</v>
      </c>
      <c r="M240" s="648">
        <v>7280.8</v>
      </c>
      <c r="N240" s="649">
        <v>7163.2</v>
      </c>
      <c r="O240" s="648">
        <v>7023</v>
      </c>
      <c r="P240" s="621">
        <v>5370449</v>
      </c>
      <c r="Q240" s="621">
        <v>5741300</v>
      </c>
      <c r="R240" s="621">
        <v>10267118</v>
      </c>
      <c r="S240" s="621">
        <v>5361952</v>
      </c>
      <c r="T240" s="621">
        <v>0</v>
      </c>
      <c r="U240" s="621">
        <v>0</v>
      </c>
      <c r="V240" s="621"/>
      <c r="W240" s="650">
        <v>0.57999999999999996</v>
      </c>
      <c r="X240" s="621">
        <v>3664</v>
      </c>
      <c r="Y240" s="621">
        <v>1043</v>
      </c>
      <c r="Z240" s="650">
        <v>0.59</v>
      </c>
      <c r="AA240" s="650">
        <v>0.23</v>
      </c>
      <c r="AB240" s="651">
        <v>0.62450000000000006</v>
      </c>
      <c r="AC240" s="621">
        <v>7798136</v>
      </c>
      <c r="AD240" s="621">
        <v>7220005</v>
      </c>
      <c r="AE240" s="621">
        <v>7220005</v>
      </c>
      <c r="AF240" s="484">
        <v>7271.8</v>
      </c>
      <c r="AG240" s="649">
        <v>7220.2</v>
      </c>
      <c r="AH240" s="891">
        <v>7063.9</v>
      </c>
      <c r="AI240" s="649">
        <v>6912.1</v>
      </c>
      <c r="AJ240" s="652">
        <v>0</v>
      </c>
      <c r="AK240" s="621"/>
      <c r="AL240" s="621"/>
      <c r="AM240" s="621">
        <v>6</v>
      </c>
      <c r="AN240" s="621">
        <v>0</v>
      </c>
      <c r="AO240" s="649">
        <v>6822.6</v>
      </c>
      <c r="AP240" s="649"/>
      <c r="AQ240" s="892">
        <v>0</v>
      </c>
      <c r="AR240" s="652"/>
      <c r="AS240" s="648"/>
      <c r="AT240" s="649">
        <v>0</v>
      </c>
      <c r="AU240" s="653">
        <v>0</v>
      </c>
      <c r="AV240" s="621">
        <v>48540387</v>
      </c>
      <c r="AW240" s="621">
        <v>1669601</v>
      </c>
      <c r="AX240" s="621">
        <v>1598907</v>
      </c>
      <c r="AY240" s="621">
        <v>10276537</v>
      </c>
      <c r="AZ240" s="621"/>
      <c r="BA240" s="428">
        <v>1</v>
      </c>
      <c r="BB240" s="621">
        <v>193490</v>
      </c>
      <c r="BC240" s="621">
        <v>202390</v>
      </c>
      <c r="BE240" s="621">
        <v>48923063</v>
      </c>
      <c r="BF240" s="621">
        <v>53390</v>
      </c>
      <c r="BG240" s="621">
        <v>24602</v>
      </c>
      <c r="BH240" s="4604">
        <v>31</v>
      </c>
      <c r="BI240" s="621">
        <v>383414505</v>
      </c>
      <c r="BJ240" s="621">
        <v>387700621</v>
      </c>
      <c r="BK240" s="621">
        <v>193490</v>
      </c>
      <c r="BL240" s="4605">
        <v>4073</v>
      </c>
      <c r="BM240" s="621">
        <v>3999</v>
      </c>
      <c r="BN240" s="621">
        <v>3830</v>
      </c>
      <c r="BO240" s="621">
        <v>1192</v>
      </c>
      <c r="BP240" s="621">
        <v>1226</v>
      </c>
      <c r="BQ240" s="621">
        <v>1119</v>
      </c>
    </row>
    <row r="241" spans="1:69">
      <c r="A241" s="888">
        <v>458</v>
      </c>
      <c r="B241" s="889" t="s">
        <v>561</v>
      </c>
      <c r="C241" s="890" t="s">
        <v>138</v>
      </c>
      <c r="D241" s="621">
        <v>183952351</v>
      </c>
      <c r="E241" s="621">
        <v>172073229</v>
      </c>
      <c r="F241" s="621">
        <v>195481683</v>
      </c>
      <c r="G241" s="621">
        <v>183389709</v>
      </c>
      <c r="H241" s="648">
        <v>2500</v>
      </c>
      <c r="I241" s="648">
        <v>2573.9</v>
      </c>
      <c r="J241" s="649">
        <v>89.6</v>
      </c>
      <c r="K241" s="621">
        <v>18436681</v>
      </c>
      <c r="L241" s="484">
        <v>2409.3000000000002</v>
      </c>
      <c r="M241" s="648">
        <v>2669.2</v>
      </c>
      <c r="N241" s="649">
        <v>2740.6</v>
      </c>
      <c r="O241" s="648">
        <v>2819.4</v>
      </c>
      <c r="P241" s="621">
        <v>2555760</v>
      </c>
      <c r="Q241" s="621">
        <v>2865097</v>
      </c>
      <c r="R241" s="621">
        <v>2920423</v>
      </c>
      <c r="S241" s="621">
        <v>1552609</v>
      </c>
      <c r="T241" s="621">
        <v>13074</v>
      </c>
      <c r="U241" s="621">
        <v>0</v>
      </c>
      <c r="V241" s="621"/>
      <c r="W241" s="650">
        <v>0.44</v>
      </c>
      <c r="X241" s="621">
        <v>219</v>
      </c>
      <c r="Y241" s="621">
        <v>82</v>
      </c>
      <c r="Z241" s="650">
        <v>0.43</v>
      </c>
      <c r="AA241" s="650">
        <v>7.0000000000000007E-2</v>
      </c>
      <c r="AB241" s="651">
        <v>0.52029999999999998</v>
      </c>
      <c r="AC241" s="621">
        <v>2433426</v>
      </c>
      <c r="AD241" s="621">
        <v>2429727</v>
      </c>
      <c r="AE241" s="621">
        <v>2429727</v>
      </c>
      <c r="AF241" s="484">
        <v>2409.3000000000002</v>
      </c>
      <c r="AG241" s="649">
        <v>2500</v>
      </c>
      <c r="AH241" s="891">
        <v>2573.9</v>
      </c>
      <c r="AI241" s="649">
        <v>2435.5</v>
      </c>
      <c r="AJ241" s="652">
        <v>1.84E-2</v>
      </c>
      <c r="AK241" s="621"/>
      <c r="AL241" s="621"/>
      <c r="AM241" s="621">
        <v>60</v>
      </c>
      <c r="AN241" s="621">
        <v>0</v>
      </c>
      <c r="AO241" s="649">
        <v>2434</v>
      </c>
      <c r="AP241" s="649"/>
      <c r="AQ241" s="892">
        <v>0</v>
      </c>
      <c r="AR241" s="652"/>
      <c r="AS241" s="648"/>
      <c r="AT241" s="649">
        <v>0</v>
      </c>
      <c r="AU241" s="653">
        <v>0</v>
      </c>
      <c r="AV241" s="621">
        <v>13923662</v>
      </c>
      <c r="AW241" s="621">
        <v>597089</v>
      </c>
      <c r="AX241" s="621">
        <v>561433</v>
      </c>
      <c r="AY241" s="621">
        <v>2805670</v>
      </c>
      <c r="AZ241" s="621"/>
      <c r="BA241" s="428">
        <v>1</v>
      </c>
      <c r="BB241" s="621">
        <v>48450</v>
      </c>
      <c r="BC241" s="621">
        <v>44391</v>
      </c>
      <c r="BE241" s="621">
        <v>15571579</v>
      </c>
      <c r="BF241" s="621">
        <v>5858</v>
      </c>
      <c r="BG241" s="621">
        <v>10362</v>
      </c>
      <c r="BH241" s="4604">
        <v>33</v>
      </c>
      <c r="BI241" s="621">
        <v>183878196</v>
      </c>
      <c r="BJ241" s="621">
        <v>195481683</v>
      </c>
      <c r="BK241" s="621">
        <v>48450</v>
      </c>
      <c r="BL241" s="4605">
        <v>293</v>
      </c>
      <c r="BM241" s="621">
        <v>269</v>
      </c>
      <c r="BN241" s="621">
        <v>239</v>
      </c>
      <c r="BO241" s="621">
        <v>114</v>
      </c>
      <c r="BP241" s="621">
        <v>111</v>
      </c>
      <c r="BQ241" s="621">
        <v>104</v>
      </c>
    </row>
    <row r="242" spans="1:69">
      <c r="A242" s="888">
        <v>459</v>
      </c>
      <c r="B242" s="889" t="s">
        <v>562</v>
      </c>
      <c r="C242" s="890" t="s">
        <v>202</v>
      </c>
      <c r="D242" s="621">
        <v>32120569</v>
      </c>
      <c r="E242" s="621">
        <v>30752207</v>
      </c>
      <c r="F242" s="621">
        <v>30098430</v>
      </c>
      <c r="G242" s="621">
        <v>28729869</v>
      </c>
      <c r="H242" s="648">
        <v>232</v>
      </c>
      <c r="I242" s="648">
        <v>234</v>
      </c>
      <c r="J242" s="649">
        <v>358.2</v>
      </c>
      <c r="K242" s="621">
        <v>2394156</v>
      </c>
      <c r="L242" s="484">
        <v>231.9</v>
      </c>
      <c r="M242" s="648">
        <v>233.5</v>
      </c>
      <c r="N242" s="649">
        <v>235.5</v>
      </c>
      <c r="O242" s="648">
        <v>234.1</v>
      </c>
      <c r="P242" s="621">
        <v>173891</v>
      </c>
      <c r="Q242" s="621">
        <v>190538</v>
      </c>
      <c r="R242" s="621">
        <v>2904</v>
      </c>
      <c r="S242" s="621">
        <v>197927</v>
      </c>
      <c r="T242" s="621">
        <v>0</v>
      </c>
      <c r="U242" s="621">
        <v>0</v>
      </c>
      <c r="V242" s="621"/>
      <c r="W242" s="650">
        <v>0</v>
      </c>
      <c r="X242" s="621">
        <v>107</v>
      </c>
      <c r="Y242" s="621">
        <v>18</v>
      </c>
      <c r="Z242" s="650">
        <v>0</v>
      </c>
      <c r="AA242" s="650">
        <v>0</v>
      </c>
      <c r="AB242" s="651">
        <v>3.8800000000000001E-2</v>
      </c>
      <c r="AC242" s="621">
        <v>244126</v>
      </c>
      <c r="AD242" s="621">
        <v>255192</v>
      </c>
      <c r="AE242" s="621">
        <v>255192</v>
      </c>
      <c r="AF242" s="484">
        <v>231.9</v>
      </c>
      <c r="AG242" s="649">
        <v>233.5</v>
      </c>
      <c r="AH242" s="891">
        <v>235.5</v>
      </c>
      <c r="AI242" s="649">
        <v>234.1</v>
      </c>
      <c r="AJ242" s="652">
        <v>0</v>
      </c>
      <c r="AK242" s="621"/>
      <c r="AL242" s="621"/>
      <c r="AM242" s="621">
        <v>0</v>
      </c>
      <c r="AN242" s="621">
        <v>0</v>
      </c>
      <c r="AO242" s="649">
        <v>231.1</v>
      </c>
      <c r="AP242" s="649"/>
      <c r="AQ242" s="892">
        <v>0</v>
      </c>
      <c r="AR242" s="652"/>
      <c r="AS242" s="648"/>
      <c r="AT242" s="649">
        <v>0</v>
      </c>
      <c r="AU242" s="653">
        <v>0</v>
      </c>
      <c r="AV242" s="621">
        <v>2085617</v>
      </c>
      <c r="AW242" s="621">
        <v>0</v>
      </c>
      <c r="AX242" s="621">
        <v>0</v>
      </c>
      <c r="AY242" s="621">
        <v>0</v>
      </c>
      <c r="AZ242" s="621"/>
      <c r="BA242" s="428">
        <v>1</v>
      </c>
      <c r="BB242" s="621">
        <v>0</v>
      </c>
      <c r="BC242" s="621">
        <v>0</v>
      </c>
      <c r="BE242" s="621">
        <v>2189638</v>
      </c>
      <c r="BF242" s="621">
        <v>329</v>
      </c>
      <c r="BG242" s="621">
        <v>313</v>
      </c>
      <c r="BH242" s="4604">
        <v>31</v>
      </c>
      <c r="BI242" s="621">
        <v>31885056</v>
      </c>
      <c r="BJ242" s="621">
        <v>29786139</v>
      </c>
      <c r="BK242" s="621">
        <v>0</v>
      </c>
      <c r="BL242" s="4605">
        <v>94</v>
      </c>
      <c r="BM242" s="621">
        <v>108</v>
      </c>
      <c r="BN242" s="621">
        <v>101</v>
      </c>
      <c r="BO242" s="621">
        <v>27</v>
      </c>
      <c r="BP242" s="621">
        <v>21</v>
      </c>
      <c r="BQ242" s="621">
        <v>32</v>
      </c>
    </row>
    <row r="243" spans="1:69">
      <c r="A243" s="888">
        <v>460</v>
      </c>
      <c r="B243" s="889" t="s">
        <v>563</v>
      </c>
      <c r="C243" s="890" t="s">
        <v>196</v>
      </c>
      <c r="D243" s="621">
        <v>50239278</v>
      </c>
      <c r="E243" s="621">
        <v>47193693</v>
      </c>
      <c r="F243" s="621">
        <v>49613852</v>
      </c>
      <c r="G243" s="621">
        <v>46543264</v>
      </c>
      <c r="H243" s="648">
        <v>837.6</v>
      </c>
      <c r="I243" s="648">
        <v>856.1</v>
      </c>
      <c r="J243" s="649">
        <v>60</v>
      </c>
      <c r="K243" s="621">
        <v>6170891</v>
      </c>
      <c r="L243" s="484">
        <v>808.1</v>
      </c>
      <c r="M243" s="648">
        <v>837.6</v>
      </c>
      <c r="N243" s="649">
        <v>856.1</v>
      </c>
      <c r="O243" s="648">
        <v>813</v>
      </c>
      <c r="P243" s="621">
        <v>634754</v>
      </c>
      <c r="Q243" s="621">
        <v>636042</v>
      </c>
      <c r="R243" s="621">
        <v>1170206</v>
      </c>
      <c r="S243" s="621">
        <v>642823</v>
      </c>
      <c r="T243" s="621">
        <v>5369</v>
      </c>
      <c r="U243" s="621">
        <v>0</v>
      </c>
      <c r="V243" s="621"/>
      <c r="W243" s="650">
        <v>0.52</v>
      </c>
      <c r="X243" s="621">
        <v>129</v>
      </c>
      <c r="Y243" s="621">
        <v>74</v>
      </c>
      <c r="Z243" s="650">
        <v>0.51</v>
      </c>
      <c r="AA243" s="650">
        <v>0.15</v>
      </c>
      <c r="AB243" s="651">
        <v>0.5746</v>
      </c>
      <c r="AC243" s="621">
        <v>701572</v>
      </c>
      <c r="AD243" s="621">
        <v>687046</v>
      </c>
      <c r="AE243" s="621">
        <v>687046</v>
      </c>
      <c r="AF243" s="484">
        <v>808.1</v>
      </c>
      <c r="AG243" s="649">
        <v>837.6</v>
      </c>
      <c r="AH243" s="891">
        <v>856.1</v>
      </c>
      <c r="AI243" s="649">
        <v>813</v>
      </c>
      <c r="AJ243" s="652">
        <v>0</v>
      </c>
      <c r="AK243" s="621"/>
      <c r="AL243" s="621"/>
      <c r="AM243" s="621">
        <v>0</v>
      </c>
      <c r="AN243" s="621">
        <v>0</v>
      </c>
      <c r="AO243" s="649">
        <v>813</v>
      </c>
      <c r="AP243" s="649"/>
      <c r="AQ243" s="892">
        <v>0</v>
      </c>
      <c r="AR243" s="652"/>
      <c r="AS243" s="648"/>
      <c r="AT243" s="649">
        <v>0</v>
      </c>
      <c r="AU243" s="653">
        <v>0</v>
      </c>
      <c r="AV243" s="621">
        <v>5344974</v>
      </c>
      <c r="AW243" s="621">
        <v>204731</v>
      </c>
      <c r="AX243" s="621">
        <v>194646</v>
      </c>
      <c r="AY243" s="621">
        <v>1103436</v>
      </c>
      <c r="AZ243" s="621"/>
      <c r="BA243" s="428">
        <v>1</v>
      </c>
      <c r="BB243" s="621">
        <v>0</v>
      </c>
      <c r="BC243" s="621">
        <v>0</v>
      </c>
      <c r="BE243" s="621">
        <v>5534849</v>
      </c>
      <c r="BF243" s="621">
        <v>1190</v>
      </c>
      <c r="BG243" s="621">
        <v>812</v>
      </c>
      <c r="BH243" s="4604">
        <v>33</v>
      </c>
      <c r="BI243" s="621">
        <v>50279806</v>
      </c>
      <c r="BJ243" s="621">
        <v>49654655</v>
      </c>
      <c r="BK243" s="621">
        <v>0</v>
      </c>
      <c r="BL243" s="4605">
        <v>139</v>
      </c>
      <c r="BM243" s="621">
        <v>138</v>
      </c>
      <c r="BN243" s="621">
        <v>140</v>
      </c>
      <c r="BO243" s="621">
        <v>95</v>
      </c>
      <c r="BP243" s="621">
        <v>102</v>
      </c>
      <c r="BQ243" s="621">
        <v>119</v>
      </c>
    </row>
    <row r="244" spans="1:69">
      <c r="A244" s="888">
        <v>461</v>
      </c>
      <c r="B244" s="889" t="s">
        <v>564</v>
      </c>
      <c r="C244" s="890" t="s">
        <v>205</v>
      </c>
      <c r="D244" s="621">
        <v>32876731</v>
      </c>
      <c r="E244" s="621">
        <v>29610804</v>
      </c>
      <c r="F244" s="621">
        <v>32832862</v>
      </c>
      <c r="G244" s="621">
        <v>29597722</v>
      </c>
      <c r="H244" s="648">
        <v>689</v>
      </c>
      <c r="I244" s="648">
        <v>675</v>
      </c>
      <c r="J244" s="649">
        <v>119</v>
      </c>
      <c r="K244" s="621">
        <v>5958433</v>
      </c>
      <c r="L244" s="484">
        <v>679</v>
      </c>
      <c r="M244" s="648">
        <v>699.5</v>
      </c>
      <c r="N244" s="649">
        <v>686</v>
      </c>
      <c r="O244" s="648">
        <v>688.5</v>
      </c>
      <c r="P244" s="621">
        <v>562625</v>
      </c>
      <c r="Q244" s="621">
        <v>557286</v>
      </c>
      <c r="R244" s="621">
        <v>1279714</v>
      </c>
      <c r="S244" s="621">
        <v>589497</v>
      </c>
      <c r="T244" s="621">
        <v>0</v>
      </c>
      <c r="U244" s="621">
        <v>0</v>
      </c>
      <c r="V244" s="621"/>
      <c r="W244" s="650">
        <v>0.65</v>
      </c>
      <c r="X244" s="621">
        <v>346</v>
      </c>
      <c r="Y244" s="621">
        <v>73</v>
      </c>
      <c r="Z244" s="650">
        <v>0.64</v>
      </c>
      <c r="AA244" s="650">
        <v>0.28000000000000003</v>
      </c>
      <c r="AB244" s="651">
        <v>0.65680000000000005</v>
      </c>
      <c r="AC244" s="621">
        <v>720742</v>
      </c>
      <c r="AD244" s="621">
        <v>700213</v>
      </c>
      <c r="AE244" s="621">
        <v>700213</v>
      </c>
      <c r="AF244" s="484">
        <v>679</v>
      </c>
      <c r="AG244" s="649">
        <v>699.5</v>
      </c>
      <c r="AH244" s="891">
        <v>686</v>
      </c>
      <c r="AI244" s="649">
        <v>688.5</v>
      </c>
      <c r="AJ244" s="652">
        <v>0</v>
      </c>
      <c r="AK244" s="621"/>
      <c r="AL244" s="621"/>
      <c r="AM244" s="621">
        <v>2</v>
      </c>
      <c r="AN244" s="621">
        <v>0</v>
      </c>
      <c r="AO244" s="649">
        <v>675.5</v>
      </c>
      <c r="AP244" s="649"/>
      <c r="AQ244" s="892">
        <v>0</v>
      </c>
      <c r="AR244" s="652"/>
      <c r="AS244" s="648"/>
      <c r="AT244" s="649">
        <v>0</v>
      </c>
      <c r="AU244" s="653">
        <v>0</v>
      </c>
      <c r="AV244" s="621">
        <v>5211312</v>
      </c>
      <c r="AW244" s="621">
        <v>140384</v>
      </c>
      <c r="AX244" s="621">
        <v>156865</v>
      </c>
      <c r="AY244" s="621">
        <v>1212753</v>
      </c>
      <c r="AZ244" s="621"/>
      <c r="BA244" s="428">
        <v>1</v>
      </c>
      <c r="BB244" s="621">
        <v>0</v>
      </c>
      <c r="BC244" s="621">
        <v>0</v>
      </c>
      <c r="BE244" s="621">
        <v>5401054</v>
      </c>
      <c r="BF244" s="621">
        <v>4318</v>
      </c>
      <c r="BG244" s="621">
        <v>6792</v>
      </c>
      <c r="BH244" s="4604">
        <v>33</v>
      </c>
      <c r="BI244" s="621">
        <v>32876731</v>
      </c>
      <c r="BJ244" s="621">
        <v>32791982</v>
      </c>
      <c r="BK244" s="621">
        <v>0</v>
      </c>
      <c r="BL244" s="4605">
        <v>318</v>
      </c>
      <c r="BM244" s="621">
        <v>334</v>
      </c>
      <c r="BN244" s="621">
        <v>338</v>
      </c>
      <c r="BO244" s="621">
        <v>96</v>
      </c>
      <c r="BP244" s="621">
        <v>104</v>
      </c>
      <c r="BQ244" s="621">
        <v>83</v>
      </c>
    </row>
    <row r="245" spans="1:69">
      <c r="A245" s="888">
        <v>462</v>
      </c>
      <c r="B245" s="889" t="s">
        <v>565</v>
      </c>
      <c r="C245" s="890" t="s">
        <v>223</v>
      </c>
      <c r="D245" s="621">
        <v>18234753</v>
      </c>
      <c r="E245" s="621">
        <v>16326722</v>
      </c>
      <c r="F245" s="621">
        <v>18185875</v>
      </c>
      <c r="G245" s="621">
        <v>16293122</v>
      </c>
      <c r="H245" s="648">
        <v>299.60000000000002</v>
      </c>
      <c r="I245" s="648">
        <v>305.5</v>
      </c>
      <c r="J245" s="649">
        <v>308.89999999999998</v>
      </c>
      <c r="K245" s="621">
        <v>2990867</v>
      </c>
      <c r="L245" s="484">
        <v>305.5</v>
      </c>
      <c r="M245" s="648">
        <v>299.60000000000002</v>
      </c>
      <c r="N245" s="649">
        <v>307.7</v>
      </c>
      <c r="O245" s="648">
        <v>284</v>
      </c>
      <c r="P245" s="621">
        <v>345613</v>
      </c>
      <c r="Q245" s="621">
        <v>344627</v>
      </c>
      <c r="R245" s="621">
        <v>520385</v>
      </c>
      <c r="S245" s="621">
        <v>308722</v>
      </c>
      <c r="T245" s="621">
        <v>5590</v>
      </c>
      <c r="U245" s="621">
        <v>0</v>
      </c>
      <c r="V245" s="621"/>
      <c r="W245" s="650">
        <v>0.49</v>
      </c>
      <c r="X245" s="621">
        <v>135</v>
      </c>
      <c r="Y245" s="621">
        <v>45</v>
      </c>
      <c r="Z245" s="650">
        <v>0.48</v>
      </c>
      <c r="AA245" s="650">
        <v>0.12</v>
      </c>
      <c r="AB245" s="651">
        <v>0.56489999999999996</v>
      </c>
      <c r="AC245" s="621">
        <v>328517</v>
      </c>
      <c r="AD245" s="621">
        <v>295300</v>
      </c>
      <c r="AE245" s="621">
        <v>295300</v>
      </c>
      <c r="AF245" s="484">
        <v>305.5</v>
      </c>
      <c r="AG245" s="649">
        <v>299.60000000000002</v>
      </c>
      <c r="AH245" s="891">
        <v>305.5</v>
      </c>
      <c r="AI245" s="649">
        <v>284</v>
      </c>
      <c r="AJ245" s="652">
        <v>0</v>
      </c>
      <c r="AK245" s="621"/>
      <c r="AL245" s="621"/>
      <c r="AM245" s="621">
        <v>5</v>
      </c>
      <c r="AN245" s="621">
        <v>0</v>
      </c>
      <c r="AO245" s="649">
        <v>280.5</v>
      </c>
      <c r="AP245" s="649"/>
      <c r="AQ245" s="892">
        <v>0</v>
      </c>
      <c r="AR245" s="652"/>
      <c r="AS245" s="648"/>
      <c r="AT245" s="649">
        <v>0</v>
      </c>
      <c r="AU245" s="653">
        <v>0</v>
      </c>
      <c r="AV245" s="621">
        <v>2554839</v>
      </c>
      <c r="AW245" s="621">
        <v>72939</v>
      </c>
      <c r="AX245" s="621">
        <v>71120</v>
      </c>
      <c r="AY245" s="621">
        <v>513980</v>
      </c>
      <c r="AZ245" s="621"/>
      <c r="BA245" s="428">
        <v>1</v>
      </c>
      <c r="BB245" s="621">
        <v>0</v>
      </c>
      <c r="BC245" s="621">
        <v>0</v>
      </c>
      <c r="BE245" s="621">
        <v>2645213</v>
      </c>
      <c r="BF245" s="621">
        <v>402</v>
      </c>
      <c r="BG245" s="621">
        <v>1020</v>
      </c>
      <c r="BH245" s="4604">
        <v>31</v>
      </c>
      <c r="BI245" s="621">
        <v>18234753</v>
      </c>
      <c r="BJ245" s="621">
        <v>18185875</v>
      </c>
      <c r="BK245" s="621">
        <v>0</v>
      </c>
      <c r="BL245" s="4605">
        <v>144</v>
      </c>
      <c r="BM245" s="621">
        <v>137</v>
      </c>
      <c r="BN245" s="621">
        <v>137</v>
      </c>
      <c r="BO245" s="621">
        <v>50</v>
      </c>
      <c r="BP245" s="621">
        <v>50</v>
      </c>
      <c r="BQ245" s="621">
        <v>53</v>
      </c>
    </row>
    <row r="246" spans="1:69">
      <c r="A246" s="888">
        <v>463</v>
      </c>
      <c r="B246" s="889" t="s">
        <v>566</v>
      </c>
      <c r="C246" s="890" t="s">
        <v>223</v>
      </c>
      <c r="D246" s="621">
        <v>27076955</v>
      </c>
      <c r="E246" s="621">
        <v>25114901</v>
      </c>
      <c r="F246" s="621">
        <v>27387158</v>
      </c>
      <c r="G246" s="621">
        <v>25402983</v>
      </c>
      <c r="H246" s="648">
        <v>314</v>
      </c>
      <c r="I246" s="648">
        <v>335</v>
      </c>
      <c r="J246" s="649">
        <v>140</v>
      </c>
      <c r="K246" s="621">
        <v>3059593</v>
      </c>
      <c r="L246" s="484">
        <v>316</v>
      </c>
      <c r="M246" s="648">
        <v>321</v>
      </c>
      <c r="N246" s="649">
        <v>339</v>
      </c>
      <c r="O246" s="648">
        <v>332</v>
      </c>
      <c r="P246" s="621">
        <v>367538</v>
      </c>
      <c r="Q246" s="621">
        <v>385061</v>
      </c>
      <c r="R246" s="621">
        <v>382599</v>
      </c>
      <c r="S246" s="621">
        <v>371593</v>
      </c>
      <c r="T246" s="621">
        <v>11470</v>
      </c>
      <c r="U246" s="621">
        <v>0</v>
      </c>
      <c r="V246" s="621"/>
      <c r="W246" s="650">
        <v>0.31</v>
      </c>
      <c r="X246" s="621">
        <v>115</v>
      </c>
      <c r="Y246" s="621">
        <v>38</v>
      </c>
      <c r="Z246" s="650">
        <v>0.3</v>
      </c>
      <c r="AA246" s="650">
        <v>0</v>
      </c>
      <c r="AB246" s="651">
        <v>0.4153</v>
      </c>
      <c r="AC246" s="621">
        <v>332779</v>
      </c>
      <c r="AD246" s="621">
        <v>341589</v>
      </c>
      <c r="AE246" s="621">
        <v>341589</v>
      </c>
      <c r="AF246" s="484">
        <v>316</v>
      </c>
      <c r="AG246" s="649">
        <v>320</v>
      </c>
      <c r="AH246" s="891">
        <v>339</v>
      </c>
      <c r="AI246" s="649">
        <v>332</v>
      </c>
      <c r="AJ246" s="652">
        <v>0</v>
      </c>
      <c r="AK246" s="621"/>
      <c r="AL246" s="621"/>
      <c r="AM246" s="621">
        <v>11</v>
      </c>
      <c r="AN246" s="621">
        <v>0</v>
      </c>
      <c r="AO246" s="649">
        <v>330</v>
      </c>
      <c r="AP246" s="649"/>
      <c r="AQ246" s="892">
        <v>6</v>
      </c>
      <c r="AR246" s="652"/>
      <c r="AS246" s="648"/>
      <c r="AT246" s="649">
        <v>0</v>
      </c>
      <c r="AU246" s="653">
        <v>0</v>
      </c>
      <c r="AV246" s="621">
        <v>2504997</v>
      </c>
      <c r="AW246" s="621">
        <v>43643</v>
      </c>
      <c r="AX246" s="621">
        <v>45780</v>
      </c>
      <c r="AY246" s="621">
        <v>344606</v>
      </c>
      <c r="AZ246" s="621"/>
      <c r="BA246" s="428">
        <v>1</v>
      </c>
      <c r="BB246" s="621">
        <v>0</v>
      </c>
      <c r="BC246" s="621">
        <v>0</v>
      </c>
      <c r="BE246" s="621">
        <v>2674298</v>
      </c>
      <c r="BF246" s="621">
        <v>4577</v>
      </c>
      <c r="BG246" s="621">
        <v>6293</v>
      </c>
      <c r="BH246" s="4604">
        <v>31</v>
      </c>
      <c r="BI246" s="621">
        <v>27002801</v>
      </c>
      <c r="BJ246" s="621">
        <v>27295513</v>
      </c>
      <c r="BK246" s="621">
        <v>0</v>
      </c>
      <c r="BL246" s="4605">
        <v>104</v>
      </c>
      <c r="BM246" s="621">
        <v>106</v>
      </c>
      <c r="BN246" s="621">
        <v>111</v>
      </c>
      <c r="BO246" s="621">
        <v>38</v>
      </c>
      <c r="BP246" s="621">
        <v>35</v>
      </c>
      <c r="BQ246" s="621">
        <v>22</v>
      </c>
    </row>
    <row r="247" spans="1:69">
      <c r="A247" s="888">
        <v>464</v>
      </c>
      <c r="B247" s="889" t="s">
        <v>567</v>
      </c>
      <c r="C247" s="890" t="s">
        <v>138</v>
      </c>
      <c r="D247" s="621">
        <v>128786658</v>
      </c>
      <c r="E247" s="621">
        <v>119744414</v>
      </c>
      <c r="F247" s="621">
        <v>137667762</v>
      </c>
      <c r="G247" s="621">
        <v>128478202</v>
      </c>
      <c r="H247" s="648">
        <v>1934.5</v>
      </c>
      <c r="I247" s="648">
        <v>1924</v>
      </c>
      <c r="J247" s="649">
        <v>141.9</v>
      </c>
      <c r="K247" s="621">
        <v>12538707</v>
      </c>
      <c r="L247" s="484">
        <v>1967.8</v>
      </c>
      <c r="M247" s="648">
        <v>1934.5</v>
      </c>
      <c r="N247" s="649">
        <v>1933.5</v>
      </c>
      <c r="O247" s="648">
        <v>1841.2</v>
      </c>
      <c r="P247" s="621">
        <v>1933725</v>
      </c>
      <c r="Q247" s="621">
        <v>1960139</v>
      </c>
      <c r="R247" s="621">
        <v>2061822</v>
      </c>
      <c r="S247" s="621">
        <v>1347372</v>
      </c>
      <c r="T247" s="621">
        <v>22177</v>
      </c>
      <c r="U247" s="621">
        <v>0</v>
      </c>
      <c r="V247" s="621"/>
      <c r="W247" s="650">
        <v>0.38</v>
      </c>
      <c r="X247" s="621">
        <v>300</v>
      </c>
      <c r="Y247" s="621">
        <v>165</v>
      </c>
      <c r="Z247" s="650">
        <v>0.37</v>
      </c>
      <c r="AA247" s="650">
        <v>0.01</v>
      </c>
      <c r="AB247" s="651">
        <v>0.51129999999999998</v>
      </c>
      <c r="AC247" s="621">
        <v>1728372</v>
      </c>
      <c r="AD247" s="621">
        <v>1633761</v>
      </c>
      <c r="AE247" s="621">
        <v>1633761</v>
      </c>
      <c r="AF247" s="484">
        <v>1967.8</v>
      </c>
      <c r="AG247" s="649">
        <v>1934.5</v>
      </c>
      <c r="AH247" s="891">
        <v>1933.5</v>
      </c>
      <c r="AI247" s="649">
        <v>1841.2</v>
      </c>
      <c r="AJ247" s="652">
        <v>3.0000000000000001E-3</v>
      </c>
      <c r="AK247" s="621"/>
      <c r="AL247" s="621"/>
      <c r="AM247" s="621">
        <v>20</v>
      </c>
      <c r="AN247" s="621">
        <v>0</v>
      </c>
      <c r="AO247" s="649">
        <v>1836.2</v>
      </c>
      <c r="AP247" s="649"/>
      <c r="AQ247" s="892">
        <v>0</v>
      </c>
      <c r="AR247" s="652"/>
      <c r="AS247" s="648"/>
      <c r="AT247" s="649">
        <v>0</v>
      </c>
      <c r="AU247" s="653">
        <v>0</v>
      </c>
      <c r="AV247" s="621">
        <v>10667619</v>
      </c>
      <c r="AW247" s="621">
        <v>473859</v>
      </c>
      <c r="AX247" s="621">
        <v>451356</v>
      </c>
      <c r="AY247" s="621">
        <v>2140022</v>
      </c>
      <c r="AZ247" s="621"/>
      <c r="BA247" s="428">
        <v>1</v>
      </c>
      <c r="BB247" s="621">
        <v>0</v>
      </c>
      <c r="BC247" s="621">
        <v>0</v>
      </c>
      <c r="BE247" s="621">
        <v>10578566</v>
      </c>
      <c r="BF247" s="621">
        <v>6457</v>
      </c>
      <c r="BG247" s="621">
        <v>7275</v>
      </c>
      <c r="BH247" s="4604">
        <v>31</v>
      </c>
      <c r="BI247" s="621">
        <v>128782167</v>
      </c>
      <c r="BJ247" s="621">
        <v>137667762</v>
      </c>
      <c r="BK247" s="621">
        <v>0</v>
      </c>
      <c r="BL247" s="4605">
        <v>412</v>
      </c>
      <c r="BM247" s="621">
        <v>395</v>
      </c>
      <c r="BN247" s="621">
        <v>392</v>
      </c>
      <c r="BO247" s="621">
        <v>185</v>
      </c>
      <c r="BP247" s="621">
        <v>183</v>
      </c>
      <c r="BQ247" s="621">
        <v>184</v>
      </c>
    </row>
    <row r="248" spans="1:69">
      <c r="A248" s="888">
        <v>465</v>
      </c>
      <c r="B248" s="889" t="s">
        <v>568</v>
      </c>
      <c r="C248" s="890" t="s">
        <v>223</v>
      </c>
      <c r="D248" s="621">
        <v>119754360</v>
      </c>
      <c r="E248" s="621">
        <v>107371242</v>
      </c>
      <c r="F248" s="621">
        <v>117039632</v>
      </c>
      <c r="G248" s="621">
        <v>104642012</v>
      </c>
      <c r="H248" s="648">
        <v>2149.9</v>
      </c>
      <c r="I248" s="648">
        <v>2135.4</v>
      </c>
      <c r="J248" s="649">
        <v>262</v>
      </c>
      <c r="K248" s="621">
        <v>15836959</v>
      </c>
      <c r="L248" s="484">
        <v>2160</v>
      </c>
      <c r="M248" s="648">
        <v>2181.9</v>
      </c>
      <c r="N248" s="649">
        <v>2171.9</v>
      </c>
      <c r="O248" s="648">
        <v>2081</v>
      </c>
      <c r="P248" s="621">
        <v>2701620</v>
      </c>
      <c r="Q248" s="621">
        <v>2639353</v>
      </c>
      <c r="R248" s="621">
        <v>3172246</v>
      </c>
      <c r="S248" s="621">
        <v>2187665</v>
      </c>
      <c r="T248" s="621">
        <v>0</v>
      </c>
      <c r="U248" s="621">
        <v>0</v>
      </c>
      <c r="V248" s="621"/>
      <c r="W248" s="650">
        <v>0.56999999999999995</v>
      </c>
      <c r="X248" s="621">
        <v>900</v>
      </c>
      <c r="Y248" s="621">
        <v>183</v>
      </c>
      <c r="Z248" s="650">
        <v>0.56999999999999995</v>
      </c>
      <c r="AA248" s="650">
        <v>0.21</v>
      </c>
      <c r="AB248" s="651">
        <v>0.60540000000000005</v>
      </c>
      <c r="AC248" s="621">
        <v>3239455</v>
      </c>
      <c r="AD248" s="621">
        <v>3034657</v>
      </c>
      <c r="AE248" s="621">
        <v>3034657</v>
      </c>
      <c r="AF248" s="484">
        <v>2160</v>
      </c>
      <c r="AG248" s="649">
        <v>2181.9</v>
      </c>
      <c r="AH248" s="891">
        <v>2171.9</v>
      </c>
      <c r="AI248" s="649">
        <v>2081</v>
      </c>
      <c r="AJ248" s="652">
        <v>0</v>
      </c>
      <c r="AK248" s="621"/>
      <c r="AL248" s="621"/>
      <c r="AM248" s="621">
        <v>14</v>
      </c>
      <c r="AN248" s="621">
        <v>0</v>
      </c>
      <c r="AO248" s="649">
        <v>2062.5</v>
      </c>
      <c r="AP248" s="649"/>
      <c r="AQ248" s="892">
        <v>0</v>
      </c>
      <c r="AR248" s="652"/>
      <c r="AS248" s="648"/>
      <c r="AT248" s="649">
        <v>0</v>
      </c>
      <c r="AU248" s="653">
        <v>0</v>
      </c>
      <c r="AV248" s="621">
        <v>13192739</v>
      </c>
      <c r="AW248" s="621">
        <v>456311</v>
      </c>
      <c r="AX248" s="621">
        <v>491605</v>
      </c>
      <c r="AY248" s="621">
        <v>3138038</v>
      </c>
      <c r="AZ248" s="621"/>
      <c r="BA248" s="428">
        <v>1</v>
      </c>
      <c r="BB248" s="621">
        <v>105444</v>
      </c>
      <c r="BC248" s="621">
        <v>98014</v>
      </c>
      <c r="BE248" s="621">
        <v>13187923</v>
      </c>
      <c r="BF248" s="621">
        <v>13966</v>
      </c>
      <c r="BG248" s="621">
        <v>15873</v>
      </c>
      <c r="BH248" s="4604">
        <v>33</v>
      </c>
      <c r="BI248" s="621">
        <v>118003108</v>
      </c>
      <c r="BJ248" s="621">
        <v>116119736</v>
      </c>
      <c r="BK248" s="621">
        <v>105444</v>
      </c>
      <c r="BL248" s="4605">
        <v>955</v>
      </c>
      <c r="BM248" s="621">
        <v>972</v>
      </c>
      <c r="BN248" s="621">
        <v>987</v>
      </c>
      <c r="BO248" s="621">
        <v>286</v>
      </c>
      <c r="BP248" s="621">
        <v>284</v>
      </c>
      <c r="BQ248" s="621">
        <v>243</v>
      </c>
    </row>
    <row r="249" spans="1:69">
      <c r="A249" s="888">
        <v>466</v>
      </c>
      <c r="B249" s="889" t="s">
        <v>569</v>
      </c>
      <c r="C249" s="890" t="s">
        <v>224</v>
      </c>
      <c r="D249" s="621">
        <v>95602561</v>
      </c>
      <c r="E249" s="621">
        <v>90826656</v>
      </c>
      <c r="F249" s="621">
        <v>91804670</v>
      </c>
      <c r="G249" s="621">
        <v>87007552</v>
      </c>
      <c r="H249" s="648">
        <v>970.5</v>
      </c>
      <c r="I249" s="648">
        <v>973.2</v>
      </c>
      <c r="J249" s="649">
        <v>756</v>
      </c>
      <c r="K249" s="621">
        <v>7460827</v>
      </c>
      <c r="L249" s="484">
        <v>970.5</v>
      </c>
      <c r="M249" s="648">
        <v>987.3</v>
      </c>
      <c r="N249" s="649">
        <v>988.7</v>
      </c>
      <c r="O249" s="648">
        <v>950.5</v>
      </c>
      <c r="P249" s="621">
        <v>553627</v>
      </c>
      <c r="Q249" s="621">
        <v>587609</v>
      </c>
      <c r="R249" s="621">
        <v>693387</v>
      </c>
      <c r="S249" s="621">
        <v>535429</v>
      </c>
      <c r="T249" s="621">
        <v>0</v>
      </c>
      <c r="U249" s="621">
        <v>0</v>
      </c>
      <c r="V249" s="621"/>
      <c r="W249" s="650">
        <v>0.17</v>
      </c>
      <c r="X249" s="621">
        <v>347</v>
      </c>
      <c r="Y249" s="621">
        <v>108</v>
      </c>
      <c r="Z249" s="650">
        <v>0.17</v>
      </c>
      <c r="AA249" s="650">
        <v>0</v>
      </c>
      <c r="AB249" s="651">
        <v>0.32</v>
      </c>
      <c r="AC249" s="621">
        <v>875548</v>
      </c>
      <c r="AD249" s="621">
        <v>853740</v>
      </c>
      <c r="AE249" s="621">
        <v>853740</v>
      </c>
      <c r="AF249" s="484">
        <v>970.5</v>
      </c>
      <c r="AG249" s="649">
        <v>981</v>
      </c>
      <c r="AH249" s="891">
        <v>984.7</v>
      </c>
      <c r="AI249" s="649">
        <v>943.8</v>
      </c>
      <c r="AJ249" s="652">
        <v>0</v>
      </c>
      <c r="AK249" s="621"/>
      <c r="AL249" s="621"/>
      <c r="AM249" s="621">
        <v>3</v>
      </c>
      <c r="AN249" s="621">
        <v>0</v>
      </c>
      <c r="AO249" s="649">
        <v>937.8</v>
      </c>
      <c r="AP249" s="649"/>
      <c r="AQ249" s="892">
        <v>0</v>
      </c>
      <c r="AR249" s="652"/>
      <c r="AS249" s="648"/>
      <c r="AT249" s="649">
        <v>0</v>
      </c>
      <c r="AU249" s="653">
        <v>0</v>
      </c>
      <c r="AV249" s="621">
        <v>6588605</v>
      </c>
      <c r="AW249" s="621">
        <v>113153</v>
      </c>
      <c r="AX249" s="621">
        <v>93751</v>
      </c>
      <c r="AY249" s="621">
        <v>634935</v>
      </c>
      <c r="AZ249" s="621"/>
      <c r="BA249" s="428">
        <v>1</v>
      </c>
      <c r="BB249" s="621">
        <v>0</v>
      </c>
      <c r="BC249" s="621">
        <v>50000</v>
      </c>
      <c r="BE249" s="621">
        <v>6859885</v>
      </c>
      <c r="BF249" s="621">
        <v>5151</v>
      </c>
      <c r="BG249" s="621">
        <v>6749</v>
      </c>
      <c r="BH249" s="4604">
        <v>31</v>
      </c>
      <c r="BI249" s="621">
        <v>94294195</v>
      </c>
      <c r="BJ249" s="621">
        <v>90145035</v>
      </c>
      <c r="BK249" s="621">
        <v>0</v>
      </c>
      <c r="BL249" s="4605">
        <v>376</v>
      </c>
      <c r="BM249" s="621">
        <v>364</v>
      </c>
      <c r="BN249" s="621">
        <v>336</v>
      </c>
      <c r="BO249" s="621">
        <v>127</v>
      </c>
      <c r="BP249" s="621">
        <v>112</v>
      </c>
      <c r="BQ249" s="621">
        <v>127</v>
      </c>
    </row>
    <row r="250" spans="1:69">
      <c r="A250" s="888">
        <v>467</v>
      </c>
      <c r="B250" s="889" t="s">
        <v>570</v>
      </c>
      <c r="C250" s="890" t="s">
        <v>225</v>
      </c>
      <c r="D250" s="621">
        <v>56250796</v>
      </c>
      <c r="E250" s="621">
        <v>54151643</v>
      </c>
      <c r="F250" s="621">
        <v>53201074</v>
      </c>
      <c r="G250" s="621">
        <v>51108936</v>
      </c>
      <c r="H250" s="648">
        <v>385.6</v>
      </c>
      <c r="I250" s="648">
        <v>383.8</v>
      </c>
      <c r="J250" s="649">
        <v>775.3</v>
      </c>
      <c r="K250" s="621">
        <v>3430309</v>
      </c>
      <c r="L250" s="484">
        <v>394.5</v>
      </c>
      <c r="M250" s="648">
        <v>391.6</v>
      </c>
      <c r="N250" s="649">
        <v>387.8</v>
      </c>
      <c r="O250" s="648">
        <v>394.2</v>
      </c>
      <c r="P250" s="621">
        <v>235367</v>
      </c>
      <c r="Q250" s="621">
        <v>244353</v>
      </c>
      <c r="R250" s="621">
        <v>0</v>
      </c>
      <c r="S250" s="621">
        <v>278906</v>
      </c>
      <c r="T250" s="621">
        <v>0</v>
      </c>
      <c r="U250" s="621">
        <v>0</v>
      </c>
      <c r="V250" s="621"/>
      <c r="W250" s="650">
        <v>0</v>
      </c>
      <c r="X250" s="621">
        <v>145</v>
      </c>
      <c r="Y250" s="621">
        <v>51</v>
      </c>
      <c r="Z250" s="650">
        <v>0</v>
      </c>
      <c r="AA250" s="650">
        <v>0</v>
      </c>
      <c r="AB250" s="651">
        <v>6.0000000000000001E-3</v>
      </c>
      <c r="AC250" s="621">
        <v>455215</v>
      </c>
      <c r="AD250" s="621">
        <v>410288</v>
      </c>
      <c r="AE250" s="621">
        <v>410288</v>
      </c>
      <c r="AF250" s="484">
        <v>394.5</v>
      </c>
      <c r="AG250" s="649">
        <v>391.6</v>
      </c>
      <c r="AH250" s="891">
        <v>387.8</v>
      </c>
      <c r="AI250" s="649">
        <v>394.2</v>
      </c>
      <c r="AJ250" s="652">
        <v>0</v>
      </c>
      <c r="AK250" s="621"/>
      <c r="AL250" s="621"/>
      <c r="AM250" s="621">
        <v>0</v>
      </c>
      <c r="AN250" s="621">
        <v>0</v>
      </c>
      <c r="AO250" s="649">
        <v>389.7</v>
      </c>
      <c r="AP250" s="649"/>
      <c r="AQ250" s="892">
        <v>0</v>
      </c>
      <c r="AR250" s="652"/>
      <c r="AS250" s="648"/>
      <c r="AT250" s="649">
        <v>0</v>
      </c>
      <c r="AU250" s="653">
        <v>0</v>
      </c>
      <c r="AV250" s="621">
        <v>3072730</v>
      </c>
      <c r="AW250" s="621">
        <v>0</v>
      </c>
      <c r="AX250" s="621">
        <v>0</v>
      </c>
      <c r="AY250" s="621">
        <v>0</v>
      </c>
      <c r="AZ250" s="621"/>
      <c r="BA250" s="428">
        <v>1</v>
      </c>
      <c r="BB250" s="621">
        <v>0</v>
      </c>
      <c r="BC250" s="621">
        <v>0</v>
      </c>
      <c r="BE250" s="621">
        <v>3179266</v>
      </c>
      <c r="BF250" s="621">
        <v>359</v>
      </c>
      <c r="BG250" s="621">
        <v>540</v>
      </c>
      <c r="BH250" s="4604">
        <v>33</v>
      </c>
      <c r="BI250" s="621">
        <v>55097148</v>
      </c>
      <c r="BJ250" s="621">
        <v>51547708</v>
      </c>
      <c r="BK250" s="621">
        <v>0</v>
      </c>
      <c r="BL250" s="4605">
        <v>144</v>
      </c>
      <c r="BM250" s="621">
        <v>146</v>
      </c>
      <c r="BN250" s="621">
        <v>129</v>
      </c>
      <c r="BO250" s="621">
        <v>70</v>
      </c>
      <c r="BP250" s="621">
        <v>56</v>
      </c>
      <c r="BQ250" s="621">
        <v>57</v>
      </c>
    </row>
    <row r="251" spans="1:69">
      <c r="A251" s="888">
        <v>468</v>
      </c>
      <c r="B251" s="889" t="s">
        <v>571</v>
      </c>
      <c r="C251" s="890" t="s">
        <v>226</v>
      </c>
      <c r="D251" s="621">
        <v>11671699</v>
      </c>
      <c r="E251" s="621">
        <v>11312469</v>
      </c>
      <c r="F251" s="621">
        <v>11464178</v>
      </c>
      <c r="G251" s="621">
        <v>11104450</v>
      </c>
      <c r="H251" s="648">
        <v>52</v>
      </c>
      <c r="I251" s="648">
        <v>44.6</v>
      </c>
      <c r="J251" s="649">
        <v>203.3</v>
      </c>
      <c r="K251" s="621">
        <v>667074</v>
      </c>
      <c r="L251" s="484">
        <v>57</v>
      </c>
      <c r="M251" s="648">
        <v>52</v>
      </c>
      <c r="N251" s="649">
        <v>44.6</v>
      </c>
      <c r="O251" s="648">
        <v>41.7</v>
      </c>
      <c r="P251" s="621">
        <v>92750</v>
      </c>
      <c r="Q251" s="621">
        <v>92630</v>
      </c>
      <c r="R251" s="621">
        <v>0</v>
      </c>
      <c r="S251" s="621">
        <v>115125</v>
      </c>
      <c r="T251" s="621">
        <v>0</v>
      </c>
      <c r="U251" s="621">
        <v>0</v>
      </c>
      <c r="V251" s="621"/>
      <c r="W251" s="650">
        <v>0</v>
      </c>
      <c r="X251" s="621">
        <v>28</v>
      </c>
      <c r="Y251" s="621">
        <v>0</v>
      </c>
      <c r="Z251" s="650">
        <v>0</v>
      </c>
      <c r="AA251" s="650">
        <v>0</v>
      </c>
      <c r="AB251" s="651">
        <v>0</v>
      </c>
      <c r="AC251" s="621">
        <v>91775</v>
      </c>
      <c r="AD251" s="621">
        <v>80137</v>
      </c>
      <c r="AE251" s="621">
        <v>80137</v>
      </c>
      <c r="AF251" s="484">
        <v>57</v>
      </c>
      <c r="AG251" s="649">
        <v>52</v>
      </c>
      <c r="AH251" s="891">
        <v>44.6</v>
      </c>
      <c r="AI251" s="649">
        <v>41.7</v>
      </c>
      <c r="AJ251" s="652">
        <v>0</v>
      </c>
      <c r="AK251" s="621"/>
      <c r="AL251" s="621"/>
      <c r="AM251" s="621">
        <v>0</v>
      </c>
      <c r="AN251" s="621">
        <v>0</v>
      </c>
      <c r="AO251" s="649">
        <v>41.7</v>
      </c>
      <c r="AP251" s="649"/>
      <c r="AQ251" s="892">
        <v>0</v>
      </c>
      <c r="AR251" s="652"/>
      <c r="AS251" s="648"/>
      <c r="AT251" s="649">
        <v>0</v>
      </c>
      <c r="AU251" s="653">
        <v>0</v>
      </c>
      <c r="AV251" s="621">
        <v>606444</v>
      </c>
      <c r="AW251" s="621">
        <v>0</v>
      </c>
      <c r="AX251" s="621">
        <v>0</v>
      </c>
      <c r="AY251" s="621">
        <v>0</v>
      </c>
      <c r="AZ251" s="621"/>
      <c r="BA251" s="428">
        <v>1</v>
      </c>
      <c r="BB251" s="621">
        <v>0</v>
      </c>
      <c r="BC251" s="621">
        <v>0</v>
      </c>
      <c r="BE251" s="621">
        <v>571276</v>
      </c>
      <c r="BF251" s="621">
        <v>0</v>
      </c>
      <c r="BG251" s="621">
        <v>0</v>
      </c>
      <c r="BH251" s="4604">
        <v>33</v>
      </c>
      <c r="BI251" s="621">
        <v>11671699</v>
      </c>
      <c r="BJ251" s="621">
        <v>11464178</v>
      </c>
      <c r="BK251" s="621">
        <v>0</v>
      </c>
      <c r="BL251" s="4605">
        <v>25</v>
      </c>
      <c r="BM251" s="621">
        <v>35</v>
      </c>
      <c r="BN251" s="621">
        <v>34</v>
      </c>
      <c r="BO251" s="621">
        <v>7</v>
      </c>
      <c r="BP251" s="621">
        <v>3</v>
      </c>
      <c r="BQ251" s="621">
        <v>4</v>
      </c>
    </row>
    <row r="252" spans="1:69">
      <c r="A252" s="888">
        <v>469</v>
      </c>
      <c r="B252" s="889" t="s">
        <v>572</v>
      </c>
      <c r="C252" s="890" t="s">
        <v>138</v>
      </c>
      <c r="D252" s="621">
        <v>139620307</v>
      </c>
      <c r="E252" s="621">
        <v>129685418</v>
      </c>
      <c r="F252" s="621">
        <v>145932605</v>
      </c>
      <c r="G252" s="621">
        <v>135909916</v>
      </c>
      <c r="H252" s="648">
        <v>2548</v>
      </c>
      <c r="I252" s="648">
        <v>2600.1999999999998</v>
      </c>
      <c r="J252" s="649">
        <v>49</v>
      </c>
      <c r="K252" s="621">
        <v>17253915</v>
      </c>
      <c r="L252" s="484">
        <v>2657</v>
      </c>
      <c r="M252" s="648">
        <v>2548</v>
      </c>
      <c r="N252" s="649">
        <v>2613.1999999999998</v>
      </c>
      <c r="O252" s="648">
        <v>2540</v>
      </c>
      <c r="P252" s="621">
        <v>3035799</v>
      </c>
      <c r="Q252" s="621">
        <v>3172920</v>
      </c>
      <c r="R252" s="621">
        <v>3547331</v>
      </c>
      <c r="S252" s="621">
        <v>1716493</v>
      </c>
      <c r="T252" s="621">
        <v>0</v>
      </c>
      <c r="U252" s="621">
        <v>0</v>
      </c>
      <c r="V252" s="621"/>
      <c r="W252" s="650">
        <v>0.56000000000000005</v>
      </c>
      <c r="X252" s="621">
        <v>499</v>
      </c>
      <c r="Y252" s="621">
        <v>248</v>
      </c>
      <c r="Z252" s="650">
        <v>0.55000000000000004</v>
      </c>
      <c r="AA252" s="650">
        <v>0.19</v>
      </c>
      <c r="AB252" s="651">
        <v>0.60850000000000004</v>
      </c>
      <c r="AC252" s="621">
        <v>2660915</v>
      </c>
      <c r="AD252" s="621">
        <v>2587480</v>
      </c>
      <c r="AE252" s="621">
        <v>2587480</v>
      </c>
      <c r="AF252" s="484">
        <v>2657</v>
      </c>
      <c r="AG252" s="649">
        <v>2548</v>
      </c>
      <c r="AH252" s="891">
        <v>2613.1999999999998</v>
      </c>
      <c r="AI252" s="649">
        <v>2540</v>
      </c>
      <c r="AJ252" s="652">
        <v>2.3999999999999998E-3</v>
      </c>
      <c r="AK252" s="621"/>
      <c r="AL252" s="621"/>
      <c r="AM252" s="621">
        <v>280</v>
      </c>
      <c r="AN252" s="621">
        <v>15828</v>
      </c>
      <c r="AO252" s="649">
        <v>2534</v>
      </c>
      <c r="AP252" s="649"/>
      <c r="AQ252" s="892">
        <v>0</v>
      </c>
      <c r="AR252" s="652"/>
      <c r="AS252" s="648"/>
      <c r="AT252" s="649">
        <v>0</v>
      </c>
      <c r="AU252" s="653">
        <v>0</v>
      </c>
      <c r="AV252" s="621">
        <v>14112988</v>
      </c>
      <c r="AW252" s="621">
        <v>622480</v>
      </c>
      <c r="AX252" s="621">
        <v>639403</v>
      </c>
      <c r="AY252" s="621">
        <v>3501190</v>
      </c>
      <c r="AZ252" s="621"/>
      <c r="BA252" s="428">
        <v>1</v>
      </c>
      <c r="BB252" s="621">
        <v>63625</v>
      </c>
      <c r="BC252" s="621">
        <v>86613</v>
      </c>
      <c r="BE252" s="621">
        <v>14065167</v>
      </c>
      <c r="BF252" s="621">
        <v>6876</v>
      </c>
      <c r="BG252" s="621">
        <v>1104</v>
      </c>
      <c r="BH252" s="4604">
        <v>33</v>
      </c>
      <c r="BI252" s="621">
        <v>138946337</v>
      </c>
      <c r="BJ252" s="621">
        <v>145318853</v>
      </c>
      <c r="BK252" s="621">
        <v>63625</v>
      </c>
      <c r="BL252" s="4605">
        <v>567</v>
      </c>
      <c r="BM252" s="621">
        <v>535</v>
      </c>
      <c r="BN252" s="621">
        <v>566</v>
      </c>
      <c r="BO252" s="621">
        <v>241</v>
      </c>
      <c r="BP252" s="621">
        <v>254</v>
      </c>
      <c r="BQ252" s="621">
        <v>241</v>
      </c>
    </row>
    <row r="253" spans="1:69">
      <c r="A253" s="888">
        <v>470</v>
      </c>
      <c r="B253" s="889" t="s">
        <v>573</v>
      </c>
      <c r="C253" s="890" t="s">
        <v>223</v>
      </c>
      <c r="D253" s="621">
        <v>102394961</v>
      </c>
      <c r="E253" s="621">
        <v>88298471</v>
      </c>
      <c r="F253" s="621">
        <v>103561523</v>
      </c>
      <c r="G253" s="621">
        <v>89411967</v>
      </c>
      <c r="H253" s="648">
        <v>2781.6</v>
      </c>
      <c r="I253" s="648">
        <v>2776.7</v>
      </c>
      <c r="J253" s="649">
        <v>200</v>
      </c>
      <c r="K253" s="621">
        <v>22078322</v>
      </c>
      <c r="L253" s="484">
        <v>2803.5</v>
      </c>
      <c r="M253" s="648">
        <v>2816.6</v>
      </c>
      <c r="N253" s="649">
        <v>2804.7</v>
      </c>
      <c r="O253" s="648">
        <v>2670.4</v>
      </c>
      <c r="P253" s="621">
        <v>3206820</v>
      </c>
      <c r="Q253" s="621">
        <v>3117503</v>
      </c>
      <c r="R253" s="621">
        <v>4933998</v>
      </c>
      <c r="S253" s="621">
        <v>2403951</v>
      </c>
      <c r="T253" s="621">
        <v>0</v>
      </c>
      <c r="U253" s="621">
        <v>0</v>
      </c>
      <c r="V253" s="621"/>
      <c r="W253" s="650">
        <v>0.73</v>
      </c>
      <c r="X253" s="621">
        <v>1606</v>
      </c>
      <c r="Y253" s="621">
        <v>243</v>
      </c>
      <c r="Z253" s="650">
        <v>0.74</v>
      </c>
      <c r="AA253" s="650">
        <v>0.38</v>
      </c>
      <c r="AB253" s="651">
        <v>0.7369</v>
      </c>
      <c r="AC253" s="621">
        <v>2833148</v>
      </c>
      <c r="AD253" s="621">
        <v>2731110</v>
      </c>
      <c r="AE253" s="621">
        <v>2731110</v>
      </c>
      <c r="AF253" s="484">
        <v>2803.5</v>
      </c>
      <c r="AG253" s="649">
        <v>2816.6</v>
      </c>
      <c r="AH253" s="891">
        <v>2804.7</v>
      </c>
      <c r="AI253" s="649">
        <v>2670.4</v>
      </c>
      <c r="AJ253" s="652">
        <v>0</v>
      </c>
      <c r="AK253" s="621"/>
      <c r="AL253" s="621"/>
      <c r="AM253" s="621">
        <v>3</v>
      </c>
      <c r="AN253" s="621">
        <v>0</v>
      </c>
      <c r="AO253" s="649">
        <v>2635.9</v>
      </c>
      <c r="AP253" s="649"/>
      <c r="AQ253" s="892">
        <v>0</v>
      </c>
      <c r="AR253" s="652"/>
      <c r="AS253" s="648"/>
      <c r="AT253" s="649">
        <v>0</v>
      </c>
      <c r="AU253" s="653">
        <v>0</v>
      </c>
      <c r="AV253" s="621">
        <v>18151122</v>
      </c>
      <c r="AW253" s="621">
        <v>507666</v>
      </c>
      <c r="AX253" s="621">
        <v>579910</v>
      </c>
      <c r="AY253" s="621">
        <v>4796716</v>
      </c>
      <c r="AZ253" s="621"/>
      <c r="BA253" s="428">
        <v>1</v>
      </c>
      <c r="BB253" s="621">
        <v>0</v>
      </c>
      <c r="BC253" s="621">
        <v>0</v>
      </c>
      <c r="BE253" s="621">
        <v>18958016</v>
      </c>
      <c r="BF253" s="621">
        <v>0</v>
      </c>
      <c r="BG253" s="621">
        <v>800</v>
      </c>
      <c r="BH253" s="4604">
        <v>31</v>
      </c>
      <c r="BI253" s="621">
        <v>104690596</v>
      </c>
      <c r="BJ253" s="621">
        <v>105937021</v>
      </c>
      <c r="BK253" s="621">
        <v>0</v>
      </c>
      <c r="BL253" s="4605">
        <v>1665</v>
      </c>
      <c r="BM253" s="621">
        <v>1527</v>
      </c>
      <c r="BN253" s="621">
        <v>1511</v>
      </c>
      <c r="BO253" s="621">
        <v>320</v>
      </c>
      <c r="BP253" s="621">
        <v>259</v>
      </c>
      <c r="BQ253" s="621">
        <v>256</v>
      </c>
    </row>
    <row r="254" spans="1:69">
      <c r="A254" s="888">
        <v>471</v>
      </c>
      <c r="B254" s="889" t="s">
        <v>574</v>
      </c>
      <c r="C254" s="890" t="s">
        <v>223</v>
      </c>
      <c r="D254" s="621">
        <v>9223074</v>
      </c>
      <c r="E254" s="621">
        <v>8593787</v>
      </c>
      <c r="F254" s="621">
        <v>8989668</v>
      </c>
      <c r="G254" s="621">
        <v>8337922</v>
      </c>
      <c r="H254" s="648">
        <v>189.5</v>
      </c>
      <c r="I254" s="648">
        <v>208.4</v>
      </c>
      <c r="J254" s="649">
        <v>213</v>
      </c>
      <c r="K254" s="621">
        <v>2216879</v>
      </c>
      <c r="L254" s="484">
        <v>166</v>
      </c>
      <c r="M254" s="648">
        <v>189.5</v>
      </c>
      <c r="N254" s="649">
        <v>208.4</v>
      </c>
      <c r="O254" s="648">
        <v>237.4</v>
      </c>
      <c r="P254" s="621">
        <v>237847</v>
      </c>
      <c r="Q254" s="621">
        <v>231482</v>
      </c>
      <c r="R254" s="621">
        <v>431451</v>
      </c>
      <c r="S254" s="621">
        <v>182014</v>
      </c>
      <c r="T254" s="621">
        <v>4050</v>
      </c>
      <c r="U254" s="621">
        <v>0</v>
      </c>
      <c r="V254" s="621"/>
      <c r="W254" s="650">
        <v>0.75</v>
      </c>
      <c r="X254" s="621">
        <v>106</v>
      </c>
      <c r="Y254" s="621">
        <v>18</v>
      </c>
      <c r="Z254" s="650">
        <v>0.74</v>
      </c>
      <c r="AA254" s="650">
        <v>0.38</v>
      </c>
      <c r="AB254" s="651">
        <v>0.69069999999999998</v>
      </c>
      <c r="AC254" s="621">
        <v>205748</v>
      </c>
      <c r="AD254" s="621">
        <v>220609</v>
      </c>
      <c r="AE254" s="621">
        <v>220609</v>
      </c>
      <c r="AF254" s="484">
        <v>166</v>
      </c>
      <c r="AG254" s="649">
        <v>189.5</v>
      </c>
      <c r="AH254" s="891">
        <v>208.4</v>
      </c>
      <c r="AI254" s="649">
        <v>237.4</v>
      </c>
      <c r="AJ254" s="652">
        <v>0</v>
      </c>
      <c r="AK254" s="621"/>
      <c r="AL254" s="621"/>
      <c r="AM254" s="621">
        <v>0</v>
      </c>
      <c r="AN254" s="621">
        <v>0</v>
      </c>
      <c r="AO254" s="649">
        <v>237.4</v>
      </c>
      <c r="AP254" s="649"/>
      <c r="AQ254" s="892">
        <v>0</v>
      </c>
      <c r="AR254" s="652"/>
      <c r="AS254" s="648"/>
      <c r="AT254" s="649">
        <v>0</v>
      </c>
      <c r="AU254" s="653">
        <v>0</v>
      </c>
      <c r="AV254" s="621">
        <v>1761211</v>
      </c>
      <c r="AW254" s="621">
        <v>44986</v>
      </c>
      <c r="AX254" s="621">
        <v>46027</v>
      </c>
      <c r="AY254" s="621">
        <v>376998</v>
      </c>
      <c r="AZ254" s="621"/>
      <c r="BA254" s="428">
        <v>1</v>
      </c>
      <c r="BB254" s="621">
        <v>0</v>
      </c>
      <c r="BC254" s="621">
        <v>0</v>
      </c>
      <c r="BE254" s="621">
        <v>1982317</v>
      </c>
      <c r="BF254" s="621">
        <v>0</v>
      </c>
      <c r="BG254" s="621">
        <v>0</v>
      </c>
      <c r="BH254" s="4604">
        <v>31</v>
      </c>
      <c r="BI254" s="621">
        <v>9223074</v>
      </c>
      <c r="BJ254" s="621">
        <v>8989668</v>
      </c>
      <c r="BK254" s="621">
        <v>0</v>
      </c>
      <c r="BL254" s="4605">
        <v>66</v>
      </c>
      <c r="BM254" s="621">
        <v>77</v>
      </c>
      <c r="BN254" s="621">
        <v>88</v>
      </c>
      <c r="BO254" s="621">
        <v>35</v>
      </c>
      <c r="BP254" s="621">
        <v>22</v>
      </c>
      <c r="BQ254" s="621">
        <v>18</v>
      </c>
    </row>
    <row r="255" spans="1:69">
      <c r="A255" s="888">
        <v>473</v>
      </c>
      <c r="B255" s="889" t="s">
        <v>575</v>
      </c>
      <c r="C255" s="890" t="s">
        <v>208</v>
      </c>
      <c r="D255" s="621">
        <v>89199911</v>
      </c>
      <c r="E255" s="621">
        <v>83535498</v>
      </c>
      <c r="F255" s="621">
        <v>91358240</v>
      </c>
      <c r="G255" s="621">
        <v>85701472</v>
      </c>
      <c r="H255" s="648">
        <v>1055</v>
      </c>
      <c r="I255" s="648">
        <v>1079.5</v>
      </c>
      <c r="J255" s="649">
        <v>550</v>
      </c>
      <c r="K255" s="621">
        <v>8506409</v>
      </c>
      <c r="L255" s="484">
        <v>1056.5</v>
      </c>
      <c r="M255" s="648">
        <v>1055</v>
      </c>
      <c r="N255" s="649">
        <v>1079.5</v>
      </c>
      <c r="O255" s="648">
        <v>1058.2</v>
      </c>
      <c r="P255" s="621">
        <v>1096357</v>
      </c>
      <c r="Q255" s="621">
        <v>1180851</v>
      </c>
      <c r="R255" s="621">
        <v>1018265</v>
      </c>
      <c r="S255" s="621">
        <v>852264</v>
      </c>
      <c r="T255" s="621">
        <v>21445</v>
      </c>
      <c r="U255" s="621">
        <v>0</v>
      </c>
      <c r="V255" s="621"/>
      <c r="W255" s="650">
        <v>0.27</v>
      </c>
      <c r="X255" s="621">
        <v>305</v>
      </c>
      <c r="Y255" s="621">
        <v>125</v>
      </c>
      <c r="Z255" s="650">
        <v>0.26</v>
      </c>
      <c r="AA255" s="650">
        <v>0</v>
      </c>
      <c r="AB255" s="651">
        <v>0.39500000000000002</v>
      </c>
      <c r="AC255" s="621">
        <v>1030432</v>
      </c>
      <c r="AD255" s="621">
        <v>949166</v>
      </c>
      <c r="AE255" s="621">
        <v>949166</v>
      </c>
      <c r="AF255" s="484">
        <v>1056.5</v>
      </c>
      <c r="AG255" s="649">
        <v>1055</v>
      </c>
      <c r="AH255" s="891">
        <v>1079.5</v>
      </c>
      <c r="AI255" s="649">
        <v>1052.2</v>
      </c>
      <c r="AJ255" s="652">
        <v>0</v>
      </c>
      <c r="AK255" s="621"/>
      <c r="AL255" s="621"/>
      <c r="AM255" s="621">
        <v>114</v>
      </c>
      <c r="AN255" s="621">
        <v>15252</v>
      </c>
      <c r="AO255" s="649">
        <v>1052.2</v>
      </c>
      <c r="AP255" s="649"/>
      <c r="AQ255" s="892">
        <v>0</v>
      </c>
      <c r="AR255" s="652"/>
      <c r="AS255" s="648"/>
      <c r="AT255" s="649">
        <v>0</v>
      </c>
      <c r="AU255" s="653">
        <v>0</v>
      </c>
      <c r="AV255" s="621">
        <v>7020860</v>
      </c>
      <c r="AW255" s="621">
        <v>170859</v>
      </c>
      <c r="AX255" s="621">
        <v>189373</v>
      </c>
      <c r="AY255" s="621">
        <v>970359</v>
      </c>
      <c r="AZ255" s="621"/>
      <c r="BA255" s="428">
        <v>1</v>
      </c>
      <c r="BB255" s="621">
        <v>34348</v>
      </c>
      <c r="BC255" s="621">
        <v>34348</v>
      </c>
      <c r="BE255" s="621">
        <v>7310284</v>
      </c>
      <c r="BF255" s="621">
        <v>2132</v>
      </c>
      <c r="BG255" s="621">
        <v>1843</v>
      </c>
      <c r="BH255" s="4604">
        <v>31</v>
      </c>
      <c r="BI255" s="621">
        <v>88989049</v>
      </c>
      <c r="BJ255" s="621">
        <v>91147378</v>
      </c>
      <c r="BK255" s="621">
        <v>34348</v>
      </c>
      <c r="BL255" s="4605">
        <v>340</v>
      </c>
      <c r="BM255" s="621">
        <v>335</v>
      </c>
      <c r="BN255" s="621">
        <v>288</v>
      </c>
      <c r="BO255" s="621">
        <v>107</v>
      </c>
      <c r="BP255" s="621">
        <v>92</v>
      </c>
      <c r="BQ255" s="621">
        <v>124</v>
      </c>
    </row>
    <row r="256" spans="1:69">
      <c r="A256" s="888">
        <v>474</v>
      </c>
      <c r="B256" s="889" t="s">
        <v>576</v>
      </c>
      <c r="C256" s="890" t="s">
        <v>219</v>
      </c>
      <c r="D256" s="621">
        <v>20978466</v>
      </c>
      <c r="E256" s="621">
        <v>20292159</v>
      </c>
      <c r="F256" s="621">
        <v>20233674</v>
      </c>
      <c r="G256" s="621">
        <v>19539377</v>
      </c>
      <c r="H256" s="648">
        <v>108.5</v>
      </c>
      <c r="I256" s="648">
        <v>118.3</v>
      </c>
      <c r="J256" s="649">
        <v>234.9</v>
      </c>
      <c r="K256" s="621">
        <v>1354252</v>
      </c>
      <c r="L256" s="484">
        <v>106.5</v>
      </c>
      <c r="M256" s="648">
        <v>108.5</v>
      </c>
      <c r="N256" s="649">
        <v>118.3</v>
      </c>
      <c r="O256" s="648">
        <v>99.8</v>
      </c>
      <c r="P256" s="621">
        <v>138754</v>
      </c>
      <c r="Q256" s="621">
        <v>140689</v>
      </c>
      <c r="R256" s="621">
        <v>0</v>
      </c>
      <c r="S256" s="621">
        <v>163745</v>
      </c>
      <c r="T256" s="621">
        <v>0</v>
      </c>
      <c r="U256" s="621">
        <v>0</v>
      </c>
      <c r="V256" s="621"/>
      <c r="W256" s="650">
        <v>0</v>
      </c>
      <c r="X256" s="621">
        <v>33</v>
      </c>
      <c r="Y256" s="621">
        <v>10</v>
      </c>
      <c r="Z256" s="650">
        <v>0</v>
      </c>
      <c r="AA256" s="650">
        <v>0</v>
      </c>
      <c r="AB256" s="651">
        <v>0</v>
      </c>
      <c r="AC256" s="621">
        <v>105012</v>
      </c>
      <c r="AD256" s="621">
        <v>101437</v>
      </c>
      <c r="AE256" s="621">
        <v>101437</v>
      </c>
      <c r="AF256" s="484">
        <v>106.5</v>
      </c>
      <c r="AG256" s="649">
        <v>108.5</v>
      </c>
      <c r="AH256" s="891">
        <v>118.3</v>
      </c>
      <c r="AI256" s="649">
        <v>99.8</v>
      </c>
      <c r="AJ256" s="652">
        <v>0</v>
      </c>
      <c r="AK256" s="621"/>
      <c r="AL256" s="621"/>
      <c r="AM256" s="621">
        <v>0</v>
      </c>
      <c r="AN256" s="621">
        <v>0</v>
      </c>
      <c r="AO256" s="649">
        <v>99.8</v>
      </c>
      <c r="AP256" s="649"/>
      <c r="AQ256" s="892">
        <v>0</v>
      </c>
      <c r="AR256" s="652"/>
      <c r="AS256" s="648"/>
      <c r="AT256" s="649">
        <v>0</v>
      </c>
      <c r="AU256" s="653">
        <v>0</v>
      </c>
      <c r="AV256" s="621">
        <v>1120493</v>
      </c>
      <c r="AW256" s="621">
        <v>0</v>
      </c>
      <c r="AX256" s="621">
        <v>0</v>
      </c>
      <c r="AY256" s="621">
        <v>0</v>
      </c>
      <c r="AZ256" s="621"/>
      <c r="BA256" s="428">
        <v>1</v>
      </c>
      <c r="BB256" s="621">
        <v>0</v>
      </c>
      <c r="BC256" s="621">
        <v>0</v>
      </c>
      <c r="BE256" s="621">
        <v>1211693</v>
      </c>
      <c r="BF256" s="621">
        <v>151</v>
      </c>
      <c r="BG256" s="621">
        <v>0</v>
      </c>
      <c r="BH256" s="4604">
        <v>33</v>
      </c>
      <c r="BI256" s="621">
        <v>20657733</v>
      </c>
      <c r="BJ256" s="621">
        <v>20002020</v>
      </c>
      <c r="BK256" s="621">
        <v>0</v>
      </c>
      <c r="BL256" s="4605">
        <v>33</v>
      </c>
      <c r="BM256" s="621">
        <v>37</v>
      </c>
      <c r="BN256" s="621">
        <v>40</v>
      </c>
      <c r="BO256" s="621">
        <v>19</v>
      </c>
      <c r="BP256" s="621">
        <v>15</v>
      </c>
      <c r="BQ256" s="621">
        <v>16</v>
      </c>
    </row>
    <row r="257" spans="1:69">
      <c r="A257" s="888">
        <v>475</v>
      </c>
      <c r="B257" s="889" t="s">
        <v>577</v>
      </c>
      <c r="C257" s="890" t="s">
        <v>227</v>
      </c>
      <c r="D257" s="621">
        <v>227628992</v>
      </c>
      <c r="E257" s="621">
        <v>207204850</v>
      </c>
      <c r="F257" s="621">
        <v>230761788</v>
      </c>
      <c r="G257" s="621">
        <v>210440401</v>
      </c>
      <c r="H257" s="648">
        <v>6988.5</v>
      </c>
      <c r="I257" s="648">
        <v>6953</v>
      </c>
      <c r="J257" s="649">
        <v>262</v>
      </c>
      <c r="K257" s="621">
        <v>51527358</v>
      </c>
      <c r="L257" s="484">
        <v>7669.1</v>
      </c>
      <c r="M257" s="648">
        <v>7379.9</v>
      </c>
      <c r="N257" s="649">
        <v>7447.1</v>
      </c>
      <c r="O257" s="648">
        <v>7202.1</v>
      </c>
      <c r="P257" s="621">
        <v>8000873</v>
      </c>
      <c r="Q257" s="621">
        <v>8134462</v>
      </c>
      <c r="R257" s="621">
        <v>12165179</v>
      </c>
      <c r="S257" s="621">
        <v>6169799</v>
      </c>
      <c r="T257" s="621">
        <v>0</v>
      </c>
      <c r="U257" s="621">
        <v>0</v>
      </c>
      <c r="V257" s="621"/>
      <c r="W257" s="650">
        <v>0.81</v>
      </c>
      <c r="X257" s="621">
        <v>2520</v>
      </c>
      <c r="Y257" s="621">
        <v>1008</v>
      </c>
      <c r="Z257" s="650">
        <v>0.8</v>
      </c>
      <c r="AA257" s="650">
        <v>0.44</v>
      </c>
      <c r="AB257" s="651">
        <v>0.7802</v>
      </c>
      <c r="AC257" s="621">
        <v>8468726</v>
      </c>
      <c r="AD257" s="621">
        <v>7681296</v>
      </c>
      <c r="AE257" s="621">
        <v>7681296</v>
      </c>
      <c r="AF257" s="484">
        <v>7669.1</v>
      </c>
      <c r="AG257" s="649">
        <v>7361.8</v>
      </c>
      <c r="AH257" s="891">
        <v>7423.1</v>
      </c>
      <c r="AI257" s="649">
        <v>7190.6</v>
      </c>
      <c r="AJ257" s="652">
        <v>0</v>
      </c>
      <c r="AK257" s="621"/>
      <c r="AL257" s="621"/>
      <c r="AM257" s="621">
        <v>4198</v>
      </c>
      <c r="AN257" s="621">
        <v>10290724</v>
      </c>
      <c r="AO257" s="649">
        <v>6666.2</v>
      </c>
      <c r="AP257" s="649"/>
      <c r="AQ257" s="892">
        <v>315.8</v>
      </c>
      <c r="AR257" s="652"/>
      <c r="AS257" s="648"/>
      <c r="AT257" s="649">
        <v>411.1</v>
      </c>
      <c r="AU257" s="653">
        <v>437.9</v>
      </c>
      <c r="AV257" s="621">
        <v>34707365</v>
      </c>
      <c r="AW257" s="621">
        <v>952173</v>
      </c>
      <c r="AX257" s="621">
        <v>839115</v>
      </c>
      <c r="AY257" s="621">
        <v>12327373</v>
      </c>
      <c r="AZ257" s="621"/>
      <c r="BA257" s="428">
        <v>1</v>
      </c>
      <c r="BB257" s="621">
        <v>145070</v>
      </c>
      <c r="BC257" s="621">
        <v>145070</v>
      </c>
      <c r="BE257" s="621">
        <v>33101773</v>
      </c>
      <c r="BF257" s="621">
        <v>33806</v>
      </c>
      <c r="BG257" s="621">
        <v>27367</v>
      </c>
      <c r="BH257" s="4604">
        <v>31.5</v>
      </c>
      <c r="BI257" s="621">
        <v>222680621</v>
      </c>
      <c r="BJ257" s="621">
        <v>229337222</v>
      </c>
      <c r="BK257" s="621">
        <v>145070</v>
      </c>
      <c r="BL257" s="4605">
        <v>2940</v>
      </c>
      <c r="BM257" s="621">
        <v>2846</v>
      </c>
      <c r="BN257" s="621">
        <v>2864</v>
      </c>
      <c r="BO257" s="621">
        <v>1583</v>
      </c>
      <c r="BP257" s="621">
        <v>1395</v>
      </c>
      <c r="BQ257" s="621">
        <v>1288</v>
      </c>
    </row>
    <row r="258" spans="1:69">
      <c r="A258" s="888">
        <v>476</v>
      </c>
      <c r="B258" s="889" t="s">
        <v>578</v>
      </c>
      <c r="C258" s="890" t="s">
        <v>128</v>
      </c>
      <c r="D258" s="621">
        <v>22188372</v>
      </c>
      <c r="E258" s="621">
        <v>21490886</v>
      </c>
      <c r="F258" s="621">
        <v>21284636</v>
      </c>
      <c r="G258" s="621">
        <v>20582961</v>
      </c>
      <c r="H258" s="648">
        <v>99</v>
      </c>
      <c r="I258" s="648">
        <v>101.5</v>
      </c>
      <c r="J258" s="649">
        <v>200</v>
      </c>
      <c r="K258" s="621">
        <v>1249298</v>
      </c>
      <c r="L258" s="484">
        <v>95</v>
      </c>
      <c r="M258" s="648">
        <v>107.5</v>
      </c>
      <c r="N258" s="649">
        <v>108.7</v>
      </c>
      <c r="O258" s="648">
        <v>102.2</v>
      </c>
      <c r="P258" s="621">
        <v>70098</v>
      </c>
      <c r="Q258" s="621">
        <v>74046</v>
      </c>
      <c r="R258" s="621">
        <v>0</v>
      </c>
      <c r="S258" s="621">
        <v>102150</v>
      </c>
      <c r="T258" s="621">
        <v>0</v>
      </c>
      <c r="U258" s="621">
        <v>0</v>
      </c>
      <c r="V258" s="621"/>
      <c r="W258" s="650">
        <v>0</v>
      </c>
      <c r="X258" s="621">
        <v>32</v>
      </c>
      <c r="Y258" s="621">
        <v>26</v>
      </c>
      <c r="Z258" s="650">
        <v>0</v>
      </c>
      <c r="AA258" s="650">
        <v>0</v>
      </c>
      <c r="AB258" s="651">
        <v>0</v>
      </c>
      <c r="AC258" s="621">
        <v>145559</v>
      </c>
      <c r="AD258" s="621">
        <v>130067</v>
      </c>
      <c r="AE258" s="621">
        <v>130067</v>
      </c>
      <c r="AF258" s="484">
        <v>95</v>
      </c>
      <c r="AG258" s="649">
        <v>100</v>
      </c>
      <c r="AH258" s="891">
        <v>102.5</v>
      </c>
      <c r="AI258" s="649">
        <v>96.5</v>
      </c>
      <c r="AJ258" s="652">
        <v>0</v>
      </c>
      <c r="AK258" s="621"/>
      <c r="AL258" s="621"/>
      <c r="AM258" s="621">
        <v>0</v>
      </c>
      <c r="AN258" s="621">
        <v>0</v>
      </c>
      <c r="AO258" s="649">
        <v>95</v>
      </c>
      <c r="AP258" s="649"/>
      <c r="AQ258" s="892">
        <v>0</v>
      </c>
      <c r="AR258" s="652"/>
      <c r="AS258" s="648"/>
      <c r="AT258" s="649">
        <v>0</v>
      </c>
      <c r="AU258" s="653">
        <v>0</v>
      </c>
      <c r="AV258" s="621">
        <v>1162957</v>
      </c>
      <c r="AW258" s="621">
        <v>0</v>
      </c>
      <c r="AX258" s="621">
        <v>0</v>
      </c>
      <c r="AY258" s="621">
        <v>0</v>
      </c>
      <c r="AZ258" s="621"/>
      <c r="BA258" s="428">
        <v>1</v>
      </c>
      <c r="BB258" s="621">
        <v>0</v>
      </c>
      <c r="BC258" s="621">
        <v>0</v>
      </c>
      <c r="BE258" s="621">
        <v>1173060</v>
      </c>
      <c r="BF258" s="621">
        <v>27</v>
      </c>
      <c r="BG258" s="621">
        <v>902</v>
      </c>
      <c r="BH258" s="4604">
        <v>31</v>
      </c>
      <c r="BI258" s="621">
        <v>22179800</v>
      </c>
      <c r="BJ258" s="621">
        <v>21277288</v>
      </c>
      <c r="BK258" s="621">
        <v>0</v>
      </c>
      <c r="BL258" s="4605">
        <v>27</v>
      </c>
      <c r="BM258" s="621">
        <v>38</v>
      </c>
      <c r="BN258" s="621">
        <v>41</v>
      </c>
      <c r="BO258" s="621">
        <v>21</v>
      </c>
      <c r="BP258" s="621">
        <v>24</v>
      </c>
      <c r="BQ258" s="621">
        <v>24</v>
      </c>
    </row>
    <row r="259" spans="1:69">
      <c r="A259" s="888">
        <v>477</v>
      </c>
      <c r="B259" s="889" t="s">
        <v>579</v>
      </c>
      <c r="C259" s="890" t="s">
        <v>128</v>
      </c>
      <c r="D259" s="621">
        <v>26464357</v>
      </c>
      <c r="E259" s="621">
        <v>25708963</v>
      </c>
      <c r="F259" s="621">
        <v>27006366</v>
      </c>
      <c r="G259" s="621">
        <v>26249230</v>
      </c>
      <c r="H259" s="648">
        <v>217</v>
      </c>
      <c r="I259" s="648">
        <v>223</v>
      </c>
      <c r="J259" s="649">
        <v>267</v>
      </c>
      <c r="K259" s="621">
        <v>2158853</v>
      </c>
      <c r="L259" s="484">
        <v>238.5</v>
      </c>
      <c r="M259" s="648">
        <v>220.5</v>
      </c>
      <c r="N259" s="649">
        <v>228</v>
      </c>
      <c r="O259" s="648">
        <v>232.5</v>
      </c>
      <c r="P259" s="621">
        <v>159023</v>
      </c>
      <c r="Q259" s="621">
        <v>179122</v>
      </c>
      <c r="R259" s="621">
        <v>130954</v>
      </c>
      <c r="S259" s="621">
        <v>207959</v>
      </c>
      <c r="T259" s="621">
        <v>0</v>
      </c>
      <c r="U259" s="621">
        <v>0</v>
      </c>
      <c r="V259" s="621"/>
      <c r="W259" s="650">
        <v>0</v>
      </c>
      <c r="X259" s="621">
        <v>55</v>
      </c>
      <c r="Y259" s="621">
        <v>28</v>
      </c>
      <c r="Z259" s="650">
        <v>0</v>
      </c>
      <c r="AA259" s="650">
        <v>0</v>
      </c>
      <c r="AB259" s="651">
        <v>0.16120000000000001</v>
      </c>
      <c r="AC259" s="621">
        <v>266748</v>
      </c>
      <c r="AD259" s="621">
        <v>256019</v>
      </c>
      <c r="AE259" s="621">
        <v>256019</v>
      </c>
      <c r="AF259" s="484">
        <v>238.5</v>
      </c>
      <c r="AG259" s="649">
        <v>220.5</v>
      </c>
      <c r="AH259" s="891">
        <v>228</v>
      </c>
      <c r="AI259" s="649">
        <v>232.5</v>
      </c>
      <c r="AJ259" s="652">
        <v>0</v>
      </c>
      <c r="AK259" s="621"/>
      <c r="AL259" s="621"/>
      <c r="AM259" s="621">
        <v>0</v>
      </c>
      <c r="AN259" s="621">
        <v>0</v>
      </c>
      <c r="AO259" s="649">
        <v>231</v>
      </c>
      <c r="AP259" s="649"/>
      <c r="AQ259" s="892">
        <v>0</v>
      </c>
      <c r="AR259" s="652"/>
      <c r="AS259" s="648"/>
      <c r="AT259" s="649">
        <v>0</v>
      </c>
      <c r="AU259" s="653">
        <v>0</v>
      </c>
      <c r="AV259" s="621">
        <v>2026300</v>
      </c>
      <c r="AW259" s="621">
        <v>0</v>
      </c>
      <c r="AX259" s="621">
        <v>0</v>
      </c>
      <c r="AY259" s="621">
        <v>120240</v>
      </c>
      <c r="AZ259" s="621"/>
      <c r="BA259" s="428">
        <v>1</v>
      </c>
      <c r="BB259" s="621">
        <v>0</v>
      </c>
      <c r="BC259" s="621">
        <v>0</v>
      </c>
      <c r="BE259" s="621">
        <v>1977554</v>
      </c>
      <c r="BF259" s="621">
        <v>1999</v>
      </c>
      <c r="BG259" s="621">
        <v>1910</v>
      </c>
      <c r="BH259" s="4604">
        <v>33</v>
      </c>
      <c r="BI259" s="621">
        <v>26464357</v>
      </c>
      <c r="BJ259" s="621">
        <v>27006366</v>
      </c>
      <c r="BK259" s="621">
        <v>0</v>
      </c>
      <c r="BL259" s="4605">
        <v>65</v>
      </c>
      <c r="BM259" s="621">
        <v>55</v>
      </c>
      <c r="BN259" s="621">
        <v>71</v>
      </c>
      <c r="BO259" s="621">
        <v>15</v>
      </c>
      <c r="BP259" s="621">
        <v>14</v>
      </c>
      <c r="BQ259" s="621">
        <v>12</v>
      </c>
    </row>
    <row r="260" spans="1:69">
      <c r="A260" s="888">
        <v>479</v>
      </c>
      <c r="B260" s="889" t="s">
        <v>580</v>
      </c>
      <c r="C260" s="890" t="s">
        <v>193</v>
      </c>
      <c r="D260" s="621">
        <v>20335422</v>
      </c>
      <c r="E260" s="621">
        <v>18965186</v>
      </c>
      <c r="F260" s="621">
        <v>19083147</v>
      </c>
      <c r="G260" s="621">
        <v>17702664</v>
      </c>
      <c r="H260" s="648">
        <v>210.7</v>
      </c>
      <c r="I260" s="648">
        <v>227.1</v>
      </c>
      <c r="J260" s="649">
        <v>177</v>
      </c>
      <c r="K260" s="621">
        <v>2440760</v>
      </c>
      <c r="L260" s="484">
        <v>219.5</v>
      </c>
      <c r="M260" s="648">
        <v>213.2</v>
      </c>
      <c r="N260" s="649">
        <v>230.1</v>
      </c>
      <c r="O260" s="648">
        <v>232.1</v>
      </c>
      <c r="P260" s="621">
        <v>325866</v>
      </c>
      <c r="Q260" s="621">
        <v>347398</v>
      </c>
      <c r="R260" s="621">
        <v>165875</v>
      </c>
      <c r="S260" s="621">
        <v>308637</v>
      </c>
      <c r="T260" s="621">
        <v>10257</v>
      </c>
      <c r="U260" s="621">
        <v>0</v>
      </c>
      <c r="V260" s="621"/>
      <c r="W260" s="650">
        <v>0.31</v>
      </c>
      <c r="X260" s="621">
        <v>83</v>
      </c>
      <c r="Y260" s="621">
        <v>35</v>
      </c>
      <c r="Z260" s="650">
        <v>0.3</v>
      </c>
      <c r="AA260" s="650">
        <v>0</v>
      </c>
      <c r="AB260" s="651">
        <v>0.36270000000000002</v>
      </c>
      <c r="AC260" s="621">
        <v>259225</v>
      </c>
      <c r="AD260" s="621">
        <v>250191</v>
      </c>
      <c r="AE260" s="621">
        <v>250191</v>
      </c>
      <c r="AF260" s="484">
        <v>219.5</v>
      </c>
      <c r="AG260" s="649">
        <v>213.2</v>
      </c>
      <c r="AH260" s="891">
        <v>230.1</v>
      </c>
      <c r="AI260" s="649">
        <v>232.1</v>
      </c>
      <c r="AJ260" s="652">
        <v>0</v>
      </c>
      <c r="AK260" s="621"/>
      <c r="AL260" s="621"/>
      <c r="AM260" s="621">
        <v>0</v>
      </c>
      <c r="AN260" s="621">
        <v>0</v>
      </c>
      <c r="AO260" s="649">
        <v>230.6</v>
      </c>
      <c r="AP260" s="649"/>
      <c r="AQ260" s="892">
        <v>0</v>
      </c>
      <c r="AR260" s="652"/>
      <c r="AS260" s="648"/>
      <c r="AT260" s="649">
        <v>0</v>
      </c>
      <c r="AU260" s="653">
        <v>0</v>
      </c>
      <c r="AV260" s="621">
        <v>1992831</v>
      </c>
      <c r="AW260" s="621">
        <v>0</v>
      </c>
      <c r="AX260" s="621">
        <v>0</v>
      </c>
      <c r="AY260" s="621">
        <v>167929</v>
      </c>
      <c r="AZ260" s="621"/>
      <c r="BA260" s="428">
        <v>1</v>
      </c>
      <c r="BB260" s="621">
        <v>0</v>
      </c>
      <c r="BC260" s="621">
        <v>0</v>
      </c>
      <c r="BE260" s="621">
        <v>2093362</v>
      </c>
      <c r="BF260" s="621">
        <v>2586</v>
      </c>
      <c r="BG260" s="621">
        <v>2881</v>
      </c>
      <c r="BH260" s="4604">
        <v>30</v>
      </c>
      <c r="BI260" s="621">
        <v>20335422</v>
      </c>
      <c r="BJ260" s="621">
        <v>19083147</v>
      </c>
      <c r="BK260" s="621">
        <v>0</v>
      </c>
      <c r="BL260" s="4605">
        <v>80</v>
      </c>
      <c r="BM260" s="621">
        <v>80</v>
      </c>
      <c r="BN260" s="621">
        <v>82</v>
      </c>
      <c r="BO260" s="621">
        <v>20</v>
      </c>
      <c r="BP260" s="621">
        <v>27</v>
      </c>
      <c r="BQ260" s="621">
        <v>36</v>
      </c>
    </row>
    <row r="261" spans="1:69">
      <c r="A261" s="888">
        <v>480</v>
      </c>
      <c r="B261" s="889" t="s">
        <v>581</v>
      </c>
      <c r="C261" s="890" t="s">
        <v>228</v>
      </c>
      <c r="D261" s="621">
        <v>180438417</v>
      </c>
      <c r="E261" s="621">
        <v>166931088</v>
      </c>
      <c r="F261" s="621">
        <v>175414435</v>
      </c>
      <c r="G261" s="621">
        <v>161849884</v>
      </c>
      <c r="H261" s="648">
        <v>4666</v>
      </c>
      <c r="I261" s="648">
        <v>4558.3</v>
      </c>
      <c r="J261" s="649">
        <v>205</v>
      </c>
      <c r="K261" s="621">
        <v>35973108</v>
      </c>
      <c r="L261" s="484">
        <v>4850</v>
      </c>
      <c r="M261" s="648">
        <v>4750.5</v>
      </c>
      <c r="N261" s="649">
        <v>4626.3</v>
      </c>
      <c r="O261" s="648">
        <v>4525.8999999999996</v>
      </c>
      <c r="P261" s="621">
        <v>2616066</v>
      </c>
      <c r="Q261" s="621">
        <v>2615378</v>
      </c>
      <c r="R261" s="621">
        <v>7689219</v>
      </c>
      <c r="S261" s="621">
        <v>2081006</v>
      </c>
      <c r="T261" s="621">
        <v>0</v>
      </c>
      <c r="U261" s="621">
        <v>0</v>
      </c>
      <c r="V261" s="621"/>
      <c r="W261" s="650">
        <v>0.74</v>
      </c>
      <c r="X261" s="621">
        <v>3144</v>
      </c>
      <c r="Y261" s="621">
        <v>584</v>
      </c>
      <c r="Z261" s="650">
        <v>0.74</v>
      </c>
      <c r="AA261" s="650">
        <v>0.38</v>
      </c>
      <c r="AB261" s="651">
        <v>0.72330000000000005</v>
      </c>
      <c r="AC261" s="621">
        <v>5249948</v>
      </c>
      <c r="AD261" s="621">
        <v>4818052</v>
      </c>
      <c r="AE261" s="621">
        <v>4818052</v>
      </c>
      <c r="AF261" s="484">
        <v>4850</v>
      </c>
      <c r="AG261" s="649">
        <v>4750.5</v>
      </c>
      <c r="AH261" s="891">
        <v>4626.3</v>
      </c>
      <c r="AI261" s="649">
        <v>4525.8999999999996</v>
      </c>
      <c r="AJ261" s="652">
        <v>0</v>
      </c>
      <c r="AK261" s="621"/>
      <c r="AL261" s="621"/>
      <c r="AM261" s="621">
        <v>39</v>
      </c>
      <c r="AN261" s="621">
        <v>0</v>
      </c>
      <c r="AO261" s="649">
        <v>4475.3999999999996</v>
      </c>
      <c r="AP261" s="649"/>
      <c r="AQ261" s="892">
        <v>0</v>
      </c>
      <c r="AR261" s="652"/>
      <c r="AS261" s="648"/>
      <c r="AT261" s="649">
        <v>0</v>
      </c>
      <c r="AU261" s="653">
        <v>0</v>
      </c>
      <c r="AV261" s="621">
        <v>33156398</v>
      </c>
      <c r="AW261" s="621">
        <v>0</v>
      </c>
      <c r="AX261" s="621">
        <v>0</v>
      </c>
      <c r="AY261" s="621">
        <v>7036698</v>
      </c>
      <c r="AZ261" s="621"/>
      <c r="BA261" s="428">
        <v>1</v>
      </c>
      <c r="BB261" s="621">
        <v>0</v>
      </c>
      <c r="BC261" s="621">
        <v>0</v>
      </c>
      <c r="BE261" s="621">
        <v>33352673</v>
      </c>
      <c r="BF261" s="621">
        <v>0</v>
      </c>
      <c r="BG261" s="621">
        <v>0</v>
      </c>
      <c r="BH261" s="4604">
        <v>31</v>
      </c>
      <c r="BI261" s="621">
        <v>178480747</v>
      </c>
      <c r="BJ261" s="621">
        <v>175069879</v>
      </c>
      <c r="BK261" s="621">
        <v>0</v>
      </c>
      <c r="BL261" s="4605">
        <v>3467</v>
      </c>
      <c r="BM261" s="621">
        <v>3266</v>
      </c>
      <c r="BN261" s="621">
        <v>3209</v>
      </c>
      <c r="BO261" s="621">
        <v>610</v>
      </c>
      <c r="BP261" s="621">
        <v>736</v>
      </c>
      <c r="BQ261" s="621">
        <v>652</v>
      </c>
    </row>
    <row r="262" spans="1:69">
      <c r="A262" s="888">
        <v>481</v>
      </c>
      <c r="B262" s="889" t="s">
        <v>582</v>
      </c>
      <c r="C262" s="890" t="s">
        <v>208</v>
      </c>
      <c r="D262" s="621">
        <v>36216288</v>
      </c>
      <c r="E262" s="621">
        <v>33938204</v>
      </c>
      <c r="F262" s="621">
        <v>36079675</v>
      </c>
      <c r="G262" s="621">
        <v>33835017</v>
      </c>
      <c r="H262" s="648">
        <v>258</v>
      </c>
      <c r="I262" s="648">
        <v>257</v>
      </c>
      <c r="J262" s="649">
        <v>303.8</v>
      </c>
      <c r="K262" s="621">
        <v>2566864</v>
      </c>
      <c r="L262" s="484">
        <v>255.5</v>
      </c>
      <c r="M262" s="648">
        <v>263</v>
      </c>
      <c r="N262" s="649">
        <v>262</v>
      </c>
      <c r="O262" s="648">
        <v>258.5</v>
      </c>
      <c r="P262" s="621">
        <v>256354</v>
      </c>
      <c r="Q262" s="621">
        <v>263268</v>
      </c>
      <c r="R262" s="621">
        <v>0</v>
      </c>
      <c r="S262" s="621">
        <v>401024</v>
      </c>
      <c r="T262" s="621">
        <v>0</v>
      </c>
      <c r="U262" s="621">
        <v>0</v>
      </c>
      <c r="V262" s="621"/>
      <c r="W262" s="650">
        <v>0</v>
      </c>
      <c r="X262" s="621">
        <v>92</v>
      </c>
      <c r="Y262" s="621">
        <v>36</v>
      </c>
      <c r="Z262" s="650">
        <v>0</v>
      </c>
      <c r="AA262" s="650">
        <v>0</v>
      </c>
      <c r="AB262" s="651">
        <v>2.8999999999999998E-3</v>
      </c>
      <c r="AC262" s="621">
        <v>337342</v>
      </c>
      <c r="AD262" s="621">
        <v>319744</v>
      </c>
      <c r="AE262" s="621">
        <v>319744</v>
      </c>
      <c r="AF262" s="484">
        <v>255.5</v>
      </c>
      <c r="AG262" s="649">
        <v>263</v>
      </c>
      <c r="AH262" s="891">
        <v>262</v>
      </c>
      <c r="AI262" s="649">
        <v>258.5</v>
      </c>
      <c r="AJ262" s="652">
        <v>0</v>
      </c>
      <c r="AK262" s="621"/>
      <c r="AL262" s="621"/>
      <c r="AM262" s="621">
        <v>11</v>
      </c>
      <c r="AN262" s="621">
        <v>0</v>
      </c>
      <c r="AO262" s="649">
        <v>255</v>
      </c>
      <c r="AP262" s="649"/>
      <c r="AQ262" s="892">
        <v>0</v>
      </c>
      <c r="AR262" s="652"/>
      <c r="AS262" s="648"/>
      <c r="AT262" s="649">
        <v>0</v>
      </c>
      <c r="AU262" s="653">
        <v>0</v>
      </c>
      <c r="AV262" s="621">
        <v>2274384</v>
      </c>
      <c r="AW262" s="621">
        <v>0</v>
      </c>
      <c r="AX262" s="621">
        <v>0</v>
      </c>
      <c r="AY262" s="621">
        <v>0</v>
      </c>
      <c r="AZ262" s="621"/>
      <c r="BA262" s="428">
        <v>1</v>
      </c>
      <c r="BB262" s="621">
        <v>0</v>
      </c>
      <c r="BC262" s="621">
        <v>0</v>
      </c>
      <c r="BE262" s="621">
        <v>2302940</v>
      </c>
      <c r="BF262" s="621">
        <v>1853</v>
      </c>
      <c r="BG262" s="621">
        <v>1988</v>
      </c>
      <c r="BH262" s="4604">
        <v>33</v>
      </c>
      <c r="BI262" s="621">
        <v>36216288</v>
      </c>
      <c r="BJ262" s="621">
        <v>36131961</v>
      </c>
      <c r="BK262" s="621">
        <v>0</v>
      </c>
      <c r="BL262" s="4605">
        <v>102</v>
      </c>
      <c r="BM262" s="621">
        <v>103</v>
      </c>
      <c r="BN262" s="621">
        <v>100</v>
      </c>
      <c r="BO262" s="621">
        <v>23</v>
      </c>
      <c r="BP262" s="621">
        <v>30</v>
      </c>
      <c r="BQ262" s="621">
        <v>32</v>
      </c>
    </row>
    <row r="263" spans="1:69">
      <c r="A263" s="888">
        <v>482</v>
      </c>
      <c r="B263" s="889" t="s">
        <v>583</v>
      </c>
      <c r="C263" s="890" t="s">
        <v>226</v>
      </c>
      <c r="D263" s="621">
        <v>37930658</v>
      </c>
      <c r="E263" s="621">
        <v>36293258</v>
      </c>
      <c r="F263" s="621">
        <v>33687182</v>
      </c>
      <c r="G263" s="621">
        <v>32050612</v>
      </c>
      <c r="H263" s="648">
        <v>234.5</v>
      </c>
      <c r="I263" s="648">
        <v>229.5</v>
      </c>
      <c r="J263" s="649">
        <v>619.5</v>
      </c>
      <c r="K263" s="621">
        <v>2300492</v>
      </c>
      <c r="L263" s="484">
        <v>238</v>
      </c>
      <c r="M263" s="648">
        <v>236.5</v>
      </c>
      <c r="N263" s="649">
        <v>231</v>
      </c>
      <c r="O263" s="648">
        <v>227</v>
      </c>
      <c r="P263" s="621">
        <v>175049</v>
      </c>
      <c r="Q263" s="621">
        <v>189997</v>
      </c>
      <c r="R263" s="621">
        <v>0</v>
      </c>
      <c r="S263" s="621">
        <v>205278</v>
      </c>
      <c r="T263" s="621">
        <v>0</v>
      </c>
      <c r="U263" s="621">
        <v>0</v>
      </c>
      <c r="V263" s="621"/>
      <c r="W263" s="650">
        <v>0</v>
      </c>
      <c r="X263" s="621">
        <v>82</v>
      </c>
      <c r="Y263" s="621">
        <v>22</v>
      </c>
      <c r="Z263" s="650">
        <v>0</v>
      </c>
      <c r="AA263" s="650">
        <v>0</v>
      </c>
      <c r="AB263" s="651">
        <v>0</v>
      </c>
      <c r="AC263" s="621">
        <v>246867</v>
      </c>
      <c r="AD263" s="621">
        <v>232430</v>
      </c>
      <c r="AE263" s="621">
        <v>232430</v>
      </c>
      <c r="AF263" s="484">
        <v>238</v>
      </c>
      <c r="AG263" s="649">
        <v>236.5</v>
      </c>
      <c r="AH263" s="891">
        <v>231</v>
      </c>
      <c r="AI263" s="649">
        <v>227</v>
      </c>
      <c r="AJ263" s="652">
        <v>0</v>
      </c>
      <c r="AK263" s="621"/>
      <c r="AL263" s="621"/>
      <c r="AM263" s="621">
        <v>0</v>
      </c>
      <c r="AN263" s="621">
        <v>0</v>
      </c>
      <c r="AO263" s="649">
        <v>224</v>
      </c>
      <c r="AP263" s="649"/>
      <c r="AQ263" s="892">
        <v>0</v>
      </c>
      <c r="AR263" s="652"/>
      <c r="AS263" s="648"/>
      <c r="AT263" s="649">
        <v>0</v>
      </c>
      <c r="AU263" s="653">
        <v>0</v>
      </c>
      <c r="AV263" s="621">
        <v>2022686</v>
      </c>
      <c r="AW263" s="621">
        <v>0</v>
      </c>
      <c r="AX263" s="621">
        <v>0</v>
      </c>
      <c r="AY263" s="621">
        <v>0</v>
      </c>
      <c r="AZ263" s="621"/>
      <c r="BA263" s="428">
        <v>1</v>
      </c>
      <c r="BB263" s="621">
        <v>19911</v>
      </c>
      <c r="BC263" s="621">
        <v>20000</v>
      </c>
      <c r="BE263" s="621">
        <v>2099700</v>
      </c>
      <c r="BF263" s="621">
        <v>723</v>
      </c>
      <c r="BG263" s="621">
        <v>803</v>
      </c>
      <c r="BH263" s="4604">
        <v>30</v>
      </c>
      <c r="BI263" s="621">
        <v>37930658</v>
      </c>
      <c r="BJ263" s="621">
        <v>33687182</v>
      </c>
      <c r="BK263" s="621">
        <v>19911</v>
      </c>
      <c r="BL263" s="4605">
        <v>83</v>
      </c>
      <c r="BM263" s="621">
        <v>84</v>
      </c>
      <c r="BN263" s="621">
        <v>90</v>
      </c>
      <c r="BO263" s="621">
        <v>29</v>
      </c>
      <c r="BP263" s="621">
        <v>37</v>
      </c>
      <c r="BQ263" s="621">
        <v>22</v>
      </c>
    </row>
    <row r="264" spans="1:69">
      <c r="A264" s="888">
        <v>483</v>
      </c>
      <c r="B264" s="889" t="s">
        <v>584</v>
      </c>
      <c r="C264" s="890" t="s">
        <v>228</v>
      </c>
      <c r="D264" s="621">
        <v>100968387</v>
      </c>
      <c r="E264" s="621">
        <v>98634573</v>
      </c>
      <c r="F264" s="621">
        <v>94749630</v>
      </c>
      <c r="G264" s="621">
        <v>92411288</v>
      </c>
      <c r="H264" s="648">
        <v>607</v>
      </c>
      <c r="I264" s="648">
        <v>610</v>
      </c>
      <c r="J264" s="649">
        <v>541</v>
      </c>
      <c r="K264" s="621">
        <v>6536543</v>
      </c>
      <c r="L264" s="484">
        <v>632.5</v>
      </c>
      <c r="M264" s="648">
        <v>621.5</v>
      </c>
      <c r="N264" s="649">
        <v>620</v>
      </c>
      <c r="O264" s="648">
        <v>591.5</v>
      </c>
      <c r="P264" s="621">
        <v>499486</v>
      </c>
      <c r="Q264" s="621">
        <v>554826</v>
      </c>
      <c r="R264" s="621">
        <v>0</v>
      </c>
      <c r="S264" s="621">
        <v>599845</v>
      </c>
      <c r="T264" s="621">
        <v>0</v>
      </c>
      <c r="U264" s="621">
        <v>0</v>
      </c>
      <c r="V264" s="621"/>
      <c r="W264" s="650">
        <v>0</v>
      </c>
      <c r="X264" s="621">
        <v>331</v>
      </c>
      <c r="Y264" s="621">
        <v>113</v>
      </c>
      <c r="Z264" s="650">
        <v>0</v>
      </c>
      <c r="AA264" s="650">
        <v>0</v>
      </c>
      <c r="AB264" s="651">
        <v>0</v>
      </c>
      <c r="AC264" s="621">
        <v>827919</v>
      </c>
      <c r="AD264" s="621">
        <v>749182</v>
      </c>
      <c r="AE264" s="621">
        <v>749182</v>
      </c>
      <c r="AF264" s="484">
        <v>632.5</v>
      </c>
      <c r="AG264" s="649">
        <v>621.5</v>
      </c>
      <c r="AH264" s="891">
        <v>620</v>
      </c>
      <c r="AI264" s="649">
        <v>591.5</v>
      </c>
      <c r="AJ264" s="652">
        <v>0</v>
      </c>
      <c r="AK264" s="621"/>
      <c r="AL264" s="621"/>
      <c r="AM264" s="621">
        <v>0</v>
      </c>
      <c r="AN264" s="621">
        <v>0</v>
      </c>
      <c r="AO264" s="649">
        <v>586</v>
      </c>
      <c r="AP264" s="649"/>
      <c r="AQ264" s="892">
        <v>0</v>
      </c>
      <c r="AR264" s="652"/>
      <c r="AS264" s="648"/>
      <c r="AT264" s="649">
        <v>0</v>
      </c>
      <c r="AU264" s="653">
        <v>0</v>
      </c>
      <c r="AV264" s="621">
        <v>6028193</v>
      </c>
      <c r="AW264" s="621">
        <v>0</v>
      </c>
      <c r="AX264" s="621">
        <v>0</v>
      </c>
      <c r="AY264" s="621">
        <v>88425</v>
      </c>
      <c r="AZ264" s="621"/>
      <c r="BA264" s="428">
        <v>1</v>
      </c>
      <c r="BB264" s="621">
        <v>0</v>
      </c>
      <c r="BC264" s="621">
        <v>0</v>
      </c>
      <c r="BE264" s="621">
        <v>5968753</v>
      </c>
      <c r="BF264" s="621">
        <v>549</v>
      </c>
      <c r="BG264" s="621">
        <v>943</v>
      </c>
      <c r="BH264" s="4604">
        <v>31</v>
      </c>
      <c r="BI264" s="621">
        <v>100670102</v>
      </c>
      <c r="BJ264" s="621">
        <v>87981927</v>
      </c>
      <c r="BK264" s="621">
        <v>0</v>
      </c>
      <c r="BL264" s="4605">
        <v>411</v>
      </c>
      <c r="BM264" s="621">
        <v>389</v>
      </c>
      <c r="BN264" s="621">
        <v>373</v>
      </c>
      <c r="BO264" s="621">
        <v>101</v>
      </c>
      <c r="BP264" s="621">
        <v>108</v>
      </c>
      <c r="BQ264" s="621">
        <v>109</v>
      </c>
    </row>
    <row r="265" spans="1:69">
      <c r="A265" s="888">
        <v>484</v>
      </c>
      <c r="B265" s="889" t="s">
        <v>585</v>
      </c>
      <c r="C265" s="890" t="s">
        <v>205</v>
      </c>
      <c r="D265" s="621">
        <v>43119815</v>
      </c>
      <c r="E265" s="621">
        <v>38249116</v>
      </c>
      <c r="F265" s="621">
        <v>43081779</v>
      </c>
      <c r="G265" s="621">
        <v>38221599</v>
      </c>
      <c r="H265" s="648">
        <v>697.5</v>
      </c>
      <c r="I265" s="648">
        <v>666.5</v>
      </c>
      <c r="J265" s="649">
        <v>402</v>
      </c>
      <c r="K265" s="621">
        <v>5772429</v>
      </c>
      <c r="L265" s="484">
        <v>686.5</v>
      </c>
      <c r="M265" s="648">
        <v>707.6</v>
      </c>
      <c r="N265" s="649">
        <v>672.6</v>
      </c>
      <c r="O265" s="648">
        <v>619.79999999999995</v>
      </c>
      <c r="P265" s="621">
        <v>512288</v>
      </c>
      <c r="Q265" s="621">
        <v>533125</v>
      </c>
      <c r="R265" s="621">
        <v>965022</v>
      </c>
      <c r="S265" s="621">
        <v>658732</v>
      </c>
      <c r="T265" s="621">
        <v>3802</v>
      </c>
      <c r="U265" s="621">
        <v>0</v>
      </c>
      <c r="V265" s="621"/>
      <c r="W265" s="650">
        <v>0.44</v>
      </c>
      <c r="X265" s="621">
        <v>244</v>
      </c>
      <c r="Y265" s="621">
        <v>74</v>
      </c>
      <c r="Z265" s="650">
        <v>0.43</v>
      </c>
      <c r="AA265" s="650">
        <v>7.0000000000000007E-2</v>
      </c>
      <c r="AB265" s="651">
        <v>0.53390000000000004</v>
      </c>
      <c r="AC265" s="621">
        <v>639111</v>
      </c>
      <c r="AD265" s="621">
        <v>604233</v>
      </c>
      <c r="AE265" s="621">
        <v>604233</v>
      </c>
      <c r="AF265" s="484">
        <v>686.5</v>
      </c>
      <c r="AG265" s="649">
        <v>704</v>
      </c>
      <c r="AH265" s="891">
        <v>671.5</v>
      </c>
      <c r="AI265" s="649">
        <v>617.6</v>
      </c>
      <c r="AJ265" s="652">
        <v>0</v>
      </c>
      <c r="AK265" s="621"/>
      <c r="AL265" s="621"/>
      <c r="AM265" s="621">
        <v>11</v>
      </c>
      <c r="AN265" s="621">
        <v>0</v>
      </c>
      <c r="AO265" s="649">
        <v>613.1</v>
      </c>
      <c r="AP265" s="649"/>
      <c r="AQ265" s="892">
        <v>0</v>
      </c>
      <c r="AR265" s="652"/>
      <c r="AS265" s="648"/>
      <c r="AT265" s="649">
        <v>0</v>
      </c>
      <c r="AU265" s="653">
        <v>0</v>
      </c>
      <c r="AV265" s="621">
        <v>5127762</v>
      </c>
      <c r="AW265" s="621">
        <v>131420</v>
      </c>
      <c r="AX265" s="621">
        <v>132163</v>
      </c>
      <c r="AY265" s="621">
        <v>921997</v>
      </c>
      <c r="AZ265" s="621"/>
      <c r="BA265" s="428">
        <v>1</v>
      </c>
      <c r="BB265" s="621">
        <v>0</v>
      </c>
      <c r="BC265" s="621">
        <v>0</v>
      </c>
      <c r="BE265" s="621">
        <v>5239246</v>
      </c>
      <c r="BF265" s="621">
        <v>2329</v>
      </c>
      <c r="BG265" s="621">
        <v>1517</v>
      </c>
      <c r="BH265" s="4604">
        <v>31</v>
      </c>
      <c r="BI265" s="621">
        <v>43018198</v>
      </c>
      <c r="BJ265" s="621">
        <v>42910129</v>
      </c>
      <c r="BK265" s="621">
        <v>0</v>
      </c>
      <c r="BL265" s="4605">
        <v>273</v>
      </c>
      <c r="BM265" s="621">
        <v>308</v>
      </c>
      <c r="BN265" s="621">
        <v>259</v>
      </c>
      <c r="BO265" s="621">
        <v>68</v>
      </c>
      <c r="BP265" s="621">
        <v>86</v>
      </c>
      <c r="BQ265" s="621">
        <v>95</v>
      </c>
    </row>
    <row r="266" spans="1:69">
      <c r="A266" s="888">
        <v>487</v>
      </c>
      <c r="B266" s="889" t="s">
        <v>586</v>
      </c>
      <c r="C266" s="890" t="s">
        <v>208</v>
      </c>
      <c r="D266" s="621">
        <v>22490091</v>
      </c>
      <c r="E266" s="621">
        <v>19666387</v>
      </c>
      <c r="F266" s="621">
        <v>22606446</v>
      </c>
      <c r="G266" s="621">
        <v>19789187</v>
      </c>
      <c r="H266" s="648">
        <v>429.5</v>
      </c>
      <c r="I266" s="648">
        <v>393.5</v>
      </c>
      <c r="J266" s="649">
        <v>93.7</v>
      </c>
      <c r="K266" s="621">
        <v>4134205</v>
      </c>
      <c r="L266" s="484">
        <v>469</v>
      </c>
      <c r="M266" s="648">
        <v>442</v>
      </c>
      <c r="N266" s="649">
        <v>409.9</v>
      </c>
      <c r="O266" s="648">
        <v>432.3</v>
      </c>
      <c r="P266" s="621">
        <v>466535</v>
      </c>
      <c r="Q266" s="621">
        <v>442257</v>
      </c>
      <c r="R266" s="621">
        <v>779406</v>
      </c>
      <c r="S266" s="621">
        <v>463854</v>
      </c>
      <c r="T266" s="621">
        <v>21103</v>
      </c>
      <c r="U266" s="621">
        <v>0</v>
      </c>
      <c r="V266" s="621"/>
      <c r="W266" s="650">
        <v>0.61</v>
      </c>
      <c r="X266" s="621">
        <v>231</v>
      </c>
      <c r="Y266" s="621">
        <v>33</v>
      </c>
      <c r="Z266" s="650">
        <v>0.6</v>
      </c>
      <c r="AA266" s="650">
        <v>0.24</v>
      </c>
      <c r="AB266" s="651">
        <v>0.62190000000000001</v>
      </c>
      <c r="AC266" s="621">
        <v>442202</v>
      </c>
      <c r="AD266" s="621">
        <v>415556</v>
      </c>
      <c r="AE266" s="621">
        <v>415556</v>
      </c>
      <c r="AF266" s="484">
        <v>469</v>
      </c>
      <c r="AG266" s="649">
        <v>436</v>
      </c>
      <c r="AH266" s="891">
        <v>401</v>
      </c>
      <c r="AI266" s="649">
        <v>419</v>
      </c>
      <c r="AJ266" s="652">
        <v>0</v>
      </c>
      <c r="AK266" s="621"/>
      <c r="AL266" s="621"/>
      <c r="AM266" s="621">
        <v>35</v>
      </c>
      <c r="AN266" s="621">
        <v>0</v>
      </c>
      <c r="AO266" s="649">
        <v>410</v>
      </c>
      <c r="AP266" s="649"/>
      <c r="AQ266" s="892">
        <v>0</v>
      </c>
      <c r="AR266" s="652"/>
      <c r="AS266" s="648"/>
      <c r="AT266" s="649">
        <v>0</v>
      </c>
      <c r="AU266" s="653">
        <v>0</v>
      </c>
      <c r="AV266" s="621">
        <v>3705783</v>
      </c>
      <c r="AW266" s="621">
        <v>101955</v>
      </c>
      <c r="AX266" s="621">
        <v>95335</v>
      </c>
      <c r="AY266" s="621">
        <v>797077</v>
      </c>
      <c r="AZ266" s="621"/>
      <c r="BA266" s="428">
        <v>1</v>
      </c>
      <c r="BB266" s="621">
        <v>48796</v>
      </c>
      <c r="BC266" s="621">
        <v>48796</v>
      </c>
      <c r="BE266" s="621">
        <v>3691905</v>
      </c>
      <c r="BF266" s="621">
        <v>5061</v>
      </c>
      <c r="BG266" s="621">
        <v>4826</v>
      </c>
      <c r="BH266" s="4604">
        <v>31</v>
      </c>
      <c r="BI266" s="621">
        <v>22361280</v>
      </c>
      <c r="BJ266" s="621">
        <v>22493211</v>
      </c>
      <c r="BK266" s="621">
        <v>48796</v>
      </c>
      <c r="BL266" s="4605">
        <v>267</v>
      </c>
      <c r="BM266" s="621">
        <v>219</v>
      </c>
      <c r="BN266" s="621">
        <v>216</v>
      </c>
      <c r="BO266" s="621">
        <v>54</v>
      </c>
      <c r="BP266" s="621">
        <v>74</v>
      </c>
      <c r="BQ266" s="621">
        <v>49</v>
      </c>
    </row>
    <row r="267" spans="1:69">
      <c r="A267" s="888">
        <v>489</v>
      </c>
      <c r="B267" s="889" t="s">
        <v>587</v>
      </c>
      <c r="C267" s="890" t="s">
        <v>206</v>
      </c>
      <c r="D267" s="621">
        <v>326102003</v>
      </c>
      <c r="E267" s="621">
        <v>306994237</v>
      </c>
      <c r="F267" s="621">
        <v>322681782</v>
      </c>
      <c r="G267" s="621">
        <v>303481545</v>
      </c>
      <c r="H267" s="648">
        <v>3029.3</v>
      </c>
      <c r="I267" s="648">
        <v>3064.8</v>
      </c>
      <c r="J267" s="649">
        <v>380.5</v>
      </c>
      <c r="K267" s="621">
        <v>21126417</v>
      </c>
      <c r="L267" s="484">
        <v>2989.6</v>
      </c>
      <c r="M267" s="648">
        <v>3086.3</v>
      </c>
      <c r="N267" s="649">
        <v>3121.5</v>
      </c>
      <c r="O267" s="648">
        <v>3129.9</v>
      </c>
      <c r="P267" s="621">
        <v>3024017</v>
      </c>
      <c r="Q267" s="621">
        <v>3023869</v>
      </c>
      <c r="R267" s="621">
        <v>1423814</v>
      </c>
      <c r="S267" s="621">
        <v>3138412</v>
      </c>
      <c r="T267" s="621">
        <v>0</v>
      </c>
      <c r="U267" s="621">
        <v>0</v>
      </c>
      <c r="V267" s="621"/>
      <c r="W267" s="650">
        <v>0.09</v>
      </c>
      <c r="X267" s="621">
        <v>964</v>
      </c>
      <c r="Y267" s="621">
        <v>286</v>
      </c>
      <c r="Z267" s="650">
        <v>0.09</v>
      </c>
      <c r="AA267" s="650">
        <v>0</v>
      </c>
      <c r="AB267" s="651">
        <v>0.25230000000000002</v>
      </c>
      <c r="AC267" s="621">
        <v>3345507</v>
      </c>
      <c r="AD267" s="621">
        <v>3302645</v>
      </c>
      <c r="AE267" s="621">
        <v>3302645</v>
      </c>
      <c r="AF267" s="484">
        <v>2989.6</v>
      </c>
      <c r="AG267" s="649">
        <v>3049.3</v>
      </c>
      <c r="AH267" s="891">
        <v>3084.8</v>
      </c>
      <c r="AI267" s="649">
        <v>3078.8</v>
      </c>
      <c r="AJ267" s="652">
        <v>0</v>
      </c>
      <c r="AK267" s="621"/>
      <c r="AL267" s="621"/>
      <c r="AM267" s="621">
        <v>14</v>
      </c>
      <c r="AN267" s="621">
        <v>0</v>
      </c>
      <c r="AO267" s="649">
        <v>3055.8</v>
      </c>
      <c r="AP267" s="649"/>
      <c r="AQ267" s="892">
        <v>0</v>
      </c>
      <c r="AR267" s="652"/>
      <c r="AS267" s="648"/>
      <c r="AT267" s="649">
        <v>0</v>
      </c>
      <c r="AU267" s="653">
        <v>0</v>
      </c>
      <c r="AV267" s="621">
        <v>17258109</v>
      </c>
      <c r="AW267" s="621">
        <v>104175</v>
      </c>
      <c r="AX267" s="621">
        <v>103076</v>
      </c>
      <c r="AY267" s="621">
        <v>1171940</v>
      </c>
      <c r="AZ267" s="621"/>
      <c r="BA267" s="428">
        <v>1</v>
      </c>
      <c r="BB267" s="621">
        <v>62386</v>
      </c>
      <c r="BC267" s="621">
        <v>72146</v>
      </c>
      <c r="BE267" s="621">
        <v>18089349</v>
      </c>
      <c r="BF267" s="621">
        <v>4215</v>
      </c>
      <c r="BG267" s="621">
        <v>9074</v>
      </c>
      <c r="BH267" s="4604">
        <v>31</v>
      </c>
      <c r="BI267" s="621">
        <v>325507382</v>
      </c>
      <c r="BJ267" s="621">
        <v>320989397</v>
      </c>
      <c r="BK267" s="621">
        <v>62386</v>
      </c>
      <c r="BL267" s="4605">
        <v>938</v>
      </c>
      <c r="BM267" s="621">
        <v>966</v>
      </c>
      <c r="BN267" s="621">
        <v>944</v>
      </c>
      <c r="BO267" s="621">
        <v>319</v>
      </c>
      <c r="BP267" s="621">
        <v>308</v>
      </c>
      <c r="BQ267" s="621">
        <v>320</v>
      </c>
    </row>
    <row r="268" spans="1:69">
      <c r="A268" s="888">
        <v>490</v>
      </c>
      <c r="B268" s="889" t="s">
        <v>588</v>
      </c>
      <c r="C268" s="890" t="s">
        <v>137</v>
      </c>
      <c r="D268" s="621">
        <v>181548382</v>
      </c>
      <c r="E268" s="621">
        <v>170504738</v>
      </c>
      <c r="F268" s="621">
        <v>183080814</v>
      </c>
      <c r="G268" s="621">
        <v>172054112</v>
      </c>
      <c r="H268" s="648">
        <v>1872.1</v>
      </c>
      <c r="I268" s="648">
        <v>1827.7</v>
      </c>
      <c r="J268" s="649">
        <v>128</v>
      </c>
      <c r="K268" s="621">
        <v>13533572</v>
      </c>
      <c r="L268" s="484">
        <v>1872.9</v>
      </c>
      <c r="M268" s="648">
        <v>1900.3</v>
      </c>
      <c r="N268" s="649">
        <v>1852.1</v>
      </c>
      <c r="O268" s="648">
        <v>1826.6</v>
      </c>
      <c r="P268" s="621">
        <v>1723825</v>
      </c>
      <c r="Q268" s="621">
        <v>1649626</v>
      </c>
      <c r="R268" s="621">
        <v>1383978</v>
      </c>
      <c r="S268" s="621">
        <v>1883402</v>
      </c>
      <c r="T268" s="621">
        <v>13152</v>
      </c>
      <c r="U268" s="621">
        <v>0</v>
      </c>
      <c r="V268" s="621"/>
      <c r="W268" s="650">
        <v>0.13</v>
      </c>
      <c r="X268" s="621">
        <v>868</v>
      </c>
      <c r="Y268" s="621">
        <v>205</v>
      </c>
      <c r="Z268" s="650">
        <v>0.13</v>
      </c>
      <c r="AA268" s="650">
        <v>0</v>
      </c>
      <c r="AB268" s="651">
        <v>0.30349999999999999</v>
      </c>
      <c r="AC268" s="621">
        <v>1793858</v>
      </c>
      <c r="AD268" s="621">
        <v>1654732</v>
      </c>
      <c r="AE268" s="621">
        <v>1654732</v>
      </c>
      <c r="AF268" s="484">
        <v>1872.9</v>
      </c>
      <c r="AG268" s="649">
        <v>1888.6</v>
      </c>
      <c r="AH268" s="891">
        <v>1843.2</v>
      </c>
      <c r="AI268" s="649">
        <v>1819</v>
      </c>
      <c r="AJ268" s="652">
        <v>0</v>
      </c>
      <c r="AK268" s="621"/>
      <c r="AL268" s="621"/>
      <c r="AM268" s="621">
        <v>11</v>
      </c>
      <c r="AN268" s="621">
        <v>0</v>
      </c>
      <c r="AO268" s="649">
        <v>1799</v>
      </c>
      <c r="AP268" s="649"/>
      <c r="AQ268" s="892">
        <v>0</v>
      </c>
      <c r="AR268" s="652"/>
      <c r="AS268" s="648"/>
      <c r="AT268" s="649">
        <v>0</v>
      </c>
      <c r="AU268" s="653">
        <v>0</v>
      </c>
      <c r="AV268" s="621">
        <v>11351391</v>
      </c>
      <c r="AW268" s="621">
        <v>75324</v>
      </c>
      <c r="AX268" s="621">
        <v>119371</v>
      </c>
      <c r="AY268" s="621">
        <v>1289556</v>
      </c>
      <c r="AZ268" s="621"/>
      <c r="BA268" s="428">
        <v>1</v>
      </c>
      <c r="BB268" s="621">
        <v>24500</v>
      </c>
      <c r="BC268" s="621">
        <v>22511</v>
      </c>
      <c r="BE268" s="621">
        <v>11883652</v>
      </c>
      <c r="BF268" s="621">
        <v>4732</v>
      </c>
      <c r="BG268" s="621">
        <v>3824</v>
      </c>
      <c r="BH268" s="4604">
        <v>33</v>
      </c>
      <c r="BI268" s="621">
        <v>179343032</v>
      </c>
      <c r="BJ268" s="621">
        <v>180655119</v>
      </c>
      <c r="BK268" s="621">
        <v>24500</v>
      </c>
      <c r="BL268" s="4605">
        <v>888</v>
      </c>
      <c r="BM268" s="621">
        <v>856</v>
      </c>
      <c r="BN268" s="621">
        <v>847</v>
      </c>
      <c r="BO268" s="621">
        <v>230</v>
      </c>
      <c r="BP268" s="621">
        <v>250</v>
      </c>
      <c r="BQ268" s="621">
        <v>225</v>
      </c>
    </row>
    <row r="269" spans="1:69">
      <c r="A269" s="888">
        <v>491</v>
      </c>
      <c r="B269" s="889" t="s">
        <v>589</v>
      </c>
      <c r="C269" s="890" t="s">
        <v>185</v>
      </c>
      <c r="D269" s="621">
        <v>72043778</v>
      </c>
      <c r="E269" s="621">
        <v>66182323</v>
      </c>
      <c r="F269" s="621">
        <v>77005153</v>
      </c>
      <c r="G269" s="621">
        <v>71114940</v>
      </c>
      <c r="H269" s="648">
        <v>1711.5</v>
      </c>
      <c r="I269" s="648">
        <v>1685.8</v>
      </c>
      <c r="J269" s="649">
        <v>53</v>
      </c>
      <c r="K269" s="621">
        <v>11134028</v>
      </c>
      <c r="L269" s="484">
        <v>1702.9</v>
      </c>
      <c r="M269" s="648">
        <v>1736.9</v>
      </c>
      <c r="N269" s="649">
        <v>1707.1</v>
      </c>
      <c r="O269" s="648">
        <v>1650.1</v>
      </c>
      <c r="P269" s="621">
        <v>1960195</v>
      </c>
      <c r="Q269" s="621">
        <v>1865525</v>
      </c>
      <c r="R269" s="621">
        <v>2523585</v>
      </c>
      <c r="S269" s="621">
        <v>1227861</v>
      </c>
      <c r="T269" s="621">
        <v>0</v>
      </c>
      <c r="U269" s="621">
        <v>0</v>
      </c>
      <c r="V269" s="621"/>
      <c r="W269" s="650">
        <v>0.66</v>
      </c>
      <c r="X269" s="621">
        <v>309</v>
      </c>
      <c r="Y269" s="621">
        <v>156</v>
      </c>
      <c r="Z269" s="650">
        <v>0.65</v>
      </c>
      <c r="AA269" s="650">
        <v>0.28999999999999998</v>
      </c>
      <c r="AB269" s="651">
        <v>0.69189999999999996</v>
      </c>
      <c r="AC269" s="621">
        <v>1470158</v>
      </c>
      <c r="AD269" s="621">
        <v>1391323</v>
      </c>
      <c r="AE269" s="621">
        <v>1391323</v>
      </c>
      <c r="AF269" s="484">
        <v>1702.9</v>
      </c>
      <c r="AG269" s="649">
        <v>1718.5</v>
      </c>
      <c r="AH269" s="891">
        <v>1692.8</v>
      </c>
      <c r="AI269" s="649">
        <v>1641.3</v>
      </c>
      <c r="AJ269" s="652">
        <v>0</v>
      </c>
      <c r="AK269" s="621"/>
      <c r="AL269" s="621"/>
      <c r="AM269" s="621">
        <v>12</v>
      </c>
      <c r="AN269" s="621">
        <v>0</v>
      </c>
      <c r="AO269" s="649">
        <v>1636.3</v>
      </c>
      <c r="AP269" s="649"/>
      <c r="AQ269" s="892">
        <v>0</v>
      </c>
      <c r="AR269" s="652"/>
      <c r="AS269" s="648"/>
      <c r="AT269" s="649">
        <v>0</v>
      </c>
      <c r="AU269" s="653">
        <v>0</v>
      </c>
      <c r="AV269" s="621">
        <v>9054728</v>
      </c>
      <c r="AW269" s="621">
        <v>391918</v>
      </c>
      <c r="AX269" s="621">
        <v>406333</v>
      </c>
      <c r="AY269" s="621">
        <v>2444768</v>
      </c>
      <c r="AZ269" s="621"/>
      <c r="BA269" s="428">
        <v>1</v>
      </c>
      <c r="BB269" s="621">
        <v>0</v>
      </c>
      <c r="BC269" s="621">
        <v>0</v>
      </c>
      <c r="BE269" s="621">
        <v>9268503</v>
      </c>
      <c r="BF269" s="621">
        <v>4858</v>
      </c>
      <c r="BG269" s="621">
        <v>3170</v>
      </c>
      <c r="BH269" s="4604">
        <v>33</v>
      </c>
      <c r="BI269" s="621">
        <v>72043778</v>
      </c>
      <c r="BJ269" s="621">
        <v>77005153</v>
      </c>
      <c r="BK269" s="621">
        <v>0</v>
      </c>
      <c r="BL269" s="4605">
        <v>453</v>
      </c>
      <c r="BM269" s="621">
        <v>395</v>
      </c>
      <c r="BN269" s="621">
        <v>357</v>
      </c>
      <c r="BO269" s="621">
        <v>158</v>
      </c>
      <c r="BP269" s="621">
        <v>189</v>
      </c>
      <c r="BQ269" s="621">
        <v>191</v>
      </c>
    </row>
    <row r="270" spans="1:69">
      <c r="A270" s="888">
        <v>492</v>
      </c>
      <c r="B270" s="889" t="s">
        <v>590</v>
      </c>
      <c r="C270" s="890" t="s">
        <v>137</v>
      </c>
      <c r="D270" s="621">
        <v>22760908</v>
      </c>
      <c r="E270" s="621">
        <v>21342221</v>
      </c>
      <c r="F270" s="621">
        <v>23730413</v>
      </c>
      <c r="G270" s="621">
        <v>22300469</v>
      </c>
      <c r="H270" s="648">
        <v>275.5</v>
      </c>
      <c r="I270" s="648">
        <v>276.2</v>
      </c>
      <c r="J270" s="649">
        <v>389</v>
      </c>
      <c r="K270" s="621">
        <v>2788435</v>
      </c>
      <c r="L270" s="484">
        <v>265.2</v>
      </c>
      <c r="M270" s="648">
        <v>279</v>
      </c>
      <c r="N270" s="649">
        <v>278.7</v>
      </c>
      <c r="O270" s="648">
        <v>269.8</v>
      </c>
      <c r="P270" s="621">
        <v>316431</v>
      </c>
      <c r="Q270" s="621">
        <v>322394</v>
      </c>
      <c r="R270" s="621">
        <v>389781</v>
      </c>
      <c r="S270" s="621">
        <v>293427</v>
      </c>
      <c r="T270" s="621">
        <v>0</v>
      </c>
      <c r="U270" s="621">
        <v>0</v>
      </c>
      <c r="V270" s="621"/>
      <c r="W270" s="650">
        <v>0.24</v>
      </c>
      <c r="X270" s="621">
        <v>110</v>
      </c>
      <c r="Y270" s="621">
        <v>27</v>
      </c>
      <c r="Z270" s="650">
        <v>0.24</v>
      </c>
      <c r="AA270" s="650">
        <v>0</v>
      </c>
      <c r="AB270" s="651">
        <v>0.4052</v>
      </c>
      <c r="AC270" s="621">
        <v>310777</v>
      </c>
      <c r="AD270" s="621">
        <v>300447</v>
      </c>
      <c r="AE270" s="621">
        <v>300447</v>
      </c>
      <c r="AF270" s="484">
        <v>265.2</v>
      </c>
      <c r="AG270" s="649">
        <v>279</v>
      </c>
      <c r="AH270" s="891">
        <v>276.7</v>
      </c>
      <c r="AI270" s="649">
        <v>268.8</v>
      </c>
      <c r="AJ270" s="652">
        <v>0</v>
      </c>
      <c r="AK270" s="621"/>
      <c r="AL270" s="621"/>
      <c r="AM270" s="621">
        <v>0</v>
      </c>
      <c r="AN270" s="621">
        <v>0</v>
      </c>
      <c r="AO270" s="649">
        <v>264.8</v>
      </c>
      <c r="AP270" s="649"/>
      <c r="AQ270" s="892">
        <v>0</v>
      </c>
      <c r="AR270" s="652"/>
      <c r="AS270" s="648"/>
      <c r="AT270" s="649">
        <v>0</v>
      </c>
      <c r="AU270" s="653">
        <v>0</v>
      </c>
      <c r="AV270" s="621">
        <v>2297459</v>
      </c>
      <c r="AW270" s="621">
        <v>56327</v>
      </c>
      <c r="AX270" s="621">
        <v>49359</v>
      </c>
      <c r="AY270" s="621">
        <v>368986</v>
      </c>
      <c r="AZ270" s="621"/>
      <c r="BA270" s="428">
        <v>1</v>
      </c>
      <c r="BB270" s="621">
        <v>0</v>
      </c>
      <c r="BC270" s="621">
        <v>0</v>
      </c>
      <c r="BE270" s="621">
        <v>2465785</v>
      </c>
      <c r="BF270" s="621">
        <v>3186</v>
      </c>
      <c r="BG270" s="621">
        <v>3877</v>
      </c>
      <c r="BH270" s="4604">
        <v>33</v>
      </c>
      <c r="BI270" s="621">
        <v>22760908</v>
      </c>
      <c r="BJ270" s="621">
        <v>23730413</v>
      </c>
      <c r="BK270" s="621">
        <v>0</v>
      </c>
      <c r="BL270" s="4605">
        <v>88</v>
      </c>
      <c r="BM270" s="621">
        <v>97</v>
      </c>
      <c r="BN270" s="621">
        <v>97</v>
      </c>
      <c r="BO270" s="621">
        <v>32</v>
      </c>
      <c r="BP270" s="621">
        <v>33</v>
      </c>
      <c r="BQ270" s="621">
        <v>31</v>
      </c>
    </row>
    <row r="271" spans="1:69">
      <c r="A271" s="888">
        <v>493</v>
      </c>
      <c r="B271" s="889" t="s">
        <v>591</v>
      </c>
      <c r="C271" s="890" t="s">
        <v>213</v>
      </c>
      <c r="D271" s="621">
        <v>73757083</v>
      </c>
      <c r="E271" s="621">
        <v>66920539</v>
      </c>
      <c r="F271" s="621">
        <v>74237031</v>
      </c>
      <c r="G271" s="621">
        <v>67447830</v>
      </c>
      <c r="H271" s="648">
        <v>916.5</v>
      </c>
      <c r="I271" s="648">
        <v>903.8</v>
      </c>
      <c r="J271" s="649">
        <v>354</v>
      </c>
      <c r="K271" s="621">
        <v>7860965</v>
      </c>
      <c r="L271" s="484">
        <v>936</v>
      </c>
      <c r="M271" s="648">
        <v>927.5</v>
      </c>
      <c r="N271" s="649">
        <v>916.3</v>
      </c>
      <c r="O271" s="648">
        <v>872.2</v>
      </c>
      <c r="P271" s="621">
        <v>1047095</v>
      </c>
      <c r="Q271" s="621">
        <v>1026474</v>
      </c>
      <c r="R271" s="621">
        <v>1018044</v>
      </c>
      <c r="S271" s="621">
        <v>1047175</v>
      </c>
      <c r="T271" s="621">
        <v>0</v>
      </c>
      <c r="U271" s="621">
        <v>0</v>
      </c>
      <c r="V271" s="621"/>
      <c r="W271" s="650">
        <v>0.28999999999999998</v>
      </c>
      <c r="X271" s="621">
        <v>390</v>
      </c>
      <c r="Y271" s="621">
        <v>106</v>
      </c>
      <c r="Z271" s="650">
        <v>0.28000000000000003</v>
      </c>
      <c r="AA271" s="650">
        <v>0</v>
      </c>
      <c r="AB271" s="651">
        <v>0.41739999999999999</v>
      </c>
      <c r="AC271" s="621">
        <v>1028870</v>
      </c>
      <c r="AD271" s="621">
        <v>920531</v>
      </c>
      <c r="AE271" s="621">
        <v>920531</v>
      </c>
      <c r="AF271" s="484">
        <v>936</v>
      </c>
      <c r="AG271" s="649">
        <v>927.5</v>
      </c>
      <c r="AH271" s="891">
        <v>916.3</v>
      </c>
      <c r="AI271" s="649">
        <v>872.2</v>
      </c>
      <c r="AJ271" s="652">
        <v>0</v>
      </c>
      <c r="AK271" s="621"/>
      <c r="AL271" s="621"/>
      <c r="AM271" s="621">
        <v>1</v>
      </c>
      <c r="AN271" s="621">
        <v>0</v>
      </c>
      <c r="AO271" s="649">
        <v>861.7</v>
      </c>
      <c r="AP271" s="649"/>
      <c r="AQ271" s="892">
        <v>0</v>
      </c>
      <c r="AR271" s="652"/>
      <c r="AS271" s="648"/>
      <c r="AT271" s="649">
        <v>0</v>
      </c>
      <c r="AU271" s="653">
        <v>0</v>
      </c>
      <c r="AV271" s="621">
        <v>6750062</v>
      </c>
      <c r="AW271" s="621">
        <v>182918</v>
      </c>
      <c r="AX271" s="621">
        <v>164358</v>
      </c>
      <c r="AY271" s="621">
        <v>1027423</v>
      </c>
      <c r="AZ271" s="621"/>
      <c r="BA271" s="428">
        <v>1</v>
      </c>
      <c r="BB271" s="621">
        <v>0</v>
      </c>
      <c r="BC271" s="621">
        <v>0</v>
      </c>
      <c r="BE271" s="621">
        <v>6834491</v>
      </c>
      <c r="BF271" s="621">
        <v>4040</v>
      </c>
      <c r="BG271" s="621">
        <v>5564</v>
      </c>
      <c r="BH271" s="4604">
        <v>31</v>
      </c>
      <c r="BI271" s="621">
        <v>73757083</v>
      </c>
      <c r="BJ271" s="621">
        <v>73420021</v>
      </c>
      <c r="BK271" s="621">
        <v>0</v>
      </c>
      <c r="BL271" s="4605">
        <v>428</v>
      </c>
      <c r="BM271" s="621">
        <v>435</v>
      </c>
      <c r="BN271" s="621">
        <v>407</v>
      </c>
      <c r="BO271" s="621">
        <v>95</v>
      </c>
      <c r="BP271" s="621">
        <v>98</v>
      </c>
      <c r="BQ271" s="621">
        <v>125</v>
      </c>
    </row>
    <row r="272" spans="1:69">
      <c r="A272" s="888">
        <v>494</v>
      </c>
      <c r="B272" s="889" t="s">
        <v>592</v>
      </c>
      <c r="C272" s="890" t="s">
        <v>229</v>
      </c>
      <c r="D272" s="621">
        <v>42259879</v>
      </c>
      <c r="E272" s="621">
        <v>39985168</v>
      </c>
      <c r="F272" s="621">
        <v>40287042</v>
      </c>
      <c r="G272" s="621">
        <v>38023148</v>
      </c>
      <c r="H272" s="648">
        <v>542.5</v>
      </c>
      <c r="I272" s="648">
        <v>592.5</v>
      </c>
      <c r="J272" s="649">
        <v>992</v>
      </c>
      <c r="K272" s="621">
        <v>5383196</v>
      </c>
      <c r="L272" s="484">
        <v>557.5</v>
      </c>
      <c r="M272" s="648">
        <v>550.5</v>
      </c>
      <c r="N272" s="649">
        <v>600.5</v>
      </c>
      <c r="O272" s="648">
        <v>534</v>
      </c>
      <c r="P272" s="621">
        <v>325422</v>
      </c>
      <c r="Q272" s="621">
        <v>336909</v>
      </c>
      <c r="R272" s="621">
        <v>740547</v>
      </c>
      <c r="S272" s="621">
        <v>297844</v>
      </c>
      <c r="T272" s="621">
        <v>0</v>
      </c>
      <c r="U272" s="621">
        <v>0</v>
      </c>
      <c r="V272" s="621"/>
      <c r="W272" s="650">
        <v>0.38</v>
      </c>
      <c r="X272" s="621">
        <v>290</v>
      </c>
      <c r="Y272" s="621">
        <v>73</v>
      </c>
      <c r="Z272" s="650">
        <v>0.37</v>
      </c>
      <c r="AA272" s="650">
        <v>0.01</v>
      </c>
      <c r="AB272" s="651">
        <v>0.46389999999999998</v>
      </c>
      <c r="AC272" s="621">
        <v>486034</v>
      </c>
      <c r="AD272" s="621">
        <v>469184</v>
      </c>
      <c r="AE272" s="621">
        <v>469184</v>
      </c>
      <c r="AF272" s="484">
        <v>557.5</v>
      </c>
      <c r="AG272" s="649">
        <v>550.5</v>
      </c>
      <c r="AH272" s="891">
        <v>600.5</v>
      </c>
      <c r="AI272" s="649">
        <v>534</v>
      </c>
      <c r="AJ272" s="652">
        <v>0</v>
      </c>
      <c r="AK272" s="621"/>
      <c r="AL272" s="621"/>
      <c r="AM272" s="621">
        <v>0</v>
      </c>
      <c r="AN272" s="621">
        <v>0</v>
      </c>
      <c r="AO272" s="649">
        <v>526.5</v>
      </c>
      <c r="AP272" s="649"/>
      <c r="AQ272" s="892">
        <v>0</v>
      </c>
      <c r="AR272" s="652"/>
      <c r="AS272" s="648"/>
      <c r="AT272" s="649">
        <v>0</v>
      </c>
      <c r="AU272" s="653">
        <v>0</v>
      </c>
      <c r="AV272" s="621">
        <v>4829151</v>
      </c>
      <c r="AW272" s="621">
        <v>104487</v>
      </c>
      <c r="AX272" s="621">
        <v>122041</v>
      </c>
      <c r="AY272" s="621">
        <v>643734</v>
      </c>
      <c r="AZ272" s="621"/>
      <c r="BA272" s="428">
        <v>1</v>
      </c>
      <c r="BB272" s="621">
        <v>0</v>
      </c>
      <c r="BC272" s="621">
        <v>0</v>
      </c>
      <c r="BE272" s="621">
        <v>5045361</v>
      </c>
      <c r="BF272" s="621">
        <v>0</v>
      </c>
      <c r="BG272" s="621">
        <v>1609</v>
      </c>
      <c r="BH272" s="4604">
        <v>31</v>
      </c>
      <c r="BI272" s="621">
        <v>42153002</v>
      </c>
      <c r="BJ272" s="621">
        <v>40175315</v>
      </c>
      <c r="BK272" s="621">
        <v>0</v>
      </c>
      <c r="BL272" s="4605">
        <v>290</v>
      </c>
      <c r="BM272" s="621">
        <v>300</v>
      </c>
      <c r="BN272" s="621">
        <v>341</v>
      </c>
      <c r="BO272" s="621">
        <v>83</v>
      </c>
      <c r="BP272" s="621">
        <v>81</v>
      </c>
      <c r="BQ272" s="621">
        <v>99</v>
      </c>
    </row>
    <row r="273" spans="1:69">
      <c r="A273" s="888">
        <v>495</v>
      </c>
      <c r="B273" s="889" t="s">
        <v>593</v>
      </c>
      <c r="C273" s="890" t="s">
        <v>230</v>
      </c>
      <c r="D273" s="621">
        <v>59411203</v>
      </c>
      <c r="E273" s="621">
        <v>53785964</v>
      </c>
      <c r="F273" s="621">
        <v>58068512</v>
      </c>
      <c r="G273" s="621">
        <v>52463289</v>
      </c>
      <c r="H273" s="648">
        <v>838.6</v>
      </c>
      <c r="I273" s="648">
        <v>811</v>
      </c>
      <c r="J273" s="649">
        <v>518</v>
      </c>
      <c r="K273" s="621">
        <v>7172416</v>
      </c>
      <c r="L273" s="484">
        <v>867</v>
      </c>
      <c r="M273" s="648">
        <v>847.1</v>
      </c>
      <c r="N273" s="649">
        <v>818</v>
      </c>
      <c r="O273" s="648">
        <v>818</v>
      </c>
      <c r="P273" s="621">
        <v>969138</v>
      </c>
      <c r="Q273" s="621">
        <v>991812</v>
      </c>
      <c r="R273" s="621">
        <v>1175325</v>
      </c>
      <c r="S273" s="621">
        <v>1069591</v>
      </c>
      <c r="T273" s="621">
        <v>0</v>
      </c>
      <c r="U273" s="621">
        <v>0</v>
      </c>
      <c r="V273" s="621"/>
      <c r="W273" s="650">
        <v>0.43</v>
      </c>
      <c r="X273" s="621">
        <v>307</v>
      </c>
      <c r="Y273" s="621">
        <v>108</v>
      </c>
      <c r="Z273" s="650">
        <v>0.42</v>
      </c>
      <c r="AA273" s="650">
        <v>0.06</v>
      </c>
      <c r="AB273" s="651">
        <v>0.49349999999999999</v>
      </c>
      <c r="AC273" s="621">
        <v>1201449</v>
      </c>
      <c r="AD273" s="621">
        <v>1097170</v>
      </c>
      <c r="AE273" s="621">
        <v>1097170</v>
      </c>
      <c r="AF273" s="484">
        <v>867</v>
      </c>
      <c r="AG273" s="649">
        <v>847.1</v>
      </c>
      <c r="AH273" s="891">
        <v>818</v>
      </c>
      <c r="AI273" s="649">
        <v>818</v>
      </c>
      <c r="AJ273" s="652">
        <v>0</v>
      </c>
      <c r="AK273" s="621"/>
      <c r="AL273" s="621"/>
      <c r="AM273" s="621">
        <v>2</v>
      </c>
      <c r="AN273" s="621">
        <v>0</v>
      </c>
      <c r="AO273" s="649">
        <v>808.5</v>
      </c>
      <c r="AP273" s="649"/>
      <c r="AQ273" s="892">
        <v>0</v>
      </c>
      <c r="AR273" s="652"/>
      <c r="AS273" s="648"/>
      <c r="AT273" s="649">
        <v>0</v>
      </c>
      <c r="AU273" s="653">
        <v>0</v>
      </c>
      <c r="AV273" s="621">
        <v>6057056</v>
      </c>
      <c r="AW273" s="621">
        <v>68165</v>
      </c>
      <c r="AX273" s="621">
        <v>71926</v>
      </c>
      <c r="AY273" s="621">
        <v>1163871</v>
      </c>
      <c r="AZ273" s="621"/>
      <c r="BA273" s="428">
        <v>1</v>
      </c>
      <c r="BB273" s="621">
        <v>24441</v>
      </c>
      <c r="BC273" s="621">
        <v>24441</v>
      </c>
      <c r="BE273" s="621">
        <v>6177470</v>
      </c>
      <c r="BF273" s="621">
        <v>7564</v>
      </c>
      <c r="BG273" s="621">
        <v>4395</v>
      </c>
      <c r="BH273" s="4604">
        <v>33</v>
      </c>
      <c r="BI273" s="621">
        <v>58338080</v>
      </c>
      <c r="BJ273" s="621">
        <v>57191435</v>
      </c>
      <c r="BK273" s="621">
        <v>24441</v>
      </c>
      <c r="BL273" s="4605">
        <v>360</v>
      </c>
      <c r="BM273" s="621">
        <v>360</v>
      </c>
      <c r="BN273" s="621">
        <v>306</v>
      </c>
      <c r="BO273" s="621">
        <v>115</v>
      </c>
      <c r="BP273" s="621">
        <v>106</v>
      </c>
      <c r="BQ273" s="621">
        <v>123</v>
      </c>
    </row>
    <row r="274" spans="1:69">
      <c r="A274" s="888">
        <v>496</v>
      </c>
      <c r="B274" s="889" t="s">
        <v>594</v>
      </c>
      <c r="C274" s="890" t="s">
        <v>230</v>
      </c>
      <c r="D274" s="621">
        <v>17671768</v>
      </c>
      <c r="E274" s="621">
        <v>16979060</v>
      </c>
      <c r="F274" s="621">
        <v>17515198</v>
      </c>
      <c r="G274" s="621">
        <v>16821588</v>
      </c>
      <c r="H274" s="648">
        <v>133</v>
      </c>
      <c r="I274" s="648">
        <v>133.69999999999999</v>
      </c>
      <c r="J274" s="649">
        <v>283</v>
      </c>
      <c r="K274" s="621">
        <v>1574538</v>
      </c>
      <c r="L274" s="484">
        <v>136</v>
      </c>
      <c r="M274" s="648">
        <v>136.19999999999999</v>
      </c>
      <c r="N274" s="649">
        <v>135.5</v>
      </c>
      <c r="O274" s="648">
        <v>136.5</v>
      </c>
      <c r="P274" s="621">
        <v>139340</v>
      </c>
      <c r="Q274" s="621">
        <v>148731</v>
      </c>
      <c r="R274" s="621">
        <v>30177</v>
      </c>
      <c r="S274" s="621">
        <v>166489</v>
      </c>
      <c r="T274" s="621">
        <v>0</v>
      </c>
      <c r="U274" s="621">
        <v>0</v>
      </c>
      <c r="V274" s="621"/>
      <c r="W274" s="650">
        <v>0</v>
      </c>
      <c r="X274" s="621">
        <v>58</v>
      </c>
      <c r="Y274" s="621">
        <v>24</v>
      </c>
      <c r="Z274" s="650">
        <v>0</v>
      </c>
      <c r="AA274" s="650">
        <v>0</v>
      </c>
      <c r="AB274" s="651">
        <v>7.0800000000000002E-2</v>
      </c>
      <c r="AC274" s="621">
        <v>166907</v>
      </c>
      <c r="AD274" s="621">
        <v>164353</v>
      </c>
      <c r="AE274" s="621">
        <v>164353</v>
      </c>
      <c r="AF274" s="484">
        <v>136</v>
      </c>
      <c r="AG274" s="649">
        <v>133</v>
      </c>
      <c r="AH274" s="891">
        <v>133.69999999999999</v>
      </c>
      <c r="AI274" s="649">
        <v>134</v>
      </c>
      <c r="AJ274" s="652">
        <v>0</v>
      </c>
      <c r="AK274" s="621"/>
      <c r="AL274" s="621"/>
      <c r="AM274" s="621">
        <v>0</v>
      </c>
      <c r="AN274" s="621">
        <v>0</v>
      </c>
      <c r="AO274" s="649">
        <v>134</v>
      </c>
      <c r="AP274" s="649"/>
      <c r="AQ274" s="892">
        <v>0</v>
      </c>
      <c r="AR274" s="652"/>
      <c r="AS274" s="648"/>
      <c r="AT274" s="649">
        <v>0</v>
      </c>
      <c r="AU274" s="653">
        <v>0</v>
      </c>
      <c r="AV274" s="621">
        <v>1340956</v>
      </c>
      <c r="AW274" s="621">
        <v>0</v>
      </c>
      <c r="AX274" s="621">
        <v>0</v>
      </c>
      <c r="AY274" s="621">
        <v>21760</v>
      </c>
      <c r="AZ274" s="621"/>
      <c r="BA274" s="428">
        <v>1</v>
      </c>
      <c r="BB274" s="621">
        <v>0</v>
      </c>
      <c r="BC274" s="621">
        <v>0</v>
      </c>
      <c r="BE274" s="621">
        <v>1424970</v>
      </c>
      <c r="BF274" s="621">
        <v>0</v>
      </c>
      <c r="BG274" s="621">
        <v>0</v>
      </c>
      <c r="BH274" s="4604">
        <v>33</v>
      </c>
      <c r="BI274" s="621">
        <v>17601627</v>
      </c>
      <c r="BJ274" s="621">
        <v>17467030</v>
      </c>
      <c r="BK274" s="621">
        <v>0</v>
      </c>
      <c r="BL274" s="4605">
        <v>48</v>
      </c>
      <c r="BM274" s="621">
        <v>43</v>
      </c>
      <c r="BN274" s="621">
        <v>41</v>
      </c>
      <c r="BO274" s="621">
        <v>22</v>
      </c>
      <c r="BP274" s="621">
        <v>19</v>
      </c>
      <c r="BQ274" s="621">
        <v>25</v>
      </c>
    </row>
    <row r="275" spans="1:69">
      <c r="A275" s="888">
        <v>497</v>
      </c>
      <c r="B275" s="889" t="s">
        <v>595</v>
      </c>
      <c r="C275" s="890" t="s">
        <v>185</v>
      </c>
      <c r="D275" s="621">
        <v>1254650237</v>
      </c>
      <c r="E275" s="621">
        <v>1193752870</v>
      </c>
      <c r="F275" s="621">
        <v>1311051508</v>
      </c>
      <c r="G275" s="621">
        <v>1249778811</v>
      </c>
      <c r="H275" s="648">
        <v>10793.6</v>
      </c>
      <c r="I275" s="648">
        <v>10624.9</v>
      </c>
      <c r="J275" s="649">
        <v>175.3</v>
      </c>
      <c r="K275" s="621">
        <v>80062915</v>
      </c>
      <c r="L275" s="484">
        <v>10690</v>
      </c>
      <c r="M275" s="648">
        <v>11845.6</v>
      </c>
      <c r="N275" s="649">
        <v>11601.4</v>
      </c>
      <c r="O275" s="648">
        <v>11205.7</v>
      </c>
      <c r="P275" s="621">
        <v>14005873</v>
      </c>
      <c r="Q275" s="621">
        <v>12803364</v>
      </c>
      <c r="R275" s="621">
        <v>5990799</v>
      </c>
      <c r="S275" s="621">
        <v>10918476</v>
      </c>
      <c r="T275" s="621">
        <v>17039</v>
      </c>
      <c r="U275" s="621">
        <v>0</v>
      </c>
      <c r="V275" s="621"/>
      <c r="W275" s="650">
        <v>0</v>
      </c>
      <c r="X275" s="621">
        <v>2695</v>
      </c>
      <c r="Y275" s="621">
        <v>713</v>
      </c>
      <c r="Z275" s="650">
        <v>0</v>
      </c>
      <c r="AA275" s="650">
        <v>0</v>
      </c>
      <c r="AB275" s="651">
        <v>0.21929999999999999</v>
      </c>
      <c r="AC275" s="621">
        <v>11686164</v>
      </c>
      <c r="AD275" s="621">
        <v>10756607</v>
      </c>
      <c r="AE275" s="621">
        <v>10756607</v>
      </c>
      <c r="AF275" s="484">
        <v>10690</v>
      </c>
      <c r="AG275" s="649">
        <v>10827.6</v>
      </c>
      <c r="AH275" s="891">
        <v>10659.4</v>
      </c>
      <c r="AI275" s="649">
        <v>9987.1</v>
      </c>
      <c r="AJ275" s="652">
        <v>2.5499999999999998E-2</v>
      </c>
      <c r="AK275" s="621"/>
      <c r="AL275" s="621"/>
      <c r="AM275" s="621">
        <v>143</v>
      </c>
      <c r="AN275" s="621">
        <v>0</v>
      </c>
      <c r="AO275" s="649">
        <v>9973.1</v>
      </c>
      <c r="AP275" s="649"/>
      <c r="AQ275" s="892">
        <v>0</v>
      </c>
      <c r="AR275" s="652"/>
      <c r="AS275" s="648"/>
      <c r="AT275" s="649">
        <v>0</v>
      </c>
      <c r="AU275" s="653">
        <v>0</v>
      </c>
      <c r="AV275" s="621">
        <v>65605916</v>
      </c>
      <c r="AW275" s="621">
        <v>585045</v>
      </c>
      <c r="AX275" s="621">
        <v>102598</v>
      </c>
      <c r="AY275" s="621">
        <v>6040532</v>
      </c>
      <c r="AZ275" s="621"/>
      <c r="BA275" s="428">
        <v>1</v>
      </c>
      <c r="BB275" s="621">
        <v>127134</v>
      </c>
      <c r="BC275" s="621">
        <v>128003</v>
      </c>
      <c r="BE275" s="621">
        <v>67259551</v>
      </c>
      <c r="BF275" s="621">
        <v>93899</v>
      </c>
      <c r="BG275" s="621">
        <v>66884</v>
      </c>
      <c r="BH275" s="4604">
        <v>33</v>
      </c>
      <c r="BI275" s="621">
        <v>1244671076</v>
      </c>
      <c r="BJ275" s="621">
        <v>1298538882</v>
      </c>
      <c r="BK275" s="621">
        <v>127134</v>
      </c>
      <c r="BL275" s="4605">
        <v>3295</v>
      </c>
      <c r="BM275" s="621">
        <v>3377</v>
      </c>
      <c r="BN275" s="621">
        <v>3079</v>
      </c>
      <c r="BO275" s="621">
        <v>858</v>
      </c>
      <c r="BP275" s="621">
        <v>771</v>
      </c>
      <c r="BQ275" s="621">
        <v>792</v>
      </c>
    </row>
    <row r="276" spans="1:69">
      <c r="A276" s="888">
        <v>498</v>
      </c>
      <c r="B276" s="889" t="s">
        <v>596</v>
      </c>
      <c r="C276" s="890" t="s">
        <v>192</v>
      </c>
      <c r="D276" s="621">
        <v>28686982</v>
      </c>
      <c r="E276" s="621">
        <v>26560381</v>
      </c>
      <c r="F276" s="621">
        <v>30093136</v>
      </c>
      <c r="G276" s="621">
        <v>27966204</v>
      </c>
      <c r="H276" s="648">
        <v>411.4</v>
      </c>
      <c r="I276" s="648">
        <v>410.9</v>
      </c>
      <c r="J276" s="649">
        <v>205</v>
      </c>
      <c r="K276" s="621">
        <v>3764856</v>
      </c>
      <c r="L276" s="484">
        <v>400</v>
      </c>
      <c r="M276" s="648">
        <v>414.4</v>
      </c>
      <c r="N276" s="649">
        <v>414.9</v>
      </c>
      <c r="O276" s="648">
        <v>388.9</v>
      </c>
      <c r="P276" s="621">
        <v>426804</v>
      </c>
      <c r="Q276" s="621">
        <v>384062</v>
      </c>
      <c r="R276" s="621">
        <v>664158</v>
      </c>
      <c r="S276" s="621">
        <v>509154</v>
      </c>
      <c r="T276" s="621">
        <v>0</v>
      </c>
      <c r="U276" s="621">
        <v>0</v>
      </c>
      <c r="V276" s="621"/>
      <c r="W276" s="650">
        <v>0.36</v>
      </c>
      <c r="X276" s="621">
        <v>132</v>
      </c>
      <c r="Y276" s="621">
        <v>73</v>
      </c>
      <c r="Z276" s="650">
        <v>0.35</v>
      </c>
      <c r="AA276" s="650">
        <v>0</v>
      </c>
      <c r="AB276" s="651">
        <v>0.49270000000000003</v>
      </c>
      <c r="AC276" s="621">
        <v>434155</v>
      </c>
      <c r="AD276" s="621">
        <v>413297</v>
      </c>
      <c r="AE276" s="621">
        <v>413297</v>
      </c>
      <c r="AF276" s="484">
        <v>400</v>
      </c>
      <c r="AG276" s="649">
        <v>414.4</v>
      </c>
      <c r="AH276" s="891">
        <v>414.9</v>
      </c>
      <c r="AI276" s="649">
        <v>388.9</v>
      </c>
      <c r="AJ276" s="652">
        <v>0</v>
      </c>
      <c r="AK276" s="621"/>
      <c r="AL276" s="621"/>
      <c r="AM276" s="621">
        <v>0</v>
      </c>
      <c r="AN276" s="621">
        <v>0</v>
      </c>
      <c r="AO276" s="649">
        <v>383.4</v>
      </c>
      <c r="AP276" s="649"/>
      <c r="AQ276" s="892">
        <v>0</v>
      </c>
      <c r="AR276" s="652"/>
      <c r="AS276" s="648"/>
      <c r="AT276" s="649">
        <v>0</v>
      </c>
      <c r="AU276" s="653">
        <v>0</v>
      </c>
      <c r="AV276" s="621">
        <v>3271046</v>
      </c>
      <c r="AW276" s="621">
        <v>98132</v>
      </c>
      <c r="AX276" s="621">
        <v>93571</v>
      </c>
      <c r="AY276" s="621">
        <v>658383</v>
      </c>
      <c r="AZ276" s="621"/>
      <c r="BA276" s="428">
        <v>1</v>
      </c>
      <c r="BB276" s="621">
        <v>66990</v>
      </c>
      <c r="BC276" s="621">
        <v>66990</v>
      </c>
      <c r="BE276" s="621">
        <v>3380794</v>
      </c>
      <c r="BF276" s="621">
        <v>5891</v>
      </c>
      <c r="BG276" s="621">
        <v>4100</v>
      </c>
      <c r="BH276" s="4604">
        <v>33</v>
      </c>
      <c r="BI276" s="621">
        <v>28544656</v>
      </c>
      <c r="BJ276" s="621">
        <v>30005710</v>
      </c>
      <c r="BK276" s="621">
        <v>66990</v>
      </c>
      <c r="BL276" s="4605">
        <v>138</v>
      </c>
      <c r="BM276" s="621">
        <v>138</v>
      </c>
      <c r="BN276" s="621">
        <v>139</v>
      </c>
      <c r="BO276" s="621">
        <v>65</v>
      </c>
      <c r="BP276" s="621">
        <v>66</v>
      </c>
      <c r="BQ276" s="621">
        <v>81</v>
      </c>
    </row>
    <row r="277" spans="1:69">
      <c r="A277" s="888">
        <v>499</v>
      </c>
      <c r="B277" s="889" t="s">
        <v>597</v>
      </c>
      <c r="C277" s="890" t="s">
        <v>213</v>
      </c>
      <c r="D277" s="621">
        <v>24028144</v>
      </c>
      <c r="E277" s="621">
        <v>20949808</v>
      </c>
      <c r="F277" s="621">
        <v>25334899</v>
      </c>
      <c r="G277" s="621">
        <v>22276059</v>
      </c>
      <c r="H277" s="648">
        <v>807.4</v>
      </c>
      <c r="I277" s="648">
        <v>811.3</v>
      </c>
      <c r="J277" s="649">
        <v>13.5</v>
      </c>
      <c r="K277" s="621">
        <v>6828300</v>
      </c>
      <c r="L277" s="484">
        <v>831.5</v>
      </c>
      <c r="M277" s="648">
        <v>814.9</v>
      </c>
      <c r="N277" s="649">
        <v>819.8</v>
      </c>
      <c r="O277" s="648">
        <v>773.2</v>
      </c>
      <c r="P277" s="621">
        <v>841731</v>
      </c>
      <c r="Q277" s="621">
        <v>840135</v>
      </c>
      <c r="R277" s="621">
        <v>1616480</v>
      </c>
      <c r="S277" s="621">
        <v>577658</v>
      </c>
      <c r="T277" s="621">
        <v>28406</v>
      </c>
      <c r="U277" s="621">
        <v>0</v>
      </c>
      <c r="V277" s="621"/>
      <c r="W277" s="650">
        <v>0.8</v>
      </c>
      <c r="X277" s="621">
        <v>371</v>
      </c>
      <c r="Y277" s="621">
        <v>92</v>
      </c>
      <c r="Z277" s="650">
        <v>0.79</v>
      </c>
      <c r="AA277" s="650">
        <v>0.43</v>
      </c>
      <c r="AB277" s="4607">
        <v>0.83379999999999999</v>
      </c>
      <c r="AC277" s="621">
        <v>800412</v>
      </c>
      <c r="AD277" s="621">
        <v>759150</v>
      </c>
      <c r="AE277" s="621">
        <v>759150</v>
      </c>
      <c r="AF277" s="484">
        <v>831.5</v>
      </c>
      <c r="AG277" s="649">
        <v>813.9</v>
      </c>
      <c r="AH277" s="891">
        <v>819.7</v>
      </c>
      <c r="AI277" s="649">
        <v>768.8</v>
      </c>
      <c r="AJ277" s="652">
        <v>0</v>
      </c>
      <c r="AK277" s="621"/>
      <c r="AL277" s="621"/>
      <c r="AM277" s="621">
        <v>0</v>
      </c>
      <c r="AN277" s="621">
        <v>0</v>
      </c>
      <c r="AO277" s="649">
        <v>762.4</v>
      </c>
      <c r="AP277" s="649"/>
      <c r="AQ277" s="892">
        <v>0</v>
      </c>
      <c r="AR277" s="652"/>
      <c r="AS277" s="648"/>
      <c r="AT277" s="649">
        <v>0</v>
      </c>
      <c r="AU277" s="653">
        <v>0</v>
      </c>
      <c r="AV277" s="621">
        <v>5976752</v>
      </c>
      <c r="AW277" s="621">
        <v>140846</v>
      </c>
      <c r="AX277" s="621">
        <v>159789</v>
      </c>
      <c r="AY277" s="621">
        <v>1611125</v>
      </c>
      <c r="AZ277" s="621"/>
      <c r="BA277" s="428">
        <v>1</v>
      </c>
      <c r="BB277" s="621">
        <v>0</v>
      </c>
      <c r="BC277" s="621">
        <v>0</v>
      </c>
      <c r="BE277" s="621">
        <v>5988165</v>
      </c>
      <c r="BF277" s="621">
        <v>1639</v>
      </c>
      <c r="BG277" s="621">
        <v>2403</v>
      </c>
      <c r="BH277" s="4604">
        <v>31</v>
      </c>
      <c r="BI277" s="621">
        <v>24028144</v>
      </c>
      <c r="BJ277" s="621">
        <v>25283033</v>
      </c>
      <c r="BK277" s="621">
        <v>0</v>
      </c>
      <c r="BL277" s="4605">
        <v>424</v>
      </c>
      <c r="BM277" s="621">
        <v>391</v>
      </c>
      <c r="BN277" s="621">
        <v>412</v>
      </c>
      <c r="BO277" s="621">
        <v>139</v>
      </c>
      <c r="BP277" s="621">
        <v>122</v>
      </c>
      <c r="BQ277" s="621">
        <v>110</v>
      </c>
    </row>
    <row r="278" spans="1:69">
      <c r="A278" s="888">
        <v>500</v>
      </c>
      <c r="B278" s="889" t="s">
        <v>598</v>
      </c>
      <c r="C278" s="890" t="s">
        <v>136</v>
      </c>
      <c r="D278" s="621">
        <v>831852352</v>
      </c>
      <c r="E278" s="621">
        <v>748881676</v>
      </c>
      <c r="F278" s="621">
        <v>875771594</v>
      </c>
      <c r="G278" s="621">
        <v>792596875</v>
      </c>
      <c r="H278" s="648">
        <v>21421.8</v>
      </c>
      <c r="I278" s="648">
        <v>21594.3</v>
      </c>
      <c r="J278" s="649">
        <v>59</v>
      </c>
      <c r="K278" s="621">
        <v>168820080</v>
      </c>
      <c r="L278" s="484">
        <v>21531.7</v>
      </c>
      <c r="M278" s="648">
        <v>21968</v>
      </c>
      <c r="N278" s="649">
        <v>22234.9</v>
      </c>
      <c r="O278" s="648">
        <v>21039.1</v>
      </c>
      <c r="P278" s="621">
        <v>13960540</v>
      </c>
      <c r="Q278" s="621">
        <v>11956198</v>
      </c>
      <c r="R278" s="621">
        <v>38227679</v>
      </c>
      <c r="S278" s="621">
        <v>14691745</v>
      </c>
      <c r="T278" s="621">
        <v>55895</v>
      </c>
      <c r="U278" s="621">
        <v>0</v>
      </c>
      <c r="V278" s="621"/>
      <c r="W278" s="650">
        <v>0.73</v>
      </c>
      <c r="X278" s="621">
        <v>15566</v>
      </c>
      <c r="Y278" s="621">
        <v>2826</v>
      </c>
      <c r="Z278" s="650">
        <v>0.72</v>
      </c>
      <c r="AA278" s="650">
        <v>0.36</v>
      </c>
      <c r="AB278" s="651">
        <v>0.73360000000000003</v>
      </c>
      <c r="AC278" s="621">
        <v>26995122</v>
      </c>
      <c r="AD278" s="621">
        <v>25431848</v>
      </c>
      <c r="AE278" s="621">
        <v>25431848</v>
      </c>
      <c r="AF278" s="484">
        <v>21531.7</v>
      </c>
      <c r="AG278" s="649">
        <v>21826.799999999999</v>
      </c>
      <c r="AH278" s="891">
        <v>22051.8</v>
      </c>
      <c r="AI278" s="649">
        <v>20872.3</v>
      </c>
      <c r="AJ278" s="652">
        <v>0</v>
      </c>
      <c r="AK278" s="621"/>
      <c r="AL278" s="621"/>
      <c r="AM278" s="621">
        <v>0</v>
      </c>
      <c r="AN278" s="621">
        <v>0</v>
      </c>
      <c r="AO278" s="649">
        <v>20569.3</v>
      </c>
      <c r="AP278" s="649"/>
      <c r="AQ278" s="892">
        <v>0</v>
      </c>
      <c r="AR278" s="652"/>
      <c r="AS278" s="648"/>
      <c r="AT278" s="649">
        <v>0</v>
      </c>
      <c r="AU278" s="653">
        <v>0</v>
      </c>
      <c r="AV278" s="621">
        <v>153383536</v>
      </c>
      <c r="AW278" s="621">
        <v>4651326</v>
      </c>
      <c r="AX278" s="621">
        <v>4832758</v>
      </c>
      <c r="AY278" s="621">
        <v>37764081</v>
      </c>
      <c r="AZ278" s="621"/>
      <c r="BA278" s="428">
        <v>1</v>
      </c>
      <c r="BB278" s="621">
        <v>0</v>
      </c>
      <c r="BC278" s="621">
        <v>0</v>
      </c>
      <c r="BE278" s="621">
        <v>156860136</v>
      </c>
      <c r="BF278" s="621">
        <v>0</v>
      </c>
      <c r="BG278" s="621">
        <v>0</v>
      </c>
      <c r="BH278" s="4604">
        <v>33</v>
      </c>
      <c r="BI278" s="621">
        <v>796459992</v>
      </c>
      <c r="BJ278" s="621">
        <v>839020496</v>
      </c>
      <c r="BK278" s="621">
        <v>525015</v>
      </c>
      <c r="BL278" s="4605">
        <v>16760</v>
      </c>
      <c r="BM278" s="621">
        <v>15271</v>
      </c>
      <c r="BN278" s="621">
        <v>15892</v>
      </c>
      <c r="BO278" s="621">
        <v>2231</v>
      </c>
      <c r="BP278" s="621">
        <v>2371</v>
      </c>
      <c r="BQ278" s="621">
        <v>2993</v>
      </c>
    </row>
    <row r="279" spans="1:69">
      <c r="A279" s="888">
        <v>501</v>
      </c>
      <c r="B279" s="889" t="s">
        <v>599</v>
      </c>
      <c r="C279" s="890" t="s">
        <v>183</v>
      </c>
      <c r="D279" s="621">
        <v>650760084</v>
      </c>
      <c r="E279" s="621">
        <v>575648509</v>
      </c>
      <c r="F279" s="621">
        <v>668622300</v>
      </c>
      <c r="G279" s="621">
        <v>593440932</v>
      </c>
      <c r="H279" s="648">
        <v>12730.1</v>
      </c>
      <c r="I279" s="648">
        <v>12475.1</v>
      </c>
      <c r="J279" s="649">
        <v>35</v>
      </c>
      <c r="K279" s="621">
        <v>102221778</v>
      </c>
      <c r="L279" s="484">
        <v>13078.9</v>
      </c>
      <c r="M279" s="648">
        <v>12922.5</v>
      </c>
      <c r="N279" s="649">
        <v>12669.2</v>
      </c>
      <c r="O279" s="648">
        <v>12112.4</v>
      </c>
      <c r="P279" s="621">
        <v>16698524</v>
      </c>
      <c r="Q279" s="621">
        <v>17063965</v>
      </c>
      <c r="R279" s="621">
        <v>21612389</v>
      </c>
      <c r="S279" s="621">
        <v>14947071</v>
      </c>
      <c r="T279" s="621">
        <v>26407</v>
      </c>
      <c r="U279" s="621">
        <v>0</v>
      </c>
      <c r="V279" s="621"/>
      <c r="W279" s="650">
        <v>0.57999999999999996</v>
      </c>
      <c r="X279" s="621">
        <v>7896</v>
      </c>
      <c r="Y279" s="621">
        <v>1468</v>
      </c>
      <c r="Z279" s="650">
        <v>0.59</v>
      </c>
      <c r="AA279" s="650">
        <v>0.23</v>
      </c>
      <c r="AB279" s="651">
        <v>0.63580000000000003</v>
      </c>
      <c r="AC279" s="621">
        <v>17000973</v>
      </c>
      <c r="AD279" s="621">
        <v>15913365</v>
      </c>
      <c r="AE279" s="621">
        <v>15913365</v>
      </c>
      <c r="AF279" s="484">
        <v>13078.9</v>
      </c>
      <c r="AG279" s="649">
        <v>12890.1</v>
      </c>
      <c r="AH279" s="891">
        <v>12607.6</v>
      </c>
      <c r="AI279" s="649">
        <v>12028.8</v>
      </c>
      <c r="AJ279" s="652">
        <v>0</v>
      </c>
      <c r="AK279" s="621"/>
      <c r="AL279" s="621"/>
      <c r="AM279" s="621">
        <v>0</v>
      </c>
      <c r="AN279" s="621">
        <v>0</v>
      </c>
      <c r="AO279" s="649">
        <v>11949.3</v>
      </c>
      <c r="AP279" s="649"/>
      <c r="AQ279" s="892">
        <v>0</v>
      </c>
      <c r="AR279" s="652"/>
      <c r="AS279" s="648"/>
      <c r="AT279" s="649">
        <v>0</v>
      </c>
      <c r="AU279" s="653">
        <v>0</v>
      </c>
      <c r="AV279" s="621">
        <v>85485699</v>
      </c>
      <c r="AW279" s="621">
        <v>2174646</v>
      </c>
      <c r="AX279" s="621">
        <v>2920373</v>
      </c>
      <c r="AY279" s="621">
        <v>21548814</v>
      </c>
      <c r="AZ279" s="621"/>
      <c r="BA279" s="428">
        <v>1</v>
      </c>
      <c r="BB279" s="621">
        <v>525015</v>
      </c>
      <c r="BC279" s="621">
        <v>521366</v>
      </c>
      <c r="BE279" s="621">
        <v>85157813</v>
      </c>
      <c r="BF279" s="621">
        <v>34039</v>
      </c>
      <c r="BG279" s="621">
        <v>34726</v>
      </c>
      <c r="BH279" s="4604">
        <v>33</v>
      </c>
      <c r="BI279" s="621">
        <v>646892761</v>
      </c>
      <c r="BJ279" s="621">
        <v>664004791</v>
      </c>
      <c r="BK279" s="621">
        <v>0</v>
      </c>
      <c r="BL279" s="4605">
        <v>9123</v>
      </c>
      <c r="BM279" s="621">
        <v>8207</v>
      </c>
      <c r="BN279" s="621">
        <v>8410</v>
      </c>
      <c r="BO279" s="621">
        <v>901</v>
      </c>
      <c r="BP279" s="621">
        <v>1190</v>
      </c>
      <c r="BQ279" s="621">
        <v>1574</v>
      </c>
    </row>
    <row r="280" spans="1:69">
      <c r="A280" s="888">
        <v>502</v>
      </c>
      <c r="B280" s="889" t="s">
        <v>600</v>
      </c>
      <c r="C280" s="890" t="s">
        <v>184</v>
      </c>
      <c r="D280" s="621">
        <v>21930456</v>
      </c>
      <c r="E280" s="621">
        <v>21254936</v>
      </c>
      <c r="F280" s="621">
        <v>22599530</v>
      </c>
      <c r="G280" s="621">
        <v>21934393</v>
      </c>
      <c r="H280" s="648">
        <v>112</v>
      </c>
      <c r="I280" s="648">
        <v>112</v>
      </c>
      <c r="J280" s="649">
        <v>223.8</v>
      </c>
      <c r="K280" s="621">
        <v>1380752</v>
      </c>
      <c r="L280" s="484">
        <v>125.5</v>
      </c>
      <c r="M280" s="648">
        <v>113.5</v>
      </c>
      <c r="N280" s="649">
        <v>114.5</v>
      </c>
      <c r="O280" s="648">
        <v>106</v>
      </c>
      <c r="P280" s="621">
        <v>135769</v>
      </c>
      <c r="Q280" s="621">
        <v>133709</v>
      </c>
      <c r="R280" s="621">
        <v>0</v>
      </c>
      <c r="S280" s="621">
        <v>123427</v>
      </c>
      <c r="T280" s="621">
        <v>0</v>
      </c>
      <c r="U280" s="621">
        <v>0</v>
      </c>
      <c r="V280" s="621"/>
      <c r="W280" s="650">
        <v>0</v>
      </c>
      <c r="X280" s="621">
        <v>43</v>
      </c>
      <c r="Y280" s="621">
        <v>24</v>
      </c>
      <c r="Z280" s="650">
        <v>0</v>
      </c>
      <c r="AA280" s="650">
        <v>0</v>
      </c>
      <c r="AB280" s="651">
        <v>0</v>
      </c>
      <c r="AC280" s="621">
        <v>118893</v>
      </c>
      <c r="AD280" s="621">
        <v>112165</v>
      </c>
      <c r="AE280" s="621">
        <v>112165</v>
      </c>
      <c r="AF280" s="484">
        <v>125.5</v>
      </c>
      <c r="AG280" s="649">
        <v>113.5</v>
      </c>
      <c r="AH280" s="891">
        <v>114.5</v>
      </c>
      <c r="AI280" s="649">
        <v>106</v>
      </c>
      <c r="AJ280" s="652">
        <v>0</v>
      </c>
      <c r="AK280" s="621"/>
      <c r="AL280" s="621"/>
      <c r="AM280" s="621">
        <v>0</v>
      </c>
      <c r="AN280" s="621">
        <v>0</v>
      </c>
      <c r="AO280" s="649">
        <v>104.5</v>
      </c>
      <c r="AP280" s="649"/>
      <c r="AQ280" s="892">
        <v>0</v>
      </c>
      <c r="AR280" s="652"/>
      <c r="AS280" s="648"/>
      <c r="AT280" s="649">
        <v>0</v>
      </c>
      <c r="AU280" s="653">
        <v>0</v>
      </c>
      <c r="AV280" s="621">
        <v>1288959</v>
      </c>
      <c r="AW280" s="621">
        <v>0</v>
      </c>
      <c r="AX280" s="621">
        <v>0</v>
      </c>
      <c r="AY280" s="621">
        <v>0</v>
      </c>
      <c r="AZ280" s="621"/>
      <c r="BA280" s="428">
        <v>1</v>
      </c>
      <c r="BB280" s="621">
        <v>0</v>
      </c>
      <c r="BC280" s="621">
        <v>0</v>
      </c>
      <c r="BE280" s="621">
        <v>1245959</v>
      </c>
      <c r="BF280" s="621">
        <v>533</v>
      </c>
      <c r="BG280" s="621">
        <v>2543</v>
      </c>
      <c r="BH280" s="4604">
        <v>31</v>
      </c>
      <c r="BI280" s="621">
        <v>21930456</v>
      </c>
      <c r="BJ280" s="621">
        <v>22599530</v>
      </c>
      <c r="BK280" s="621">
        <v>0</v>
      </c>
      <c r="BL280" s="4605">
        <v>47</v>
      </c>
      <c r="BM280" s="621">
        <v>45</v>
      </c>
      <c r="BN280" s="621">
        <v>48</v>
      </c>
      <c r="BO280" s="621">
        <v>25</v>
      </c>
      <c r="BP280" s="621">
        <v>17</v>
      </c>
      <c r="BQ280" s="621">
        <v>21</v>
      </c>
    </row>
    <row r="281" spans="1:69">
      <c r="A281" s="888">
        <v>503</v>
      </c>
      <c r="B281" s="889" t="s">
        <v>601</v>
      </c>
      <c r="C281" s="890" t="s">
        <v>231</v>
      </c>
      <c r="D281" s="621">
        <v>56588173</v>
      </c>
      <c r="E281" s="621">
        <v>47878756</v>
      </c>
      <c r="F281" s="621">
        <v>58399772</v>
      </c>
      <c r="G281" s="621">
        <v>49727460</v>
      </c>
      <c r="H281" s="648">
        <v>1228.5999999999999</v>
      </c>
      <c r="I281" s="648">
        <v>1251.2</v>
      </c>
      <c r="J281" s="649">
        <v>51</v>
      </c>
      <c r="K281" s="621">
        <v>10210532</v>
      </c>
      <c r="L281" s="484">
        <v>1227.5</v>
      </c>
      <c r="M281" s="648">
        <v>1250.0999999999999</v>
      </c>
      <c r="N281" s="649">
        <v>1273.0999999999999</v>
      </c>
      <c r="O281" s="648">
        <v>1252.0999999999999</v>
      </c>
      <c r="P281" s="621">
        <v>1324251</v>
      </c>
      <c r="Q281" s="621">
        <v>1272976</v>
      </c>
      <c r="R281" s="621">
        <v>2066354</v>
      </c>
      <c r="S281" s="621">
        <v>1277708</v>
      </c>
      <c r="T281" s="621">
        <v>0</v>
      </c>
      <c r="U281" s="621">
        <v>0</v>
      </c>
      <c r="V281" s="621"/>
      <c r="W281" s="650">
        <v>0.68</v>
      </c>
      <c r="X281" s="621">
        <v>743</v>
      </c>
      <c r="Y281" s="621">
        <v>166</v>
      </c>
      <c r="Z281" s="650">
        <v>0.67</v>
      </c>
      <c r="AA281" s="650">
        <v>0.31</v>
      </c>
      <c r="AB281" s="651">
        <v>0.67900000000000005</v>
      </c>
      <c r="AC281" s="621">
        <v>1193054</v>
      </c>
      <c r="AD281" s="621">
        <v>1127023</v>
      </c>
      <c r="AE281" s="621">
        <v>1127023</v>
      </c>
      <c r="AF281" s="484">
        <v>1227.5</v>
      </c>
      <c r="AG281" s="649">
        <v>1249.0999999999999</v>
      </c>
      <c r="AH281" s="891">
        <v>1272.7</v>
      </c>
      <c r="AI281" s="649">
        <v>1241.3</v>
      </c>
      <c r="AJ281" s="652">
        <v>0</v>
      </c>
      <c r="AK281" s="621"/>
      <c r="AL281" s="621"/>
      <c r="AM281" s="621">
        <v>2</v>
      </c>
      <c r="AN281" s="621">
        <v>0</v>
      </c>
      <c r="AO281" s="649">
        <v>1224.3</v>
      </c>
      <c r="AP281" s="649"/>
      <c r="AQ281" s="892">
        <v>0</v>
      </c>
      <c r="AR281" s="652"/>
      <c r="AS281" s="648"/>
      <c r="AT281" s="649">
        <v>0</v>
      </c>
      <c r="AU281" s="653">
        <v>0</v>
      </c>
      <c r="AV281" s="621">
        <v>8662743</v>
      </c>
      <c r="AW281" s="621">
        <v>139127</v>
      </c>
      <c r="AX281" s="621">
        <v>295488</v>
      </c>
      <c r="AY281" s="621">
        <v>2013133</v>
      </c>
      <c r="AZ281" s="621"/>
      <c r="BA281" s="428">
        <v>1</v>
      </c>
      <c r="BB281" s="621">
        <v>0</v>
      </c>
      <c r="BC281" s="621">
        <v>0</v>
      </c>
      <c r="BE281" s="621">
        <v>8937555</v>
      </c>
      <c r="BF281" s="621">
        <v>5775</v>
      </c>
      <c r="BG281" s="621">
        <v>3259</v>
      </c>
      <c r="BH281" s="4604">
        <v>31</v>
      </c>
      <c r="BI281" s="621">
        <v>55236554</v>
      </c>
      <c r="BJ281" s="621">
        <v>56824629</v>
      </c>
      <c r="BK281" s="621">
        <v>0</v>
      </c>
      <c r="BL281" s="4605">
        <v>802</v>
      </c>
      <c r="BM281" s="621">
        <v>775</v>
      </c>
      <c r="BN281" s="621">
        <v>782</v>
      </c>
      <c r="BO281" s="621">
        <v>148</v>
      </c>
      <c r="BP281" s="621">
        <v>197</v>
      </c>
      <c r="BQ281" s="621">
        <v>201</v>
      </c>
    </row>
    <row r="282" spans="1:69">
      <c r="A282" s="888">
        <v>504</v>
      </c>
      <c r="B282" s="889" t="s">
        <v>898</v>
      </c>
      <c r="C282" s="890" t="s">
        <v>231</v>
      </c>
      <c r="D282" s="621">
        <v>13221964</v>
      </c>
      <c r="E282" s="621">
        <v>11262710</v>
      </c>
      <c r="F282" s="621">
        <v>13802871</v>
      </c>
      <c r="G282" s="621">
        <v>11853268</v>
      </c>
      <c r="H282" s="648">
        <v>497.5</v>
      </c>
      <c r="I282" s="648">
        <v>445</v>
      </c>
      <c r="J282" s="649">
        <v>45</v>
      </c>
      <c r="K282" s="621">
        <v>4328671</v>
      </c>
      <c r="L282" s="484">
        <v>479</v>
      </c>
      <c r="M282" s="648">
        <v>502.5</v>
      </c>
      <c r="N282" s="649">
        <v>451</v>
      </c>
      <c r="O282" s="648">
        <v>433</v>
      </c>
      <c r="P282" s="621">
        <v>557152</v>
      </c>
      <c r="Q282" s="621">
        <v>510583</v>
      </c>
      <c r="R282" s="621">
        <v>1044272</v>
      </c>
      <c r="S282" s="621">
        <v>421887</v>
      </c>
      <c r="T282" s="621">
        <v>0</v>
      </c>
      <c r="U282" s="621">
        <v>0</v>
      </c>
      <c r="V282" s="621"/>
      <c r="W282" s="650">
        <v>0.81</v>
      </c>
      <c r="X282" s="621">
        <v>206</v>
      </c>
      <c r="Y282" s="621">
        <v>69</v>
      </c>
      <c r="Z282" s="650">
        <v>0.8</v>
      </c>
      <c r="AA282" s="650">
        <v>0.44</v>
      </c>
      <c r="AB282" s="651">
        <v>0.79110000000000003</v>
      </c>
      <c r="AC282" s="621">
        <v>514692</v>
      </c>
      <c r="AD282" s="621">
        <v>493469</v>
      </c>
      <c r="AE282" s="621">
        <v>493469</v>
      </c>
      <c r="AF282" s="484">
        <v>479</v>
      </c>
      <c r="AG282" s="649">
        <v>502.5</v>
      </c>
      <c r="AH282" s="891">
        <v>451</v>
      </c>
      <c r="AI282" s="649">
        <v>433</v>
      </c>
      <c r="AJ282" s="652">
        <v>0</v>
      </c>
      <c r="AK282" s="621"/>
      <c r="AL282" s="621"/>
      <c r="AM282" s="621">
        <v>0</v>
      </c>
      <c r="AN282" s="621">
        <v>0</v>
      </c>
      <c r="AO282" s="649">
        <v>429</v>
      </c>
      <c r="AP282" s="649"/>
      <c r="AQ282" s="892">
        <v>0</v>
      </c>
      <c r="AR282" s="652"/>
      <c r="AS282" s="648"/>
      <c r="AT282" s="649">
        <v>0</v>
      </c>
      <c r="AU282" s="653">
        <v>0</v>
      </c>
      <c r="AV282" s="621">
        <v>3788351</v>
      </c>
      <c r="AW282" s="621">
        <v>86354</v>
      </c>
      <c r="AX282" s="621">
        <v>86829</v>
      </c>
      <c r="AY282" s="621">
        <v>1057111</v>
      </c>
      <c r="AZ282" s="621"/>
      <c r="BA282" s="428">
        <v>1</v>
      </c>
      <c r="BB282" s="621">
        <v>0</v>
      </c>
      <c r="BC282" s="621">
        <v>0</v>
      </c>
      <c r="BE282" s="621">
        <v>3818088</v>
      </c>
      <c r="BF282" s="621">
        <v>3584</v>
      </c>
      <c r="BG282" s="621">
        <v>5066</v>
      </c>
      <c r="BH282" s="4604">
        <v>33</v>
      </c>
      <c r="BI282" s="621">
        <v>13163736</v>
      </c>
      <c r="BJ282" s="621">
        <v>13738723</v>
      </c>
      <c r="BK282" s="621">
        <v>0</v>
      </c>
      <c r="BL282" s="4605">
        <v>243</v>
      </c>
      <c r="BM282" s="621">
        <v>243</v>
      </c>
      <c r="BN282" s="621">
        <v>225</v>
      </c>
      <c r="BO282" s="621">
        <v>80</v>
      </c>
      <c r="BP282" s="621">
        <v>87</v>
      </c>
      <c r="BQ282" s="621">
        <v>69</v>
      </c>
    </row>
    <row r="283" spans="1:69">
      <c r="A283" s="888">
        <v>505</v>
      </c>
      <c r="B283" s="889" t="s">
        <v>899</v>
      </c>
      <c r="C283" s="890" t="s">
        <v>231</v>
      </c>
      <c r="D283" s="621">
        <v>17362989</v>
      </c>
      <c r="E283" s="621">
        <v>14937899</v>
      </c>
      <c r="F283" s="621">
        <v>17560134</v>
      </c>
      <c r="G283" s="621">
        <v>15127774</v>
      </c>
      <c r="H283" s="648">
        <v>381</v>
      </c>
      <c r="I283" s="648">
        <v>383.7</v>
      </c>
      <c r="J283" s="649">
        <v>126</v>
      </c>
      <c r="K283" s="621">
        <v>3498735</v>
      </c>
      <c r="L283" s="484">
        <v>414.5</v>
      </c>
      <c r="M283" s="648">
        <v>388.8</v>
      </c>
      <c r="N283" s="649">
        <v>389.7</v>
      </c>
      <c r="O283" s="648">
        <v>361.9</v>
      </c>
      <c r="P283" s="621">
        <v>424721</v>
      </c>
      <c r="Q283" s="621">
        <v>439952</v>
      </c>
      <c r="R283" s="621">
        <v>817157</v>
      </c>
      <c r="S283" s="621">
        <v>537677</v>
      </c>
      <c r="T283" s="621">
        <v>21010</v>
      </c>
      <c r="U283" s="621">
        <v>0</v>
      </c>
      <c r="V283" s="621"/>
      <c r="W283" s="650">
        <v>0.65</v>
      </c>
      <c r="X283" s="621">
        <v>138</v>
      </c>
      <c r="Y283" s="621">
        <v>83</v>
      </c>
      <c r="Z283" s="650">
        <v>0.64</v>
      </c>
      <c r="AA283" s="650">
        <v>0.28000000000000003</v>
      </c>
      <c r="AB283" s="651">
        <v>0.6704</v>
      </c>
      <c r="AC283" s="621">
        <v>424442</v>
      </c>
      <c r="AD283" s="621">
        <v>416281</v>
      </c>
      <c r="AE283" s="621">
        <v>416281</v>
      </c>
      <c r="AF283" s="484">
        <v>414.5</v>
      </c>
      <c r="AG283" s="649">
        <v>388.5</v>
      </c>
      <c r="AH283" s="891">
        <v>389.7</v>
      </c>
      <c r="AI283" s="649">
        <v>361.7</v>
      </c>
      <c r="AJ283" s="652">
        <v>0</v>
      </c>
      <c r="AK283" s="621"/>
      <c r="AL283" s="621"/>
      <c r="AM283" s="621">
        <v>1</v>
      </c>
      <c r="AN283" s="621">
        <v>0</v>
      </c>
      <c r="AO283" s="649">
        <v>359.2</v>
      </c>
      <c r="AP283" s="649"/>
      <c r="AQ283" s="892">
        <v>0</v>
      </c>
      <c r="AR283" s="652"/>
      <c r="AS283" s="648"/>
      <c r="AT283" s="649">
        <v>0</v>
      </c>
      <c r="AU283" s="653">
        <v>0</v>
      </c>
      <c r="AV283" s="621">
        <v>3239857</v>
      </c>
      <c r="AW283" s="621">
        <v>88444</v>
      </c>
      <c r="AX283" s="621">
        <v>88452</v>
      </c>
      <c r="AY283" s="621">
        <v>869378</v>
      </c>
      <c r="AZ283" s="621"/>
      <c r="BA283" s="428">
        <v>1</v>
      </c>
      <c r="BB283" s="621">
        <v>0</v>
      </c>
      <c r="BC283" s="621">
        <v>0</v>
      </c>
      <c r="BE283" s="621">
        <v>3058783</v>
      </c>
      <c r="BF283" s="621">
        <v>3283</v>
      </c>
      <c r="BG283" s="621">
        <v>3320</v>
      </c>
      <c r="BH283" s="4604">
        <v>33</v>
      </c>
      <c r="BI283" s="621">
        <v>17350164</v>
      </c>
      <c r="BJ283" s="621">
        <v>17549984</v>
      </c>
      <c r="BK283" s="621">
        <v>0</v>
      </c>
      <c r="BL283" s="4605">
        <v>197</v>
      </c>
      <c r="BM283" s="621">
        <v>168</v>
      </c>
      <c r="BN283" s="621">
        <v>175</v>
      </c>
      <c r="BO283" s="621">
        <v>73</v>
      </c>
      <c r="BP283" s="621">
        <v>69</v>
      </c>
      <c r="BQ283" s="621">
        <v>68</v>
      </c>
    </row>
    <row r="284" spans="1:69">
      <c r="A284" s="888">
        <v>506</v>
      </c>
      <c r="B284" s="889" t="s">
        <v>900</v>
      </c>
      <c r="C284" s="890" t="s">
        <v>231</v>
      </c>
      <c r="D284" s="621">
        <v>58801592</v>
      </c>
      <c r="E284" s="621">
        <v>51825304</v>
      </c>
      <c r="F284" s="621">
        <v>59429840</v>
      </c>
      <c r="G284" s="621">
        <v>52441754</v>
      </c>
      <c r="H284" s="648">
        <v>1488.1</v>
      </c>
      <c r="I284" s="648">
        <v>1491.6</v>
      </c>
      <c r="J284" s="649">
        <v>500</v>
      </c>
      <c r="K284" s="621">
        <v>11464078</v>
      </c>
      <c r="L284" s="484">
        <v>1559.1</v>
      </c>
      <c r="M284" s="648">
        <v>1503.6</v>
      </c>
      <c r="N284" s="649">
        <v>1506.6</v>
      </c>
      <c r="O284" s="648">
        <v>1439.3</v>
      </c>
      <c r="P284" s="621">
        <v>1685536</v>
      </c>
      <c r="Q284" s="621">
        <v>1667753</v>
      </c>
      <c r="R284" s="621">
        <v>2491200</v>
      </c>
      <c r="S284" s="621">
        <v>1454609</v>
      </c>
      <c r="T284" s="621">
        <v>0</v>
      </c>
      <c r="U284" s="621">
        <v>0</v>
      </c>
      <c r="V284" s="621"/>
      <c r="W284" s="650">
        <v>0.72</v>
      </c>
      <c r="X284" s="621">
        <v>629</v>
      </c>
      <c r="Y284" s="621">
        <v>236</v>
      </c>
      <c r="Z284" s="650">
        <v>0.71</v>
      </c>
      <c r="AA284" s="650">
        <v>0.35</v>
      </c>
      <c r="AB284" s="651">
        <v>0.71389999999999998</v>
      </c>
      <c r="AC284" s="621">
        <v>1388091</v>
      </c>
      <c r="AD284" s="621">
        <v>1270807</v>
      </c>
      <c r="AE284" s="621">
        <v>1270807</v>
      </c>
      <c r="AF284" s="484">
        <v>1559.1</v>
      </c>
      <c r="AG284" s="649">
        <v>1503.6</v>
      </c>
      <c r="AH284" s="891">
        <v>1506.6</v>
      </c>
      <c r="AI284" s="649">
        <v>1439.3</v>
      </c>
      <c r="AJ284" s="652">
        <v>0</v>
      </c>
      <c r="AK284" s="621"/>
      <c r="AL284" s="621"/>
      <c r="AM284" s="621">
        <v>5</v>
      </c>
      <c r="AN284" s="621">
        <v>0</v>
      </c>
      <c r="AO284" s="649">
        <v>1422.8</v>
      </c>
      <c r="AP284" s="649"/>
      <c r="AQ284" s="892">
        <v>0</v>
      </c>
      <c r="AR284" s="652"/>
      <c r="AS284" s="648"/>
      <c r="AT284" s="649">
        <v>0</v>
      </c>
      <c r="AU284" s="653">
        <v>0</v>
      </c>
      <c r="AV284" s="621">
        <v>9741718</v>
      </c>
      <c r="AW284" s="621">
        <v>324172</v>
      </c>
      <c r="AX284" s="621">
        <v>327952</v>
      </c>
      <c r="AY284" s="621">
        <v>2499045</v>
      </c>
      <c r="AZ284" s="621"/>
      <c r="BA284" s="428">
        <v>1</v>
      </c>
      <c r="BB284" s="621">
        <v>0</v>
      </c>
      <c r="BC284" s="621">
        <v>0</v>
      </c>
      <c r="BE284" s="621">
        <v>9795183</v>
      </c>
      <c r="BF284" s="621">
        <v>11292</v>
      </c>
      <c r="BG284" s="621">
        <v>17033</v>
      </c>
      <c r="BH284" s="4604">
        <v>31</v>
      </c>
      <c r="BI284" s="621">
        <v>58837165</v>
      </c>
      <c r="BJ284" s="621">
        <v>59426434</v>
      </c>
      <c r="BK284" s="621">
        <v>0</v>
      </c>
      <c r="BL284" s="4605">
        <v>740</v>
      </c>
      <c r="BM284" s="621">
        <v>721</v>
      </c>
      <c r="BN284" s="621">
        <v>661</v>
      </c>
      <c r="BO284" s="621">
        <v>217</v>
      </c>
      <c r="BP284" s="621">
        <v>181</v>
      </c>
      <c r="BQ284" s="621">
        <v>255</v>
      </c>
    </row>
    <row r="285" spans="1:69">
      <c r="A285" s="888">
        <v>507</v>
      </c>
      <c r="B285" s="889" t="s">
        <v>901</v>
      </c>
      <c r="C285" s="890" t="s">
        <v>197</v>
      </c>
      <c r="D285" s="621">
        <v>56639230</v>
      </c>
      <c r="E285" s="621">
        <v>55335764</v>
      </c>
      <c r="F285" s="621">
        <v>37215481</v>
      </c>
      <c r="G285" s="621">
        <v>35902704</v>
      </c>
      <c r="H285" s="648">
        <v>275</v>
      </c>
      <c r="I285" s="648">
        <v>259</v>
      </c>
      <c r="J285" s="649">
        <v>250</v>
      </c>
      <c r="K285" s="621">
        <v>2807194</v>
      </c>
      <c r="L285" s="484">
        <v>277.5</v>
      </c>
      <c r="M285" s="648">
        <v>280.5</v>
      </c>
      <c r="N285" s="649">
        <v>263.5</v>
      </c>
      <c r="O285" s="648">
        <v>246.5</v>
      </c>
      <c r="P285" s="621">
        <v>170386</v>
      </c>
      <c r="Q285" s="621">
        <v>179826</v>
      </c>
      <c r="R285" s="621">
        <v>0</v>
      </c>
      <c r="S285" s="621">
        <v>226108</v>
      </c>
      <c r="T285" s="621">
        <v>4499</v>
      </c>
      <c r="U285" s="621">
        <v>0</v>
      </c>
      <c r="V285" s="621"/>
      <c r="W285" s="650">
        <v>0</v>
      </c>
      <c r="X285" s="621">
        <v>143</v>
      </c>
      <c r="Y285" s="621">
        <v>30</v>
      </c>
      <c r="Z285" s="650">
        <v>0</v>
      </c>
      <c r="AA285" s="650">
        <v>0</v>
      </c>
      <c r="AB285" s="651">
        <v>0</v>
      </c>
      <c r="AC285" s="621">
        <v>357803</v>
      </c>
      <c r="AD285" s="621">
        <v>328435</v>
      </c>
      <c r="AE285" s="621">
        <v>328435</v>
      </c>
      <c r="AF285" s="484">
        <v>277.5</v>
      </c>
      <c r="AG285" s="649">
        <v>280.5</v>
      </c>
      <c r="AH285" s="891">
        <v>263.5</v>
      </c>
      <c r="AI285" s="649">
        <v>246.5</v>
      </c>
      <c r="AJ285" s="652">
        <v>0</v>
      </c>
      <c r="AK285" s="621"/>
      <c r="AL285" s="621"/>
      <c r="AM285" s="621">
        <v>0</v>
      </c>
      <c r="AN285" s="621">
        <v>0</v>
      </c>
      <c r="AO285" s="649">
        <v>240</v>
      </c>
      <c r="AP285" s="649"/>
      <c r="AQ285" s="892">
        <v>0</v>
      </c>
      <c r="AR285" s="652"/>
      <c r="AS285" s="648"/>
      <c r="AT285" s="649">
        <v>0</v>
      </c>
      <c r="AU285" s="653">
        <v>0</v>
      </c>
      <c r="AV285" s="621">
        <v>2482201</v>
      </c>
      <c r="AW285" s="621">
        <v>0</v>
      </c>
      <c r="AX285" s="621">
        <v>0</v>
      </c>
      <c r="AY285" s="621">
        <v>0</v>
      </c>
      <c r="AZ285" s="621"/>
      <c r="BA285" s="428">
        <v>1</v>
      </c>
      <c r="BB285" s="621">
        <v>0</v>
      </c>
      <c r="BC285" s="621">
        <v>0</v>
      </c>
      <c r="BE285" s="621">
        <v>2577529</v>
      </c>
      <c r="BF285" s="621">
        <v>4377</v>
      </c>
      <c r="BG285" s="621">
        <v>1825</v>
      </c>
      <c r="BH285" s="4604">
        <v>31</v>
      </c>
      <c r="BI285" s="621">
        <v>56639230</v>
      </c>
      <c r="BJ285" s="621">
        <v>37215481</v>
      </c>
      <c r="BK285" s="621">
        <v>0</v>
      </c>
      <c r="BL285" s="4605">
        <v>175</v>
      </c>
      <c r="BM285" s="621">
        <v>140</v>
      </c>
      <c r="BN285" s="621">
        <v>151</v>
      </c>
      <c r="BO285" s="621">
        <v>33</v>
      </c>
      <c r="BP285" s="621">
        <v>57</v>
      </c>
      <c r="BQ285" s="621">
        <v>31</v>
      </c>
    </row>
    <row r="286" spans="1:69">
      <c r="A286" s="888">
        <v>508</v>
      </c>
      <c r="B286" s="889" t="s">
        <v>902</v>
      </c>
      <c r="C286" s="890" t="s">
        <v>213</v>
      </c>
      <c r="D286" s="621">
        <v>27977280</v>
      </c>
      <c r="E286" s="621">
        <v>23677279</v>
      </c>
      <c r="F286" s="621">
        <v>30805867</v>
      </c>
      <c r="G286" s="621">
        <v>26503879</v>
      </c>
      <c r="H286" s="648">
        <v>908</v>
      </c>
      <c r="I286" s="648">
        <v>852.4</v>
      </c>
      <c r="J286" s="649">
        <v>26</v>
      </c>
      <c r="K286" s="621">
        <v>7750351</v>
      </c>
      <c r="L286" s="484">
        <v>930</v>
      </c>
      <c r="M286" s="648">
        <v>947</v>
      </c>
      <c r="N286" s="649">
        <v>895</v>
      </c>
      <c r="O286" s="648">
        <v>860.5</v>
      </c>
      <c r="P286" s="621">
        <v>1002107</v>
      </c>
      <c r="Q286" s="621">
        <v>996246</v>
      </c>
      <c r="R286" s="621">
        <v>1766944</v>
      </c>
      <c r="S286" s="621">
        <v>764175</v>
      </c>
      <c r="T286" s="621">
        <v>0</v>
      </c>
      <c r="U286" s="621">
        <v>0</v>
      </c>
      <c r="V286" s="621"/>
      <c r="W286" s="650">
        <v>0.76</v>
      </c>
      <c r="X286" s="621">
        <v>379</v>
      </c>
      <c r="Y286" s="621">
        <v>93</v>
      </c>
      <c r="Z286" s="650">
        <v>0.76</v>
      </c>
      <c r="AA286" s="650">
        <v>0.4</v>
      </c>
      <c r="AB286" s="651">
        <v>0.76859999999999995</v>
      </c>
      <c r="AC286" s="621">
        <v>930756</v>
      </c>
      <c r="AD286" s="621">
        <v>850041</v>
      </c>
      <c r="AE286" s="621">
        <v>850041</v>
      </c>
      <c r="AF286" s="484">
        <v>930</v>
      </c>
      <c r="AG286" s="649">
        <v>918</v>
      </c>
      <c r="AH286" s="891">
        <v>863.8</v>
      </c>
      <c r="AI286" s="649">
        <v>798.9</v>
      </c>
      <c r="AJ286" s="652">
        <v>0</v>
      </c>
      <c r="AK286" s="621"/>
      <c r="AL286" s="621"/>
      <c r="AM286" s="621">
        <v>0</v>
      </c>
      <c r="AN286" s="621">
        <v>0</v>
      </c>
      <c r="AO286" s="649">
        <v>789.4</v>
      </c>
      <c r="AP286" s="649"/>
      <c r="AQ286" s="892">
        <v>0</v>
      </c>
      <c r="AR286" s="652"/>
      <c r="AS286" s="648"/>
      <c r="AT286" s="649">
        <v>0</v>
      </c>
      <c r="AU286" s="653">
        <v>0</v>
      </c>
      <c r="AV286" s="621">
        <v>6627231</v>
      </c>
      <c r="AW286" s="621">
        <v>174963</v>
      </c>
      <c r="AX286" s="621">
        <v>186261</v>
      </c>
      <c r="AY286" s="621">
        <v>1805549</v>
      </c>
      <c r="AZ286" s="621"/>
      <c r="BA286" s="428">
        <v>1</v>
      </c>
      <c r="BB286" s="621">
        <v>0</v>
      </c>
      <c r="BC286" s="621">
        <v>0</v>
      </c>
      <c r="BE286" s="621">
        <v>6754105</v>
      </c>
      <c r="BF286" s="621">
        <v>0</v>
      </c>
      <c r="BG286" s="621">
        <v>0</v>
      </c>
      <c r="BH286" s="4604">
        <v>33</v>
      </c>
      <c r="BI286" s="621">
        <v>28133938</v>
      </c>
      <c r="BJ286" s="621">
        <v>31862282</v>
      </c>
      <c r="BK286" s="621">
        <v>0</v>
      </c>
      <c r="BL286" s="4605">
        <v>484</v>
      </c>
      <c r="BM286" s="621">
        <v>463</v>
      </c>
      <c r="BN286" s="621">
        <v>422</v>
      </c>
      <c r="BO286" s="621">
        <v>124</v>
      </c>
      <c r="BP286" s="621">
        <v>138</v>
      </c>
      <c r="BQ286" s="621">
        <v>108</v>
      </c>
    </row>
    <row r="287" spans="1:69">
      <c r="A287" s="888">
        <v>509</v>
      </c>
      <c r="B287" s="889" t="s">
        <v>903</v>
      </c>
      <c r="C287" s="890" t="s">
        <v>188</v>
      </c>
      <c r="D287" s="621">
        <v>11761578</v>
      </c>
      <c r="E287" s="621">
        <v>10917002</v>
      </c>
      <c r="F287" s="621">
        <v>11607591</v>
      </c>
      <c r="G287" s="621">
        <v>10774835</v>
      </c>
      <c r="H287" s="648">
        <v>170.5</v>
      </c>
      <c r="I287" s="648">
        <v>187.8</v>
      </c>
      <c r="J287" s="649">
        <v>150</v>
      </c>
      <c r="K287" s="621">
        <v>2064208</v>
      </c>
      <c r="L287" s="484">
        <v>187.4</v>
      </c>
      <c r="M287" s="648">
        <v>172</v>
      </c>
      <c r="N287" s="649">
        <v>189.8</v>
      </c>
      <c r="O287" s="648">
        <v>198.6</v>
      </c>
      <c r="P287" s="621">
        <v>299937</v>
      </c>
      <c r="Q287" s="621">
        <v>284971</v>
      </c>
      <c r="R287" s="621">
        <v>400958</v>
      </c>
      <c r="S287" s="621">
        <v>314886</v>
      </c>
      <c r="T287" s="621">
        <v>7796</v>
      </c>
      <c r="U287" s="621">
        <v>0</v>
      </c>
      <c r="V287" s="621"/>
      <c r="W287" s="650">
        <v>0.6</v>
      </c>
      <c r="X287" s="621">
        <v>57</v>
      </c>
      <c r="Y287" s="621">
        <v>24</v>
      </c>
      <c r="Z287" s="650">
        <v>0.59</v>
      </c>
      <c r="AA287" s="650">
        <v>0.23</v>
      </c>
      <c r="AB287" s="651">
        <v>0.58209999999999995</v>
      </c>
      <c r="AC287" s="621">
        <v>230926</v>
      </c>
      <c r="AD287" s="621">
        <v>221675</v>
      </c>
      <c r="AE287" s="621">
        <v>221675</v>
      </c>
      <c r="AF287" s="484">
        <v>187.4</v>
      </c>
      <c r="AG287" s="649">
        <v>172</v>
      </c>
      <c r="AH287" s="891">
        <v>189.8</v>
      </c>
      <c r="AI287" s="649">
        <v>198.6</v>
      </c>
      <c r="AJ287" s="652">
        <v>0</v>
      </c>
      <c r="AK287" s="621"/>
      <c r="AL287" s="621"/>
      <c r="AM287" s="621">
        <v>0</v>
      </c>
      <c r="AN287" s="621">
        <v>0</v>
      </c>
      <c r="AO287" s="649">
        <v>197.6</v>
      </c>
      <c r="AP287" s="649"/>
      <c r="AQ287" s="892">
        <v>0</v>
      </c>
      <c r="AR287" s="652"/>
      <c r="AS287" s="648"/>
      <c r="AT287" s="649">
        <v>0</v>
      </c>
      <c r="AU287" s="653">
        <v>0</v>
      </c>
      <c r="AV287" s="621">
        <v>1729516</v>
      </c>
      <c r="AW287" s="621">
        <v>45333</v>
      </c>
      <c r="AX287" s="621">
        <v>39885</v>
      </c>
      <c r="AY287" s="621">
        <v>410652</v>
      </c>
      <c r="AZ287" s="621"/>
      <c r="BA287" s="428">
        <v>1</v>
      </c>
      <c r="BB287" s="621">
        <v>0</v>
      </c>
      <c r="BC287" s="621">
        <v>0</v>
      </c>
      <c r="BE287" s="621">
        <v>1778497</v>
      </c>
      <c r="BF287" s="621">
        <v>3237</v>
      </c>
      <c r="BG287" s="621">
        <v>4716</v>
      </c>
      <c r="BH287" s="4604">
        <v>33</v>
      </c>
      <c r="BI287" s="621">
        <v>11580397</v>
      </c>
      <c r="BJ287" s="621">
        <v>10615602</v>
      </c>
      <c r="BK287" s="621">
        <v>0</v>
      </c>
      <c r="BL287" s="4605">
        <v>54</v>
      </c>
      <c r="BM287" s="621">
        <v>57</v>
      </c>
      <c r="BN287" s="621">
        <v>61</v>
      </c>
      <c r="BO287" s="621">
        <v>30</v>
      </c>
      <c r="BP287" s="621">
        <v>24</v>
      </c>
      <c r="BQ287" s="621">
        <v>24</v>
      </c>
    </row>
    <row r="288" spans="1:69">
      <c r="A288" s="888">
        <v>511</v>
      </c>
      <c r="B288" s="889" t="s">
        <v>904</v>
      </c>
      <c r="C288" s="890" t="s">
        <v>190</v>
      </c>
      <c r="D288" s="621">
        <v>11973464</v>
      </c>
      <c r="E288" s="621">
        <v>11136753</v>
      </c>
      <c r="F288" s="621">
        <v>10626202</v>
      </c>
      <c r="G288" s="621">
        <v>9802755</v>
      </c>
      <c r="H288" s="648">
        <v>158.5</v>
      </c>
      <c r="I288" s="648">
        <v>153</v>
      </c>
      <c r="J288" s="649">
        <v>126</v>
      </c>
      <c r="K288" s="621">
        <v>1762720</v>
      </c>
      <c r="L288" s="484">
        <v>162</v>
      </c>
      <c r="M288" s="648">
        <v>160.5</v>
      </c>
      <c r="N288" s="649">
        <v>154.5</v>
      </c>
      <c r="O288" s="648">
        <v>161.5</v>
      </c>
      <c r="P288" s="621">
        <v>196521</v>
      </c>
      <c r="Q288" s="621">
        <v>182976</v>
      </c>
      <c r="R288" s="621">
        <v>248375</v>
      </c>
      <c r="S288" s="621">
        <v>149260</v>
      </c>
      <c r="T288" s="621">
        <v>0</v>
      </c>
      <c r="U288" s="621">
        <v>0</v>
      </c>
      <c r="V288" s="621"/>
      <c r="W288" s="650">
        <v>0.48</v>
      </c>
      <c r="X288" s="621">
        <v>70</v>
      </c>
      <c r="Y288" s="621">
        <v>17</v>
      </c>
      <c r="Z288" s="650">
        <v>0.47</v>
      </c>
      <c r="AA288" s="650">
        <v>0.11</v>
      </c>
      <c r="AB288" s="651">
        <v>0.48859999999999998</v>
      </c>
      <c r="AC288" s="621">
        <v>208467</v>
      </c>
      <c r="AD288" s="621">
        <v>211315</v>
      </c>
      <c r="AE288" s="621">
        <v>211315</v>
      </c>
      <c r="AF288" s="484">
        <v>162</v>
      </c>
      <c r="AG288" s="649">
        <v>160.5</v>
      </c>
      <c r="AH288" s="891">
        <v>154.5</v>
      </c>
      <c r="AI288" s="649">
        <v>161.5</v>
      </c>
      <c r="AJ288" s="652">
        <v>0</v>
      </c>
      <c r="AK288" s="621"/>
      <c r="AL288" s="621"/>
      <c r="AM288" s="621">
        <v>0</v>
      </c>
      <c r="AN288" s="621">
        <v>0</v>
      </c>
      <c r="AO288" s="649">
        <v>159.5</v>
      </c>
      <c r="AP288" s="649"/>
      <c r="AQ288" s="892">
        <v>0</v>
      </c>
      <c r="AR288" s="652"/>
      <c r="AS288" s="648"/>
      <c r="AT288" s="649">
        <v>0</v>
      </c>
      <c r="AU288" s="653">
        <v>0</v>
      </c>
      <c r="AV288" s="621">
        <v>1482647</v>
      </c>
      <c r="AW288" s="621">
        <v>34561</v>
      </c>
      <c r="AX288" s="621">
        <v>26280</v>
      </c>
      <c r="AY288" s="621">
        <v>246552</v>
      </c>
      <c r="AZ288" s="621"/>
      <c r="BA288" s="428">
        <v>1</v>
      </c>
      <c r="BB288" s="621">
        <v>0</v>
      </c>
      <c r="BC288" s="621">
        <v>0</v>
      </c>
      <c r="BE288" s="621">
        <v>1574993</v>
      </c>
      <c r="BF288" s="621">
        <v>2520</v>
      </c>
      <c r="BG288" s="621">
        <v>4173</v>
      </c>
      <c r="BH288" s="4604">
        <v>33</v>
      </c>
      <c r="BI288" s="621">
        <v>11782117</v>
      </c>
      <c r="BJ288" s="621">
        <v>10483276</v>
      </c>
      <c r="BK288" s="621">
        <v>0</v>
      </c>
      <c r="BL288" s="4605">
        <v>49</v>
      </c>
      <c r="BM288" s="621">
        <v>59</v>
      </c>
      <c r="BN288" s="621">
        <v>59</v>
      </c>
      <c r="BO288" s="621">
        <v>33</v>
      </c>
      <c r="BP288" s="621">
        <v>38</v>
      </c>
      <c r="BQ288" s="621">
        <v>30</v>
      </c>
    </row>
    <row r="289" spans="1:69">
      <c r="A289" s="888">
        <v>512</v>
      </c>
      <c r="B289" s="889" t="s">
        <v>905</v>
      </c>
      <c r="C289" s="890" t="s">
        <v>148</v>
      </c>
      <c r="D289" s="621">
        <v>4069666573</v>
      </c>
      <c r="E289" s="621">
        <v>3898648775</v>
      </c>
      <c r="F289" s="621">
        <v>4314743681</v>
      </c>
      <c r="G289" s="621">
        <v>4143583743</v>
      </c>
      <c r="H289" s="648">
        <v>26894.9</v>
      </c>
      <c r="I289" s="648">
        <v>26819.7</v>
      </c>
      <c r="J289" s="649">
        <v>72</v>
      </c>
      <c r="K289" s="621">
        <v>182266196</v>
      </c>
      <c r="L289" s="484">
        <v>27024.5</v>
      </c>
      <c r="M289" s="648">
        <v>26996.9</v>
      </c>
      <c r="N289" s="649">
        <v>26966.7</v>
      </c>
      <c r="O289" s="648">
        <v>25688.2</v>
      </c>
      <c r="P289" s="621">
        <v>21881775</v>
      </c>
      <c r="Q289" s="621">
        <v>22639654</v>
      </c>
      <c r="R289" s="621">
        <v>0</v>
      </c>
      <c r="S289" s="621">
        <v>26103306</v>
      </c>
      <c r="T289" s="621">
        <v>0</v>
      </c>
      <c r="U289" s="621">
        <v>0</v>
      </c>
      <c r="V289" s="621"/>
      <c r="W289" s="650">
        <v>0</v>
      </c>
      <c r="X289" s="621">
        <v>6570</v>
      </c>
      <c r="Y289" s="621">
        <v>1800</v>
      </c>
      <c r="Z289" s="650">
        <v>0</v>
      </c>
      <c r="AA289" s="650">
        <v>0</v>
      </c>
      <c r="AB289" s="651">
        <v>0</v>
      </c>
      <c r="AC289" s="621">
        <v>27598129</v>
      </c>
      <c r="AD289" s="621">
        <v>25536619</v>
      </c>
      <c r="AE289" s="621">
        <v>25536619</v>
      </c>
      <c r="AF289" s="484">
        <v>27024.5</v>
      </c>
      <c r="AG289" s="649">
        <v>26996.9</v>
      </c>
      <c r="AH289" s="891">
        <v>26959.200000000001</v>
      </c>
      <c r="AI289" s="649">
        <v>25673.8</v>
      </c>
      <c r="AJ289" s="652">
        <v>0.05</v>
      </c>
      <c r="AK289" s="621"/>
      <c r="AL289" s="621"/>
      <c r="AM289" s="621">
        <v>25</v>
      </c>
      <c r="AN289" s="621">
        <v>0</v>
      </c>
      <c r="AO289" s="649">
        <v>25572.3</v>
      </c>
      <c r="AP289" s="649"/>
      <c r="AQ289" s="892">
        <v>0</v>
      </c>
      <c r="AR289" s="652"/>
      <c r="AS289" s="648"/>
      <c r="AT289" s="649">
        <v>0</v>
      </c>
      <c r="AU289" s="653">
        <v>0</v>
      </c>
      <c r="AV289" s="621">
        <v>157270700</v>
      </c>
      <c r="AW289" s="621">
        <v>0</v>
      </c>
      <c r="AX289" s="621">
        <v>0</v>
      </c>
      <c r="AY289" s="621">
        <v>0</v>
      </c>
      <c r="AZ289" s="621"/>
      <c r="BA289" s="428">
        <v>1</v>
      </c>
      <c r="BB289" s="621">
        <v>385956</v>
      </c>
      <c r="BC289" s="621">
        <v>383686</v>
      </c>
      <c r="BE289" s="621">
        <v>159552979</v>
      </c>
      <c r="BF289" s="621">
        <v>23793</v>
      </c>
      <c r="BG289" s="621">
        <v>44461</v>
      </c>
      <c r="BH289" s="4604">
        <v>33</v>
      </c>
      <c r="BI289" s="621">
        <v>3861294355</v>
      </c>
      <c r="BJ289" s="621">
        <v>4055101566</v>
      </c>
      <c r="BK289" s="621">
        <v>385956</v>
      </c>
      <c r="BL289" s="4605">
        <v>7270</v>
      </c>
      <c r="BM289" s="621">
        <v>7266</v>
      </c>
      <c r="BN289" s="621">
        <v>7142</v>
      </c>
      <c r="BO289" s="621">
        <v>2055</v>
      </c>
      <c r="BP289" s="621">
        <v>2159</v>
      </c>
      <c r="BQ289" s="621">
        <v>2276</v>
      </c>
    </row>
    <row r="290" spans="1:69">
      <c r="A290" s="389"/>
      <c r="B290" s="389"/>
      <c r="C290" s="389"/>
      <c r="D290" s="893"/>
      <c r="E290" s="893"/>
      <c r="F290" s="893"/>
      <c r="G290" s="893"/>
      <c r="H290" s="894"/>
      <c r="I290" s="894"/>
      <c r="J290" s="894"/>
      <c r="K290" s="893"/>
      <c r="L290" s="893"/>
      <c r="M290" s="893"/>
      <c r="N290" s="893"/>
      <c r="O290" s="893"/>
      <c r="P290" s="893"/>
      <c r="Q290" s="893"/>
      <c r="R290" s="894"/>
      <c r="S290" s="894"/>
      <c r="T290" s="894"/>
      <c r="U290" s="894"/>
      <c r="V290" s="894"/>
      <c r="W290" s="894"/>
      <c r="X290" s="895"/>
      <c r="Y290" s="895"/>
      <c r="Z290" s="896"/>
      <c r="AA290" s="896"/>
      <c r="AB290" s="894"/>
      <c r="AC290" s="894"/>
      <c r="AD290" s="894"/>
      <c r="AE290" s="894"/>
      <c r="AJ290" s="652"/>
    </row>
    <row r="291" spans="1:69">
      <c r="A291" s="389"/>
      <c r="B291" s="389"/>
      <c r="C291" s="389"/>
      <c r="D291" s="894"/>
      <c r="E291" s="894"/>
      <c r="F291" s="894"/>
      <c r="G291" s="894"/>
      <c r="H291" s="894"/>
      <c r="I291" s="894"/>
      <c r="J291" s="894"/>
      <c r="K291" s="894"/>
      <c r="L291" s="894"/>
      <c r="M291" s="894"/>
      <c r="N291" s="894"/>
      <c r="O291" s="894"/>
      <c r="P291" s="894"/>
      <c r="Q291" s="893"/>
      <c r="R291" s="894"/>
      <c r="S291" s="894"/>
      <c r="T291" s="894"/>
      <c r="U291" s="894"/>
      <c r="V291" s="894"/>
      <c r="W291" s="894"/>
      <c r="X291" s="895"/>
      <c r="Y291" s="895"/>
      <c r="Z291" s="894"/>
      <c r="AA291" s="894"/>
      <c r="AB291" s="894"/>
      <c r="AC291" s="894"/>
      <c r="AD291" s="894"/>
      <c r="AE291" s="894"/>
      <c r="AF291" s="649">
        <f>SUM(AF4:AF290)</f>
        <v>469858.8</v>
      </c>
    </row>
  </sheetData>
  <sheetProtection algorithmName="SHA-512" hashValue="8DHZ/X136hdHqh7R5mcX3YFzFyM4nIgQ4h5yE5xzpmIMLXesJP90oFSLw5o4HyvdzprfI+aS7h206VVn2AMJRA==" saltValue="GpmhoE6Vf8ar4ChNRP0KjQ==" spinCount="100000" sheet="1" objects="1" scenarios="1"/>
  <autoFilter ref="A3:BQ289"/>
  <printOptions horizontalCentered="1"/>
  <pageMargins left="0.75" right="0.75" top="0.5" bottom="0.5" header="0.3" footer="0.3"/>
  <pageSetup orientation="portrait" r:id="rId1"/>
  <headerFooter alignWithMargins="0">
    <oddHeader>&amp;CBUDGET CONTENTS - FUNDS</oddHeader>
    <oddFooter>&amp;L&amp;F(&amp;A)</oddFooter>
  </headerFooter>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pageSetUpPr fitToPage="1"/>
  </sheetPr>
  <dimension ref="A1:AP342"/>
  <sheetViews>
    <sheetView workbookViewId="0"/>
  </sheetViews>
  <sheetFormatPr defaultColWidth="9.109375" defaultRowHeight="13.2"/>
  <cols>
    <col min="1" max="1" width="9.33203125" style="881" bestFit="1" customWidth="1"/>
    <col min="2" max="2" width="11" style="881" bestFit="1" customWidth="1"/>
    <col min="3" max="3" width="15.44140625" style="881" bestFit="1" customWidth="1"/>
    <col min="4" max="5" width="14.44140625" style="881" bestFit="1" customWidth="1"/>
    <col min="6" max="6" width="15.44140625" style="881" bestFit="1" customWidth="1"/>
    <col min="7" max="7" width="13.6640625" style="881" bestFit="1" customWidth="1"/>
    <col min="8" max="9" width="13.33203125" style="881" bestFit="1" customWidth="1"/>
    <col min="10" max="10" width="19.33203125" style="881" bestFit="1" customWidth="1"/>
    <col min="11" max="11" width="14.88671875" style="881" bestFit="1" customWidth="1"/>
    <col min="12" max="12" width="16.33203125" style="881" bestFit="1" customWidth="1"/>
    <col min="13" max="13" width="18.44140625" style="881" bestFit="1" customWidth="1"/>
    <col min="14" max="14" width="16.33203125" style="881" bestFit="1" customWidth="1"/>
    <col min="15" max="15" width="21" style="881" bestFit="1" customWidth="1"/>
    <col min="16" max="16" width="16.109375" style="881" bestFit="1" customWidth="1"/>
    <col min="17" max="17" width="23.44140625" style="881" bestFit="1" customWidth="1"/>
    <col min="18" max="18" width="18.44140625" style="881" bestFit="1" customWidth="1"/>
    <col min="19" max="19" width="14.44140625" style="881" bestFit="1" customWidth="1"/>
    <col min="20" max="21" width="11" style="881" bestFit="1" customWidth="1"/>
    <col min="22" max="22" width="15.44140625" style="881" bestFit="1" customWidth="1"/>
    <col min="23" max="24" width="14.44140625" style="881" bestFit="1" customWidth="1"/>
    <col min="25" max="25" width="15.44140625" style="881" bestFit="1" customWidth="1"/>
    <col min="26" max="26" width="13.6640625" style="881" bestFit="1" customWidth="1"/>
    <col min="27" max="28" width="13.33203125" style="881" bestFit="1" customWidth="1"/>
    <col min="29" max="29" width="19.33203125" style="881" bestFit="1" customWidth="1"/>
    <col min="30" max="30" width="14.88671875" style="881" bestFit="1" customWidth="1"/>
    <col min="31" max="31" width="16.33203125" style="881" bestFit="1" customWidth="1"/>
    <col min="32" max="32" width="18.44140625" style="881" bestFit="1" customWidth="1"/>
    <col min="33" max="33" width="16.33203125" style="881" bestFit="1" customWidth="1"/>
    <col min="34" max="34" width="21" style="881" bestFit="1" customWidth="1"/>
    <col min="35" max="35" width="16.109375" style="881" bestFit="1" customWidth="1"/>
    <col min="36" max="36" width="23.44140625" style="881" bestFit="1" customWidth="1"/>
    <col min="37" max="37" width="18.44140625" style="881" bestFit="1" customWidth="1"/>
    <col min="38" max="38" width="14.44140625" style="881" bestFit="1" customWidth="1"/>
    <col min="39" max="39" width="11" style="881" bestFit="1" customWidth="1"/>
    <col min="40" max="40" width="8.88671875" style="881"/>
    <col min="41" max="41" width="11.109375" style="881" customWidth="1"/>
    <col min="42" max="42" width="9.109375" style="881"/>
    <col min="43" max="16384" width="9.109375" style="282"/>
  </cols>
  <sheetData>
    <row r="1" spans="1:42" ht="13.8">
      <c r="A1" s="4640" t="s">
        <v>1842</v>
      </c>
      <c r="B1" s="898">
        <v>2</v>
      </c>
      <c r="C1" s="898">
        <v>3</v>
      </c>
      <c r="D1" s="898">
        <v>4</v>
      </c>
      <c r="E1" s="898">
        <v>5</v>
      </c>
      <c r="F1" s="898">
        <v>6</v>
      </c>
      <c r="G1" s="898">
        <v>7</v>
      </c>
      <c r="H1" s="898">
        <v>8</v>
      </c>
      <c r="I1" s="898">
        <v>9</v>
      </c>
      <c r="J1" s="898">
        <v>10</v>
      </c>
      <c r="K1" s="898">
        <v>11</v>
      </c>
      <c r="L1" s="898">
        <v>12</v>
      </c>
      <c r="M1" s="898">
        <v>13</v>
      </c>
      <c r="N1" s="898">
        <v>14</v>
      </c>
      <c r="O1" s="898">
        <v>15</v>
      </c>
      <c r="P1" s="898">
        <v>16</v>
      </c>
      <c r="Q1" s="898">
        <v>17</v>
      </c>
      <c r="R1" s="898">
        <v>18</v>
      </c>
      <c r="S1" s="898">
        <v>19</v>
      </c>
      <c r="T1" s="898">
        <v>20</v>
      </c>
      <c r="U1" s="898">
        <v>21</v>
      </c>
      <c r="V1" s="898">
        <v>22</v>
      </c>
      <c r="W1" s="898">
        <v>23</v>
      </c>
      <c r="X1" s="898">
        <v>24</v>
      </c>
      <c r="Y1" s="898">
        <v>25</v>
      </c>
      <c r="Z1" s="898">
        <v>26</v>
      </c>
      <c r="AA1" s="898">
        <v>27</v>
      </c>
      <c r="AB1" s="898">
        <v>28</v>
      </c>
      <c r="AC1" s="898">
        <v>29</v>
      </c>
      <c r="AD1" s="898">
        <v>30</v>
      </c>
      <c r="AE1" s="898">
        <v>31</v>
      </c>
      <c r="AF1" s="898">
        <v>32</v>
      </c>
      <c r="AG1" s="898">
        <v>33</v>
      </c>
      <c r="AH1" s="898">
        <v>34</v>
      </c>
      <c r="AI1" s="898">
        <v>35</v>
      </c>
      <c r="AJ1" s="898">
        <v>36</v>
      </c>
      <c r="AK1" s="898">
        <v>37</v>
      </c>
      <c r="AL1" s="898">
        <v>38</v>
      </c>
      <c r="AM1" s="4608">
        <v>39</v>
      </c>
      <c r="AO1" s="641" t="s">
        <v>4555</v>
      </c>
    </row>
    <row r="2" spans="1:42" ht="13.8">
      <c r="A2" s="456" t="s">
        <v>1125</v>
      </c>
      <c r="B2" s="456" t="s">
        <v>1346</v>
      </c>
      <c r="C2" s="456" t="s">
        <v>1347</v>
      </c>
      <c r="D2" s="456" t="s">
        <v>1348</v>
      </c>
      <c r="E2" s="456" t="s">
        <v>1349</v>
      </c>
      <c r="F2" s="456" t="s">
        <v>1350</v>
      </c>
      <c r="G2" s="456" t="s">
        <v>1351</v>
      </c>
      <c r="H2" s="456" t="s">
        <v>1352</v>
      </c>
      <c r="I2" s="456" t="s">
        <v>1353</v>
      </c>
      <c r="J2" s="456" t="s">
        <v>1354</v>
      </c>
      <c r="K2" s="456" t="s">
        <v>1355</v>
      </c>
      <c r="L2" s="456" t="s">
        <v>1356</v>
      </c>
      <c r="M2" s="456" t="s">
        <v>1357</v>
      </c>
      <c r="N2" s="456" t="s">
        <v>1358</v>
      </c>
      <c r="O2" s="456" t="s">
        <v>1359</v>
      </c>
      <c r="P2" s="456" t="s">
        <v>1389</v>
      </c>
      <c r="Q2" s="456" t="s">
        <v>1360</v>
      </c>
      <c r="R2" s="456" t="s">
        <v>1361</v>
      </c>
      <c r="S2" s="456" t="s">
        <v>1362</v>
      </c>
      <c r="T2" s="456" t="s">
        <v>1821</v>
      </c>
      <c r="U2" s="456" t="s">
        <v>1822</v>
      </c>
      <c r="V2" s="456" t="s">
        <v>1823</v>
      </c>
      <c r="W2" s="456" t="s">
        <v>1824</v>
      </c>
      <c r="X2" s="456" t="s">
        <v>1825</v>
      </c>
      <c r="Y2" s="456" t="s">
        <v>1826</v>
      </c>
      <c r="Z2" s="456" t="s">
        <v>1827</v>
      </c>
      <c r="AA2" s="456" t="s">
        <v>1828</v>
      </c>
      <c r="AB2" s="456" t="s">
        <v>1829</v>
      </c>
      <c r="AC2" s="456" t="s">
        <v>1830</v>
      </c>
      <c r="AD2" s="456" t="s">
        <v>1831</v>
      </c>
      <c r="AE2" s="456" t="s">
        <v>1832</v>
      </c>
      <c r="AF2" s="456" t="s">
        <v>1833</v>
      </c>
      <c r="AG2" s="456" t="s">
        <v>1834</v>
      </c>
      <c r="AH2" s="456" t="s">
        <v>1835</v>
      </c>
      <c r="AI2" s="456" t="s">
        <v>1836</v>
      </c>
      <c r="AJ2" s="456" t="s">
        <v>1837</v>
      </c>
      <c r="AK2" s="456" t="s">
        <v>1838</v>
      </c>
      <c r="AL2" s="456" t="s">
        <v>1839</v>
      </c>
      <c r="AM2" s="456" t="s">
        <v>1840</v>
      </c>
      <c r="AN2" s="872"/>
      <c r="AO2" s="872" t="s">
        <v>1700</v>
      </c>
      <c r="AP2" s="872"/>
    </row>
    <row r="3" spans="1:42" ht="14.4" thickBot="1">
      <c r="A3" s="4609" t="s">
        <v>835</v>
      </c>
      <c r="B3" s="4609" t="s">
        <v>4590</v>
      </c>
      <c r="C3" s="4609" t="s">
        <v>4591</v>
      </c>
      <c r="D3" s="4609" t="s">
        <v>4592</v>
      </c>
      <c r="E3" s="4609" t="s">
        <v>4593</v>
      </c>
      <c r="F3" s="4609" t="s">
        <v>4594</v>
      </c>
      <c r="G3" s="4609" t="s">
        <v>4595</v>
      </c>
      <c r="H3" s="4609" t="s">
        <v>4596</v>
      </c>
      <c r="I3" s="4609" t="s">
        <v>4597</v>
      </c>
      <c r="J3" s="4609" t="s">
        <v>4598</v>
      </c>
      <c r="K3" s="4609" t="s">
        <v>4599</v>
      </c>
      <c r="L3" s="4609" t="s">
        <v>4600</v>
      </c>
      <c r="M3" s="4609" t="s">
        <v>4601</v>
      </c>
      <c r="N3" s="4609" t="s">
        <v>4602</v>
      </c>
      <c r="O3" s="4609" t="s">
        <v>4603</v>
      </c>
      <c r="P3" s="4610" t="s">
        <v>4604</v>
      </c>
      <c r="Q3" s="4610" t="s">
        <v>4605</v>
      </c>
      <c r="R3" s="4609" t="s">
        <v>4606</v>
      </c>
      <c r="S3" s="4609" t="s">
        <v>4607</v>
      </c>
      <c r="T3" s="4609" t="s">
        <v>4608</v>
      </c>
      <c r="U3" s="4609" t="s">
        <v>5237</v>
      </c>
      <c r="V3" s="4609" t="s">
        <v>5238</v>
      </c>
      <c r="W3" s="4609" t="s">
        <v>5239</v>
      </c>
      <c r="X3" s="4609" t="s">
        <v>5240</v>
      </c>
      <c r="Y3" s="4609" t="s">
        <v>5241</v>
      </c>
      <c r="Z3" s="4609" t="s">
        <v>5242</v>
      </c>
      <c r="AA3" s="4609" t="s">
        <v>5243</v>
      </c>
      <c r="AB3" s="4609" t="s">
        <v>5244</v>
      </c>
      <c r="AC3" s="4609" t="s">
        <v>5245</v>
      </c>
      <c r="AD3" s="4609" t="s">
        <v>5246</v>
      </c>
      <c r="AE3" s="4609" t="s">
        <v>5247</v>
      </c>
      <c r="AF3" s="4609" t="s">
        <v>5248</v>
      </c>
      <c r="AG3" s="4609" t="s">
        <v>5249</v>
      </c>
      <c r="AH3" s="4609" t="s">
        <v>5250</v>
      </c>
      <c r="AI3" s="4610" t="s">
        <v>5251</v>
      </c>
      <c r="AJ3" s="4610" t="s">
        <v>5252</v>
      </c>
      <c r="AK3" s="4609" t="s">
        <v>5253</v>
      </c>
      <c r="AL3" s="4609" t="s">
        <v>5254</v>
      </c>
      <c r="AM3" s="4609" t="s">
        <v>5255</v>
      </c>
      <c r="AN3" s="872" t="s">
        <v>916</v>
      </c>
      <c r="AO3" s="872" t="s">
        <v>1701</v>
      </c>
      <c r="AP3" s="872" t="s">
        <v>1702</v>
      </c>
    </row>
    <row r="4" spans="1:42" ht="13.8">
      <c r="A4" s="873">
        <v>101</v>
      </c>
      <c r="B4" s="874">
        <v>20</v>
      </c>
      <c r="C4" s="875">
        <v>19.315999999999999</v>
      </c>
      <c r="D4" s="875">
        <v>0</v>
      </c>
      <c r="E4" s="875">
        <v>4</v>
      </c>
      <c r="F4" s="875">
        <v>0</v>
      </c>
      <c r="G4" s="875">
        <v>0</v>
      </c>
      <c r="H4" s="875">
        <v>21.023</v>
      </c>
      <c r="I4" s="875">
        <v>0</v>
      </c>
      <c r="J4" s="875">
        <v>0</v>
      </c>
      <c r="K4" s="875">
        <v>0</v>
      </c>
      <c r="L4" s="875">
        <v>0</v>
      </c>
      <c r="M4" s="875">
        <v>0</v>
      </c>
      <c r="N4" s="875">
        <v>0</v>
      </c>
      <c r="O4" s="875">
        <v>0</v>
      </c>
      <c r="P4" s="875">
        <v>0</v>
      </c>
      <c r="Q4" s="875">
        <v>0</v>
      </c>
      <c r="R4" s="875">
        <v>0</v>
      </c>
      <c r="S4" s="875"/>
      <c r="T4" s="875">
        <v>0</v>
      </c>
      <c r="U4" s="4611">
        <v>20</v>
      </c>
      <c r="V4" s="4608">
        <v>19.712</v>
      </c>
      <c r="W4" s="4608">
        <v>0</v>
      </c>
      <c r="X4" s="4611">
        <v>8</v>
      </c>
      <c r="Y4" s="4611">
        <v>0</v>
      </c>
      <c r="Z4" s="4611">
        <v>0</v>
      </c>
      <c r="AA4" s="4611">
        <v>22.405000000000001</v>
      </c>
      <c r="AB4" s="4611">
        <v>0</v>
      </c>
      <c r="AC4" s="4611">
        <v>0</v>
      </c>
      <c r="AD4" s="4611">
        <v>0</v>
      </c>
      <c r="AE4" s="4611">
        <v>0</v>
      </c>
      <c r="AF4" s="4611">
        <v>0</v>
      </c>
      <c r="AG4" s="4611">
        <v>0</v>
      </c>
      <c r="AH4" s="4611">
        <v>0</v>
      </c>
      <c r="AI4" s="4611">
        <v>0</v>
      </c>
      <c r="AJ4" s="4611">
        <v>0</v>
      </c>
      <c r="AK4" s="4611">
        <v>0</v>
      </c>
      <c r="AL4" s="4612"/>
      <c r="AM4" s="4611">
        <v>0</v>
      </c>
      <c r="AN4" s="876">
        <f>SUM(U4:AM4)</f>
        <v>70.117000000000004</v>
      </c>
      <c r="AO4" s="877">
        <v>64.338999999999999</v>
      </c>
      <c r="AP4" s="878">
        <f>AN4-AO4</f>
        <v>5.7779999999999996</v>
      </c>
    </row>
    <row r="5" spans="1:42" ht="13.8">
      <c r="A5" s="873">
        <v>102</v>
      </c>
      <c r="B5" s="874">
        <v>20</v>
      </c>
      <c r="C5" s="875">
        <v>15.445</v>
      </c>
      <c r="D5" s="875">
        <v>0</v>
      </c>
      <c r="E5" s="875">
        <v>4.4660000000000002</v>
      </c>
      <c r="F5" s="875">
        <v>0</v>
      </c>
      <c r="G5" s="875">
        <v>0</v>
      </c>
      <c r="H5" s="875">
        <v>5.54</v>
      </c>
      <c r="I5" s="875">
        <v>0</v>
      </c>
      <c r="J5" s="875">
        <v>0</v>
      </c>
      <c r="K5" s="875">
        <v>0</v>
      </c>
      <c r="L5" s="875">
        <v>0</v>
      </c>
      <c r="M5" s="875">
        <v>0</v>
      </c>
      <c r="N5" s="875">
        <v>0</v>
      </c>
      <c r="O5" s="875">
        <v>0</v>
      </c>
      <c r="P5" s="875">
        <v>0</v>
      </c>
      <c r="Q5" s="875">
        <v>0</v>
      </c>
      <c r="R5" s="875">
        <v>0</v>
      </c>
      <c r="S5" s="875"/>
      <c r="T5" s="875">
        <v>0</v>
      </c>
      <c r="U5" s="4611">
        <v>20</v>
      </c>
      <c r="V5" s="4608">
        <v>16.350000000000001</v>
      </c>
      <c r="W5" s="4608">
        <v>0</v>
      </c>
      <c r="X5" s="4611">
        <v>4.5</v>
      </c>
      <c r="Y5" s="4611">
        <v>0</v>
      </c>
      <c r="Z5" s="4611">
        <v>0</v>
      </c>
      <c r="AA5" s="4611">
        <v>3.3130000000000002</v>
      </c>
      <c r="AB5" s="4611">
        <v>0</v>
      </c>
      <c r="AC5" s="4611">
        <v>0</v>
      </c>
      <c r="AD5" s="4611">
        <v>0</v>
      </c>
      <c r="AE5" s="4611">
        <v>0</v>
      </c>
      <c r="AF5" s="4611">
        <v>0</v>
      </c>
      <c r="AG5" s="4611">
        <v>0</v>
      </c>
      <c r="AH5" s="4611">
        <v>0</v>
      </c>
      <c r="AI5" s="4611">
        <v>0</v>
      </c>
      <c r="AJ5" s="4611">
        <v>0</v>
      </c>
      <c r="AK5" s="4611">
        <v>0</v>
      </c>
      <c r="AL5" s="4612"/>
      <c r="AM5" s="4611">
        <v>0</v>
      </c>
      <c r="AN5" s="876">
        <f t="shared" ref="AN5:AN68" si="0">SUM(U5:AM5)</f>
        <v>44.162999999999997</v>
      </c>
      <c r="AO5" s="877">
        <v>45.451000000000001</v>
      </c>
      <c r="AP5" s="878">
        <f t="shared" ref="AP5:AP68" si="1">AN5-AO5</f>
        <v>-1.288</v>
      </c>
    </row>
    <row r="6" spans="1:42" ht="13.8">
      <c r="A6" s="873">
        <v>103</v>
      </c>
      <c r="B6" s="874">
        <v>20</v>
      </c>
      <c r="C6" s="875">
        <v>8.7080000000000002</v>
      </c>
      <c r="D6" s="875">
        <v>0</v>
      </c>
      <c r="E6" s="875">
        <v>8</v>
      </c>
      <c r="F6" s="875">
        <v>0</v>
      </c>
      <c r="G6" s="875">
        <v>0</v>
      </c>
      <c r="H6" s="875">
        <v>0</v>
      </c>
      <c r="I6" s="875">
        <v>0</v>
      </c>
      <c r="J6" s="875">
        <v>0</v>
      </c>
      <c r="K6" s="875">
        <v>0</v>
      </c>
      <c r="L6" s="875">
        <v>0</v>
      </c>
      <c r="M6" s="875">
        <v>0</v>
      </c>
      <c r="N6" s="875">
        <v>0</v>
      </c>
      <c r="O6" s="875">
        <v>0</v>
      </c>
      <c r="P6" s="875">
        <v>1.5</v>
      </c>
      <c r="Q6" s="875">
        <v>0</v>
      </c>
      <c r="R6" s="875">
        <v>0</v>
      </c>
      <c r="S6" s="875"/>
      <c r="T6" s="875">
        <v>0</v>
      </c>
      <c r="U6" s="4611">
        <v>20</v>
      </c>
      <c r="V6" s="4608">
        <v>9.6210000000000004</v>
      </c>
      <c r="W6" s="4608">
        <v>0</v>
      </c>
      <c r="X6" s="4611">
        <v>8</v>
      </c>
      <c r="Y6" s="4611">
        <v>0</v>
      </c>
      <c r="Z6" s="4611">
        <v>0</v>
      </c>
      <c r="AA6" s="4611">
        <v>0</v>
      </c>
      <c r="AB6" s="4611">
        <v>0</v>
      </c>
      <c r="AC6" s="4611">
        <v>0</v>
      </c>
      <c r="AD6" s="4611">
        <v>0</v>
      </c>
      <c r="AE6" s="4611">
        <v>0</v>
      </c>
      <c r="AF6" s="4611">
        <v>0</v>
      </c>
      <c r="AG6" s="4611">
        <v>0</v>
      </c>
      <c r="AH6" s="4611">
        <v>0</v>
      </c>
      <c r="AI6" s="4611">
        <v>0.69299999999999995</v>
      </c>
      <c r="AJ6" s="4611">
        <v>0</v>
      </c>
      <c r="AK6" s="4611">
        <v>0</v>
      </c>
      <c r="AL6" s="4612"/>
      <c r="AM6" s="4611">
        <v>0</v>
      </c>
      <c r="AN6" s="876">
        <f t="shared" si="0"/>
        <v>38.314</v>
      </c>
      <c r="AO6" s="877">
        <v>38.207999999999998</v>
      </c>
      <c r="AP6" s="878">
        <f t="shared" si="1"/>
        <v>0.106</v>
      </c>
    </row>
    <row r="7" spans="1:42" ht="13.8">
      <c r="A7" s="873">
        <v>105</v>
      </c>
      <c r="B7" s="874">
        <v>20</v>
      </c>
      <c r="C7" s="875">
        <v>18.777999999999999</v>
      </c>
      <c r="D7" s="875">
        <v>0</v>
      </c>
      <c r="E7" s="875">
        <v>8</v>
      </c>
      <c r="F7" s="875">
        <v>0</v>
      </c>
      <c r="G7" s="875">
        <v>0</v>
      </c>
      <c r="H7" s="875">
        <v>0</v>
      </c>
      <c r="I7" s="875">
        <v>0</v>
      </c>
      <c r="J7" s="875">
        <v>0</v>
      </c>
      <c r="K7" s="875">
        <v>0</v>
      </c>
      <c r="L7" s="875">
        <v>0</v>
      </c>
      <c r="M7" s="875">
        <v>0</v>
      </c>
      <c r="N7" s="875">
        <v>0</v>
      </c>
      <c r="O7" s="875">
        <v>0</v>
      </c>
      <c r="P7" s="875">
        <v>3.0139999999999998</v>
      </c>
      <c r="Q7" s="875">
        <v>0</v>
      </c>
      <c r="R7" s="875">
        <v>0</v>
      </c>
      <c r="S7" s="875"/>
      <c r="T7" s="875">
        <v>0</v>
      </c>
      <c r="U7" s="4611">
        <v>20</v>
      </c>
      <c r="V7" s="4608">
        <v>18.414999999999999</v>
      </c>
      <c r="W7" s="4608">
        <v>0</v>
      </c>
      <c r="X7" s="4611">
        <v>8</v>
      </c>
      <c r="Y7" s="4611">
        <v>0</v>
      </c>
      <c r="Z7" s="4611">
        <v>0</v>
      </c>
      <c r="AA7" s="4611">
        <v>0</v>
      </c>
      <c r="AB7" s="4611">
        <v>0</v>
      </c>
      <c r="AC7" s="4611">
        <v>0</v>
      </c>
      <c r="AD7" s="4611">
        <v>0</v>
      </c>
      <c r="AE7" s="4611">
        <v>0</v>
      </c>
      <c r="AF7" s="4611">
        <v>0</v>
      </c>
      <c r="AG7" s="4611">
        <v>0</v>
      </c>
      <c r="AH7" s="4611">
        <v>0</v>
      </c>
      <c r="AI7" s="4611">
        <v>2.339</v>
      </c>
      <c r="AJ7" s="4611">
        <v>0</v>
      </c>
      <c r="AK7" s="4611">
        <v>0</v>
      </c>
      <c r="AL7" s="4612"/>
      <c r="AM7" s="4611">
        <v>0</v>
      </c>
      <c r="AN7" s="876">
        <f t="shared" si="0"/>
        <v>48.753999999999998</v>
      </c>
      <c r="AO7" s="877">
        <v>49.792000000000002</v>
      </c>
      <c r="AP7" s="878">
        <f t="shared" si="1"/>
        <v>-1.038</v>
      </c>
    </row>
    <row r="8" spans="1:42" ht="13.8">
      <c r="A8" s="873">
        <v>106</v>
      </c>
      <c r="B8" s="874">
        <v>20</v>
      </c>
      <c r="C8" s="875">
        <v>12.065</v>
      </c>
      <c r="D8" s="875">
        <v>0</v>
      </c>
      <c r="E8" s="875">
        <v>6</v>
      </c>
      <c r="F8" s="875">
        <v>0</v>
      </c>
      <c r="G8" s="875">
        <v>0</v>
      </c>
      <c r="H8" s="875">
        <v>0</v>
      </c>
      <c r="I8" s="875">
        <v>0</v>
      </c>
      <c r="J8" s="875">
        <v>0</v>
      </c>
      <c r="K8" s="875">
        <v>0</v>
      </c>
      <c r="L8" s="875">
        <v>0</v>
      </c>
      <c r="M8" s="875">
        <v>0</v>
      </c>
      <c r="N8" s="875">
        <v>0</v>
      </c>
      <c r="O8" s="875">
        <v>0</v>
      </c>
      <c r="P8" s="875">
        <v>1</v>
      </c>
      <c r="Q8" s="875">
        <v>0</v>
      </c>
      <c r="R8" s="875">
        <v>0</v>
      </c>
      <c r="S8" s="875"/>
      <c r="T8" s="875">
        <v>0</v>
      </c>
      <c r="U8" s="4611">
        <v>20</v>
      </c>
      <c r="V8" s="4608">
        <v>15.356999999999999</v>
      </c>
      <c r="W8" s="4608">
        <v>0</v>
      </c>
      <c r="X8" s="4611">
        <v>6</v>
      </c>
      <c r="Y8" s="4611">
        <v>0</v>
      </c>
      <c r="Z8" s="4611">
        <v>0</v>
      </c>
      <c r="AA8" s="4611">
        <v>0</v>
      </c>
      <c r="AB8" s="4611">
        <v>0</v>
      </c>
      <c r="AC8" s="4611">
        <v>0</v>
      </c>
      <c r="AD8" s="4611">
        <v>0</v>
      </c>
      <c r="AE8" s="4611">
        <v>0</v>
      </c>
      <c r="AF8" s="4611">
        <v>0</v>
      </c>
      <c r="AG8" s="4611">
        <v>0</v>
      </c>
      <c r="AH8" s="4611">
        <v>0</v>
      </c>
      <c r="AI8" s="4611">
        <v>1</v>
      </c>
      <c r="AJ8" s="4611">
        <v>0</v>
      </c>
      <c r="AK8" s="4611">
        <v>0</v>
      </c>
      <c r="AL8" s="4612"/>
      <c r="AM8" s="4611">
        <v>0</v>
      </c>
      <c r="AN8" s="876">
        <f t="shared" si="0"/>
        <v>42.356999999999999</v>
      </c>
      <c r="AO8" s="877">
        <v>39.064999999999998</v>
      </c>
      <c r="AP8" s="878">
        <f t="shared" si="1"/>
        <v>3.2919999999999998</v>
      </c>
    </row>
    <row r="9" spans="1:42" ht="13.8">
      <c r="A9" s="873">
        <v>107</v>
      </c>
      <c r="B9" s="874">
        <v>20</v>
      </c>
      <c r="C9" s="875">
        <v>14.433999999999999</v>
      </c>
      <c r="D9" s="875">
        <v>0</v>
      </c>
      <c r="E9" s="875">
        <v>2</v>
      </c>
      <c r="F9" s="875">
        <v>0</v>
      </c>
      <c r="G9" s="875">
        <v>0</v>
      </c>
      <c r="H9" s="875">
        <v>0</v>
      </c>
      <c r="I9" s="875">
        <v>0</v>
      </c>
      <c r="J9" s="875">
        <v>0</v>
      </c>
      <c r="K9" s="875">
        <v>0</v>
      </c>
      <c r="L9" s="875">
        <v>0</v>
      </c>
      <c r="M9" s="875">
        <v>0</v>
      </c>
      <c r="N9" s="875">
        <v>0</v>
      </c>
      <c r="O9" s="875">
        <v>0</v>
      </c>
      <c r="P9" s="875">
        <v>0</v>
      </c>
      <c r="Q9" s="875">
        <v>0</v>
      </c>
      <c r="R9" s="875">
        <v>0</v>
      </c>
      <c r="S9" s="875"/>
      <c r="T9" s="875">
        <v>0</v>
      </c>
      <c r="U9" s="4611">
        <v>20</v>
      </c>
      <c r="V9" s="4608">
        <v>15.664</v>
      </c>
      <c r="W9" s="4608">
        <v>0</v>
      </c>
      <c r="X9" s="4611">
        <v>2.9990000000000001</v>
      </c>
      <c r="Y9" s="4611">
        <v>0</v>
      </c>
      <c r="Z9" s="4611">
        <v>0</v>
      </c>
      <c r="AA9" s="4611">
        <v>0</v>
      </c>
      <c r="AB9" s="4611">
        <v>0</v>
      </c>
      <c r="AC9" s="4611">
        <v>0</v>
      </c>
      <c r="AD9" s="4611">
        <v>0</v>
      </c>
      <c r="AE9" s="4611">
        <v>0</v>
      </c>
      <c r="AF9" s="4611">
        <v>0</v>
      </c>
      <c r="AG9" s="4611">
        <v>0</v>
      </c>
      <c r="AH9" s="4611">
        <v>0</v>
      </c>
      <c r="AI9" s="4611">
        <v>0</v>
      </c>
      <c r="AJ9" s="4611">
        <v>0</v>
      </c>
      <c r="AK9" s="4611">
        <v>0</v>
      </c>
      <c r="AL9" s="4612"/>
      <c r="AM9" s="4611">
        <v>0</v>
      </c>
      <c r="AN9" s="876">
        <f t="shared" si="0"/>
        <v>38.662999999999997</v>
      </c>
      <c r="AO9" s="877">
        <v>36.433999999999997</v>
      </c>
      <c r="AP9" s="878">
        <f t="shared" si="1"/>
        <v>2.2290000000000001</v>
      </c>
    </row>
    <row r="10" spans="1:42" ht="13.8">
      <c r="A10" s="873">
        <v>108</v>
      </c>
      <c r="B10" s="874">
        <v>20</v>
      </c>
      <c r="C10" s="875">
        <v>18.812000000000001</v>
      </c>
      <c r="D10" s="875">
        <v>0</v>
      </c>
      <c r="E10" s="875">
        <v>7.4370000000000003</v>
      </c>
      <c r="F10" s="875">
        <v>0</v>
      </c>
      <c r="G10" s="875">
        <v>0</v>
      </c>
      <c r="H10" s="875">
        <v>0</v>
      </c>
      <c r="I10" s="875">
        <v>0</v>
      </c>
      <c r="J10" s="875">
        <v>0</v>
      </c>
      <c r="K10" s="875">
        <v>0</v>
      </c>
      <c r="L10" s="875">
        <v>0</v>
      </c>
      <c r="M10" s="875">
        <v>0</v>
      </c>
      <c r="N10" s="875">
        <v>0</v>
      </c>
      <c r="O10" s="875">
        <v>0</v>
      </c>
      <c r="P10" s="875">
        <v>0</v>
      </c>
      <c r="Q10" s="875">
        <v>0</v>
      </c>
      <c r="R10" s="875">
        <v>0</v>
      </c>
      <c r="S10" s="875"/>
      <c r="T10" s="875">
        <v>0</v>
      </c>
      <c r="U10" s="4611">
        <v>20</v>
      </c>
      <c r="V10" s="4608">
        <v>19.170999999999999</v>
      </c>
      <c r="W10" s="4608">
        <v>0</v>
      </c>
      <c r="X10" s="4611">
        <v>7.33</v>
      </c>
      <c r="Y10" s="4611">
        <v>0</v>
      </c>
      <c r="Z10" s="4611">
        <v>0</v>
      </c>
      <c r="AA10" s="4611">
        <v>0</v>
      </c>
      <c r="AB10" s="4611">
        <v>0</v>
      </c>
      <c r="AC10" s="4611">
        <v>0</v>
      </c>
      <c r="AD10" s="4611">
        <v>0</v>
      </c>
      <c r="AE10" s="4611">
        <v>0</v>
      </c>
      <c r="AF10" s="4611">
        <v>0</v>
      </c>
      <c r="AG10" s="4611">
        <v>0</v>
      </c>
      <c r="AH10" s="4611">
        <v>0</v>
      </c>
      <c r="AI10" s="4611">
        <v>0</v>
      </c>
      <c r="AJ10" s="4611">
        <v>0</v>
      </c>
      <c r="AK10" s="4611">
        <v>0</v>
      </c>
      <c r="AL10" s="4612"/>
      <c r="AM10" s="4611">
        <v>0</v>
      </c>
      <c r="AN10" s="876">
        <f t="shared" si="0"/>
        <v>46.500999999999998</v>
      </c>
      <c r="AO10" s="877">
        <v>46.249000000000002</v>
      </c>
      <c r="AP10" s="878">
        <f t="shared" si="1"/>
        <v>0.252</v>
      </c>
    </row>
    <row r="11" spans="1:42" ht="13.8">
      <c r="A11" s="873">
        <v>109</v>
      </c>
      <c r="B11" s="874">
        <v>20</v>
      </c>
      <c r="C11" s="875">
        <v>17.158000000000001</v>
      </c>
      <c r="D11" s="875">
        <v>0</v>
      </c>
      <c r="E11" s="875">
        <v>3.9990000000000001</v>
      </c>
      <c r="F11" s="875">
        <v>0</v>
      </c>
      <c r="G11" s="875">
        <v>0</v>
      </c>
      <c r="H11" s="875">
        <v>14.096</v>
      </c>
      <c r="I11" s="875">
        <v>0</v>
      </c>
      <c r="J11" s="875">
        <v>0</v>
      </c>
      <c r="K11" s="875">
        <v>0</v>
      </c>
      <c r="L11" s="875">
        <v>0</v>
      </c>
      <c r="M11" s="875">
        <v>0</v>
      </c>
      <c r="N11" s="875">
        <v>0</v>
      </c>
      <c r="O11" s="875">
        <v>0</v>
      </c>
      <c r="P11" s="875">
        <v>0</v>
      </c>
      <c r="Q11" s="875">
        <v>0</v>
      </c>
      <c r="R11" s="875">
        <v>0</v>
      </c>
      <c r="S11" s="875"/>
      <c r="T11" s="875">
        <v>0</v>
      </c>
      <c r="U11" s="4611">
        <v>20</v>
      </c>
      <c r="V11" s="4608">
        <v>16.553000000000001</v>
      </c>
      <c r="W11" s="4608">
        <v>0</v>
      </c>
      <c r="X11" s="4611">
        <v>3.9980000000000002</v>
      </c>
      <c r="Y11" s="4611">
        <v>0</v>
      </c>
      <c r="Z11" s="4611">
        <v>0</v>
      </c>
      <c r="AA11" s="4611">
        <v>14.102</v>
      </c>
      <c r="AB11" s="4611">
        <v>0</v>
      </c>
      <c r="AC11" s="4611">
        <v>0</v>
      </c>
      <c r="AD11" s="4611">
        <v>0</v>
      </c>
      <c r="AE11" s="4611">
        <v>0</v>
      </c>
      <c r="AF11" s="4611">
        <v>0</v>
      </c>
      <c r="AG11" s="4611">
        <v>0</v>
      </c>
      <c r="AH11" s="4611">
        <v>0</v>
      </c>
      <c r="AI11" s="4611">
        <v>0</v>
      </c>
      <c r="AJ11" s="4611">
        <v>0</v>
      </c>
      <c r="AK11" s="4611">
        <v>0</v>
      </c>
      <c r="AL11" s="4612"/>
      <c r="AM11" s="4611">
        <v>0</v>
      </c>
      <c r="AN11" s="876">
        <f t="shared" si="0"/>
        <v>54.652999999999999</v>
      </c>
      <c r="AO11" s="877">
        <v>55.253</v>
      </c>
      <c r="AP11" s="878">
        <f t="shared" si="1"/>
        <v>-0.6</v>
      </c>
    </row>
    <row r="12" spans="1:42" ht="13.8">
      <c r="A12" s="873">
        <v>110</v>
      </c>
      <c r="B12" s="874">
        <v>20</v>
      </c>
      <c r="C12" s="875">
        <v>22.27</v>
      </c>
      <c r="D12" s="875">
        <v>0</v>
      </c>
      <c r="E12" s="875">
        <v>7.9989999999999997</v>
      </c>
      <c r="F12" s="875">
        <v>0</v>
      </c>
      <c r="G12" s="875">
        <v>0</v>
      </c>
      <c r="H12" s="875">
        <v>0</v>
      </c>
      <c r="I12" s="875">
        <v>0</v>
      </c>
      <c r="J12" s="875">
        <v>0</v>
      </c>
      <c r="K12" s="875">
        <v>0</v>
      </c>
      <c r="L12" s="875">
        <v>0</v>
      </c>
      <c r="M12" s="875">
        <v>0</v>
      </c>
      <c r="N12" s="875">
        <v>0</v>
      </c>
      <c r="O12" s="875">
        <v>0</v>
      </c>
      <c r="P12" s="875">
        <v>0.59599999999999997</v>
      </c>
      <c r="Q12" s="875">
        <v>0</v>
      </c>
      <c r="R12" s="875">
        <v>0</v>
      </c>
      <c r="S12" s="875"/>
      <c r="T12" s="875">
        <v>0</v>
      </c>
      <c r="U12" s="4611">
        <v>20</v>
      </c>
      <c r="V12" s="4608">
        <v>20.997</v>
      </c>
      <c r="W12" s="4608">
        <v>0</v>
      </c>
      <c r="X12" s="4611">
        <v>7.9969999999999999</v>
      </c>
      <c r="Y12" s="4611">
        <v>0</v>
      </c>
      <c r="Z12" s="4611">
        <v>0</v>
      </c>
      <c r="AA12" s="4611">
        <v>0</v>
      </c>
      <c r="AB12" s="4611">
        <v>0</v>
      </c>
      <c r="AC12" s="4611">
        <v>0</v>
      </c>
      <c r="AD12" s="4611">
        <v>0</v>
      </c>
      <c r="AE12" s="4611">
        <v>0</v>
      </c>
      <c r="AF12" s="4611">
        <v>0</v>
      </c>
      <c r="AG12" s="4611">
        <v>0</v>
      </c>
      <c r="AH12" s="4611">
        <v>0</v>
      </c>
      <c r="AI12" s="4611">
        <v>0.57899999999999996</v>
      </c>
      <c r="AJ12" s="4611">
        <v>0</v>
      </c>
      <c r="AK12" s="4611">
        <v>0</v>
      </c>
      <c r="AL12" s="4612"/>
      <c r="AM12" s="4611">
        <v>0</v>
      </c>
      <c r="AN12" s="876">
        <f t="shared" si="0"/>
        <v>49.573</v>
      </c>
      <c r="AO12" s="877">
        <v>50.865000000000002</v>
      </c>
      <c r="AP12" s="878">
        <f t="shared" si="1"/>
        <v>-1.292</v>
      </c>
    </row>
    <row r="13" spans="1:42" ht="13.8">
      <c r="A13" s="873">
        <v>111</v>
      </c>
      <c r="B13" s="874">
        <v>20</v>
      </c>
      <c r="C13" s="875">
        <v>12.247</v>
      </c>
      <c r="D13" s="875">
        <v>0</v>
      </c>
      <c r="E13" s="875">
        <v>6.9009999999999998</v>
      </c>
      <c r="F13" s="875">
        <v>0</v>
      </c>
      <c r="G13" s="875">
        <v>0</v>
      </c>
      <c r="H13" s="875">
        <v>0</v>
      </c>
      <c r="I13" s="875">
        <v>0</v>
      </c>
      <c r="J13" s="875">
        <v>0</v>
      </c>
      <c r="K13" s="875">
        <v>0</v>
      </c>
      <c r="L13" s="875">
        <v>0</v>
      </c>
      <c r="M13" s="875">
        <v>0</v>
      </c>
      <c r="N13" s="875">
        <v>0</v>
      </c>
      <c r="O13" s="875">
        <v>0</v>
      </c>
      <c r="P13" s="875">
        <v>0</v>
      </c>
      <c r="Q13" s="875">
        <v>0</v>
      </c>
      <c r="R13" s="875">
        <v>0</v>
      </c>
      <c r="S13" s="875"/>
      <c r="T13" s="875">
        <v>0</v>
      </c>
      <c r="U13" s="4611">
        <v>20</v>
      </c>
      <c r="V13" s="4608">
        <v>12.327</v>
      </c>
      <c r="W13" s="4608">
        <v>0</v>
      </c>
      <c r="X13" s="4611">
        <v>7</v>
      </c>
      <c r="Y13" s="4611">
        <v>0</v>
      </c>
      <c r="Z13" s="4611">
        <v>0</v>
      </c>
      <c r="AA13" s="4611">
        <v>0</v>
      </c>
      <c r="AB13" s="4611">
        <v>0</v>
      </c>
      <c r="AC13" s="4611">
        <v>0</v>
      </c>
      <c r="AD13" s="4611">
        <v>0</v>
      </c>
      <c r="AE13" s="4611">
        <v>0</v>
      </c>
      <c r="AF13" s="4611">
        <v>0</v>
      </c>
      <c r="AG13" s="4611">
        <v>0</v>
      </c>
      <c r="AH13" s="4611">
        <v>0</v>
      </c>
      <c r="AI13" s="4611">
        <v>0</v>
      </c>
      <c r="AJ13" s="4611">
        <v>0</v>
      </c>
      <c r="AK13" s="4611">
        <v>0</v>
      </c>
      <c r="AL13" s="4612"/>
      <c r="AM13" s="4611">
        <v>0</v>
      </c>
      <c r="AN13" s="876">
        <f t="shared" si="0"/>
        <v>39.326999999999998</v>
      </c>
      <c r="AO13" s="877">
        <v>39.148000000000003</v>
      </c>
      <c r="AP13" s="878">
        <f t="shared" si="1"/>
        <v>0.17899999999999999</v>
      </c>
    </row>
    <row r="14" spans="1:42" ht="13.8">
      <c r="A14" s="873">
        <v>112</v>
      </c>
      <c r="B14" s="874">
        <v>20</v>
      </c>
      <c r="C14" s="875">
        <v>12.891999999999999</v>
      </c>
      <c r="D14" s="875">
        <v>0</v>
      </c>
      <c r="E14" s="875">
        <v>8</v>
      </c>
      <c r="F14" s="875">
        <v>0</v>
      </c>
      <c r="G14" s="875">
        <v>0</v>
      </c>
      <c r="H14" s="875">
        <v>0</v>
      </c>
      <c r="I14" s="875">
        <v>0</v>
      </c>
      <c r="J14" s="875">
        <v>0</v>
      </c>
      <c r="K14" s="875">
        <v>0</v>
      </c>
      <c r="L14" s="875">
        <v>0</v>
      </c>
      <c r="M14" s="875">
        <v>0</v>
      </c>
      <c r="N14" s="875">
        <v>0</v>
      </c>
      <c r="O14" s="875">
        <v>0</v>
      </c>
      <c r="P14" s="875">
        <v>2</v>
      </c>
      <c r="Q14" s="875">
        <v>0</v>
      </c>
      <c r="R14" s="875">
        <v>0</v>
      </c>
      <c r="S14" s="875"/>
      <c r="T14" s="875">
        <v>0</v>
      </c>
      <c r="U14" s="4611">
        <v>20</v>
      </c>
      <c r="V14" s="4608">
        <v>13.721</v>
      </c>
      <c r="W14" s="4608">
        <v>0</v>
      </c>
      <c r="X14" s="4611">
        <v>7.99</v>
      </c>
      <c r="Y14" s="4611">
        <v>0</v>
      </c>
      <c r="Z14" s="4611">
        <v>0</v>
      </c>
      <c r="AA14" s="4611">
        <v>0</v>
      </c>
      <c r="AB14" s="4611">
        <v>0</v>
      </c>
      <c r="AC14" s="4611">
        <v>0</v>
      </c>
      <c r="AD14" s="4611">
        <v>0</v>
      </c>
      <c r="AE14" s="4611">
        <v>0</v>
      </c>
      <c r="AF14" s="4611">
        <v>0</v>
      </c>
      <c r="AG14" s="4611">
        <v>0</v>
      </c>
      <c r="AH14" s="4611">
        <v>0</v>
      </c>
      <c r="AI14" s="4611">
        <v>1.9990000000000001</v>
      </c>
      <c r="AJ14" s="4611">
        <v>0</v>
      </c>
      <c r="AK14" s="4611">
        <v>0</v>
      </c>
      <c r="AL14" s="4612"/>
      <c r="AM14" s="4611">
        <v>0</v>
      </c>
      <c r="AN14" s="876">
        <f t="shared" si="0"/>
        <v>43.71</v>
      </c>
      <c r="AO14" s="877">
        <v>42.892000000000003</v>
      </c>
      <c r="AP14" s="878">
        <f t="shared" si="1"/>
        <v>0.81799999999999995</v>
      </c>
    </row>
    <row r="15" spans="1:42" ht="13.8">
      <c r="A15" s="873">
        <v>113</v>
      </c>
      <c r="B15" s="874">
        <v>20</v>
      </c>
      <c r="C15" s="875">
        <v>16.065000000000001</v>
      </c>
      <c r="D15" s="875">
        <v>0</v>
      </c>
      <c r="E15" s="875">
        <v>4.3010000000000002</v>
      </c>
      <c r="F15" s="875">
        <v>0</v>
      </c>
      <c r="G15" s="875">
        <v>0</v>
      </c>
      <c r="H15" s="875">
        <v>5.9029999999999996</v>
      </c>
      <c r="I15" s="875">
        <v>0</v>
      </c>
      <c r="J15" s="875">
        <v>0</v>
      </c>
      <c r="K15" s="875">
        <v>0</v>
      </c>
      <c r="L15" s="875">
        <v>0</v>
      </c>
      <c r="M15" s="875">
        <v>0</v>
      </c>
      <c r="N15" s="875">
        <v>0</v>
      </c>
      <c r="O15" s="875">
        <v>0</v>
      </c>
      <c r="P15" s="875">
        <v>0</v>
      </c>
      <c r="Q15" s="875">
        <v>0</v>
      </c>
      <c r="R15" s="875">
        <v>0</v>
      </c>
      <c r="S15" s="875"/>
      <c r="T15" s="875">
        <v>0</v>
      </c>
      <c r="U15" s="4611">
        <v>20</v>
      </c>
      <c r="V15" s="4608">
        <v>15.577</v>
      </c>
      <c r="W15" s="4608">
        <v>0</v>
      </c>
      <c r="X15" s="4611">
        <v>5.7060000000000004</v>
      </c>
      <c r="Y15" s="4611">
        <v>0</v>
      </c>
      <c r="Z15" s="4611">
        <v>0</v>
      </c>
      <c r="AA15" s="4611">
        <v>6.1879999999999997</v>
      </c>
      <c r="AB15" s="4611">
        <v>0</v>
      </c>
      <c r="AC15" s="4611">
        <v>0</v>
      </c>
      <c r="AD15" s="4611">
        <v>0</v>
      </c>
      <c r="AE15" s="4611">
        <v>0</v>
      </c>
      <c r="AF15" s="4611">
        <v>0</v>
      </c>
      <c r="AG15" s="4611">
        <v>0</v>
      </c>
      <c r="AH15" s="4611">
        <v>0</v>
      </c>
      <c r="AI15" s="4611">
        <v>0</v>
      </c>
      <c r="AJ15" s="4611">
        <v>0</v>
      </c>
      <c r="AK15" s="4611">
        <v>0</v>
      </c>
      <c r="AL15" s="4612"/>
      <c r="AM15" s="4611">
        <v>0</v>
      </c>
      <c r="AN15" s="876">
        <f t="shared" si="0"/>
        <v>47.470999999999997</v>
      </c>
      <c r="AO15" s="877">
        <v>46.268999999999998</v>
      </c>
      <c r="AP15" s="878">
        <f t="shared" si="1"/>
        <v>1.202</v>
      </c>
    </row>
    <row r="16" spans="1:42" ht="13.8">
      <c r="A16" s="873">
        <v>114</v>
      </c>
      <c r="B16" s="874">
        <v>20</v>
      </c>
      <c r="C16" s="875">
        <v>14.795</v>
      </c>
      <c r="D16" s="875">
        <v>0</v>
      </c>
      <c r="E16" s="875">
        <v>3.5990000000000002</v>
      </c>
      <c r="F16" s="875">
        <v>0</v>
      </c>
      <c r="G16" s="875">
        <v>0</v>
      </c>
      <c r="H16" s="875">
        <v>0</v>
      </c>
      <c r="I16" s="875">
        <v>0</v>
      </c>
      <c r="J16" s="875">
        <v>0</v>
      </c>
      <c r="K16" s="875">
        <v>0</v>
      </c>
      <c r="L16" s="875">
        <v>0</v>
      </c>
      <c r="M16" s="875">
        <v>0</v>
      </c>
      <c r="N16" s="875">
        <v>0</v>
      </c>
      <c r="O16" s="875">
        <v>0</v>
      </c>
      <c r="P16" s="875">
        <v>2.5590000000000002</v>
      </c>
      <c r="Q16" s="875">
        <v>2</v>
      </c>
      <c r="R16" s="875">
        <v>0</v>
      </c>
      <c r="S16" s="875"/>
      <c r="T16" s="875">
        <v>0</v>
      </c>
      <c r="U16" s="4611">
        <v>20</v>
      </c>
      <c r="V16" s="4608">
        <v>14.955</v>
      </c>
      <c r="W16" s="4608">
        <v>0</v>
      </c>
      <c r="X16" s="4611">
        <v>3.6</v>
      </c>
      <c r="Y16" s="4611">
        <v>0</v>
      </c>
      <c r="Z16" s="4611">
        <v>0</v>
      </c>
      <c r="AA16" s="4611">
        <v>0</v>
      </c>
      <c r="AB16" s="4611">
        <v>0</v>
      </c>
      <c r="AC16" s="4611">
        <v>0</v>
      </c>
      <c r="AD16" s="4611">
        <v>0</v>
      </c>
      <c r="AE16" s="4611">
        <v>0</v>
      </c>
      <c r="AF16" s="4611">
        <v>0</v>
      </c>
      <c r="AG16" s="4611">
        <v>0</v>
      </c>
      <c r="AH16" s="4611">
        <v>0</v>
      </c>
      <c r="AI16" s="4611">
        <v>2.5760000000000001</v>
      </c>
      <c r="AJ16" s="4611">
        <v>2</v>
      </c>
      <c r="AK16" s="4611">
        <v>0</v>
      </c>
      <c r="AL16" s="4612"/>
      <c r="AM16" s="4611">
        <v>0</v>
      </c>
      <c r="AN16" s="876">
        <f t="shared" si="0"/>
        <v>43.131</v>
      </c>
      <c r="AO16" s="877">
        <v>42.953000000000003</v>
      </c>
      <c r="AP16" s="878">
        <f t="shared" si="1"/>
        <v>0.17799999999999999</v>
      </c>
    </row>
    <row r="17" spans="1:42" ht="13.8">
      <c r="A17" s="873">
        <v>115</v>
      </c>
      <c r="B17" s="874">
        <v>20</v>
      </c>
      <c r="C17" s="875">
        <v>14.733000000000001</v>
      </c>
      <c r="D17" s="875">
        <v>0</v>
      </c>
      <c r="E17" s="875">
        <v>0</v>
      </c>
      <c r="F17" s="875">
        <v>0</v>
      </c>
      <c r="G17" s="875">
        <v>0</v>
      </c>
      <c r="H17" s="875">
        <v>0</v>
      </c>
      <c r="I17" s="875">
        <v>6.3220000000000001</v>
      </c>
      <c r="J17" s="875">
        <v>0</v>
      </c>
      <c r="K17" s="875">
        <v>0</v>
      </c>
      <c r="L17" s="875">
        <v>0</v>
      </c>
      <c r="M17" s="875">
        <v>0</v>
      </c>
      <c r="N17" s="875">
        <v>0</v>
      </c>
      <c r="O17" s="875">
        <v>0</v>
      </c>
      <c r="P17" s="875">
        <v>0</v>
      </c>
      <c r="Q17" s="875">
        <v>0</v>
      </c>
      <c r="R17" s="875">
        <v>0</v>
      </c>
      <c r="S17" s="875"/>
      <c r="T17" s="875">
        <v>0</v>
      </c>
      <c r="U17" s="4611">
        <v>20</v>
      </c>
      <c r="V17" s="4608">
        <v>15.378</v>
      </c>
      <c r="W17" s="4608">
        <v>0</v>
      </c>
      <c r="X17" s="4611">
        <v>0</v>
      </c>
      <c r="Y17" s="4611">
        <v>0</v>
      </c>
      <c r="Z17" s="4611">
        <v>0</v>
      </c>
      <c r="AA17" s="4611">
        <v>0</v>
      </c>
      <c r="AB17" s="4611">
        <v>6.1470000000000002</v>
      </c>
      <c r="AC17" s="4611">
        <v>0</v>
      </c>
      <c r="AD17" s="4611">
        <v>0</v>
      </c>
      <c r="AE17" s="4611">
        <v>0</v>
      </c>
      <c r="AF17" s="4611">
        <v>0</v>
      </c>
      <c r="AG17" s="4611">
        <v>0</v>
      </c>
      <c r="AH17" s="4611">
        <v>0</v>
      </c>
      <c r="AI17" s="4611">
        <v>0</v>
      </c>
      <c r="AJ17" s="4611">
        <v>0</v>
      </c>
      <c r="AK17" s="4611">
        <v>0</v>
      </c>
      <c r="AL17" s="4612"/>
      <c r="AM17" s="4611">
        <v>0</v>
      </c>
      <c r="AN17" s="876">
        <f t="shared" si="0"/>
        <v>41.524999999999999</v>
      </c>
      <c r="AO17" s="877">
        <v>41.055</v>
      </c>
      <c r="AP17" s="878">
        <f t="shared" si="1"/>
        <v>0.47</v>
      </c>
    </row>
    <row r="18" spans="1:42" ht="13.8">
      <c r="A18" s="873">
        <v>200</v>
      </c>
      <c r="B18" s="874">
        <v>20</v>
      </c>
      <c r="C18" s="875">
        <v>18.824000000000002</v>
      </c>
      <c r="D18" s="875">
        <v>0</v>
      </c>
      <c r="E18" s="875">
        <v>7.9989999999999997</v>
      </c>
      <c r="F18" s="875">
        <v>0</v>
      </c>
      <c r="G18" s="875">
        <v>0</v>
      </c>
      <c r="H18" s="875">
        <v>9.17</v>
      </c>
      <c r="I18" s="875">
        <v>0</v>
      </c>
      <c r="J18" s="875">
        <v>0</v>
      </c>
      <c r="K18" s="875">
        <v>0</v>
      </c>
      <c r="L18" s="875">
        <v>0</v>
      </c>
      <c r="M18" s="875">
        <v>0</v>
      </c>
      <c r="N18" s="875">
        <v>0</v>
      </c>
      <c r="O18" s="875">
        <v>0</v>
      </c>
      <c r="P18" s="875">
        <v>0</v>
      </c>
      <c r="Q18" s="875">
        <v>0</v>
      </c>
      <c r="R18" s="875">
        <v>0</v>
      </c>
      <c r="S18" s="875"/>
      <c r="T18" s="875">
        <v>0</v>
      </c>
      <c r="U18" s="4611">
        <v>20</v>
      </c>
      <c r="V18" s="4608">
        <v>19.466000000000001</v>
      </c>
      <c r="W18" s="4608">
        <v>0</v>
      </c>
      <c r="X18" s="4611">
        <v>7.9859999999999998</v>
      </c>
      <c r="Y18" s="4611">
        <v>0</v>
      </c>
      <c r="Z18" s="4611">
        <v>0</v>
      </c>
      <c r="AA18" s="4611">
        <v>9.8789999999999996</v>
      </c>
      <c r="AB18" s="4611">
        <v>0</v>
      </c>
      <c r="AC18" s="4611">
        <v>0</v>
      </c>
      <c r="AD18" s="4611">
        <v>0</v>
      </c>
      <c r="AE18" s="4611">
        <v>0</v>
      </c>
      <c r="AF18" s="4611">
        <v>0</v>
      </c>
      <c r="AG18" s="4611">
        <v>0</v>
      </c>
      <c r="AH18" s="4611">
        <v>0</v>
      </c>
      <c r="AI18" s="4611">
        <v>0</v>
      </c>
      <c r="AJ18" s="4611">
        <v>0</v>
      </c>
      <c r="AK18" s="4611">
        <v>0</v>
      </c>
      <c r="AL18" s="4612"/>
      <c r="AM18" s="4611">
        <v>0</v>
      </c>
      <c r="AN18" s="876">
        <f t="shared" si="0"/>
        <v>57.331000000000003</v>
      </c>
      <c r="AO18" s="877">
        <v>55.993000000000002</v>
      </c>
      <c r="AP18" s="878">
        <f t="shared" si="1"/>
        <v>1.3380000000000001</v>
      </c>
    </row>
    <row r="19" spans="1:42" ht="13.8">
      <c r="A19" s="873">
        <v>202</v>
      </c>
      <c r="B19" s="874">
        <v>20</v>
      </c>
      <c r="C19" s="875">
        <v>15.371</v>
      </c>
      <c r="D19" s="875">
        <v>0</v>
      </c>
      <c r="E19" s="875">
        <v>8</v>
      </c>
      <c r="F19" s="875">
        <v>0</v>
      </c>
      <c r="G19" s="875">
        <v>0</v>
      </c>
      <c r="H19" s="875">
        <v>13.446999999999999</v>
      </c>
      <c r="I19" s="875">
        <v>0</v>
      </c>
      <c r="J19" s="875">
        <v>0</v>
      </c>
      <c r="K19" s="875">
        <v>0</v>
      </c>
      <c r="L19" s="875">
        <v>0</v>
      </c>
      <c r="M19" s="875">
        <v>0</v>
      </c>
      <c r="N19" s="875">
        <v>0</v>
      </c>
      <c r="O19" s="875">
        <v>0</v>
      </c>
      <c r="P19" s="875">
        <v>6</v>
      </c>
      <c r="Q19" s="875">
        <v>1</v>
      </c>
      <c r="R19" s="875">
        <v>0</v>
      </c>
      <c r="S19" s="875"/>
      <c r="T19" s="875">
        <v>0</v>
      </c>
      <c r="U19" s="4611">
        <v>20</v>
      </c>
      <c r="V19" s="4608">
        <v>12.459</v>
      </c>
      <c r="W19" s="4608">
        <v>0</v>
      </c>
      <c r="X19" s="4611">
        <v>8</v>
      </c>
      <c r="Y19" s="4611">
        <v>0</v>
      </c>
      <c r="Z19" s="4611">
        <v>0</v>
      </c>
      <c r="AA19" s="4611">
        <v>13.449</v>
      </c>
      <c r="AB19" s="4611">
        <v>0</v>
      </c>
      <c r="AC19" s="4611">
        <v>0</v>
      </c>
      <c r="AD19" s="4611">
        <v>0</v>
      </c>
      <c r="AE19" s="4611">
        <v>0</v>
      </c>
      <c r="AF19" s="4611">
        <v>0</v>
      </c>
      <c r="AG19" s="4611">
        <v>0</v>
      </c>
      <c r="AH19" s="4611">
        <v>0</v>
      </c>
      <c r="AI19" s="4611">
        <v>6</v>
      </c>
      <c r="AJ19" s="4611">
        <v>1</v>
      </c>
      <c r="AK19" s="4611">
        <v>0</v>
      </c>
      <c r="AL19" s="4612"/>
      <c r="AM19" s="4611">
        <v>0</v>
      </c>
      <c r="AN19" s="876">
        <f t="shared" si="0"/>
        <v>60.908000000000001</v>
      </c>
      <c r="AO19" s="877">
        <v>63.817999999999998</v>
      </c>
      <c r="AP19" s="878">
        <f t="shared" si="1"/>
        <v>-2.91</v>
      </c>
    </row>
    <row r="20" spans="1:42" ht="13.8">
      <c r="A20" s="873">
        <v>203</v>
      </c>
      <c r="B20" s="874">
        <v>20</v>
      </c>
      <c r="C20" s="875">
        <v>13.882</v>
      </c>
      <c r="D20" s="875">
        <v>0</v>
      </c>
      <c r="E20" s="875">
        <v>7.7430000000000003</v>
      </c>
      <c r="F20" s="875">
        <v>0</v>
      </c>
      <c r="G20" s="875">
        <v>0</v>
      </c>
      <c r="H20" s="875">
        <v>13.021000000000001</v>
      </c>
      <c r="I20" s="875">
        <v>0</v>
      </c>
      <c r="J20" s="875">
        <v>0</v>
      </c>
      <c r="K20" s="875">
        <v>0</v>
      </c>
      <c r="L20" s="875">
        <v>0</v>
      </c>
      <c r="M20" s="875">
        <v>0</v>
      </c>
      <c r="N20" s="875">
        <v>0</v>
      </c>
      <c r="O20" s="875">
        <v>0</v>
      </c>
      <c r="P20" s="875">
        <v>0</v>
      </c>
      <c r="Q20" s="875">
        <v>0</v>
      </c>
      <c r="R20" s="875">
        <v>0</v>
      </c>
      <c r="S20" s="875"/>
      <c r="T20" s="875">
        <v>2.476</v>
      </c>
      <c r="U20" s="4611">
        <v>20</v>
      </c>
      <c r="V20" s="4608">
        <v>13.961</v>
      </c>
      <c r="W20" s="4608">
        <v>0</v>
      </c>
      <c r="X20" s="4611">
        <v>8</v>
      </c>
      <c r="Y20" s="4611">
        <v>0</v>
      </c>
      <c r="Z20" s="4611">
        <v>0</v>
      </c>
      <c r="AA20" s="4611">
        <v>12.999000000000001</v>
      </c>
      <c r="AB20" s="4611">
        <v>0</v>
      </c>
      <c r="AC20" s="4611">
        <v>0</v>
      </c>
      <c r="AD20" s="4611">
        <v>0</v>
      </c>
      <c r="AE20" s="4611">
        <v>0</v>
      </c>
      <c r="AF20" s="4611">
        <v>0</v>
      </c>
      <c r="AG20" s="4611">
        <v>0</v>
      </c>
      <c r="AH20" s="4611">
        <v>0</v>
      </c>
      <c r="AI20" s="4611">
        <v>0</v>
      </c>
      <c r="AJ20" s="4611">
        <v>0</v>
      </c>
      <c r="AK20" s="4611">
        <v>0</v>
      </c>
      <c r="AL20" s="4612"/>
      <c r="AM20" s="4611">
        <v>2.2480000000000002</v>
      </c>
      <c r="AN20" s="876">
        <f t="shared" si="0"/>
        <v>57.207999999999998</v>
      </c>
      <c r="AO20" s="877">
        <v>57.122</v>
      </c>
      <c r="AP20" s="878">
        <f t="shared" si="1"/>
        <v>8.5999999999999993E-2</v>
      </c>
    </row>
    <row r="21" spans="1:42" ht="13.8">
      <c r="A21" s="873">
        <v>204</v>
      </c>
      <c r="B21" s="874">
        <v>20</v>
      </c>
      <c r="C21" s="875">
        <v>15.49</v>
      </c>
      <c r="D21" s="875">
        <v>0</v>
      </c>
      <c r="E21" s="875">
        <v>8</v>
      </c>
      <c r="F21" s="875">
        <v>0</v>
      </c>
      <c r="G21" s="875">
        <v>0</v>
      </c>
      <c r="H21" s="875">
        <v>18.869</v>
      </c>
      <c r="I21" s="875">
        <v>0</v>
      </c>
      <c r="J21" s="875">
        <v>0</v>
      </c>
      <c r="K21" s="875">
        <v>0</v>
      </c>
      <c r="L21" s="875">
        <v>0</v>
      </c>
      <c r="M21" s="875">
        <v>0</v>
      </c>
      <c r="N21" s="875">
        <v>0</v>
      </c>
      <c r="O21" s="875">
        <v>0</v>
      </c>
      <c r="P21" s="875">
        <v>0</v>
      </c>
      <c r="Q21" s="875">
        <v>0</v>
      </c>
      <c r="R21" s="875">
        <v>0</v>
      </c>
      <c r="S21" s="875"/>
      <c r="T21" s="875">
        <v>0</v>
      </c>
      <c r="U21" s="4611">
        <v>20</v>
      </c>
      <c r="V21" s="4608">
        <v>15.323</v>
      </c>
      <c r="W21" s="4608">
        <v>0</v>
      </c>
      <c r="X21" s="4611">
        <v>7.61</v>
      </c>
      <c r="Y21" s="4611">
        <v>0</v>
      </c>
      <c r="Z21" s="4611">
        <v>0</v>
      </c>
      <c r="AA21" s="4611">
        <v>17.978000000000002</v>
      </c>
      <c r="AB21" s="4611">
        <v>0</v>
      </c>
      <c r="AC21" s="4611">
        <v>0</v>
      </c>
      <c r="AD21" s="4611">
        <v>0</v>
      </c>
      <c r="AE21" s="4611">
        <v>0</v>
      </c>
      <c r="AF21" s="4611">
        <v>0</v>
      </c>
      <c r="AG21" s="4611">
        <v>0</v>
      </c>
      <c r="AH21" s="4611">
        <v>0</v>
      </c>
      <c r="AI21" s="4611">
        <v>0</v>
      </c>
      <c r="AJ21" s="4611">
        <v>0</v>
      </c>
      <c r="AK21" s="4611">
        <v>0</v>
      </c>
      <c r="AL21" s="4612"/>
      <c r="AM21" s="4611">
        <v>0</v>
      </c>
      <c r="AN21" s="876">
        <f t="shared" si="0"/>
        <v>60.911000000000001</v>
      </c>
      <c r="AO21" s="877">
        <v>62.359000000000002</v>
      </c>
      <c r="AP21" s="878">
        <f t="shared" si="1"/>
        <v>-1.448</v>
      </c>
    </row>
    <row r="22" spans="1:42" ht="13.8">
      <c r="A22" s="873">
        <v>205</v>
      </c>
      <c r="B22" s="874">
        <v>20</v>
      </c>
      <c r="C22" s="875">
        <v>17.614000000000001</v>
      </c>
      <c r="D22" s="875">
        <v>0</v>
      </c>
      <c r="E22" s="875">
        <v>7.923</v>
      </c>
      <c r="F22" s="875">
        <v>0</v>
      </c>
      <c r="G22" s="875">
        <v>0</v>
      </c>
      <c r="H22" s="875">
        <v>0</v>
      </c>
      <c r="I22" s="875">
        <v>0</v>
      </c>
      <c r="J22" s="875">
        <v>0</v>
      </c>
      <c r="K22" s="875">
        <v>0</v>
      </c>
      <c r="L22" s="875">
        <v>0</v>
      </c>
      <c r="M22" s="875">
        <v>0</v>
      </c>
      <c r="N22" s="875">
        <v>0</v>
      </c>
      <c r="O22" s="875">
        <v>0</v>
      </c>
      <c r="P22" s="875">
        <v>0</v>
      </c>
      <c r="Q22" s="875">
        <v>0</v>
      </c>
      <c r="R22" s="875">
        <v>0</v>
      </c>
      <c r="S22" s="875"/>
      <c r="T22" s="875">
        <v>0</v>
      </c>
      <c r="U22" s="4611">
        <v>20</v>
      </c>
      <c r="V22" s="4608">
        <v>16.128</v>
      </c>
      <c r="W22" s="4608">
        <v>0</v>
      </c>
      <c r="X22" s="4611">
        <v>7.9980000000000002</v>
      </c>
      <c r="Y22" s="4611">
        <v>0</v>
      </c>
      <c r="Z22" s="4611">
        <v>0</v>
      </c>
      <c r="AA22" s="4611">
        <v>0</v>
      </c>
      <c r="AB22" s="4611">
        <v>0</v>
      </c>
      <c r="AC22" s="4611">
        <v>0</v>
      </c>
      <c r="AD22" s="4611">
        <v>0</v>
      </c>
      <c r="AE22" s="4611">
        <v>0</v>
      </c>
      <c r="AF22" s="4611">
        <v>0</v>
      </c>
      <c r="AG22" s="4611">
        <v>0</v>
      </c>
      <c r="AH22" s="4611">
        <v>0</v>
      </c>
      <c r="AI22" s="4611">
        <v>0</v>
      </c>
      <c r="AJ22" s="4611">
        <v>0</v>
      </c>
      <c r="AK22" s="4611">
        <v>0</v>
      </c>
      <c r="AL22" s="4612"/>
      <c r="AM22" s="4611">
        <v>0</v>
      </c>
      <c r="AN22" s="876">
        <f t="shared" si="0"/>
        <v>44.125999999999998</v>
      </c>
      <c r="AO22" s="877">
        <v>45.536999999999999</v>
      </c>
      <c r="AP22" s="878">
        <f t="shared" si="1"/>
        <v>-1.411</v>
      </c>
    </row>
    <row r="23" spans="1:42" ht="13.8">
      <c r="A23" s="873">
        <v>206</v>
      </c>
      <c r="B23" s="874">
        <v>20</v>
      </c>
      <c r="C23" s="875">
        <v>18.681999999999999</v>
      </c>
      <c r="D23" s="875">
        <v>0</v>
      </c>
      <c r="E23" s="875">
        <v>5.5039999999999996</v>
      </c>
      <c r="F23" s="875">
        <v>0</v>
      </c>
      <c r="G23" s="875">
        <v>0</v>
      </c>
      <c r="H23" s="875">
        <v>14.226000000000001</v>
      </c>
      <c r="I23" s="875">
        <v>0</v>
      </c>
      <c r="J23" s="875">
        <v>0</v>
      </c>
      <c r="K23" s="875">
        <v>0</v>
      </c>
      <c r="L23" s="875">
        <v>0</v>
      </c>
      <c r="M23" s="875">
        <v>0</v>
      </c>
      <c r="N23" s="875">
        <v>0</v>
      </c>
      <c r="O23" s="875">
        <v>0</v>
      </c>
      <c r="P23" s="875">
        <v>0</v>
      </c>
      <c r="Q23" s="875">
        <v>0</v>
      </c>
      <c r="R23" s="875">
        <v>0</v>
      </c>
      <c r="S23" s="875"/>
      <c r="T23" s="875">
        <v>0</v>
      </c>
      <c r="U23" s="4611">
        <v>20</v>
      </c>
      <c r="V23" s="4608">
        <v>18.957999999999998</v>
      </c>
      <c r="W23" s="4608">
        <v>0</v>
      </c>
      <c r="X23" s="4611">
        <v>5.5</v>
      </c>
      <c r="Y23" s="4611">
        <v>0</v>
      </c>
      <c r="Z23" s="4611">
        <v>0</v>
      </c>
      <c r="AA23" s="4611">
        <v>13.818</v>
      </c>
      <c r="AB23" s="4611">
        <v>0</v>
      </c>
      <c r="AC23" s="4611">
        <v>0</v>
      </c>
      <c r="AD23" s="4611">
        <v>0</v>
      </c>
      <c r="AE23" s="4611">
        <v>0</v>
      </c>
      <c r="AF23" s="4611">
        <v>0</v>
      </c>
      <c r="AG23" s="4611">
        <v>0</v>
      </c>
      <c r="AH23" s="4611">
        <v>0</v>
      </c>
      <c r="AI23" s="4611">
        <v>0</v>
      </c>
      <c r="AJ23" s="4611">
        <v>0</v>
      </c>
      <c r="AK23" s="4611">
        <v>0</v>
      </c>
      <c r="AL23" s="4612"/>
      <c r="AM23" s="4611">
        <v>0</v>
      </c>
      <c r="AN23" s="876">
        <f t="shared" si="0"/>
        <v>58.276000000000003</v>
      </c>
      <c r="AO23" s="877">
        <v>58.411999999999999</v>
      </c>
      <c r="AP23" s="878">
        <f t="shared" si="1"/>
        <v>-0.13600000000000001</v>
      </c>
    </row>
    <row r="24" spans="1:42" ht="13.8">
      <c r="A24" s="873">
        <v>207</v>
      </c>
      <c r="B24" s="874">
        <v>20</v>
      </c>
      <c r="C24" s="875">
        <v>11.148</v>
      </c>
      <c r="D24" s="875">
        <v>0</v>
      </c>
      <c r="E24" s="875">
        <v>3.964</v>
      </c>
      <c r="F24" s="875">
        <v>0</v>
      </c>
      <c r="G24" s="875">
        <v>0</v>
      </c>
      <c r="H24" s="875">
        <v>0</v>
      </c>
      <c r="I24" s="875">
        <v>0</v>
      </c>
      <c r="J24" s="875">
        <v>0</v>
      </c>
      <c r="K24" s="875">
        <v>0</v>
      </c>
      <c r="L24" s="875">
        <v>0</v>
      </c>
      <c r="M24" s="875">
        <v>0</v>
      </c>
      <c r="N24" s="875">
        <v>0</v>
      </c>
      <c r="O24" s="875">
        <v>0</v>
      </c>
      <c r="P24" s="875">
        <v>0</v>
      </c>
      <c r="Q24" s="875">
        <v>0</v>
      </c>
      <c r="R24" s="875">
        <v>0</v>
      </c>
      <c r="S24" s="875"/>
      <c r="T24" s="875">
        <v>0</v>
      </c>
      <c r="U24" s="4611">
        <v>20</v>
      </c>
      <c r="V24" s="4608">
        <v>11.036</v>
      </c>
      <c r="W24" s="4608">
        <v>0</v>
      </c>
      <c r="X24" s="4611">
        <v>3.9710000000000001</v>
      </c>
      <c r="Y24" s="4611">
        <v>0</v>
      </c>
      <c r="Z24" s="4611">
        <v>0</v>
      </c>
      <c r="AA24" s="4611">
        <v>0</v>
      </c>
      <c r="AB24" s="4611">
        <v>0</v>
      </c>
      <c r="AC24" s="4611">
        <v>0</v>
      </c>
      <c r="AD24" s="4611">
        <v>0</v>
      </c>
      <c r="AE24" s="4611">
        <v>0</v>
      </c>
      <c r="AF24" s="4611">
        <v>0</v>
      </c>
      <c r="AG24" s="4611">
        <v>0</v>
      </c>
      <c r="AH24" s="4611">
        <v>0</v>
      </c>
      <c r="AI24" s="4611">
        <v>0</v>
      </c>
      <c r="AJ24" s="4611">
        <v>0</v>
      </c>
      <c r="AK24" s="4611">
        <v>0</v>
      </c>
      <c r="AL24" s="4612"/>
      <c r="AM24" s="4611">
        <v>0</v>
      </c>
      <c r="AN24" s="876">
        <f t="shared" si="0"/>
        <v>35.006999999999998</v>
      </c>
      <c r="AO24" s="877">
        <v>35.112000000000002</v>
      </c>
      <c r="AP24" s="878">
        <f t="shared" si="1"/>
        <v>-0.105</v>
      </c>
    </row>
    <row r="25" spans="1:42" ht="13.8">
      <c r="A25" s="873">
        <v>208</v>
      </c>
      <c r="B25" s="874">
        <v>20</v>
      </c>
      <c r="C25" s="875">
        <v>16.765999999999998</v>
      </c>
      <c r="D25" s="875">
        <v>0</v>
      </c>
      <c r="E25" s="875">
        <v>7.9980000000000002</v>
      </c>
      <c r="F25" s="875">
        <v>0</v>
      </c>
      <c r="G25" s="875">
        <v>0</v>
      </c>
      <c r="H25" s="875">
        <v>4.0910000000000002</v>
      </c>
      <c r="I25" s="875">
        <v>0</v>
      </c>
      <c r="J25" s="875">
        <v>0</v>
      </c>
      <c r="K25" s="875">
        <v>0</v>
      </c>
      <c r="L25" s="875">
        <v>0</v>
      </c>
      <c r="M25" s="875">
        <v>0</v>
      </c>
      <c r="N25" s="875">
        <v>0</v>
      </c>
      <c r="O25" s="875">
        <v>0</v>
      </c>
      <c r="P25" s="875">
        <v>3.9950000000000001</v>
      </c>
      <c r="Q25" s="875">
        <v>0.28299999999999997</v>
      </c>
      <c r="R25" s="875">
        <v>0</v>
      </c>
      <c r="S25" s="875"/>
      <c r="T25" s="875">
        <v>0</v>
      </c>
      <c r="U25" s="4611">
        <v>20</v>
      </c>
      <c r="V25" s="4608">
        <v>17.635999999999999</v>
      </c>
      <c r="W25" s="4608">
        <v>0</v>
      </c>
      <c r="X25" s="4611">
        <v>6.9980000000000002</v>
      </c>
      <c r="Y25" s="4611">
        <v>0</v>
      </c>
      <c r="Z25" s="4611">
        <v>0</v>
      </c>
      <c r="AA25" s="4611">
        <v>4.2649999999999997</v>
      </c>
      <c r="AB25" s="4611">
        <v>0</v>
      </c>
      <c r="AC25" s="4611">
        <v>0</v>
      </c>
      <c r="AD25" s="4611">
        <v>0</v>
      </c>
      <c r="AE25" s="4611">
        <v>0</v>
      </c>
      <c r="AF25" s="4611">
        <v>0</v>
      </c>
      <c r="AG25" s="4611">
        <v>0</v>
      </c>
      <c r="AH25" s="4611">
        <v>0</v>
      </c>
      <c r="AI25" s="4611">
        <v>2.9580000000000002</v>
      </c>
      <c r="AJ25" s="4611">
        <v>0.29499999999999998</v>
      </c>
      <c r="AK25" s="4611">
        <v>0</v>
      </c>
      <c r="AL25" s="4612"/>
      <c r="AM25" s="4611">
        <v>0</v>
      </c>
      <c r="AN25" s="876">
        <f t="shared" si="0"/>
        <v>52.152000000000001</v>
      </c>
      <c r="AO25" s="877">
        <v>53.133000000000003</v>
      </c>
      <c r="AP25" s="878">
        <f t="shared" si="1"/>
        <v>-0.98099999999999998</v>
      </c>
    </row>
    <row r="26" spans="1:42" ht="13.8">
      <c r="A26" s="873">
        <v>209</v>
      </c>
      <c r="B26" s="874">
        <v>20</v>
      </c>
      <c r="C26" s="875">
        <v>19.071999999999999</v>
      </c>
      <c r="D26" s="875">
        <v>0</v>
      </c>
      <c r="E26" s="875">
        <v>8</v>
      </c>
      <c r="F26" s="875">
        <v>0</v>
      </c>
      <c r="G26" s="875">
        <v>0</v>
      </c>
      <c r="H26" s="875">
        <v>0</v>
      </c>
      <c r="I26" s="875">
        <v>0</v>
      </c>
      <c r="J26" s="875">
        <v>0</v>
      </c>
      <c r="K26" s="875">
        <v>0</v>
      </c>
      <c r="L26" s="875">
        <v>0</v>
      </c>
      <c r="M26" s="875">
        <v>0</v>
      </c>
      <c r="N26" s="875">
        <v>0</v>
      </c>
      <c r="O26" s="875">
        <v>0</v>
      </c>
      <c r="P26" s="875">
        <v>3</v>
      </c>
      <c r="Q26" s="875">
        <v>0.44400000000000001</v>
      </c>
      <c r="R26" s="875">
        <v>0</v>
      </c>
      <c r="S26" s="875"/>
      <c r="T26" s="875">
        <v>0</v>
      </c>
      <c r="U26" s="4611">
        <v>20</v>
      </c>
      <c r="V26" s="4608">
        <v>23.292999999999999</v>
      </c>
      <c r="W26" s="4608">
        <v>0</v>
      </c>
      <c r="X26" s="4611">
        <v>8</v>
      </c>
      <c r="Y26" s="4611">
        <v>0</v>
      </c>
      <c r="Z26" s="4611">
        <v>0</v>
      </c>
      <c r="AA26" s="4611">
        <v>0</v>
      </c>
      <c r="AB26" s="4611">
        <v>0</v>
      </c>
      <c r="AC26" s="4611">
        <v>0</v>
      </c>
      <c r="AD26" s="4611">
        <v>0</v>
      </c>
      <c r="AE26" s="4611">
        <v>0</v>
      </c>
      <c r="AF26" s="4611">
        <v>0</v>
      </c>
      <c r="AG26" s="4611">
        <v>0</v>
      </c>
      <c r="AH26" s="4611">
        <v>0</v>
      </c>
      <c r="AI26" s="4611">
        <v>3</v>
      </c>
      <c r="AJ26" s="4611">
        <v>0</v>
      </c>
      <c r="AK26" s="4611">
        <v>0</v>
      </c>
      <c r="AL26" s="4612"/>
      <c r="AM26" s="4611">
        <v>0</v>
      </c>
      <c r="AN26" s="876">
        <f t="shared" si="0"/>
        <v>54.292999999999999</v>
      </c>
      <c r="AO26" s="877">
        <v>50.515999999999998</v>
      </c>
      <c r="AP26" s="878">
        <f t="shared" si="1"/>
        <v>3.7770000000000001</v>
      </c>
    </row>
    <row r="27" spans="1:42" ht="13.8">
      <c r="A27" s="873">
        <v>210</v>
      </c>
      <c r="B27" s="874">
        <v>20</v>
      </c>
      <c r="C27" s="875">
        <v>16.649000000000001</v>
      </c>
      <c r="D27" s="875">
        <v>0</v>
      </c>
      <c r="E27" s="875">
        <v>8</v>
      </c>
      <c r="F27" s="875">
        <v>0</v>
      </c>
      <c r="G27" s="875">
        <v>0</v>
      </c>
      <c r="H27" s="875">
        <v>16.414000000000001</v>
      </c>
      <c r="I27" s="875">
        <v>0</v>
      </c>
      <c r="J27" s="875">
        <v>0</v>
      </c>
      <c r="K27" s="875">
        <v>0</v>
      </c>
      <c r="L27" s="875">
        <v>0</v>
      </c>
      <c r="M27" s="875">
        <v>0</v>
      </c>
      <c r="N27" s="875">
        <v>0</v>
      </c>
      <c r="O27" s="875">
        <v>0</v>
      </c>
      <c r="P27" s="875">
        <v>5</v>
      </c>
      <c r="Q27" s="875">
        <v>1.111</v>
      </c>
      <c r="R27" s="875">
        <v>0</v>
      </c>
      <c r="S27" s="875"/>
      <c r="T27" s="875">
        <v>0</v>
      </c>
      <c r="U27" s="4611">
        <v>20</v>
      </c>
      <c r="V27" s="4608">
        <v>22.571999999999999</v>
      </c>
      <c r="W27" s="4608">
        <v>0</v>
      </c>
      <c r="X27" s="4611">
        <v>8</v>
      </c>
      <c r="Y27" s="4611">
        <v>0</v>
      </c>
      <c r="Z27" s="4611">
        <v>0</v>
      </c>
      <c r="AA27" s="4611">
        <v>15.077999999999999</v>
      </c>
      <c r="AB27" s="4611">
        <v>0</v>
      </c>
      <c r="AC27" s="4611">
        <v>0</v>
      </c>
      <c r="AD27" s="4611">
        <v>0</v>
      </c>
      <c r="AE27" s="4611">
        <v>0</v>
      </c>
      <c r="AF27" s="4611">
        <v>0</v>
      </c>
      <c r="AG27" s="4611">
        <v>0</v>
      </c>
      <c r="AH27" s="4611">
        <v>0</v>
      </c>
      <c r="AI27" s="4611">
        <v>5</v>
      </c>
      <c r="AJ27" s="4611">
        <v>1.3540000000000001</v>
      </c>
      <c r="AK27" s="4611">
        <v>0</v>
      </c>
      <c r="AL27" s="4612"/>
      <c r="AM27" s="4611">
        <v>0</v>
      </c>
      <c r="AN27" s="876">
        <f t="shared" si="0"/>
        <v>72.004000000000005</v>
      </c>
      <c r="AO27" s="877">
        <v>67.174000000000007</v>
      </c>
      <c r="AP27" s="878">
        <f t="shared" si="1"/>
        <v>4.83</v>
      </c>
    </row>
    <row r="28" spans="1:42" ht="13.8">
      <c r="A28" s="873">
        <v>211</v>
      </c>
      <c r="B28" s="874">
        <v>20</v>
      </c>
      <c r="C28" s="875">
        <v>17.068999999999999</v>
      </c>
      <c r="D28" s="875">
        <v>0</v>
      </c>
      <c r="E28" s="875">
        <v>5.5</v>
      </c>
      <c r="F28" s="875">
        <v>0</v>
      </c>
      <c r="G28" s="875">
        <v>0</v>
      </c>
      <c r="H28" s="875">
        <v>8.77</v>
      </c>
      <c r="I28" s="875">
        <v>0</v>
      </c>
      <c r="J28" s="875">
        <v>0</v>
      </c>
      <c r="K28" s="875">
        <v>0</v>
      </c>
      <c r="L28" s="875">
        <v>0</v>
      </c>
      <c r="M28" s="875">
        <v>0</v>
      </c>
      <c r="N28" s="875">
        <v>0</v>
      </c>
      <c r="O28" s="875">
        <v>0</v>
      </c>
      <c r="P28" s="875">
        <v>3</v>
      </c>
      <c r="Q28" s="875">
        <v>0</v>
      </c>
      <c r="R28" s="875">
        <v>0</v>
      </c>
      <c r="S28" s="875"/>
      <c r="T28" s="875">
        <v>0</v>
      </c>
      <c r="U28" s="4611">
        <v>20</v>
      </c>
      <c r="V28" s="4608">
        <v>16.683</v>
      </c>
      <c r="W28" s="4608">
        <v>0</v>
      </c>
      <c r="X28" s="4611">
        <v>5.4969999999999999</v>
      </c>
      <c r="Y28" s="4611">
        <v>0</v>
      </c>
      <c r="Z28" s="4611">
        <v>0</v>
      </c>
      <c r="AA28" s="4611">
        <v>9.0980000000000008</v>
      </c>
      <c r="AB28" s="4611">
        <v>0</v>
      </c>
      <c r="AC28" s="4611">
        <v>0</v>
      </c>
      <c r="AD28" s="4611">
        <v>0</v>
      </c>
      <c r="AE28" s="4611">
        <v>0</v>
      </c>
      <c r="AF28" s="4611">
        <v>0</v>
      </c>
      <c r="AG28" s="4611">
        <v>0</v>
      </c>
      <c r="AH28" s="4611">
        <v>0</v>
      </c>
      <c r="AI28" s="4611">
        <v>2.9980000000000002</v>
      </c>
      <c r="AJ28" s="4611">
        <v>0</v>
      </c>
      <c r="AK28" s="4611">
        <v>0</v>
      </c>
      <c r="AL28" s="4612"/>
      <c r="AM28" s="4611">
        <v>0</v>
      </c>
      <c r="AN28" s="876">
        <f t="shared" si="0"/>
        <v>54.276000000000003</v>
      </c>
      <c r="AO28" s="877">
        <v>54.338999999999999</v>
      </c>
      <c r="AP28" s="878">
        <f t="shared" si="1"/>
        <v>-6.3E-2</v>
      </c>
    </row>
    <row r="29" spans="1:42" ht="13.8">
      <c r="A29" s="873">
        <v>212</v>
      </c>
      <c r="B29" s="874">
        <v>20</v>
      </c>
      <c r="C29" s="875">
        <v>21.952000000000002</v>
      </c>
      <c r="D29" s="875">
        <v>0</v>
      </c>
      <c r="E29" s="875">
        <v>7.9960000000000004</v>
      </c>
      <c r="F29" s="875">
        <v>0</v>
      </c>
      <c r="G29" s="875">
        <v>0</v>
      </c>
      <c r="H29" s="875">
        <v>0</v>
      </c>
      <c r="I29" s="875">
        <v>0</v>
      </c>
      <c r="J29" s="875">
        <v>0</v>
      </c>
      <c r="K29" s="875">
        <v>0</v>
      </c>
      <c r="L29" s="875">
        <v>0</v>
      </c>
      <c r="M29" s="875">
        <v>0</v>
      </c>
      <c r="N29" s="875">
        <v>0</v>
      </c>
      <c r="O29" s="875">
        <v>0</v>
      </c>
      <c r="P29" s="875">
        <v>0</v>
      </c>
      <c r="Q29" s="875">
        <v>0</v>
      </c>
      <c r="R29" s="875">
        <v>0</v>
      </c>
      <c r="S29" s="875"/>
      <c r="T29" s="875">
        <v>0</v>
      </c>
      <c r="U29" s="4611">
        <v>20</v>
      </c>
      <c r="V29" s="4608">
        <v>23.71</v>
      </c>
      <c r="W29" s="4608">
        <v>0</v>
      </c>
      <c r="X29" s="4611">
        <v>8</v>
      </c>
      <c r="Y29" s="4611">
        <v>0</v>
      </c>
      <c r="Z29" s="4611">
        <v>0</v>
      </c>
      <c r="AA29" s="4611">
        <v>0</v>
      </c>
      <c r="AB29" s="4611">
        <v>0</v>
      </c>
      <c r="AC29" s="4611">
        <v>0</v>
      </c>
      <c r="AD29" s="4611">
        <v>0</v>
      </c>
      <c r="AE29" s="4611">
        <v>0</v>
      </c>
      <c r="AF29" s="4611">
        <v>0</v>
      </c>
      <c r="AG29" s="4611">
        <v>0</v>
      </c>
      <c r="AH29" s="4611">
        <v>0</v>
      </c>
      <c r="AI29" s="4611">
        <v>0</v>
      </c>
      <c r="AJ29" s="4611">
        <v>0</v>
      </c>
      <c r="AK29" s="4611">
        <v>0</v>
      </c>
      <c r="AL29" s="4612"/>
      <c r="AM29" s="4611">
        <v>0</v>
      </c>
      <c r="AN29" s="876">
        <f t="shared" si="0"/>
        <v>51.71</v>
      </c>
      <c r="AO29" s="877">
        <v>49.948</v>
      </c>
      <c r="AP29" s="878">
        <f t="shared" si="1"/>
        <v>1.762</v>
      </c>
    </row>
    <row r="30" spans="1:42" ht="13.8">
      <c r="A30" s="873">
        <v>214</v>
      </c>
      <c r="B30" s="874">
        <v>20</v>
      </c>
      <c r="C30" s="875">
        <v>14.845000000000001</v>
      </c>
      <c r="D30" s="875">
        <v>0</v>
      </c>
      <c r="E30" s="875">
        <v>5</v>
      </c>
      <c r="F30" s="875">
        <v>0</v>
      </c>
      <c r="G30" s="875">
        <v>0</v>
      </c>
      <c r="H30" s="875">
        <v>0</v>
      </c>
      <c r="I30" s="875">
        <v>0</v>
      </c>
      <c r="J30" s="875">
        <v>0</v>
      </c>
      <c r="K30" s="875">
        <v>0</v>
      </c>
      <c r="L30" s="875">
        <v>0</v>
      </c>
      <c r="M30" s="875">
        <v>0</v>
      </c>
      <c r="N30" s="875">
        <v>0</v>
      </c>
      <c r="O30" s="875">
        <v>0</v>
      </c>
      <c r="P30" s="875">
        <v>6</v>
      </c>
      <c r="Q30" s="875">
        <v>1.74</v>
      </c>
      <c r="R30" s="875">
        <v>0</v>
      </c>
      <c r="S30" s="875"/>
      <c r="T30" s="875">
        <v>0</v>
      </c>
      <c r="U30" s="4611">
        <v>20</v>
      </c>
      <c r="V30" s="4608">
        <v>18.498000000000001</v>
      </c>
      <c r="W30" s="4608">
        <v>0</v>
      </c>
      <c r="X30" s="4611">
        <v>6</v>
      </c>
      <c r="Y30" s="4611">
        <v>0</v>
      </c>
      <c r="Z30" s="4611">
        <v>0</v>
      </c>
      <c r="AA30" s="4611">
        <v>0</v>
      </c>
      <c r="AB30" s="4611">
        <v>0</v>
      </c>
      <c r="AC30" s="4611">
        <v>0</v>
      </c>
      <c r="AD30" s="4611">
        <v>0</v>
      </c>
      <c r="AE30" s="4611">
        <v>0</v>
      </c>
      <c r="AF30" s="4611">
        <v>0</v>
      </c>
      <c r="AG30" s="4611">
        <v>0</v>
      </c>
      <c r="AH30" s="4611">
        <v>0</v>
      </c>
      <c r="AI30" s="4611">
        <v>6</v>
      </c>
      <c r="AJ30" s="4611">
        <v>1.41</v>
      </c>
      <c r="AK30" s="4611">
        <v>0</v>
      </c>
      <c r="AL30" s="4612"/>
      <c r="AM30" s="4611">
        <v>0</v>
      </c>
      <c r="AN30" s="876">
        <f t="shared" si="0"/>
        <v>51.908000000000001</v>
      </c>
      <c r="AO30" s="877">
        <v>47.585000000000001</v>
      </c>
      <c r="AP30" s="878">
        <f t="shared" si="1"/>
        <v>4.3230000000000004</v>
      </c>
    </row>
    <row r="31" spans="1:42" ht="13.8">
      <c r="A31" s="873">
        <v>215</v>
      </c>
      <c r="B31" s="874">
        <v>20</v>
      </c>
      <c r="C31" s="875">
        <v>15.695</v>
      </c>
      <c r="D31" s="875">
        <v>0</v>
      </c>
      <c r="E31" s="875">
        <v>7.9930000000000003</v>
      </c>
      <c r="F31" s="875">
        <v>0</v>
      </c>
      <c r="G31" s="875">
        <v>0</v>
      </c>
      <c r="H31" s="875">
        <v>0</v>
      </c>
      <c r="I31" s="875">
        <v>0</v>
      </c>
      <c r="J31" s="875">
        <v>0</v>
      </c>
      <c r="K31" s="875">
        <v>0</v>
      </c>
      <c r="L31" s="875">
        <v>0</v>
      </c>
      <c r="M31" s="875">
        <v>0</v>
      </c>
      <c r="N31" s="875">
        <v>0</v>
      </c>
      <c r="O31" s="875">
        <v>0</v>
      </c>
      <c r="P31" s="875">
        <v>4.9960000000000004</v>
      </c>
      <c r="Q31" s="875">
        <v>0</v>
      </c>
      <c r="R31" s="875">
        <v>0</v>
      </c>
      <c r="S31" s="875"/>
      <c r="T31" s="875">
        <v>0</v>
      </c>
      <c r="U31" s="4611">
        <v>20</v>
      </c>
      <c r="V31" s="4608">
        <v>22.024000000000001</v>
      </c>
      <c r="W31" s="4608">
        <v>0</v>
      </c>
      <c r="X31" s="4611">
        <v>7.9930000000000003</v>
      </c>
      <c r="Y31" s="4611">
        <v>0</v>
      </c>
      <c r="Z31" s="4611">
        <v>0</v>
      </c>
      <c r="AA31" s="4611">
        <v>0</v>
      </c>
      <c r="AB31" s="4611">
        <v>0</v>
      </c>
      <c r="AC31" s="4611">
        <v>0</v>
      </c>
      <c r="AD31" s="4611">
        <v>0</v>
      </c>
      <c r="AE31" s="4611">
        <v>0</v>
      </c>
      <c r="AF31" s="4611">
        <v>0</v>
      </c>
      <c r="AG31" s="4611">
        <v>0</v>
      </c>
      <c r="AH31" s="4611">
        <v>0</v>
      </c>
      <c r="AI31" s="4611">
        <v>4.9960000000000004</v>
      </c>
      <c r="AJ31" s="4611">
        <v>0</v>
      </c>
      <c r="AK31" s="4611">
        <v>0</v>
      </c>
      <c r="AL31" s="4612"/>
      <c r="AM31" s="4611">
        <v>0</v>
      </c>
      <c r="AN31" s="876">
        <f t="shared" si="0"/>
        <v>55.012999999999998</v>
      </c>
      <c r="AO31" s="877">
        <v>48.683999999999997</v>
      </c>
      <c r="AP31" s="878">
        <f t="shared" si="1"/>
        <v>6.3289999999999997</v>
      </c>
    </row>
    <row r="32" spans="1:42" ht="13.8">
      <c r="A32" s="873">
        <v>216</v>
      </c>
      <c r="B32" s="874">
        <v>20</v>
      </c>
      <c r="C32" s="875">
        <v>20.67</v>
      </c>
      <c r="D32" s="875">
        <v>0</v>
      </c>
      <c r="E32" s="875">
        <v>7.9960000000000004</v>
      </c>
      <c r="F32" s="875">
        <v>0</v>
      </c>
      <c r="G32" s="875">
        <v>0</v>
      </c>
      <c r="H32" s="875">
        <v>0</v>
      </c>
      <c r="I32" s="875">
        <v>0</v>
      </c>
      <c r="J32" s="875">
        <v>0</v>
      </c>
      <c r="K32" s="875">
        <v>0</v>
      </c>
      <c r="L32" s="875">
        <v>0</v>
      </c>
      <c r="M32" s="875">
        <v>0</v>
      </c>
      <c r="N32" s="875">
        <v>0</v>
      </c>
      <c r="O32" s="875">
        <v>0</v>
      </c>
      <c r="P32" s="875">
        <v>4.9980000000000002</v>
      </c>
      <c r="Q32" s="875">
        <v>1</v>
      </c>
      <c r="R32" s="875">
        <v>0</v>
      </c>
      <c r="S32" s="875"/>
      <c r="T32" s="875">
        <v>0</v>
      </c>
      <c r="U32" s="4611">
        <v>20</v>
      </c>
      <c r="V32" s="4608">
        <v>23.041</v>
      </c>
      <c r="W32" s="4608">
        <v>0</v>
      </c>
      <c r="X32" s="4611">
        <v>8</v>
      </c>
      <c r="Y32" s="4611">
        <v>0</v>
      </c>
      <c r="Z32" s="4611">
        <v>0</v>
      </c>
      <c r="AA32" s="4611">
        <v>0</v>
      </c>
      <c r="AB32" s="4611">
        <v>0</v>
      </c>
      <c r="AC32" s="4611">
        <v>0</v>
      </c>
      <c r="AD32" s="4611">
        <v>0</v>
      </c>
      <c r="AE32" s="4611">
        <v>0</v>
      </c>
      <c r="AF32" s="4611">
        <v>0</v>
      </c>
      <c r="AG32" s="4611">
        <v>0</v>
      </c>
      <c r="AH32" s="4611">
        <v>0</v>
      </c>
      <c r="AI32" s="4611">
        <v>5</v>
      </c>
      <c r="AJ32" s="4611">
        <v>1.002</v>
      </c>
      <c r="AK32" s="4611">
        <v>0</v>
      </c>
      <c r="AL32" s="4612"/>
      <c r="AM32" s="4611">
        <v>0</v>
      </c>
      <c r="AN32" s="876">
        <f t="shared" si="0"/>
        <v>57.042999999999999</v>
      </c>
      <c r="AO32" s="877">
        <v>54.664000000000001</v>
      </c>
      <c r="AP32" s="878">
        <f t="shared" si="1"/>
        <v>2.379</v>
      </c>
    </row>
    <row r="33" spans="1:42" ht="13.8">
      <c r="A33" s="873">
        <v>217</v>
      </c>
      <c r="B33" s="874">
        <v>20</v>
      </c>
      <c r="C33" s="875">
        <v>16.183</v>
      </c>
      <c r="D33" s="875">
        <v>0</v>
      </c>
      <c r="E33" s="875">
        <v>7.9020000000000001</v>
      </c>
      <c r="F33" s="875">
        <v>0</v>
      </c>
      <c r="G33" s="875">
        <v>0</v>
      </c>
      <c r="H33" s="875">
        <v>0</v>
      </c>
      <c r="I33" s="875">
        <v>0</v>
      </c>
      <c r="J33" s="875">
        <v>0</v>
      </c>
      <c r="K33" s="875">
        <v>0</v>
      </c>
      <c r="L33" s="875">
        <v>0</v>
      </c>
      <c r="M33" s="875">
        <v>0</v>
      </c>
      <c r="N33" s="875">
        <v>0</v>
      </c>
      <c r="O33" s="875">
        <v>0</v>
      </c>
      <c r="P33" s="875">
        <v>3.9510000000000001</v>
      </c>
      <c r="Q33" s="875">
        <v>0.33200000000000002</v>
      </c>
      <c r="R33" s="875">
        <v>0</v>
      </c>
      <c r="S33" s="875"/>
      <c r="T33" s="875">
        <v>0</v>
      </c>
      <c r="U33" s="4611">
        <v>20</v>
      </c>
      <c r="V33" s="4608">
        <v>21.585000000000001</v>
      </c>
      <c r="W33" s="4608">
        <v>0</v>
      </c>
      <c r="X33" s="4611">
        <v>7.9610000000000003</v>
      </c>
      <c r="Y33" s="4611">
        <v>0</v>
      </c>
      <c r="Z33" s="4611">
        <v>0</v>
      </c>
      <c r="AA33" s="4611">
        <v>0</v>
      </c>
      <c r="AB33" s="4611">
        <v>0</v>
      </c>
      <c r="AC33" s="4611">
        <v>0</v>
      </c>
      <c r="AD33" s="4611">
        <v>0</v>
      </c>
      <c r="AE33" s="4611">
        <v>0</v>
      </c>
      <c r="AF33" s="4611">
        <v>0</v>
      </c>
      <c r="AG33" s="4611">
        <v>0</v>
      </c>
      <c r="AH33" s="4611">
        <v>0</v>
      </c>
      <c r="AI33" s="4611">
        <v>3.9809999999999999</v>
      </c>
      <c r="AJ33" s="4611">
        <v>0</v>
      </c>
      <c r="AK33" s="4611">
        <v>0</v>
      </c>
      <c r="AL33" s="4612"/>
      <c r="AM33" s="4611">
        <v>0</v>
      </c>
      <c r="AN33" s="876">
        <f t="shared" si="0"/>
        <v>53.527000000000001</v>
      </c>
      <c r="AO33" s="877">
        <v>48.368000000000002</v>
      </c>
      <c r="AP33" s="878">
        <f t="shared" si="1"/>
        <v>5.1589999999999998</v>
      </c>
    </row>
    <row r="34" spans="1:42" ht="13.8">
      <c r="A34" s="873">
        <v>218</v>
      </c>
      <c r="B34" s="874">
        <v>20</v>
      </c>
      <c r="C34" s="875">
        <v>5.7190000000000003</v>
      </c>
      <c r="D34" s="875">
        <v>0</v>
      </c>
      <c r="E34" s="875">
        <v>3.9460000000000002</v>
      </c>
      <c r="F34" s="875">
        <v>0</v>
      </c>
      <c r="G34" s="875">
        <v>0</v>
      </c>
      <c r="H34" s="875">
        <v>0</v>
      </c>
      <c r="I34" s="875">
        <v>0</v>
      </c>
      <c r="J34" s="875">
        <v>0</v>
      </c>
      <c r="K34" s="875">
        <v>0</v>
      </c>
      <c r="L34" s="875">
        <v>0</v>
      </c>
      <c r="M34" s="875">
        <v>0</v>
      </c>
      <c r="N34" s="875">
        <v>0</v>
      </c>
      <c r="O34" s="875">
        <v>0</v>
      </c>
      <c r="P34" s="875">
        <v>2.96</v>
      </c>
      <c r="Q34" s="875">
        <v>0</v>
      </c>
      <c r="R34" s="875">
        <v>0</v>
      </c>
      <c r="S34" s="875"/>
      <c r="T34" s="875">
        <v>0</v>
      </c>
      <c r="U34" s="4611">
        <v>20</v>
      </c>
      <c r="V34" s="4608">
        <v>8.51</v>
      </c>
      <c r="W34" s="4608">
        <v>0</v>
      </c>
      <c r="X34" s="4611">
        <v>3.952</v>
      </c>
      <c r="Y34" s="4611">
        <v>0</v>
      </c>
      <c r="Z34" s="4611">
        <v>0</v>
      </c>
      <c r="AA34" s="4611">
        <v>0</v>
      </c>
      <c r="AB34" s="4611">
        <v>0</v>
      </c>
      <c r="AC34" s="4611">
        <v>0</v>
      </c>
      <c r="AD34" s="4611">
        <v>0</v>
      </c>
      <c r="AE34" s="4611">
        <v>0</v>
      </c>
      <c r="AF34" s="4611">
        <v>0</v>
      </c>
      <c r="AG34" s="4611">
        <v>0</v>
      </c>
      <c r="AH34" s="4611">
        <v>0</v>
      </c>
      <c r="AI34" s="4611">
        <v>2.964</v>
      </c>
      <c r="AJ34" s="4611">
        <v>0</v>
      </c>
      <c r="AK34" s="4611">
        <v>0</v>
      </c>
      <c r="AL34" s="4612"/>
      <c r="AM34" s="4611">
        <v>0</v>
      </c>
      <c r="AN34" s="876">
        <f t="shared" si="0"/>
        <v>35.426000000000002</v>
      </c>
      <c r="AO34" s="877">
        <v>32.625</v>
      </c>
      <c r="AP34" s="878">
        <f t="shared" si="1"/>
        <v>2.8010000000000002</v>
      </c>
    </row>
    <row r="35" spans="1:42" ht="13.8">
      <c r="A35" s="873">
        <v>219</v>
      </c>
      <c r="B35" s="874">
        <v>20</v>
      </c>
      <c r="C35" s="875">
        <v>20.062000000000001</v>
      </c>
      <c r="D35" s="875">
        <v>0</v>
      </c>
      <c r="E35" s="875">
        <v>6.008</v>
      </c>
      <c r="F35" s="875">
        <v>0</v>
      </c>
      <c r="G35" s="875">
        <v>0</v>
      </c>
      <c r="H35" s="875">
        <v>9.8719999999999999</v>
      </c>
      <c r="I35" s="875">
        <v>0</v>
      </c>
      <c r="J35" s="875">
        <v>0</v>
      </c>
      <c r="K35" s="875">
        <v>0</v>
      </c>
      <c r="L35" s="875">
        <v>0</v>
      </c>
      <c r="M35" s="875">
        <v>0</v>
      </c>
      <c r="N35" s="875">
        <v>0</v>
      </c>
      <c r="O35" s="875">
        <v>0</v>
      </c>
      <c r="P35" s="875">
        <v>0.92800000000000005</v>
      </c>
      <c r="Q35" s="875">
        <v>0</v>
      </c>
      <c r="R35" s="875">
        <v>0</v>
      </c>
      <c r="S35" s="875"/>
      <c r="T35" s="875">
        <v>0</v>
      </c>
      <c r="U35" s="4611">
        <v>20</v>
      </c>
      <c r="V35" s="4608">
        <v>20.295999999999999</v>
      </c>
      <c r="W35" s="4608">
        <v>0</v>
      </c>
      <c r="X35" s="4611">
        <v>5.9989999999999997</v>
      </c>
      <c r="Y35" s="4611">
        <v>0</v>
      </c>
      <c r="Z35" s="4611">
        <v>0</v>
      </c>
      <c r="AA35" s="4611">
        <v>8.5779999999999994</v>
      </c>
      <c r="AB35" s="4611">
        <v>0</v>
      </c>
      <c r="AC35" s="4611">
        <v>0</v>
      </c>
      <c r="AD35" s="4611">
        <v>0</v>
      </c>
      <c r="AE35" s="4611">
        <v>0</v>
      </c>
      <c r="AF35" s="4611">
        <v>0</v>
      </c>
      <c r="AG35" s="4611">
        <v>0</v>
      </c>
      <c r="AH35" s="4611">
        <v>0</v>
      </c>
      <c r="AI35" s="4611">
        <v>1</v>
      </c>
      <c r="AJ35" s="4611">
        <v>0</v>
      </c>
      <c r="AK35" s="4611">
        <v>0</v>
      </c>
      <c r="AL35" s="4612"/>
      <c r="AM35" s="4611">
        <v>0</v>
      </c>
      <c r="AN35" s="876">
        <f t="shared" si="0"/>
        <v>55.872999999999998</v>
      </c>
      <c r="AO35" s="877">
        <v>56.87</v>
      </c>
      <c r="AP35" s="878">
        <f t="shared" si="1"/>
        <v>-0.997</v>
      </c>
    </row>
    <row r="36" spans="1:42" ht="13.8">
      <c r="A36" s="873">
        <v>220</v>
      </c>
      <c r="B36" s="874">
        <v>20</v>
      </c>
      <c r="C36" s="875">
        <v>24.535</v>
      </c>
      <c r="D36" s="875">
        <v>0</v>
      </c>
      <c r="E36" s="875">
        <v>7.9989999999999997</v>
      </c>
      <c r="F36" s="875">
        <v>0</v>
      </c>
      <c r="G36" s="875">
        <v>0</v>
      </c>
      <c r="H36" s="875">
        <v>0</v>
      </c>
      <c r="I36" s="875">
        <v>0</v>
      </c>
      <c r="J36" s="875">
        <v>0</v>
      </c>
      <c r="K36" s="875">
        <v>0</v>
      </c>
      <c r="L36" s="875">
        <v>0</v>
      </c>
      <c r="M36" s="875">
        <v>0</v>
      </c>
      <c r="N36" s="875">
        <v>0</v>
      </c>
      <c r="O36" s="875">
        <v>0</v>
      </c>
      <c r="P36" s="875">
        <v>1</v>
      </c>
      <c r="Q36" s="875">
        <v>0</v>
      </c>
      <c r="R36" s="875">
        <v>0</v>
      </c>
      <c r="S36" s="875"/>
      <c r="T36" s="875">
        <v>0</v>
      </c>
      <c r="U36" s="4611">
        <v>20</v>
      </c>
      <c r="V36" s="4608">
        <v>19.795000000000002</v>
      </c>
      <c r="W36" s="4608">
        <v>0</v>
      </c>
      <c r="X36" s="4611">
        <v>8</v>
      </c>
      <c r="Y36" s="4611">
        <v>0</v>
      </c>
      <c r="Z36" s="4611">
        <v>0</v>
      </c>
      <c r="AA36" s="4611">
        <v>0</v>
      </c>
      <c r="AB36" s="4611">
        <v>0</v>
      </c>
      <c r="AC36" s="4611">
        <v>0</v>
      </c>
      <c r="AD36" s="4611">
        <v>0</v>
      </c>
      <c r="AE36" s="4611">
        <v>0</v>
      </c>
      <c r="AF36" s="4611">
        <v>0</v>
      </c>
      <c r="AG36" s="4611">
        <v>0</v>
      </c>
      <c r="AH36" s="4611">
        <v>0</v>
      </c>
      <c r="AI36" s="4611">
        <v>1</v>
      </c>
      <c r="AJ36" s="4611">
        <v>0</v>
      </c>
      <c r="AK36" s="4611">
        <v>0</v>
      </c>
      <c r="AL36" s="4612"/>
      <c r="AM36" s="4611">
        <v>0</v>
      </c>
      <c r="AN36" s="876">
        <f t="shared" si="0"/>
        <v>48.795000000000002</v>
      </c>
      <c r="AO36" s="877">
        <v>53.533999999999999</v>
      </c>
      <c r="AP36" s="878">
        <f t="shared" si="1"/>
        <v>-4.7389999999999999</v>
      </c>
    </row>
    <row r="37" spans="1:42" ht="13.8">
      <c r="A37" s="873">
        <v>223</v>
      </c>
      <c r="B37" s="874">
        <v>20</v>
      </c>
      <c r="C37" s="875">
        <v>17.864999999999998</v>
      </c>
      <c r="D37" s="875">
        <v>0</v>
      </c>
      <c r="E37" s="875">
        <v>7.9960000000000004</v>
      </c>
      <c r="F37" s="875">
        <v>0</v>
      </c>
      <c r="G37" s="875">
        <v>0</v>
      </c>
      <c r="H37" s="875">
        <v>0</v>
      </c>
      <c r="I37" s="875">
        <v>0</v>
      </c>
      <c r="J37" s="875">
        <v>0</v>
      </c>
      <c r="K37" s="875">
        <v>0</v>
      </c>
      <c r="L37" s="875">
        <v>0</v>
      </c>
      <c r="M37" s="875">
        <v>0</v>
      </c>
      <c r="N37" s="875">
        <v>0</v>
      </c>
      <c r="O37" s="875">
        <v>0</v>
      </c>
      <c r="P37" s="875">
        <v>0</v>
      </c>
      <c r="Q37" s="875">
        <v>0</v>
      </c>
      <c r="R37" s="875">
        <v>0</v>
      </c>
      <c r="S37" s="875"/>
      <c r="T37" s="875">
        <v>0</v>
      </c>
      <c r="U37" s="4611">
        <v>20</v>
      </c>
      <c r="V37" s="4608">
        <v>16.488</v>
      </c>
      <c r="W37" s="4608">
        <v>0</v>
      </c>
      <c r="X37" s="4611">
        <v>7.8019999999999996</v>
      </c>
      <c r="Y37" s="4611">
        <v>0</v>
      </c>
      <c r="Z37" s="4611">
        <v>0</v>
      </c>
      <c r="AA37" s="4611">
        <v>0</v>
      </c>
      <c r="AB37" s="4611">
        <v>0</v>
      </c>
      <c r="AC37" s="4611">
        <v>0</v>
      </c>
      <c r="AD37" s="4611">
        <v>0</v>
      </c>
      <c r="AE37" s="4611">
        <v>0</v>
      </c>
      <c r="AF37" s="4611">
        <v>0</v>
      </c>
      <c r="AG37" s="4611">
        <v>0</v>
      </c>
      <c r="AH37" s="4611">
        <v>0</v>
      </c>
      <c r="AI37" s="4611">
        <v>0</v>
      </c>
      <c r="AJ37" s="4611">
        <v>0</v>
      </c>
      <c r="AK37" s="4611">
        <v>0</v>
      </c>
      <c r="AL37" s="4612"/>
      <c r="AM37" s="4611">
        <v>0</v>
      </c>
      <c r="AN37" s="876">
        <f t="shared" si="0"/>
        <v>44.29</v>
      </c>
      <c r="AO37" s="877">
        <v>45.860999999999997</v>
      </c>
      <c r="AP37" s="878">
        <f t="shared" si="1"/>
        <v>-1.571</v>
      </c>
    </row>
    <row r="38" spans="1:42" ht="13.8">
      <c r="A38" s="873">
        <v>224</v>
      </c>
      <c r="B38" s="874">
        <v>20</v>
      </c>
      <c r="C38" s="875">
        <v>18.925000000000001</v>
      </c>
      <c r="D38" s="875">
        <v>0</v>
      </c>
      <c r="E38" s="875">
        <v>5.3090000000000002</v>
      </c>
      <c r="F38" s="875">
        <v>0</v>
      </c>
      <c r="G38" s="875">
        <v>0</v>
      </c>
      <c r="H38" s="875">
        <v>0</v>
      </c>
      <c r="I38" s="875">
        <v>0</v>
      </c>
      <c r="J38" s="875">
        <v>0</v>
      </c>
      <c r="K38" s="875">
        <v>0</v>
      </c>
      <c r="L38" s="875">
        <v>0</v>
      </c>
      <c r="M38" s="875">
        <v>0</v>
      </c>
      <c r="N38" s="875">
        <v>0</v>
      </c>
      <c r="O38" s="875">
        <v>0</v>
      </c>
      <c r="P38" s="875">
        <v>0</v>
      </c>
      <c r="Q38" s="875">
        <v>0</v>
      </c>
      <c r="R38" s="875">
        <v>0</v>
      </c>
      <c r="S38" s="875"/>
      <c r="T38" s="875">
        <v>0</v>
      </c>
      <c r="U38" s="4611">
        <v>20</v>
      </c>
      <c r="V38" s="4608">
        <v>17.925999999999998</v>
      </c>
      <c r="W38" s="4608">
        <v>0</v>
      </c>
      <c r="X38" s="4611">
        <v>6.3049999999999997</v>
      </c>
      <c r="Y38" s="4611">
        <v>0</v>
      </c>
      <c r="Z38" s="4611">
        <v>0</v>
      </c>
      <c r="AA38" s="4611">
        <v>0</v>
      </c>
      <c r="AB38" s="4611">
        <v>0</v>
      </c>
      <c r="AC38" s="4611">
        <v>0</v>
      </c>
      <c r="AD38" s="4611">
        <v>0</v>
      </c>
      <c r="AE38" s="4611">
        <v>0</v>
      </c>
      <c r="AF38" s="4611">
        <v>0</v>
      </c>
      <c r="AG38" s="4611">
        <v>0</v>
      </c>
      <c r="AH38" s="4611">
        <v>0</v>
      </c>
      <c r="AI38" s="4611">
        <v>0</v>
      </c>
      <c r="AJ38" s="4611">
        <v>0</v>
      </c>
      <c r="AK38" s="4611">
        <v>0</v>
      </c>
      <c r="AL38" s="4612"/>
      <c r="AM38" s="4611">
        <v>0</v>
      </c>
      <c r="AN38" s="876">
        <f t="shared" si="0"/>
        <v>44.231000000000002</v>
      </c>
      <c r="AO38" s="877">
        <v>44.234000000000002</v>
      </c>
      <c r="AP38" s="878">
        <f t="shared" si="1"/>
        <v>-3.0000000000000001E-3</v>
      </c>
    </row>
    <row r="39" spans="1:42" ht="13.8">
      <c r="A39" s="873">
        <v>225</v>
      </c>
      <c r="B39" s="874">
        <v>20</v>
      </c>
      <c r="C39" s="875">
        <v>25.629000000000001</v>
      </c>
      <c r="D39" s="875">
        <v>0</v>
      </c>
      <c r="E39" s="875">
        <v>7.7210000000000001</v>
      </c>
      <c r="F39" s="875">
        <v>0</v>
      </c>
      <c r="G39" s="875">
        <v>0</v>
      </c>
      <c r="H39" s="875">
        <v>8.5</v>
      </c>
      <c r="I39" s="875">
        <v>0</v>
      </c>
      <c r="J39" s="875">
        <v>0</v>
      </c>
      <c r="K39" s="875">
        <v>0</v>
      </c>
      <c r="L39" s="875">
        <v>0</v>
      </c>
      <c r="M39" s="875">
        <v>0</v>
      </c>
      <c r="N39" s="875">
        <v>0</v>
      </c>
      <c r="O39" s="875">
        <v>0</v>
      </c>
      <c r="P39" s="875">
        <v>1.9259999999999999</v>
      </c>
      <c r="Q39" s="875">
        <v>0</v>
      </c>
      <c r="R39" s="875">
        <v>0</v>
      </c>
      <c r="S39" s="875"/>
      <c r="T39" s="875">
        <v>0</v>
      </c>
      <c r="U39" s="4611">
        <v>20</v>
      </c>
      <c r="V39" s="4608">
        <v>24.404</v>
      </c>
      <c r="W39" s="4608">
        <v>0</v>
      </c>
      <c r="X39" s="4611">
        <v>8</v>
      </c>
      <c r="Y39" s="4611">
        <v>0</v>
      </c>
      <c r="Z39" s="4611">
        <v>0</v>
      </c>
      <c r="AA39" s="4611">
        <v>8.5009999999999994</v>
      </c>
      <c r="AB39" s="4611">
        <v>0</v>
      </c>
      <c r="AC39" s="4611">
        <v>0</v>
      </c>
      <c r="AD39" s="4611">
        <v>0</v>
      </c>
      <c r="AE39" s="4611">
        <v>0</v>
      </c>
      <c r="AF39" s="4611">
        <v>0</v>
      </c>
      <c r="AG39" s="4611">
        <v>0</v>
      </c>
      <c r="AH39" s="4611">
        <v>0</v>
      </c>
      <c r="AI39" s="4611">
        <v>2</v>
      </c>
      <c r="AJ39" s="4611">
        <v>0</v>
      </c>
      <c r="AK39" s="4611">
        <v>0</v>
      </c>
      <c r="AL39" s="4612"/>
      <c r="AM39" s="4611">
        <v>0</v>
      </c>
      <c r="AN39" s="876">
        <f t="shared" si="0"/>
        <v>62.905000000000001</v>
      </c>
      <c r="AO39" s="877">
        <v>63.776000000000003</v>
      </c>
      <c r="AP39" s="878">
        <f t="shared" si="1"/>
        <v>-0.871</v>
      </c>
    </row>
    <row r="40" spans="1:42" ht="13.8">
      <c r="A40" s="873">
        <v>226</v>
      </c>
      <c r="B40" s="874">
        <v>20</v>
      </c>
      <c r="C40" s="875">
        <v>17.326000000000001</v>
      </c>
      <c r="D40" s="875">
        <v>0</v>
      </c>
      <c r="E40" s="875">
        <v>8</v>
      </c>
      <c r="F40" s="875">
        <v>0</v>
      </c>
      <c r="G40" s="875">
        <v>0</v>
      </c>
      <c r="H40" s="875">
        <v>5.6440000000000001</v>
      </c>
      <c r="I40" s="875">
        <v>0</v>
      </c>
      <c r="J40" s="875">
        <v>0</v>
      </c>
      <c r="K40" s="875">
        <v>0</v>
      </c>
      <c r="L40" s="875">
        <v>0</v>
      </c>
      <c r="M40" s="875">
        <v>0</v>
      </c>
      <c r="N40" s="875">
        <v>0</v>
      </c>
      <c r="O40" s="875">
        <v>0</v>
      </c>
      <c r="P40" s="875">
        <v>2.008</v>
      </c>
      <c r="Q40" s="875">
        <v>0</v>
      </c>
      <c r="R40" s="875">
        <v>0</v>
      </c>
      <c r="S40" s="875"/>
      <c r="T40" s="875">
        <v>0</v>
      </c>
      <c r="U40" s="4611">
        <v>20</v>
      </c>
      <c r="V40" s="4608">
        <v>17.977</v>
      </c>
      <c r="W40" s="4608">
        <v>0</v>
      </c>
      <c r="X40" s="4611">
        <v>7.9980000000000002</v>
      </c>
      <c r="Y40" s="4611">
        <v>0</v>
      </c>
      <c r="Z40" s="4611">
        <v>0</v>
      </c>
      <c r="AA40" s="4611">
        <v>5.9969999999999999</v>
      </c>
      <c r="AB40" s="4611">
        <v>0</v>
      </c>
      <c r="AC40" s="4611">
        <v>0</v>
      </c>
      <c r="AD40" s="4611">
        <v>0</v>
      </c>
      <c r="AE40" s="4611">
        <v>0</v>
      </c>
      <c r="AF40" s="4611">
        <v>0</v>
      </c>
      <c r="AG40" s="4611">
        <v>0</v>
      </c>
      <c r="AH40" s="4611">
        <v>0</v>
      </c>
      <c r="AI40" s="4611">
        <v>1</v>
      </c>
      <c r="AJ40" s="4611">
        <v>0</v>
      </c>
      <c r="AK40" s="4611">
        <v>0</v>
      </c>
      <c r="AL40" s="4612"/>
      <c r="AM40" s="4611">
        <v>0</v>
      </c>
      <c r="AN40" s="876">
        <f t="shared" si="0"/>
        <v>52.972000000000001</v>
      </c>
      <c r="AO40" s="877">
        <v>52.978000000000002</v>
      </c>
      <c r="AP40" s="878">
        <f t="shared" si="1"/>
        <v>-6.0000000000000001E-3</v>
      </c>
    </row>
    <row r="41" spans="1:42" ht="13.8">
      <c r="A41" s="873">
        <v>227</v>
      </c>
      <c r="B41" s="874">
        <v>20</v>
      </c>
      <c r="C41" s="875">
        <v>19.553000000000001</v>
      </c>
      <c r="D41" s="875">
        <v>0</v>
      </c>
      <c r="E41" s="875">
        <v>7.9969999999999999</v>
      </c>
      <c r="F41" s="875">
        <v>0</v>
      </c>
      <c r="G41" s="875">
        <v>0</v>
      </c>
      <c r="H41" s="875">
        <v>0</v>
      </c>
      <c r="I41" s="875">
        <v>15.701000000000001</v>
      </c>
      <c r="J41" s="875">
        <v>0</v>
      </c>
      <c r="K41" s="875">
        <v>0</v>
      </c>
      <c r="L41" s="875">
        <v>0</v>
      </c>
      <c r="M41" s="875">
        <v>0</v>
      </c>
      <c r="N41" s="875">
        <v>0</v>
      </c>
      <c r="O41" s="875">
        <v>0</v>
      </c>
      <c r="P41" s="875">
        <v>1.5</v>
      </c>
      <c r="Q41" s="875">
        <v>0</v>
      </c>
      <c r="R41" s="875">
        <v>0</v>
      </c>
      <c r="S41" s="875"/>
      <c r="T41" s="875">
        <v>0</v>
      </c>
      <c r="U41" s="4611">
        <v>20</v>
      </c>
      <c r="V41" s="4608">
        <v>19.178999999999998</v>
      </c>
      <c r="W41" s="4608">
        <v>0</v>
      </c>
      <c r="X41" s="4611">
        <v>7.9119999999999999</v>
      </c>
      <c r="Y41" s="4611">
        <v>0</v>
      </c>
      <c r="Z41" s="4611">
        <v>0</v>
      </c>
      <c r="AA41" s="4611">
        <v>0</v>
      </c>
      <c r="AB41" s="4611">
        <v>16.035</v>
      </c>
      <c r="AC41" s="4611">
        <v>0</v>
      </c>
      <c r="AD41" s="4611">
        <v>0</v>
      </c>
      <c r="AE41" s="4611">
        <v>0</v>
      </c>
      <c r="AF41" s="4611">
        <v>0</v>
      </c>
      <c r="AG41" s="4611">
        <v>0</v>
      </c>
      <c r="AH41" s="4611">
        <v>0</v>
      </c>
      <c r="AI41" s="4611">
        <v>1.5</v>
      </c>
      <c r="AJ41" s="4611">
        <v>0</v>
      </c>
      <c r="AK41" s="4611">
        <v>0</v>
      </c>
      <c r="AL41" s="4612"/>
      <c r="AM41" s="4611">
        <v>0</v>
      </c>
      <c r="AN41" s="876">
        <f t="shared" si="0"/>
        <v>64.626000000000005</v>
      </c>
      <c r="AO41" s="877">
        <v>64.751000000000005</v>
      </c>
      <c r="AP41" s="878">
        <f t="shared" si="1"/>
        <v>-0.125</v>
      </c>
    </row>
    <row r="42" spans="1:42" ht="13.8">
      <c r="A42" s="873">
        <v>229</v>
      </c>
      <c r="B42" s="874">
        <v>20</v>
      </c>
      <c r="C42" s="875">
        <v>13.678000000000001</v>
      </c>
      <c r="D42" s="875">
        <v>0</v>
      </c>
      <c r="E42" s="875">
        <v>8</v>
      </c>
      <c r="F42" s="875">
        <v>9.6000000000000002E-2</v>
      </c>
      <c r="G42" s="875">
        <v>0</v>
      </c>
      <c r="H42" s="875">
        <v>17.603000000000002</v>
      </c>
      <c r="I42" s="875">
        <v>0</v>
      </c>
      <c r="J42" s="875">
        <v>0</v>
      </c>
      <c r="K42" s="875">
        <v>0.14099999999999999</v>
      </c>
      <c r="L42" s="875">
        <v>0</v>
      </c>
      <c r="M42" s="875">
        <v>0</v>
      </c>
      <c r="N42" s="875">
        <v>0</v>
      </c>
      <c r="O42" s="875">
        <v>0</v>
      </c>
      <c r="P42" s="875">
        <v>1.458</v>
      </c>
      <c r="Q42" s="875">
        <v>0.74099999999999999</v>
      </c>
      <c r="R42" s="875">
        <v>1.3260000000000001</v>
      </c>
      <c r="S42" s="875"/>
      <c r="T42" s="875">
        <v>1.9530000000000001</v>
      </c>
      <c r="U42" s="4611">
        <v>20</v>
      </c>
      <c r="V42" s="4608">
        <v>12.975</v>
      </c>
      <c r="W42" s="4608">
        <v>0</v>
      </c>
      <c r="X42" s="4611">
        <v>8</v>
      </c>
      <c r="Y42" s="4611">
        <v>0.109</v>
      </c>
      <c r="Z42" s="4611">
        <v>0</v>
      </c>
      <c r="AA42" s="4611">
        <v>16.634</v>
      </c>
      <c r="AB42" s="4611">
        <v>0</v>
      </c>
      <c r="AC42" s="4611">
        <v>0</v>
      </c>
      <c r="AD42" s="4611">
        <v>0.185</v>
      </c>
      <c r="AE42" s="4611">
        <v>0</v>
      </c>
      <c r="AF42" s="4611">
        <v>0</v>
      </c>
      <c r="AG42" s="4611">
        <v>0</v>
      </c>
      <c r="AH42" s="4611">
        <v>0</v>
      </c>
      <c r="AI42" s="4611">
        <v>1.9770000000000001</v>
      </c>
      <c r="AJ42" s="4611">
        <v>0.216</v>
      </c>
      <c r="AK42" s="4611">
        <v>0.71899999999999997</v>
      </c>
      <c r="AL42" s="4612"/>
      <c r="AM42" s="4611">
        <v>1.881</v>
      </c>
      <c r="AN42" s="876">
        <f t="shared" si="0"/>
        <v>62.695999999999998</v>
      </c>
      <c r="AO42" s="877">
        <v>64.995999999999995</v>
      </c>
      <c r="AP42" s="878">
        <f t="shared" si="1"/>
        <v>-2.2999999999999998</v>
      </c>
    </row>
    <row r="43" spans="1:42" ht="13.8">
      <c r="A43" s="873">
        <v>230</v>
      </c>
      <c r="B43" s="874">
        <v>20</v>
      </c>
      <c r="C43" s="875">
        <v>9.0269999999999992</v>
      </c>
      <c r="D43" s="875">
        <v>0</v>
      </c>
      <c r="E43" s="875">
        <v>8</v>
      </c>
      <c r="F43" s="875">
        <v>0</v>
      </c>
      <c r="G43" s="875">
        <v>0</v>
      </c>
      <c r="H43" s="875">
        <v>23.318999999999999</v>
      </c>
      <c r="I43" s="875">
        <v>0</v>
      </c>
      <c r="J43" s="875">
        <v>0</v>
      </c>
      <c r="K43" s="875">
        <v>0</v>
      </c>
      <c r="L43" s="875">
        <v>0</v>
      </c>
      <c r="M43" s="875">
        <v>0</v>
      </c>
      <c r="N43" s="875">
        <v>0</v>
      </c>
      <c r="O43" s="875">
        <v>0</v>
      </c>
      <c r="P43" s="875">
        <v>2.9020000000000001</v>
      </c>
      <c r="Q43" s="875">
        <v>0.15</v>
      </c>
      <c r="R43" s="875">
        <v>7.6340000000000003</v>
      </c>
      <c r="S43" s="875"/>
      <c r="T43" s="875">
        <v>0</v>
      </c>
      <c r="U43" s="4611">
        <v>20</v>
      </c>
      <c r="V43" s="4608">
        <v>11.337999999999999</v>
      </c>
      <c r="W43" s="4608">
        <v>0</v>
      </c>
      <c r="X43" s="4611">
        <v>8</v>
      </c>
      <c r="Y43" s="4611">
        <v>0</v>
      </c>
      <c r="Z43" s="4611">
        <v>0</v>
      </c>
      <c r="AA43" s="4611">
        <v>18.722000000000001</v>
      </c>
      <c r="AB43" s="4611">
        <v>0</v>
      </c>
      <c r="AC43" s="4611">
        <v>0</v>
      </c>
      <c r="AD43" s="4611">
        <v>0</v>
      </c>
      <c r="AE43" s="4611">
        <v>0</v>
      </c>
      <c r="AF43" s="4611">
        <v>0</v>
      </c>
      <c r="AG43" s="4611">
        <v>0</v>
      </c>
      <c r="AH43" s="4611">
        <v>0</v>
      </c>
      <c r="AI43" s="4611">
        <v>2.6019999999999999</v>
      </c>
      <c r="AJ43" s="4611">
        <v>0.45100000000000001</v>
      </c>
      <c r="AK43" s="4611">
        <v>9.8149999999999995</v>
      </c>
      <c r="AL43" s="4612"/>
      <c r="AM43" s="4611">
        <v>0</v>
      </c>
      <c r="AN43" s="876">
        <f t="shared" si="0"/>
        <v>70.927999999999997</v>
      </c>
      <c r="AO43" s="877">
        <v>71.031999999999996</v>
      </c>
      <c r="AP43" s="878">
        <f t="shared" si="1"/>
        <v>-0.104</v>
      </c>
    </row>
    <row r="44" spans="1:42" ht="13.8">
      <c r="A44" s="873">
        <v>231</v>
      </c>
      <c r="B44" s="874">
        <v>20</v>
      </c>
      <c r="C44" s="875">
        <v>12.946</v>
      </c>
      <c r="D44" s="875">
        <v>0</v>
      </c>
      <c r="E44" s="875">
        <v>8</v>
      </c>
      <c r="F44" s="875">
        <v>0.27600000000000002</v>
      </c>
      <c r="G44" s="875">
        <v>0</v>
      </c>
      <c r="H44" s="875">
        <v>18.974</v>
      </c>
      <c r="I44" s="875">
        <v>0</v>
      </c>
      <c r="J44" s="875">
        <v>0</v>
      </c>
      <c r="K44" s="875">
        <v>0.41499999999999998</v>
      </c>
      <c r="L44" s="875">
        <v>0</v>
      </c>
      <c r="M44" s="875">
        <v>0</v>
      </c>
      <c r="N44" s="875">
        <v>0</v>
      </c>
      <c r="O44" s="875">
        <v>0</v>
      </c>
      <c r="P44" s="875">
        <v>0</v>
      </c>
      <c r="Q44" s="875">
        <v>0</v>
      </c>
      <c r="R44" s="875">
        <v>3.577</v>
      </c>
      <c r="S44" s="875"/>
      <c r="T44" s="875">
        <v>1.587</v>
      </c>
      <c r="U44" s="4611">
        <v>20</v>
      </c>
      <c r="V44" s="4608">
        <v>13.180999999999999</v>
      </c>
      <c r="W44" s="4608">
        <v>0</v>
      </c>
      <c r="X44" s="4611">
        <v>8</v>
      </c>
      <c r="Y44" s="4611">
        <v>0.188</v>
      </c>
      <c r="Z44" s="4611">
        <v>0</v>
      </c>
      <c r="AA44" s="4611">
        <v>19.106000000000002</v>
      </c>
      <c r="AB44" s="4611">
        <v>0</v>
      </c>
      <c r="AC44" s="4611">
        <v>0</v>
      </c>
      <c r="AD44" s="4611">
        <v>0.42499999999999999</v>
      </c>
      <c r="AE44" s="4611">
        <v>0</v>
      </c>
      <c r="AF44" s="4611">
        <v>0</v>
      </c>
      <c r="AG44" s="4611">
        <v>0</v>
      </c>
      <c r="AH44" s="4611">
        <v>0</v>
      </c>
      <c r="AI44" s="4611">
        <v>0</v>
      </c>
      <c r="AJ44" s="4611">
        <v>0</v>
      </c>
      <c r="AK44" s="4611">
        <v>2.4340000000000002</v>
      </c>
      <c r="AL44" s="4612"/>
      <c r="AM44" s="4611">
        <v>1.3480000000000001</v>
      </c>
      <c r="AN44" s="876">
        <f t="shared" si="0"/>
        <v>64.682000000000002</v>
      </c>
      <c r="AO44" s="877">
        <v>65.775000000000006</v>
      </c>
      <c r="AP44" s="878">
        <f t="shared" si="1"/>
        <v>-1.093</v>
      </c>
    </row>
    <row r="45" spans="1:42" ht="13.8">
      <c r="A45" s="873">
        <v>232</v>
      </c>
      <c r="B45" s="874">
        <v>20</v>
      </c>
      <c r="C45" s="875">
        <v>12.74</v>
      </c>
      <c r="D45" s="875">
        <v>0</v>
      </c>
      <c r="E45" s="875">
        <v>8</v>
      </c>
      <c r="F45" s="875">
        <v>0</v>
      </c>
      <c r="G45" s="875">
        <v>0</v>
      </c>
      <c r="H45" s="875">
        <v>19.469000000000001</v>
      </c>
      <c r="I45" s="875">
        <v>0</v>
      </c>
      <c r="J45" s="875">
        <v>0</v>
      </c>
      <c r="K45" s="875">
        <v>0.377</v>
      </c>
      <c r="L45" s="875">
        <v>0</v>
      </c>
      <c r="M45" s="875">
        <v>0</v>
      </c>
      <c r="N45" s="875">
        <v>0</v>
      </c>
      <c r="O45" s="875">
        <v>0</v>
      </c>
      <c r="P45" s="875">
        <v>0</v>
      </c>
      <c r="Q45" s="875">
        <v>0</v>
      </c>
      <c r="R45" s="875">
        <v>0</v>
      </c>
      <c r="S45" s="875"/>
      <c r="T45" s="875">
        <v>3.2429999999999999</v>
      </c>
      <c r="U45" s="4611">
        <v>20</v>
      </c>
      <c r="V45" s="4608">
        <v>12.567</v>
      </c>
      <c r="W45" s="4608">
        <v>0</v>
      </c>
      <c r="X45" s="4611">
        <v>8</v>
      </c>
      <c r="Y45" s="4611">
        <v>0</v>
      </c>
      <c r="Z45" s="4611">
        <v>0</v>
      </c>
      <c r="AA45" s="4611">
        <v>18.433</v>
      </c>
      <c r="AB45" s="4611">
        <v>0</v>
      </c>
      <c r="AC45" s="4611">
        <v>0</v>
      </c>
      <c r="AD45" s="4611">
        <v>1.4999999999999999E-2</v>
      </c>
      <c r="AE45" s="4611">
        <v>0</v>
      </c>
      <c r="AF45" s="4611">
        <v>0</v>
      </c>
      <c r="AG45" s="4611">
        <v>0</v>
      </c>
      <c r="AH45" s="4611">
        <v>0</v>
      </c>
      <c r="AI45" s="4611">
        <v>0</v>
      </c>
      <c r="AJ45" s="4611">
        <v>0</v>
      </c>
      <c r="AK45" s="4611">
        <v>0</v>
      </c>
      <c r="AL45" s="4612"/>
      <c r="AM45" s="4611">
        <v>3.2690000000000001</v>
      </c>
      <c r="AN45" s="876">
        <f t="shared" si="0"/>
        <v>62.283999999999999</v>
      </c>
      <c r="AO45" s="877">
        <v>63.829000000000001</v>
      </c>
      <c r="AP45" s="878">
        <f t="shared" si="1"/>
        <v>-1.5449999999999999</v>
      </c>
    </row>
    <row r="46" spans="1:42" ht="13.8">
      <c r="A46" s="873">
        <v>233</v>
      </c>
      <c r="B46" s="874">
        <v>20</v>
      </c>
      <c r="C46" s="875">
        <v>16.213999999999999</v>
      </c>
      <c r="D46" s="875">
        <v>0</v>
      </c>
      <c r="E46" s="875">
        <v>8</v>
      </c>
      <c r="F46" s="875">
        <v>0.124</v>
      </c>
      <c r="G46" s="875">
        <v>0</v>
      </c>
      <c r="H46" s="875">
        <v>14.372</v>
      </c>
      <c r="I46" s="875">
        <v>0</v>
      </c>
      <c r="J46" s="875">
        <v>0</v>
      </c>
      <c r="K46" s="875">
        <v>0.35099999999999998</v>
      </c>
      <c r="L46" s="875">
        <v>0</v>
      </c>
      <c r="M46" s="875">
        <v>0</v>
      </c>
      <c r="N46" s="875">
        <v>0</v>
      </c>
      <c r="O46" s="875">
        <v>0</v>
      </c>
      <c r="P46" s="875">
        <v>0</v>
      </c>
      <c r="Q46" s="875">
        <v>0</v>
      </c>
      <c r="R46" s="875">
        <v>7.125</v>
      </c>
      <c r="S46" s="875"/>
      <c r="T46" s="875">
        <v>3.6920000000000002</v>
      </c>
      <c r="U46" s="4611">
        <v>20</v>
      </c>
      <c r="V46" s="4608">
        <v>15.956</v>
      </c>
      <c r="W46" s="4608">
        <v>0</v>
      </c>
      <c r="X46" s="4611">
        <v>8</v>
      </c>
      <c r="Y46" s="4611">
        <v>0.124</v>
      </c>
      <c r="Z46" s="4611">
        <v>0</v>
      </c>
      <c r="AA46" s="4611">
        <v>14.377000000000001</v>
      </c>
      <c r="AB46" s="4611">
        <v>0</v>
      </c>
      <c r="AC46" s="4611">
        <v>0</v>
      </c>
      <c r="AD46" s="4611">
        <v>0.30199999999999999</v>
      </c>
      <c r="AE46" s="4611">
        <v>0</v>
      </c>
      <c r="AF46" s="4611">
        <v>0</v>
      </c>
      <c r="AG46" s="4611">
        <v>0</v>
      </c>
      <c r="AH46" s="4611">
        <v>0</v>
      </c>
      <c r="AI46" s="4611">
        <v>0</v>
      </c>
      <c r="AJ46" s="4611">
        <v>0</v>
      </c>
      <c r="AK46" s="4611">
        <v>6.7690000000000001</v>
      </c>
      <c r="AL46" s="4612"/>
      <c r="AM46" s="4611">
        <v>3.61</v>
      </c>
      <c r="AN46" s="876">
        <f t="shared" si="0"/>
        <v>69.138000000000005</v>
      </c>
      <c r="AO46" s="877">
        <v>69.878</v>
      </c>
      <c r="AP46" s="878">
        <f t="shared" si="1"/>
        <v>-0.74</v>
      </c>
    </row>
    <row r="47" spans="1:42" ht="13.8">
      <c r="A47" s="873">
        <v>234</v>
      </c>
      <c r="B47" s="874">
        <v>20</v>
      </c>
      <c r="C47" s="875">
        <v>13.656000000000001</v>
      </c>
      <c r="D47" s="875">
        <v>0</v>
      </c>
      <c r="E47" s="875">
        <v>6.5030000000000001</v>
      </c>
      <c r="F47" s="875">
        <v>0</v>
      </c>
      <c r="G47" s="875">
        <v>0</v>
      </c>
      <c r="H47" s="875">
        <v>12.606999999999999</v>
      </c>
      <c r="I47" s="875">
        <v>0</v>
      </c>
      <c r="J47" s="875">
        <v>0</v>
      </c>
      <c r="K47" s="875">
        <v>0</v>
      </c>
      <c r="L47" s="875">
        <v>0</v>
      </c>
      <c r="M47" s="875">
        <v>0</v>
      </c>
      <c r="N47" s="875">
        <v>0</v>
      </c>
      <c r="O47" s="875">
        <v>0</v>
      </c>
      <c r="P47" s="875">
        <v>2.2010000000000001</v>
      </c>
      <c r="Q47" s="875">
        <v>0.41899999999999998</v>
      </c>
      <c r="R47" s="875">
        <v>0</v>
      </c>
      <c r="S47" s="875"/>
      <c r="T47" s="875">
        <v>0</v>
      </c>
      <c r="U47" s="4611">
        <v>20</v>
      </c>
      <c r="V47" s="4608">
        <v>13.656000000000001</v>
      </c>
      <c r="W47" s="4608">
        <v>0</v>
      </c>
      <c r="X47" s="4611">
        <v>6.5019999999999998</v>
      </c>
      <c r="Y47" s="4611">
        <v>0</v>
      </c>
      <c r="Z47" s="4611">
        <v>0</v>
      </c>
      <c r="AA47" s="4611">
        <v>12.606999999999999</v>
      </c>
      <c r="AB47" s="4611">
        <v>0</v>
      </c>
      <c r="AC47" s="4611">
        <v>0</v>
      </c>
      <c r="AD47" s="4611">
        <v>0</v>
      </c>
      <c r="AE47" s="4611">
        <v>0</v>
      </c>
      <c r="AF47" s="4611">
        <v>0</v>
      </c>
      <c r="AG47" s="4611">
        <v>0</v>
      </c>
      <c r="AH47" s="4611">
        <v>0</v>
      </c>
      <c r="AI47" s="4611">
        <v>2.1949999999999998</v>
      </c>
      <c r="AJ47" s="4611">
        <v>0.41699999999999998</v>
      </c>
      <c r="AK47" s="4611">
        <v>0</v>
      </c>
      <c r="AL47" s="4612"/>
      <c r="AM47" s="4611">
        <v>0</v>
      </c>
      <c r="AN47" s="876">
        <f t="shared" si="0"/>
        <v>55.377000000000002</v>
      </c>
      <c r="AO47" s="877">
        <v>55.386000000000003</v>
      </c>
      <c r="AP47" s="878">
        <f t="shared" si="1"/>
        <v>-8.9999999999999993E-3</v>
      </c>
    </row>
    <row r="48" spans="1:42" ht="13.8">
      <c r="A48" s="873">
        <v>235</v>
      </c>
      <c r="B48" s="874">
        <v>20</v>
      </c>
      <c r="C48" s="875">
        <v>16.896999999999998</v>
      </c>
      <c r="D48" s="875">
        <v>0</v>
      </c>
      <c r="E48" s="875">
        <v>6.0019999999999998</v>
      </c>
      <c r="F48" s="875">
        <v>0</v>
      </c>
      <c r="G48" s="875">
        <v>0</v>
      </c>
      <c r="H48" s="875">
        <v>5.242</v>
      </c>
      <c r="I48" s="875">
        <v>0</v>
      </c>
      <c r="J48" s="875">
        <v>0</v>
      </c>
      <c r="K48" s="875">
        <v>0</v>
      </c>
      <c r="L48" s="875">
        <v>0</v>
      </c>
      <c r="M48" s="875">
        <v>0</v>
      </c>
      <c r="N48" s="875">
        <v>0</v>
      </c>
      <c r="O48" s="875">
        <v>0</v>
      </c>
      <c r="P48" s="875">
        <v>0</v>
      </c>
      <c r="Q48" s="875">
        <v>0</v>
      </c>
      <c r="R48" s="875">
        <v>0</v>
      </c>
      <c r="S48" s="875"/>
      <c r="T48" s="875">
        <v>0</v>
      </c>
      <c r="U48" s="4611">
        <v>20</v>
      </c>
      <c r="V48" s="4608">
        <v>16.866</v>
      </c>
      <c r="W48" s="4608">
        <v>0</v>
      </c>
      <c r="X48" s="4611">
        <v>6</v>
      </c>
      <c r="Y48" s="4611">
        <v>0</v>
      </c>
      <c r="Z48" s="4611">
        <v>0</v>
      </c>
      <c r="AA48" s="4611">
        <v>5.2050000000000001</v>
      </c>
      <c r="AB48" s="4611">
        <v>0</v>
      </c>
      <c r="AC48" s="4611">
        <v>0</v>
      </c>
      <c r="AD48" s="4611">
        <v>0</v>
      </c>
      <c r="AE48" s="4611">
        <v>0</v>
      </c>
      <c r="AF48" s="4611">
        <v>0</v>
      </c>
      <c r="AG48" s="4611">
        <v>0</v>
      </c>
      <c r="AH48" s="4611">
        <v>0</v>
      </c>
      <c r="AI48" s="4611">
        <v>0</v>
      </c>
      <c r="AJ48" s="4611">
        <v>0</v>
      </c>
      <c r="AK48" s="4611">
        <v>0</v>
      </c>
      <c r="AL48" s="4612"/>
      <c r="AM48" s="4611">
        <v>0</v>
      </c>
      <c r="AN48" s="876">
        <f t="shared" si="0"/>
        <v>48.070999999999998</v>
      </c>
      <c r="AO48" s="877">
        <v>48.140999999999998</v>
      </c>
      <c r="AP48" s="878">
        <f t="shared" si="1"/>
        <v>-7.0000000000000007E-2</v>
      </c>
    </row>
    <row r="49" spans="1:42" ht="13.8">
      <c r="A49" s="873">
        <v>237</v>
      </c>
      <c r="B49" s="874">
        <v>20</v>
      </c>
      <c r="C49" s="875">
        <v>20.41</v>
      </c>
      <c r="D49" s="875">
        <v>0</v>
      </c>
      <c r="E49" s="875">
        <v>7.9870000000000001</v>
      </c>
      <c r="F49" s="875">
        <v>0</v>
      </c>
      <c r="G49" s="875">
        <v>0</v>
      </c>
      <c r="H49" s="875">
        <v>0</v>
      </c>
      <c r="I49" s="875">
        <v>0</v>
      </c>
      <c r="J49" s="875">
        <v>0</v>
      </c>
      <c r="K49" s="875">
        <v>0</v>
      </c>
      <c r="L49" s="875">
        <v>0</v>
      </c>
      <c r="M49" s="875">
        <v>0</v>
      </c>
      <c r="N49" s="875">
        <v>0</v>
      </c>
      <c r="O49" s="875">
        <v>0</v>
      </c>
      <c r="P49" s="875">
        <v>0</v>
      </c>
      <c r="Q49" s="875">
        <v>0</v>
      </c>
      <c r="R49" s="875">
        <v>0</v>
      </c>
      <c r="S49" s="875"/>
      <c r="T49" s="875">
        <v>0</v>
      </c>
      <c r="U49" s="4611">
        <v>20</v>
      </c>
      <c r="V49" s="4608">
        <v>19.608000000000001</v>
      </c>
      <c r="W49" s="4608">
        <v>0</v>
      </c>
      <c r="X49" s="4611">
        <v>7.9809999999999999</v>
      </c>
      <c r="Y49" s="4611">
        <v>0</v>
      </c>
      <c r="Z49" s="4611">
        <v>0</v>
      </c>
      <c r="AA49" s="4611">
        <v>0</v>
      </c>
      <c r="AB49" s="4611">
        <v>0</v>
      </c>
      <c r="AC49" s="4611">
        <v>0</v>
      </c>
      <c r="AD49" s="4611">
        <v>0</v>
      </c>
      <c r="AE49" s="4611">
        <v>0</v>
      </c>
      <c r="AF49" s="4611">
        <v>0</v>
      </c>
      <c r="AG49" s="4611">
        <v>0</v>
      </c>
      <c r="AH49" s="4611">
        <v>0</v>
      </c>
      <c r="AI49" s="4611">
        <v>0</v>
      </c>
      <c r="AJ49" s="4611">
        <v>0</v>
      </c>
      <c r="AK49" s="4611">
        <v>0</v>
      </c>
      <c r="AL49" s="4612"/>
      <c r="AM49" s="4611">
        <v>0</v>
      </c>
      <c r="AN49" s="876">
        <f t="shared" si="0"/>
        <v>47.588999999999999</v>
      </c>
      <c r="AO49" s="877">
        <v>48.396999999999998</v>
      </c>
      <c r="AP49" s="878">
        <f t="shared" si="1"/>
        <v>-0.80800000000000005</v>
      </c>
    </row>
    <row r="50" spans="1:42" ht="13.8">
      <c r="A50" s="873">
        <v>239</v>
      </c>
      <c r="B50" s="874">
        <v>20</v>
      </c>
      <c r="C50" s="875">
        <v>14.525</v>
      </c>
      <c r="D50" s="875">
        <v>0</v>
      </c>
      <c r="E50" s="875">
        <v>7.5</v>
      </c>
      <c r="F50" s="875">
        <v>0</v>
      </c>
      <c r="G50" s="875">
        <v>0</v>
      </c>
      <c r="H50" s="875">
        <v>11.323</v>
      </c>
      <c r="I50" s="875">
        <v>0</v>
      </c>
      <c r="J50" s="875">
        <v>0</v>
      </c>
      <c r="K50" s="875">
        <v>0</v>
      </c>
      <c r="L50" s="875">
        <v>0</v>
      </c>
      <c r="M50" s="875">
        <v>0</v>
      </c>
      <c r="N50" s="875">
        <v>0</v>
      </c>
      <c r="O50" s="875">
        <v>0</v>
      </c>
      <c r="P50" s="875">
        <v>0</v>
      </c>
      <c r="Q50" s="875">
        <v>0</v>
      </c>
      <c r="R50" s="875">
        <v>0</v>
      </c>
      <c r="S50" s="875"/>
      <c r="T50" s="875">
        <v>0</v>
      </c>
      <c r="U50" s="4611">
        <v>20</v>
      </c>
      <c r="V50" s="4608">
        <v>14.17</v>
      </c>
      <c r="W50" s="4608">
        <v>0</v>
      </c>
      <c r="X50" s="4611">
        <v>7.6369999999999996</v>
      </c>
      <c r="Y50" s="4611">
        <v>0</v>
      </c>
      <c r="Z50" s="4611">
        <v>0</v>
      </c>
      <c r="AA50" s="4611">
        <v>11.472</v>
      </c>
      <c r="AB50" s="4611">
        <v>0</v>
      </c>
      <c r="AC50" s="4611">
        <v>0</v>
      </c>
      <c r="AD50" s="4611">
        <v>0</v>
      </c>
      <c r="AE50" s="4611">
        <v>0</v>
      </c>
      <c r="AF50" s="4611">
        <v>0</v>
      </c>
      <c r="AG50" s="4611">
        <v>0</v>
      </c>
      <c r="AH50" s="4611">
        <v>0</v>
      </c>
      <c r="AI50" s="4611">
        <v>0</v>
      </c>
      <c r="AJ50" s="4611">
        <v>0</v>
      </c>
      <c r="AK50" s="4611">
        <v>0</v>
      </c>
      <c r="AL50" s="4612"/>
      <c r="AM50" s="4611">
        <v>0</v>
      </c>
      <c r="AN50" s="876">
        <f t="shared" si="0"/>
        <v>53.279000000000003</v>
      </c>
      <c r="AO50" s="877">
        <v>53.347999999999999</v>
      </c>
      <c r="AP50" s="878">
        <f t="shared" si="1"/>
        <v>-6.9000000000000006E-2</v>
      </c>
    </row>
    <row r="51" spans="1:42" ht="13.8">
      <c r="A51" s="873">
        <v>240</v>
      </c>
      <c r="B51" s="874">
        <v>20</v>
      </c>
      <c r="C51" s="875">
        <v>19.199000000000002</v>
      </c>
      <c r="D51" s="875">
        <v>0</v>
      </c>
      <c r="E51" s="875">
        <v>6</v>
      </c>
      <c r="F51" s="875">
        <v>0</v>
      </c>
      <c r="G51" s="875">
        <v>0</v>
      </c>
      <c r="H51" s="875">
        <v>11.366</v>
      </c>
      <c r="I51" s="875">
        <v>0</v>
      </c>
      <c r="J51" s="875">
        <v>0</v>
      </c>
      <c r="K51" s="875">
        <v>0</v>
      </c>
      <c r="L51" s="875">
        <v>0</v>
      </c>
      <c r="M51" s="875">
        <v>0</v>
      </c>
      <c r="N51" s="875">
        <v>0</v>
      </c>
      <c r="O51" s="875">
        <v>0</v>
      </c>
      <c r="P51" s="875">
        <v>0</v>
      </c>
      <c r="Q51" s="875">
        <v>0</v>
      </c>
      <c r="R51" s="875">
        <v>0</v>
      </c>
      <c r="S51" s="875"/>
      <c r="T51" s="875">
        <v>0</v>
      </c>
      <c r="U51" s="4611">
        <v>20</v>
      </c>
      <c r="V51" s="4608">
        <v>16.867999999999999</v>
      </c>
      <c r="W51" s="4608">
        <v>0</v>
      </c>
      <c r="X51" s="4611">
        <v>8</v>
      </c>
      <c r="Y51" s="4611">
        <v>0</v>
      </c>
      <c r="Z51" s="4611">
        <v>0</v>
      </c>
      <c r="AA51" s="4611">
        <v>11.683999999999999</v>
      </c>
      <c r="AB51" s="4611">
        <v>0</v>
      </c>
      <c r="AC51" s="4611">
        <v>0</v>
      </c>
      <c r="AD51" s="4611">
        <v>0</v>
      </c>
      <c r="AE51" s="4611">
        <v>0</v>
      </c>
      <c r="AF51" s="4611">
        <v>0</v>
      </c>
      <c r="AG51" s="4611">
        <v>0</v>
      </c>
      <c r="AH51" s="4611">
        <v>0</v>
      </c>
      <c r="AI51" s="4611">
        <v>0</v>
      </c>
      <c r="AJ51" s="4611">
        <v>0</v>
      </c>
      <c r="AK51" s="4611">
        <v>0</v>
      </c>
      <c r="AL51" s="4612"/>
      <c r="AM51" s="4611">
        <v>0</v>
      </c>
      <c r="AN51" s="876">
        <f t="shared" si="0"/>
        <v>56.552</v>
      </c>
      <c r="AO51" s="877">
        <v>56.564999999999998</v>
      </c>
      <c r="AP51" s="878">
        <f t="shared" si="1"/>
        <v>-1.2999999999999999E-2</v>
      </c>
    </row>
    <row r="52" spans="1:42" ht="13.8">
      <c r="A52" s="873">
        <v>241</v>
      </c>
      <c r="B52" s="874">
        <v>20</v>
      </c>
      <c r="C52" s="875">
        <v>17.283999999999999</v>
      </c>
      <c r="D52" s="875">
        <v>0</v>
      </c>
      <c r="E52" s="875">
        <v>3.9990000000000001</v>
      </c>
      <c r="F52" s="875">
        <v>0</v>
      </c>
      <c r="G52" s="875">
        <v>0</v>
      </c>
      <c r="H52" s="875">
        <v>0</v>
      </c>
      <c r="I52" s="875">
        <v>0</v>
      </c>
      <c r="J52" s="875">
        <v>0</v>
      </c>
      <c r="K52" s="875">
        <v>0</v>
      </c>
      <c r="L52" s="875">
        <v>0</v>
      </c>
      <c r="M52" s="875">
        <v>0</v>
      </c>
      <c r="N52" s="875">
        <v>0</v>
      </c>
      <c r="O52" s="875">
        <v>0</v>
      </c>
      <c r="P52" s="875">
        <v>0</v>
      </c>
      <c r="Q52" s="875">
        <v>0</v>
      </c>
      <c r="R52" s="875">
        <v>0</v>
      </c>
      <c r="S52" s="875"/>
      <c r="T52" s="875">
        <v>0</v>
      </c>
      <c r="U52" s="4611">
        <v>20</v>
      </c>
      <c r="V52" s="4608">
        <v>17.239999999999998</v>
      </c>
      <c r="W52" s="4608">
        <v>0</v>
      </c>
      <c r="X52" s="4611">
        <v>4</v>
      </c>
      <c r="Y52" s="4611">
        <v>0</v>
      </c>
      <c r="Z52" s="4611">
        <v>0</v>
      </c>
      <c r="AA52" s="4611">
        <v>0</v>
      </c>
      <c r="AB52" s="4611">
        <v>0</v>
      </c>
      <c r="AC52" s="4611">
        <v>0</v>
      </c>
      <c r="AD52" s="4611">
        <v>0</v>
      </c>
      <c r="AE52" s="4611">
        <v>0</v>
      </c>
      <c r="AF52" s="4611">
        <v>0</v>
      </c>
      <c r="AG52" s="4611">
        <v>0</v>
      </c>
      <c r="AH52" s="4611">
        <v>0</v>
      </c>
      <c r="AI52" s="4611">
        <v>0</v>
      </c>
      <c r="AJ52" s="4611">
        <v>0</v>
      </c>
      <c r="AK52" s="4611">
        <v>0</v>
      </c>
      <c r="AL52" s="4612"/>
      <c r="AM52" s="4611">
        <v>0</v>
      </c>
      <c r="AN52" s="876">
        <f t="shared" si="0"/>
        <v>41.24</v>
      </c>
      <c r="AO52" s="877">
        <v>41.283000000000001</v>
      </c>
      <c r="AP52" s="878">
        <f t="shared" si="1"/>
        <v>-4.2999999999999997E-2</v>
      </c>
    </row>
    <row r="53" spans="1:42" ht="13.8">
      <c r="A53" s="873">
        <v>242</v>
      </c>
      <c r="B53" s="874">
        <v>20</v>
      </c>
      <c r="C53" s="875">
        <v>24.216999999999999</v>
      </c>
      <c r="D53" s="875">
        <v>0</v>
      </c>
      <c r="E53" s="875">
        <v>7.9960000000000004</v>
      </c>
      <c r="F53" s="875">
        <v>0</v>
      </c>
      <c r="G53" s="875">
        <v>0</v>
      </c>
      <c r="H53" s="875">
        <v>0</v>
      </c>
      <c r="I53" s="875">
        <v>0</v>
      </c>
      <c r="J53" s="875">
        <v>0</v>
      </c>
      <c r="K53" s="875">
        <v>0</v>
      </c>
      <c r="L53" s="875">
        <v>0</v>
      </c>
      <c r="M53" s="875">
        <v>0</v>
      </c>
      <c r="N53" s="875">
        <v>0</v>
      </c>
      <c r="O53" s="875">
        <v>0</v>
      </c>
      <c r="P53" s="875">
        <v>0</v>
      </c>
      <c r="Q53" s="875">
        <v>0</v>
      </c>
      <c r="R53" s="875">
        <v>0</v>
      </c>
      <c r="S53" s="875"/>
      <c r="T53" s="875">
        <v>0</v>
      </c>
      <c r="U53" s="4611">
        <v>20</v>
      </c>
      <c r="V53" s="4608">
        <v>29.706</v>
      </c>
      <c r="W53" s="4608">
        <v>0</v>
      </c>
      <c r="X53" s="4611">
        <v>6.0010000000000003</v>
      </c>
      <c r="Y53" s="4611">
        <v>0</v>
      </c>
      <c r="Z53" s="4611">
        <v>0</v>
      </c>
      <c r="AA53" s="4611">
        <v>0</v>
      </c>
      <c r="AB53" s="4611">
        <v>0</v>
      </c>
      <c r="AC53" s="4611">
        <v>0</v>
      </c>
      <c r="AD53" s="4611">
        <v>0</v>
      </c>
      <c r="AE53" s="4611">
        <v>0</v>
      </c>
      <c r="AF53" s="4611">
        <v>0</v>
      </c>
      <c r="AG53" s="4611">
        <v>0</v>
      </c>
      <c r="AH53" s="4611">
        <v>0</v>
      </c>
      <c r="AI53" s="4611">
        <v>0</v>
      </c>
      <c r="AJ53" s="4611">
        <v>0</v>
      </c>
      <c r="AK53" s="4611">
        <v>0</v>
      </c>
      <c r="AL53" s="4612"/>
      <c r="AM53" s="4611">
        <v>0</v>
      </c>
      <c r="AN53" s="876">
        <f t="shared" si="0"/>
        <v>55.707000000000001</v>
      </c>
      <c r="AO53" s="877">
        <v>52.213000000000001</v>
      </c>
      <c r="AP53" s="878">
        <f t="shared" si="1"/>
        <v>3.4940000000000002</v>
      </c>
    </row>
    <row r="54" spans="1:42" ht="13.8">
      <c r="A54" s="873">
        <v>243</v>
      </c>
      <c r="B54" s="874">
        <v>20</v>
      </c>
      <c r="C54" s="875">
        <v>20.422000000000001</v>
      </c>
      <c r="D54" s="875">
        <v>0</v>
      </c>
      <c r="E54" s="875">
        <v>6.9660000000000002</v>
      </c>
      <c r="F54" s="875">
        <v>0</v>
      </c>
      <c r="G54" s="875">
        <v>0</v>
      </c>
      <c r="H54" s="875">
        <v>3.456</v>
      </c>
      <c r="I54" s="875">
        <v>0</v>
      </c>
      <c r="J54" s="875">
        <v>0</v>
      </c>
      <c r="K54" s="875">
        <v>0</v>
      </c>
      <c r="L54" s="875">
        <v>0</v>
      </c>
      <c r="M54" s="875">
        <v>0</v>
      </c>
      <c r="N54" s="875">
        <v>0</v>
      </c>
      <c r="O54" s="875">
        <v>0</v>
      </c>
      <c r="P54" s="875">
        <v>0</v>
      </c>
      <c r="Q54" s="875">
        <v>0</v>
      </c>
      <c r="R54" s="875">
        <v>0</v>
      </c>
      <c r="S54" s="875"/>
      <c r="T54" s="875">
        <v>0</v>
      </c>
      <c r="U54" s="4611">
        <v>20</v>
      </c>
      <c r="V54" s="4608">
        <v>18.135999999999999</v>
      </c>
      <c r="W54" s="4608">
        <v>0</v>
      </c>
      <c r="X54" s="4611">
        <v>8</v>
      </c>
      <c r="Y54" s="4611">
        <v>0</v>
      </c>
      <c r="Z54" s="4611">
        <v>0</v>
      </c>
      <c r="AA54" s="4611">
        <v>0</v>
      </c>
      <c r="AB54" s="4611">
        <v>0</v>
      </c>
      <c r="AC54" s="4611">
        <v>0</v>
      </c>
      <c r="AD54" s="4611">
        <v>0</v>
      </c>
      <c r="AE54" s="4611">
        <v>0</v>
      </c>
      <c r="AF54" s="4611">
        <v>0</v>
      </c>
      <c r="AG54" s="4611">
        <v>0</v>
      </c>
      <c r="AH54" s="4611">
        <v>0</v>
      </c>
      <c r="AI54" s="4611">
        <v>0</v>
      </c>
      <c r="AJ54" s="4611">
        <v>0</v>
      </c>
      <c r="AK54" s="4611">
        <v>0</v>
      </c>
      <c r="AL54" s="4612"/>
      <c r="AM54" s="4611">
        <v>0</v>
      </c>
      <c r="AN54" s="876">
        <f t="shared" si="0"/>
        <v>46.136000000000003</v>
      </c>
      <c r="AO54" s="877">
        <v>50.844000000000001</v>
      </c>
      <c r="AP54" s="878">
        <f t="shared" si="1"/>
        <v>-4.7080000000000002</v>
      </c>
    </row>
    <row r="55" spans="1:42" ht="13.8">
      <c r="A55" s="873">
        <v>244</v>
      </c>
      <c r="B55" s="874">
        <v>20</v>
      </c>
      <c r="C55" s="875">
        <v>4.4480000000000004</v>
      </c>
      <c r="D55" s="875">
        <v>0</v>
      </c>
      <c r="E55" s="875">
        <v>5</v>
      </c>
      <c r="F55" s="875">
        <v>0</v>
      </c>
      <c r="G55" s="875">
        <v>0</v>
      </c>
      <c r="H55" s="875">
        <v>0</v>
      </c>
      <c r="I55" s="875">
        <v>0</v>
      </c>
      <c r="J55" s="875">
        <v>0</v>
      </c>
      <c r="K55" s="875">
        <v>0</v>
      </c>
      <c r="L55" s="875">
        <v>0</v>
      </c>
      <c r="M55" s="875">
        <v>0</v>
      </c>
      <c r="N55" s="875">
        <v>0</v>
      </c>
      <c r="O55" s="875">
        <v>0</v>
      </c>
      <c r="P55" s="875">
        <v>2.6230000000000002</v>
      </c>
      <c r="Q55" s="875">
        <v>0.19700000000000001</v>
      </c>
      <c r="R55" s="875">
        <v>0</v>
      </c>
      <c r="S55" s="875"/>
      <c r="T55" s="875">
        <v>0</v>
      </c>
      <c r="U55" s="4611">
        <v>20</v>
      </c>
      <c r="V55" s="4608">
        <v>4.218</v>
      </c>
      <c r="W55" s="4608">
        <v>0</v>
      </c>
      <c r="X55" s="4611">
        <v>5</v>
      </c>
      <c r="Y55" s="4611">
        <v>0</v>
      </c>
      <c r="Z55" s="4611">
        <v>0</v>
      </c>
      <c r="AA55" s="4611">
        <v>0</v>
      </c>
      <c r="AB55" s="4611">
        <v>0</v>
      </c>
      <c r="AC55" s="4611">
        <v>0</v>
      </c>
      <c r="AD55" s="4611">
        <v>0</v>
      </c>
      <c r="AE55" s="4611">
        <v>0</v>
      </c>
      <c r="AF55" s="4611">
        <v>0</v>
      </c>
      <c r="AG55" s="4611">
        <v>0</v>
      </c>
      <c r="AH55" s="4611">
        <v>0</v>
      </c>
      <c r="AI55" s="4611">
        <v>2</v>
      </c>
      <c r="AJ55" s="4611">
        <v>0.186</v>
      </c>
      <c r="AK55" s="4611">
        <v>0</v>
      </c>
      <c r="AL55" s="4612"/>
      <c r="AM55" s="4611">
        <v>0</v>
      </c>
      <c r="AN55" s="876">
        <f t="shared" si="0"/>
        <v>31.404</v>
      </c>
      <c r="AO55" s="877">
        <v>32.268000000000001</v>
      </c>
      <c r="AP55" s="878">
        <f t="shared" si="1"/>
        <v>-0.86399999999999999</v>
      </c>
    </row>
    <row r="56" spans="1:42" ht="13.8">
      <c r="A56" s="873">
        <v>245</v>
      </c>
      <c r="B56" s="874">
        <v>20</v>
      </c>
      <c r="C56" s="875">
        <v>23.616</v>
      </c>
      <c r="D56" s="875">
        <v>0</v>
      </c>
      <c r="E56" s="875">
        <v>4.9850000000000003</v>
      </c>
      <c r="F56" s="875">
        <v>0</v>
      </c>
      <c r="G56" s="875">
        <v>0</v>
      </c>
      <c r="H56" s="875">
        <v>0</v>
      </c>
      <c r="I56" s="875">
        <v>0</v>
      </c>
      <c r="J56" s="875">
        <v>0</v>
      </c>
      <c r="K56" s="875">
        <v>0</v>
      </c>
      <c r="L56" s="875">
        <v>0</v>
      </c>
      <c r="M56" s="875">
        <v>0</v>
      </c>
      <c r="N56" s="875">
        <v>0</v>
      </c>
      <c r="O56" s="875">
        <v>0</v>
      </c>
      <c r="P56" s="875">
        <v>0</v>
      </c>
      <c r="Q56" s="875">
        <v>0</v>
      </c>
      <c r="R56" s="875">
        <v>0</v>
      </c>
      <c r="S56" s="875"/>
      <c r="T56" s="875">
        <v>0</v>
      </c>
      <c r="U56" s="4611">
        <v>20</v>
      </c>
      <c r="V56" s="4608">
        <v>24.361000000000001</v>
      </c>
      <c r="W56" s="4608">
        <v>0</v>
      </c>
      <c r="X56" s="4611">
        <v>8</v>
      </c>
      <c r="Y56" s="4611">
        <v>0</v>
      </c>
      <c r="Z56" s="4611">
        <v>0</v>
      </c>
      <c r="AA56" s="4611">
        <v>0</v>
      </c>
      <c r="AB56" s="4611">
        <v>0</v>
      </c>
      <c r="AC56" s="4611">
        <v>0</v>
      </c>
      <c r="AD56" s="4611">
        <v>0</v>
      </c>
      <c r="AE56" s="4611">
        <v>0</v>
      </c>
      <c r="AF56" s="4611">
        <v>0</v>
      </c>
      <c r="AG56" s="4611">
        <v>0</v>
      </c>
      <c r="AH56" s="4611">
        <v>0</v>
      </c>
      <c r="AI56" s="4611">
        <v>0</v>
      </c>
      <c r="AJ56" s="4611">
        <v>0</v>
      </c>
      <c r="AK56" s="4611">
        <v>0</v>
      </c>
      <c r="AL56" s="4612"/>
      <c r="AM56" s="4611">
        <v>0</v>
      </c>
      <c r="AN56" s="876">
        <f t="shared" si="0"/>
        <v>52.360999999999997</v>
      </c>
      <c r="AO56" s="877">
        <v>48.600999999999999</v>
      </c>
      <c r="AP56" s="878">
        <f t="shared" si="1"/>
        <v>3.76</v>
      </c>
    </row>
    <row r="57" spans="1:42" ht="13.8">
      <c r="A57" s="873">
        <v>246</v>
      </c>
      <c r="B57" s="874">
        <v>20</v>
      </c>
      <c r="C57" s="875">
        <v>17.268999999999998</v>
      </c>
      <c r="D57" s="875">
        <v>0</v>
      </c>
      <c r="E57" s="875">
        <v>4</v>
      </c>
      <c r="F57" s="875">
        <v>0</v>
      </c>
      <c r="G57" s="875">
        <v>0</v>
      </c>
      <c r="H57" s="875">
        <v>7.5819999999999999</v>
      </c>
      <c r="I57" s="875">
        <v>0</v>
      </c>
      <c r="J57" s="875">
        <v>0</v>
      </c>
      <c r="K57" s="875">
        <v>0</v>
      </c>
      <c r="L57" s="875">
        <v>0</v>
      </c>
      <c r="M57" s="875">
        <v>0</v>
      </c>
      <c r="N57" s="875">
        <v>0</v>
      </c>
      <c r="O57" s="875">
        <v>0</v>
      </c>
      <c r="P57" s="875">
        <v>0</v>
      </c>
      <c r="Q57" s="875">
        <v>0</v>
      </c>
      <c r="R57" s="875">
        <v>0</v>
      </c>
      <c r="S57" s="875"/>
      <c r="T57" s="875">
        <v>0</v>
      </c>
      <c r="U57" s="4611">
        <v>20</v>
      </c>
      <c r="V57" s="4608">
        <v>17.611000000000001</v>
      </c>
      <c r="W57" s="4608">
        <v>0</v>
      </c>
      <c r="X57" s="4611">
        <v>8</v>
      </c>
      <c r="Y57" s="4611">
        <v>0</v>
      </c>
      <c r="Z57" s="4611">
        <v>0</v>
      </c>
      <c r="AA57" s="4611">
        <v>0</v>
      </c>
      <c r="AB57" s="4611">
        <v>0</v>
      </c>
      <c r="AC57" s="4611">
        <v>0</v>
      </c>
      <c r="AD57" s="4611">
        <v>0</v>
      </c>
      <c r="AE57" s="4611">
        <v>0</v>
      </c>
      <c r="AF57" s="4611">
        <v>0</v>
      </c>
      <c r="AG57" s="4611">
        <v>0</v>
      </c>
      <c r="AH57" s="4611">
        <v>0</v>
      </c>
      <c r="AI57" s="4611">
        <v>0</v>
      </c>
      <c r="AJ57" s="4611">
        <v>0</v>
      </c>
      <c r="AK57" s="4611">
        <v>0</v>
      </c>
      <c r="AL57" s="4612"/>
      <c r="AM57" s="4611">
        <v>0</v>
      </c>
      <c r="AN57" s="876">
        <f t="shared" si="0"/>
        <v>45.610999999999997</v>
      </c>
      <c r="AO57" s="877">
        <v>48.850999999999999</v>
      </c>
      <c r="AP57" s="878">
        <f t="shared" si="1"/>
        <v>-3.24</v>
      </c>
    </row>
    <row r="58" spans="1:42" ht="13.8">
      <c r="A58" s="873">
        <v>247</v>
      </c>
      <c r="B58" s="874">
        <v>20</v>
      </c>
      <c r="C58" s="875">
        <v>19.09</v>
      </c>
      <c r="D58" s="875">
        <v>0</v>
      </c>
      <c r="E58" s="875">
        <v>8</v>
      </c>
      <c r="F58" s="875">
        <v>0</v>
      </c>
      <c r="G58" s="875">
        <v>0</v>
      </c>
      <c r="H58" s="875">
        <v>0</v>
      </c>
      <c r="I58" s="875">
        <v>0</v>
      </c>
      <c r="J58" s="875">
        <v>0</v>
      </c>
      <c r="K58" s="875">
        <v>0</v>
      </c>
      <c r="L58" s="875">
        <v>0</v>
      </c>
      <c r="M58" s="875">
        <v>0</v>
      </c>
      <c r="N58" s="875">
        <v>0</v>
      </c>
      <c r="O58" s="875">
        <v>0</v>
      </c>
      <c r="P58" s="875">
        <v>0</v>
      </c>
      <c r="Q58" s="875">
        <v>0</v>
      </c>
      <c r="R58" s="875">
        <v>0</v>
      </c>
      <c r="S58" s="875"/>
      <c r="T58" s="875">
        <v>0</v>
      </c>
      <c r="U58" s="4611">
        <v>20</v>
      </c>
      <c r="V58" s="4608">
        <v>18.52</v>
      </c>
      <c r="W58" s="4608">
        <v>0</v>
      </c>
      <c r="X58" s="4611">
        <v>8</v>
      </c>
      <c r="Y58" s="4611">
        <v>0</v>
      </c>
      <c r="Z58" s="4611">
        <v>0</v>
      </c>
      <c r="AA58" s="4611">
        <v>0</v>
      </c>
      <c r="AB58" s="4611">
        <v>0</v>
      </c>
      <c r="AC58" s="4611">
        <v>0</v>
      </c>
      <c r="AD58" s="4611">
        <v>0</v>
      </c>
      <c r="AE58" s="4611">
        <v>0</v>
      </c>
      <c r="AF58" s="4611">
        <v>0</v>
      </c>
      <c r="AG58" s="4611">
        <v>0</v>
      </c>
      <c r="AH58" s="4611">
        <v>0</v>
      </c>
      <c r="AI58" s="4611">
        <v>0</v>
      </c>
      <c r="AJ58" s="4611">
        <v>0</v>
      </c>
      <c r="AK58" s="4611">
        <v>0</v>
      </c>
      <c r="AL58" s="4612"/>
      <c r="AM58" s="4611">
        <v>0</v>
      </c>
      <c r="AN58" s="876">
        <f t="shared" si="0"/>
        <v>46.52</v>
      </c>
      <c r="AO58" s="877">
        <v>47.09</v>
      </c>
      <c r="AP58" s="878">
        <f t="shared" si="1"/>
        <v>-0.56999999999999995</v>
      </c>
    </row>
    <row r="59" spans="1:42" ht="13.8">
      <c r="A59" s="873">
        <v>248</v>
      </c>
      <c r="B59" s="874">
        <v>20</v>
      </c>
      <c r="C59" s="875">
        <v>14.272</v>
      </c>
      <c r="D59" s="875">
        <v>0</v>
      </c>
      <c r="E59" s="875">
        <v>7.4950000000000001</v>
      </c>
      <c r="F59" s="875">
        <v>0</v>
      </c>
      <c r="G59" s="875">
        <v>0</v>
      </c>
      <c r="H59" s="875">
        <v>10.34</v>
      </c>
      <c r="I59" s="875">
        <v>0</v>
      </c>
      <c r="J59" s="875">
        <v>0</v>
      </c>
      <c r="K59" s="875">
        <v>0</v>
      </c>
      <c r="L59" s="875">
        <v>0</v>
      </c>
      <c r="M59" s="875">
        <v>0</v>
      </c>
      <c r="N59" s="875">
        <v>0</v>
      </c>
      <c r="O59" s="875">
        <v>0</v>
      </c>
      <c r="P59" s="875">
        <v>1</v>
      </c>
      <c r="Q59" s="875">
        <v>0</v>
      </c>
      <c r="R59" s="875">
        <v>0</v>
      </c>
      <c r="S59" s="875"/>
      <c r="T59" s="875">
        <v>0</v>
      </c>
      <c r="U59" s="4611">
        <v>20</v>
      </c>
      <c r="V59" s="4608">
        <v>14.097</v>
      </c>
      <c r="W59" s="4608">
        <v>0</v>
      </c>
      <c r="X59" s="4611">
        <v>8</v>
      </c>
      <c r="Y59" s="4611">
        <v>0</v>
      </c>
      <c r="Z59" s="4611">
        <v>0</v>
      </c>
      <c r="AA59" s="4611">
        <v>9.9909999999999997</v>
      </c>
      <c r="AB59" s="4611">
        <v>0</v>
      </c>
      <c r="AC59" s="4611">
        <v>0</v>
      </c>
      <c r="AD59" s="4611">
        <v>0</v>
      </c>
      <c r="AE59" s="4611">
        <v>0</v>
      </c>
      <c r="AF59" s="4611">
        <v>0</v>
      </c>
      <c r="AG59" s="4611">
        <v>0</v>
      </c>
      <c r="AH59" s="4611">
        <v>0</v>
      </c>
      <c r="AI59" s="4611">
        <v>1</v>
      </c>
      <c r="AJ59" s="4611">
        <v>0</v>
      </c>
      <c r="AK59" s="4611">
        <v>0</v>
      </c>
      <c r="AL59" s="4612"/>
      <c r="AM59" s="4611">
        <v>0</v>
      </c>
      <c r="AN59" s="876">
        <f t="shared" si="0"/>
        <v>53.088000000000001</v>
      </c>
      <c r="AO59" s="877">
        <v>53.106999999999999</v>
      </c>
      <c r="AP59" s="878">
        <f t="shared" si="1"/>
        <v>-1.9E-2</v>
      </c>
    </row>
    <row r="60" spans="1:42" ht="13.8">
      <c r="A60" s="873">
        <v>249</v>
      </c>
      <c r="B60" s="874">
        <v>20</v>
      </c>
      <c r="C60" s="875">
        <v>14.114000000000001</v>
      </c>
      <c r="D60" s="875">
        <v>0</v>
      </c>
      <c r="E60" s="875">
        <v>6.5490000000000004</v>
      </c>
      <c r="F60" s="875">
        <v>0</v>
      </c>
      <c r="G60" s="875">
        <v>0</v>
      </c>
      <c r="H60" s="875">
        <v>5.54</v>
      </c>
      <c r="I60" s="875">
        <v>0</v>
      </c>
      <c r="J60" s="875">
        <v>0</v>
      </c>
      <c r="K60" s="875">
        <v>0</v>
      </c>
      <c r="L60" s="875">
        <v>0</v>
      </c>
      <c r="M60" s="875">
        <v>0</v>
      </c>
      <c r="N60" s="875">
        <v>0</v>
      </c>
      <c r="O60" s="875">
        <v>0</v>
      </c>
      <c r="P60" s="875">
        <v>2</v>
      </c>
      <c r="Q60" s="875">
        <v>0</v>
      </c>
      <c r="R60" s="875">
        <v>0</v>
      </c>
      <c r="S60" s="875"/>
      <c r="T60" s="875">
        <v>0</v>
      </c>
      <c r="U60" s="4611">
        <v>20</v>
      </c>
      <c r="V60" s="4608">
        <v>13.048999999999999</v>
      </c>
      <c r="W60" s="4608">
        <v>0</v>
      </c>
      <c r="X60" s="4611">
        <v>7.601</v>
      </c>
      <c r="Y60" s="4611">
        <v>0</v>
      </c>
      <c r="Z60" s="4611">
        <v>0</v>
      </c>
      <c r="AA60" s="4611">
        <v>5.5419999999999998</v>
      </c>
      <c r="AB60" s="4611">
        <v>0</v>
      </c>
      <c r="AC60" s="4611">
        <v>0</v>
      </c>
      <c r="AD60" s="4611">
        <v>0</v>
      </c>
      <c r="AE60" s="4611">
        <v>0</v>
      </c>
      <c r="AF60" s="4611">
        <v>0</v>
      </c>
      <c r="AG60" s="4611">
        <v>0</v>
      </c>
      <c r="AH60" s="4611">
        <v>0</v>
      </c>
      <c r="AI60" s="4611">
        <v>2</v>
      </c>
      <c r="AJ60" s="4611">
        <v>0</v>
      </c>
      <c r="AK60" s="4611">
        <v>0</v>
      </c>
      <c r="AL60" s="4612"/>
      <c r="AM60" s="4611">
        <v>0</v>
      </c>
      <c r="AN60" s="876">
        <f t="shared" si="0"/>
        <v>48.192</v>
      </c>
      <c r="AO60" s="877">
        <v>48.203000000000003</v>
      </c>
      <c r="AP60" s="878">
        <f t="shared" si="1"/>
        <v>-1.0999999999999999E-2</v>
      </c>
    </row>
    <row r="61" spans="1:42" ht="13.8">
      <c r="A61" s="873">
        <v>250</v>
      </c>
      <c r="B61" s="874">
        <v>20</v>
      </c>
      <c r="C61" s="875">
        <v>14.699</v>
      </c>
      <c r="D61" s="875">
        <v>0</v>
      </c>
      <c r="E61" s="875">
        <v>8</v>
      </c>
      <c r="F61" s="875">
        <v>0</v>
      </c>
      <c r="G61" s="875">
        <v>0</v>
      </c>
      <c r="H61" s="875">
        <v>9.2680000000000007</v>
      </c>
      <c r="I61" s="875">
        <v>0</v>
      </c>
      <c r="J61" s="875">
        <v>0</v>
      </c>
      <c r="K61" s="875">
        <v>0</v>
      </c>
      <c r="L61" s="875">
        <v>0</v>
      </c>
      <c r="M61" s="875">
        <v>0</v>
      </c>
      <c r="N61" s="875">
        <v>0</v>
      </c>
      <c r="O61" s="875">
        <v>0</v>
      </c>
      <c r="P61" s="875">
        <v>0</v>
      </c>
      <c r="Q61" s="875">
        <v>0</v>
      </c>
      <c r="R61" s="875">
        <v>0</v>
      </c>
      <c r="S61" s="875"/>
      <c r="T61" s="875">
        <v>0</v>
      </c>
      <c r="U61" s="4611">
        <v>20</v>
      </c>
      <c r="V61" s="4608">
        <v>15.259</v>
      </c>
      <c r="W61" s="4608">
        <v>0</v>
      </c>
      <c r="X61" s="4611">
        <v>8</v>
      </c>
      <c r="Y61" s="4611">
        <v>0</v>
      </c>
      <c r="Z61" s="4611">
        <v>0</v>
      </c>
      <c r="AA61" s="4611">
        <v>9.1609999999999996</v>
      </c>
      <c r="AB61" s="4611">
        <v>0</v>
      </c>
      <c r="AC61" s="4611">
        <v>0</v>
      </c>
      <c r="AD61" s="4611">
        <v>0</v>
      </c>
      <c r="AE61" s="4611">
        <v>0</v>
      </c>
      <c r="AF61" s="4611">
        <v>0</v>
      </c>
      <c r="AG61" s="4611">
        <v>0</v>
      </c>
      <c r="AH61" s="4611">
        <v>0</v>
      </c>
      <c r="AI61" s="4611">
        <v>0</v>
      </c>
      <c r="AJ61" s="4611">
        <v>0</v>
      </c>
      <c r="AK61" s="4611">
        <v>0</v>
      </c>
      <c r="AL61" s="4612"/>
      <c r="AM61" s="4611">
        <v>0</v>
      </c>
      <c r="AN61" s="876">
        <f t="shared" si="0"/>
        <v>52.42</v>
      </c>
      <c r="AO61" s="877">
        <v>51.966999999999999</v>
      </c>
      <c r="AP61" s="878">
        <f t="shared" si="1"/>
        <v>0.45300000000000001</v>
      </c>
    </row>
    <row r="62" spans="1:42" ht="13.8">
      <c r="A62" s="873">
        <v>251</v>
      </c>
      <c r="B62" s="874">
        <v>20</v>
      </c>
      <c r="C62" s="875">
        <v>11.757999999999999</v>
      </c>
      <c r="D62" s="875">
        <v>0</v>
      </c>
      <c r="E62" s="875">
        <v>8</v>
      </c>
      <c r="F62" s="875">
        <v>0</v>
      </c>
      <c r="G62" s="875">
        <v>0</v>
      </c>
      <c r="H62" s="875">
        <v>0</v>
      </c>
      <c r="I62" s="875">
        <v>0</v>
      </c>
      <c r="J62" s="875">
        <v>0</v>
      </c>
      <c r="K62" s="875">
        <v>0</v>
      </c>
      <c r="L62" s="875">
        <v>0</v>
      </c>
      <c r="M62" s="875">
        <v>0</v>
      </c>
      <c r="N62" s="875">
        <v>0</v>
      </c>
      <c r="O62" s="875">
        <v>0</v>
      </c>
      <c r="P62" s="875">
        <v>0</v>
      </c>
      <c r="Q62" s="875">
        <v>0</v>
      </c>
      <c r="R62" s="875">
        <v>0</v>
      </c>
      <c r="S62" s="875"/>
      <c r="T62" s="875">
        <v>0</v>
      </c>
      <c r="U62" s="4611">
        <v>20</v>
      </c>
      <c r="V62" s="4608">
        <v>10.068</v>
      </c>
      <c r="W62" s="4608">
        <v>0</v>
      </c>
      <c r="X62" s="4611">
        <v>8</v>
      </c>
      <c r="Y62" s="4611">
        <v>0</v>
      </c>
      <c r="Z62" s="4611">
        <v>0</v>
      </c>
      <c r="AA62" s="4611">
        <v>0</v>
      </c>
      <c r="AB62" s="4611">
        <v>0</v>
      </c>
      <c r="AC62" s="4611">
        <v>0</v>
      </c>
      <c r="AD62" s="4611">
        <v>0</v>
      </c>
      <c r="AE62" s="4611">
        <v>0</v>
      </c>
      <c r="AF62" s="4611">
        <v>0</v>
      </c>
      <c r="AG62" s="4611">
        <v>0</v>
      </c>
      <c r="AH62" s="4611">
        <v>0</v>
      </c>
      <c r="AI62" s="4611">
        <v>0</v>
      </c>
      <c r="AJ62" s="4611">
        <v>0</v>
      </c>
      <c r="AK62" s="4611">
        <v>0</v>
      </c>
      <c r="AL62" s="4612"/>
      <c r="AM62" s="4611">
        <v>0</v>
      </c>
      <c r="AN62" s="876">
        <f t="shared" si="0"/>
        <v>38.067999999999998</v>
      </c>
      <c r="AO62" s="877">
        <v>39.758000000000003</v>
      </c>
      <c r="AP62" s="878">
        <f t="shared" si="1"/>
        <v>-1.69</v>
      </c>
    </row>
    <row r="63" spans="1:42" ht="13.8">
      <c r="A63" s="873">
        <v>252</v>
      </c>
      <c r="B63" s="874">
        <v>20</v>
      </c>
      <c r="C63" s="875">
        <v>15.114000000000001</v>
      </c>
      <c r="D63" s="875">
        <v>0</v>
      </c>
      <c r="E63" s="875">
        <v>7.9980000000000002</v>
      </c>
      <c r="F63" s="875">
        <v>0</v>
      </c>
      <c r="G63" s="875">
        <v>0</v>
      </c>
      <c r="H63" s="875">
        <v>26.055</v>
      </c>
      <c r="I63" s="875">
        <v>0</v>
      </c>
      <c r="J63" s="875">
        <v>0</v>
      </c>
      <c r="K63" s="875">
        <v>0</v>
      </c>
      <c r="L63" s="875">
        <v>0</v>
      </c>
      <c r="M63" s="875">
        <v>0</v>
      </c>
      <c r="N63" s="875">
        <v>0</v>
      </c>
      <c r="O63" s="875">
        <v>0</v>
      </c>
      <c r="P63" s="875">
        <v>1</v>
      </c>
      <c r="Q63" s="875">
        <v>0</v>
      </c>
      <c r="R63" s="875">
        <v>0</v>
      </c>
      <c r="S63" s="875"/>
      <c r="T63" s="875">
        <v>0</v>
      </c>
      <c r="U63" s="4611">
        <v>20</v>
      </c>
      <c r="V63" s="4608">
        <v>20.866</v>
      </c>
      <c r="W63" s="4608">
        <v>0</v>
      </c>
      <c r="X63" s="4611">
        <v>8</v>
      </c>
      <c r="Y63" s="4611">
        <v>0</v>
      </c>
      <c r="Z63" s="4611">
        <v>0</v>
      </c>
      <c r="AA63" s="4611">
        <v>20.54</v>
      </c>
      <c r="AB63" s="4611">
        <v>0</v>
      </c>
      <c r="AC63" s="4611">
        <v>0</v>
      </c>
      <c r="AD63" s="4611">
        <v>0</v>
      </c>
      <c r="AE63" s="4611">
        <v>0</v>
      </c>
      <c r="AF63" s="4611">
        <v>0</v>
      </c>
      <c r="AG63" s="4611">
        <v>0</v>
      </c>
      <c r="AH63" s="4611">
        <v>0</v>
      </c>
      <c r="AI63" s="4611">
        <v>1</v>
      </c>
      <c r="AJ63" s="4611">
        <v>0</v>
      </c>
      <c r="AK63" s="4611">
        <v>0</v>
      </c>
      <c r="AL63" s="4612"/>
      <c r="AM63" s="4611">
        <v>0</v>
      </c>
      <c r="AN63" s="876">
        <f t="shared" si="0"/>
        <v>70.406000000000006</v>
      </c>
      <c r="AO63" s="877">
        <v>70.167000000000002</v>
      </c>
      <c r="AP63" s="878">
        <f t="shared" si="1"/>
        <v>0.23899999999999999</v>
      </c>
    </row>
    <row r="64" spans="1:42" ht="13.8">
      <c r="A64" s="873">
        <v>253</v>
      </c>
      <c r="B64" s="874">
        <v>20</v>
      </c>
      <c r="C64" s="875">
        <v>14.46</v>
      </c>
      <c r="D64" s="875">
        <v>0.5</v>
      </c>
      <c r="E64" s="875">
        <v>8</v>
      </c>
      <c r="F64" s="875">
        <v>0</v>
      </c>
      <c r="G64" s="875">
        <v>0</v>
      </c>
      <c r="H64" s="875">
        <v>11.036</v>
      </c>
      <c r="I64" s="875">
        <v>0</v>
      </c>
      <c r="J64" s="875">
        <v>0</v>
      </c>
      <c r="K64" s="875">
        <v>0</v>
      </c>
      <c r="L64" s="875">
        <v>0</v>
      </c>
      <c r="M64" s="875">
        <v>0</v>
      </c>
      <c r="N64" s="875">
        <v>0</v>
      </c>
      <c r="O64" s="875">
        <v>0</v>
      </c>
      <c r="P64" s="875">
        <v>8</v>
      </c>
      <c r="Q64" s="875">
        <v>1.137</v>
      </c>
      <c r="R64" s="875">
        <v>0</v>
      </c>
      <c r="S64" s="875"/>
      <c r="T64" s="875">
        <v>0</v>
      </c>
      <c r="U64" s="4611">
        <v>20</v>
      </c>
      <c r="V64" s="4608">
        <v>12.653</v>
      </c>
      <c r="W64" s="4608">
        <v>0.5</v>
      </c>
      <c r="X64" s="4611">
        <v>8</v>
      </c>
      <c r="Y64" s="4611">
        <v>0</v>
      </c>
      <c r="Z64" s="4611">
        <v>0</v>
      </c>
      <c r="AA64" s="4611">
        <v>12.391999999999999</v>
      </c>
      <c r="AB64" s="4611">
        <v>0</v>
      </c>
      <c r="AC64" s="4611">
        <v>0</v>
      </c>
      <c r="AD64" s="4611">
        <v>0</v>
      </c>
      <c r="AE64" s="4611">
        <v>0</v>
      </c>
      <c r="AF64" s="4611">
        <v>0</v>
      </c>
      <c r="AG64" s="4611">
        <v>0</v>
      </c>
      <c r="AH64" s="4611">
        <v>0</v>
      </c>
      <c r="AI64" s="4611">
        <v>8</v>
      </c>
      <c r="AJ64" s="4611">
        <v>1.6419999999999999</v>
      </c>
      <c r="AK64" s="4611">
        <v>0</v>
      </c>
      <c r="AL64" s="4612"/>
      <c r="AM64" s="4611">
        <v>0</v>
      </c>
      <c r="AN64" s="876">
        <f t="shared" si="0"/>
        <v>63.186999999999998</v>
      </c>
      <c r="AO64" s="877">
        <v>63.133000000000003</v>
      </c>
      <c r="AP64" s="878">
        <f t="shared" si="1"/>
        <v>5.3999999999999999E-2</v>
      </c>
    </row>
    <row r="65" spans="1:42" ht="13.8">
      <c r="A65" s="873">
        <v>254</v>
      </c>
      <c r="B65" s="874">
        <v>20</v>
      </c>
      <c r="C65" s="875">
        <v>18.859000000000002</v>
      </c>
      <c r="D65" s="875">
        <v>0</v>
      </c>
      <c r="E65" s="875">
        <v>7.9820000000000002</v>
      </c>
      <c r="F65" s="875">
        <v>0</v>
      </c>
      <c r="G65" s="875">
        <v>0</v>
      </c>
      <c r="H65" s="875">
        <v>0</v>
      </c>
      <c r="I65" s="875">
        <v>0</v>
      </c>
      <c r="J65" s="875">
        <v>0</v>
      </c>
      <c r="K65" s="875">
        <v>0</v>
      </c>
      <c r="L65" s="875">
        <v>0</v>
      </c>
      <c r="M65" s="875">
        <v>0</v>
      </c>
      <c r="N65" s="875">
        <v>0</v>
      </c>
      <c r="O65" s="875">
        <v>0</v>
      </c>
      <c r="P65" s="875">
        <v>1.706</v>
      </c>
      <c r="Q65" s="875">
        <v>0</v>
      </c>
      <c r="R65" s="875">
        <v>0</v>
      </c>
      <c r="S65" s="875"/>
      <c r="T65" s="875">
        <v>0</v>
      </c>
      <c r="U65" s="4611">
        <v>20</v>
      </c>
      <c r="V65" s="4608">
        <v>21.786999999999999</v>
      </c>
      <c r="W65" s="4608">
        <v>0</v>
      </c>
      <c r="X65" s="4611">
        <v>7.9660000000000002</v>
      </c>
      <c r="Y65" s="4611">
        <v>0</v>
      </c>
      <c r="Z65" s="4611">
        <v>0</v>
      </c>
      <c r="AA65" s="4611">
        <v>0</v>
      </c>
      <c r="AB65" s="4611">
        <v>0</v>
      </c>
      <c r="AC65" s="4611">
        <v>0</v>
      </c>
      <c r="AD65" s="4611">
        <v>0</v>
      </c>
      <c r="AE65" s="4611">
        <v>0</v>
      </c>
      <c r="AF65" s="4611">
        <v>0</v>
      </c>
      <c r="AG65" s="4611">
        <v>0</v>
      </c>
      <c r="AH65" s="4611">
        <v>0</v>
      </c>
      <c r="AI65" s="4611">
        <v>1.7030000000000001</v>
      </c>
      <c r="AJ65" s="4611">
        <v>0</v>
      </c>
      <c r="AK65" s="4611">
        <v>0</v>
      </c>
      <c r="AL65" s="4612"/>
      <c r="AM65" s="4611">
        <v>0</v>
      </c>
      <c r="AN65" s="876">
        <f t="shared" si="0"/>
        <v>51.456000000000003</v>
      </c>
      <c r="AO65" s="877">
        <v>48.546999999999997</v>
      </c>
      <c r="AP65" s="878">
        <f t="shared" si="1"/>
        <v>2.9089999999999998</v>
      </c>
    </row>
    <row r="66" spans="1:42" ht="13.8">
      <c r="A66" s="873">
        <v>255</v>
      </c>
      <c r="B66" s="874">
        <v>20</v>
      </c>
      <c r="C66" s="875">
        <v>15.797000000000001</v>
      </c>
      <c r="D66" s="875">
        <v>0</v>
      </c>
      <c r="E66" s="875">
        <v>8</v>
      </c>
      <c r="F66" s="875">
        <v>0</v>
      </c>
      <c r="G66" s="875">
        <v>0</v>
      </c>
      <c r="H66" s="875">
        <v>0</v>
      </c>
      <c r="I66" s="875">
        <v>0</v>
      </c>
      <c r="J66" s="875">
        <v>0</v>
      </c>
      <c r="K66" s="875">
        <v>0</v>
      </c>
      <c r="L66" s="875">
        <v>0</v>
      </c>
      <c r="M66" s="875">
        <v>0</v>
      </c>
      <c r="N66" s="875">
        <v>0</v>
      </c>
      <c r="O66" s="875">
        <v>0</v>
      </c>
      <c r="P66" s="875">
        <v>1.5029999999999999</v>
      </c>
      <c r="Q66" s="875">
        <v>0</v>
      </c>
      <c r="R66" s="875">
        <v>0</v>
      </c>
      <c r="S66" s="875"/>
      <c r="T66" s="875">
        <v>0</v>
      </c>
      <c r="U66" s="4611">
        <v>20</v>
      </c>
      <c r="V66" s="4608">
        <v>24.402999999999999</v>
      </c>
      <c r="W66" s="4608">
        <v>0</v>
      </c>
      <c r="X66" s="4611">
        <v>7.87</v>
      </c>
      <c r="Y66" s="4611">
        <v>0</v>
      </c>
      <c r="Z66" s="4611">
        <v>0</v>
      </c>
      <c r="AA66" s="4611">
        <v>0</v>
      </c>
      <c r="AB66" s="4611">
        <v>0</v>
      </c>
      <c r="AC66" s="4611">
        <v>0</v>
      </c>
      <c r="AD66" s="4611">
        <v>0</v>
      </c>
      <c r="AE66" s="4611">
        <v>0</v>
      </c>
      <c r="AF66" s="4611">
        <v>0</v>
      </c>
      <c r="AG66" s="4611">
        <v>0</v>
      </c>
      <c r="AH66" s="4611">
        <v>0</v>
      </c>
      <c r="AI66" s="4611">
        <v>1.5009999999999999</v>
      </c>
      <c r="AJ66" s="4611">
        <v>0</v>
      </c>
      <c r="AK66" s="4611">
        <v>0</v>
      </c>
      <c r="AL66" s="4612"/>
      <c r="AM66" s="4611">
        <v>0</v>
      </c>
      <c r="AN66" s="876">
        <f t="shared" si="0"/>
        <v>53.774000000000001</v>
      </c>
      <c r="AO66" s="877">
        <v>45.3</v>
      </c>
      <c r="AP66" s="878">
        <f t="shared" si="1"/>
        <v>8.4740000000000002</v>
      </c>
    </row>
    <row r="67" spans="1:42" ht="13.8">
      <c r="A67" s="873">
        <v>256</v>
      </c>
      <c r="B67" s="874">
        <v>20</v>
      </c>
      <c r="C67" s="875">
        <v>22.254999999999999</v>
      </c>
      <c r="D67" s="875">
        <v>0</v>
      </c>
      <c r="E67" s="875">
        <v>4</v>
      </c>
      <c r="F67" s="875">
        <v>0</v>
      </c>
      <c r="G67" s="875">
        <v>0</v>
      </c>
      <c r="H67" s="875">
        <v>0</v>
      </c>
      <c r="I67" s="875">
        <v>0</v>
      </c>
      <c r="J67" s="875">
        <v>0</v>
      </c>
      <c r="K67" s="875">
        <v>0</v>
      </c>
      <c r="L67" s="875">
        <v>0</v>
      </c>
      <c r="M67" s="875">
        <v>0</v>
      </c>
      <c r="N67" s="875">
        <v>0</v>
      </c>
      <c r="O67" s="875">
        <v>0</v>
      </c>
      <c r="P67" s="875">
        <v>0</v>
      </c>
      <c r="Q67" s="875">
        <v>0</v>
      </c>
      <c r="R67" s="875">
        <v>0</v>
      </c>
      <c r="S67" s="875"/>
      <c r="T67" s="875">
        <v>0</v>
      </c>
      <c r="U67" s="4611">
        <v>20</v>
      </c>
      <c r="V67" s="4608">
        <v>22.513000000000002</v>
      </c>
      <c r="W67" s="4608">
        <v>0</v>
      </c>
      <c r="X67" s="4611">
        <v>5</v>
      </c>
      <c r="Y67" s="4611">
        <v>0</v>
      </c>
      <c r="Z67" s="4611">
        <v>0</v>
      </c>
      <c r="AA67" s="4611">
        <v>0</v>
      </c>
      <c r="AB67" s="4611">
        <v>0</v>
      </c>
      <c r="AC67" s="4611">
        <v>0</v>
      </c>
      <c r="AD67" s="4611">
        <v>0</v>
      </c>
      <c r="AE67" s="4611">
        <v>0</v>
      </c>
      <c r="AF67" s="4611">
        <v>0</v>
      </c>
      <c r="AG67" s="4611">
        <v>0</v>
      </c>
      <c r="AH67" s="4611">
        <v>0</v>
      </c>
      <c r="AI67" s="4611">
        <v>0</v>
      </c>
      <c r="AJ67" s="4611">
        <v>0</v>
      </c>
      <c r="AK67" s="4611">
        <v>0</v>
      </c>
      <c r="AL67" s="4612"/>
      <c r="AM67" s="4611">
        <v>0</v>
      </c>
      <c r="AN67" s="876">
        <f t="shared" si="0"/>
        <v>47.512999999999998</v>
      </c>
      <c r="AO67" s="877">
        <v>46.255000000000003</v>
      </c>
      <c r="AP67" s="878">
        <f t="shared" si="1"/>
        <v>1.258</v>
      </c>
    </row>
    <row r="68" spans="1:42" ht="13.8">
      <c r="A68" s="873">
        <v>257</v>
      </c>
      <c r="B68" s="874">
        <v>20</v>
      </c>
      <c r="C68" s="875">
        <v>15.43</v>
      </c>
      <c r="D68" s="875">
        <v>0</v>
      </c>
      <c r="E68" s="875">
        <v>8</v>
      </c>
      <c r="F68" s="875">
        <v>0</v>
      </c>
      <c r="G68" s="875">
        <v>0</v>
      </c>
      <c r="H68" s="875">
        <v>18.87</v>
      </c>
      <c r="I68" s="875">
        <v>0</v>
      </c>
      <c r="J68" s="875">
        <v>0</v>
      </c>
      <c r="K68" s="875">
        <v>0</v>
      </c>
      <c r="L68" s="875">
        <v>0</v>
      </c>
      <c r="M68" s="875">
        <v>0</v>
      </c>
      <c r="N68" s="875">
        <v>0</v>
      </c>
      <c r="O68" s="875">
        <v>0</v>
      </c>
      <c r="P68" s="875">
        <v>0</v>
      </c>
      <c r="Q68" s="875">
        <v>0</v>
      </c>
      <c r="R68" s="875">
        <v>0</v>
      </c>
      <c r="S68" s="875"/>
      <c r="T68" s="875">
        <v>0</v>
      </c>
      <c r="U68" s="4611">
        <v>20</v>
      </c>
      <c r="V68" s="4608">
        <v>17.321000000000002</v>
      </c>
      <c r="W68" s="4608">
        <v>0</v>
      </c>
      <c r="X68" s="4611">
        <v>8</v>
      </c>
      <c r="Y68" s="4611">
        <v>0</v>
      </c>
      <c r="Z68" s="4611">
        <v>0</v>
      </c>
      <c r="AA68" s="4611">
        <v>22.898</v>
      </c>
      <c r="AB68" s="4611">
        <v>0</v>
      </c>
      <c r="AC68" s="4611">
        <v>0</v>
      </c>
      <c r="AD68" s="4611">
        <v>0</v>
      </c>
      <c r="AE68" s="4611">
        <v>0</v>
      </c>
      <c r="AF68" s="4611">
        <v>0</v>
      </c>
      <c r="AG68" s="4611">
        <v>0</v>
      </c>
      <c r="AH68" s="4611">
        <v>0</v>
      </c>
      <c r="AI68" s="4611">
        <v>0</v>
      </c>
      <c r="AJ68" s="4611">
        <v>0</v>
      </c>
      <c r="AK68" s="4611">
        <v>0</v>
      </c>
      <c r="AL68" s="4612"/>
      <c r="AM68" s="4611">
        <v>0</v>
      </c>
      <c r="AN68" s="876">
        <f t="shared" si="0"/>
        <v>68.218999999999994</v>
      </c>
      <c r="AO68" s="877">
        <v>62.3</v>
      </c>
      <c r="AP68" s="878">
        <f t="shared" si="1"/>
        <v>5.9189999999999996</v>
      </c>
    </row>
    <row r="69" spans="1:42" ht="13.8">
      <c r="A69" s="873">
        <v>258</v>
      </c>
      <c r="B69" s="874">
        <v>20</v>
      </c>
      <c r="C69" s="875">
        <v>16.963000000000001</v>
      </c>
      <c r="D69" s="875">
        <v>0</v>
      </c>
      <c r="E69" s="875">
        <v>8</v>
      </c>
      <c r="F69" s="875">
        <v>0</v>
      </c>
      <c r="G69" s="875">
        <v>0</v>
      </c>
      <c r="H69" s="875">
        <v>10.37</v>
      </c>
      <c r="I69" s="875">
        <v>0</v>
      </c>
      <c r="J69" s="875">
        <v>0</v>
      </c>
      <c r="K69" s="875">
        <v>0</v>
      </c>
      <c r="L69" s="875">
        <v>0</v>
      </c>
      <c r="M69" s="875">
        <v>0</v>
      </c>
      <c r="N69" s="875">
        <v>0</v>
      </c>
      <c r="O69" s="875">
        <v>0</v>
      </c>
      <c r="P69" s="875">
        <v>2.5</v>
      </c>
      <c r="Q69" s="875">
        <v>0</v>
      </c>
      <c r="R69" s="875">
        <v>0</v>
      </c>
      <c r="S69" s="875"/>
      <c r="T69" s="875">
        <v>0</v>
      </c>
      <c r="U69" s="4611">
        <v>20</v>
      </c>
      <c r="V69" s="4608">
        <v>16.335999999999999</v>
      </c>
      <c r="W69" s="4608">
        <v>0</v>
      </c>
      <c r="X69" s="4611">
        <v>7.9939999999999998</v>
      </c>
      <c r="Y69" s="4611">
        <v>0</v>
      </c>
      <c r="Z69" s="4611">
        <v>0</v>
      </c>
      <c r="AA69" s="4611">
        <v>10.326000000000001</v>
      </c>
      <c r="AB69" s="4611">
        <v>0</v>
      </c>
      <c r="AC69" s="4611">
        <v>0</v>
      </c>
      <c r="AD69" s="4611">
        <v>0</v>
      </c>
      <c r="AE69" s="4611">
        <v>0</v>
      </c>
      <c r="AF69" s="4611">
        <v>0</v>
      </c>
      <c r="AG69" s="4611">
        <v>0</v>
      </c>
      <c r="AH69" s="4611">
        <v>0</v>
      </c>
      <c r="AI69" s="4611">
        <v>2.5</v>
      </c>
      <c r="AJ69" s="4611">
        <v>0</v>
      </c>
      <c r="AK69" s="4611">
        <v>0</v>
      </c>
      <c r="AL69" s="4612"/>
      <c r="AM69" s="4611">
        <v>0</v>
      </c>
      <c r="AN69" s="876">
        <f t="shared" ref="AN69:AN132" si="2">SUM(U69:AM69)</f>
        <v>57.155999999999999</v>
      </c>
      <c r="AO69" s="877">
        <v>57.832999999999998</v>
      </c>
      <c r="AP69" s="878">
        <f t="shared" ref="AP69:AP132" si="3">AN69-AO69</f>
        <v>-0.67700000000000005</v>
      </c>
    </row>
    <row r="70" spans="1:42" ht="13.8">
      <c r="A70" s="873">
        <v>259</v>
      </c>
      <c r="B70" s="874">
        <v>20</v>
      </c>
      <c r="C70" s="875">
        <v>15.862</v>
      </c>
      <c r="D70" s="875">
        <v>0</v>
      </c>
      <c r="E70" s="875">
        <v>7.9850000000000003</v>
      </c>
      <c r="F70" s="875">
        <v>0.25800000000000001</v>
      </c>
      <c r="G70" s="875">
        <v>0</v>
      </c>
      <c r="H70" s="875">
        <v>9.0779999999999994</v>
      </c>
      <c r="I70" s="875">
        <v>0</v>
      </c>
      <c r="J70" s="875">
        <v>0</v>
      </c>
      <c r="K70" s="875">
        <v>0</v>
      </c>
      <c r="L70" s="875">
        <v>0</v>
      </c>
      <c r="M70" s="875">
        <v>0</v>
      </c>
      <c r="N70" s="875">
        <v>0</v>
      </c>
      <c r="O70" s="875">
        <v>0</v>
      </c>
      <c r="P70" s="875">
        <v>0</v>
      </c>
      <c r="Q70" s="875">
        <v>0</v>
      </c>
      <c r="R70" s="875">
        <v>0</v>
      </c>
      <c r="S70" s="875"/>
      <c r="T70" s="875">
        <v>0</v>
      </c>
      <c r="U70" s="4611">
        <v>20</v>
      </c>
      <c r="V70" s="4608">
        <v>17.045999999999999</v>
      </c>
      <c r="W70" s="4608">
        <v>0</v>
      </c>
      <c r="X70" s="4611">
        <v>8</v>
      </c>
      <c r="Y70" s="4611">
        <v>0.1</v>
      </c>
      <c r="Z70" s="4611">
        <v>0</v>
      </c>
      <c r="AA70" s="4611">
        <v>7.8280000000000003</v>
      </c>
      <c r="AB70" s="4611">
        <v>0</v>
      </c>
      <c r="AC70" s="4611">
        <v>0</v>
      </c>
      <c r="AD70" s="4611">
        <v>0</v>
      </c>
      <c r="AE70" s="4611">
        <v>0</v>
      </c>
      <c r="AF70" s="4611">
        <v>0</v>
      </c>
      <c r="AG70" s="4611">
        <v>0</v>
      </c>
      <c r="AH70" s="4611">
        <v>0</v>
      </c>
      <c r="AI70" s="4611">
        <v>0</v>
      </c>
      <c r="AJ70" s="4611">
        <v>0</v>
      </c>
      <c r="AK70" s="4611">
        <v>0</v>
      </c>
      <c r="AL70" s="4612"/>
      <c r="AM70" s="4611">
        <v>0</v>
      </c>
      <c r="AN70" s="876">
        <f t="shared" si="2"/>
        <v>52.973999999999997</v>
      </c>
      <c r="AO70" s="877">
        <v>53.183</v>
      </c>
      <c r="AP70" s="878">
        <f t="shared" si="3"/>
        <v>-0.20899999999999999</v>
      </c>
    </row>
    <row r="71" spans="1:42" ht="13.8">
      <c r="A71" s="873">
        <v>260</v>
      </c>
      <c r="B71" s="874">
        <v>20</v>
      </c>
      <c r="C71" s="875">
        <v>13.26</v>
      </c>
      <c r="D71" s="875">
        <v>0</v>
      </c>
      <c r="E71" s="875">
        <v>8</v>
      </c>
      <c r="F71" s="875">
        <v>0</v>
      </c>
      <c r="G71" s="875">
        <v>0</v>
      </c>
      <c r="H71" s="875">
        <v>16.706</v>
      </c>
      <c r="I71" s="875">
        <v>0</v>
      </c>
      <c r="J71" s="875">
        <v>0</v>
      </c>
      <c r="K71" s="875">
        <v>0.52900000000000003</v>
      </c>
      <c r="L71" s="875">
        <v>0</v>
      </c>
      <c r="M71" s="875">
        <v>0</v>
      </c>
      <c r="N71" s="875">
        <v>0</v>
      </c>
      <c r="O71" s="875">
        <v>0</v>
      </c>
      <c r="P71" s="875">
        <v>5.5869999999999997</v>
      </c>
      <c r="Q71" s="875">
        <v>1.9219999999999999</v>
      </c>
      <c r="R71" s="875">
        <v>0</v>
      </c>
      <c r="S71" s="875"/>
      <c r="T71" s="875">
        <v>0</v>
      </c>
      <c r="U71" s="4611">
        <v>20</v>
      </c>
      <c r="V71" s="4608">
        <v>13.298999999999999</v>
      </c>
      <c r="W71" s="4608">
        <v>0</v>
      </c>
      <c r="X71" s="4611">
        <v>8</v>
      </c>
      <c r="Y71" s="4611">
        <v>0</v>
      </c>
      <c r="Z71" s="4611">
        <v>0</v>
      </c>
      <c r="AA71" s="4611">
        <v>16.681000000000001</v>
      </c>
      <c r="AB71" s="4611">
        <v>0</v>
      </c>
      <c r="AC71" s="4611">
        <v>0</v>
      </c>
      <c r="AD71" s="4611">
        <v>0.40100000000000002</v>
      </c>
      <c r="AE71" s="4611">
        <v>0</v>
      </c>
      <c r="AF71" s="4611">
        <v>0</v>
      </c>
      <c r="AG71" s="4611">
        <v>0</v>
      </c>
      <c r="AH71" s="4611">
        <v>0</v>
      </c>
      <c r="AI71" s="4611">
        <v>5.5890000000000004</v>
      </c>
      <c r="AJ71" s="4611">
        <v>1.9179999999999999</v>
      </c>
      <c r="AK71" s="4611">
        <v>0</v>
      </c>
      <c r="AL71" s="4612"/>
      <c r="AM71" s="4611">
        <v>0</v>
      </c>
      <c r="AN71" s="876">
        <f t="shared" si="2"/>
        <v>65.888000000000005</v>
      </c>
      <c r="AO71" s="877">
        <v>66.004000000000005</v>
      </c>
      <c r="AP71" s="878">
        <f t="shared" si="3"/>
        <v>-0.11600000000000001</v>
      </c>
    </row>
    <row r="72" spans="1:42" ht="13.8">
      <c r="A72" s="873">
        <v>261</v>
      </c>
      <c r="B72" s="874">
        <v>20</v>
      </c>
      <c r="C72" s="875">
        <v>14.679</v>
      </c>
      <c r="D72" s="875">
        <v>0</v>
      </c>
      <c r="E72" s="875">
        <v>8</v>
      </c>
      <c r="F72" s="875">
        <v>0</v>
      </c>
      <c r="G72" s="875">
        <v>0</v>
      </c>
      <c r="H72" s="875">
        <v>14.567</v>
      </c>
      <c r="I72" s="875">
        <v>0</v>
      </c>
      <c r="J72" s="875">
        <v>0</v>
      </c>
      <c r="K72" s="875">
        <v>0</v>
      </c>
      <c r="L72" s="875">
        <v>0</v>
      </c>
      <c r="M72" s="875">
        <v>0</v>
      </c>
      <c r="N72" s="875">
        <v>0</v>
      </c>
      <c r="O72" s="875">
        <v>0</v>
      </c>
      <c r="P72" s="875">
        <v>0</v>
      </c>
      <c r="Q72" s="875">
        <v>0</v>
      </c>
      <c r="R72" s="875">
        <v>0</v>
      </c>
      <c r="S72" s="875"/>
      <c r="T72" s="875">
        <v>0</v>
      </c>
      <c r="U72" s="4611">
        <v>20</v>
      </c>
      <c r="V72" s="4608">
        <v>14.365</v>
      </c>
      <c r="W72" s="4608">
        <v>0</v>
      </c>
      <c r="X72" s="4611">
        <v>8</v>
      </c>
      <c r="Y72" s="4611">
        <v>0</v>
      </c>
      <c r="Z72" s="4611">
        <v>0</v>
      </c>
      <c r="AA72" s="4611">
        <v>14.85</v>
      </c>
      <c r="AB72" s="4611">
        <v>0</v>
      </c>
      <c r="AC72" s="4611">
        <v>0</v>
      </c>
      <c r="AD72" s="4611">
        <v>0</v>
      </c>
      <c r="AE72" s="4611">
        <v>0</v>
      </c>
      <c r="AF72" s="4611">
        <v>0</v>
      </c>
      <c r="AG72" s="4611">
        <v>0</v>
      </c>
      <c r="AH72" s="4611">
        <v>0</v>
      </c>
      <c r="AI72" s="4611">
        <v>0</v>
      </c>
      <c r="AJ72" s="4611">
        <v>0</v>
      </c>
      <c r="AK72" s="4611">
        <v>0</v>
      </c>
      <c r="AL72" s="4612"/>
      <c r="AM72" s="4611">
        <v>0</v>
      </c>
      <c r="AN72" s="876">
        <f t="shared" si="2"/>
        <v>57.215000000000003</v>
      </c>
      <c r="AO72" s="877">
        <v>57.246000000000002</v>
      </c>
      <c r="AP72" s="878">
        <f t="shared" si="3"/>
        <v>-3.1E-2</v>
      </c>
    </row>
    <row r="73" spans="1:42" ht="13.8">
      <c r="A73" s="873">
        <v>262</v>
      </c>
      <c r="B73" s="874">
        <v>20</v>
      </c>
      <c r="C73" s="875">
        <v>13.35</v>
      </c>
      <c r="D73" s="875">
        <v>0</v>
      </c>
      <c r="E73" s="875">
        <v>6.42</v>
      </c>
      <c r="F73" s="875">
        <v>0</v>
      </c>
      <c r="G73" s="875">
        <v>0</v>
      </c>
      <c r="H73" s="875">
        <v>19.97</v>
      </c>
      <c r="I73" s="875">
        <v>0</v>
      </c>
      <c r="J73" s="875">
        <v>0</v>
      </c>
      <c r="K73" s="875">
        <v>0</v>
      </c>
      <c r="L73" s="875">
        <v>0</v>
      </c>
      <c r="M73" s="875">
        <v>0</v>
      </c>
      <c r="N73" s="875">
        <v>0</v>
      </c>
      <c r="O73" s="875">
        <v>0</v>
      </c>
      <c r="P73" s="875">
        <v>4</v>
      </c>
      <c r="Q73" s="875">
        <v>1</v>
      </c>
      <c r="R73" s="875">
        <v>0</v>
      </c>
      <c r="S73" s="875"/>
      <c r="T73" s="875">
        <v>0</v>
      </c>
      <c r="U73" s="4611">
        <v>20</v>
      </c>
      <c r="V73" s="4608">
        <v>13.178000000000001</v>
      </c>
      <c r="W73" s="4608">
        <v>0</v>
      </c>
      <c r="X73" s="4611">
        <v>6.6740000000000004</v>
      </c>
      <c r="Y73" s="4611">
        <v>0</v>
      </c>
      <c r="Z73" s="4611">
        <v>0</v>
      </c>
      <c r="AA73" s="4611">
        <v>19.927</v>
      </c>
      <c r="AB73" s="4611">
        <v>0</v>
      </c>
      <c r="AC73" s="4611">
        <v>0</v>
      </c>
      <c r="AD73" s="4611">
        <v>0</v>
      </c>
      <c r="AE73" s="4611">
        <v>0</v>
      </c>
      <c r="AF73" s="4611">
        <v>0</v>
      </c>
      <c r="AG73" s="4611">
        <v>0</v>
      </c>
      <c r="AH73" s="4611">
        <v>0</v>
      </c>
      <c r="AI73" s="4611">
        <v>4</v>
      </c>
      <c r="AJ73" s="4611">
        <v>1</v>
      </c>
      <c r="AK73" s="4611">
        <v>0</v>
      </c>
      <c r="AL73" s="4612"/>
      <c r="AM73" s="4611">
        <v>0</v>
      </c>
      <c r="AN73" s="876">
        <f t="shared" si="2"/>
        <v>64.778999999999996</v>
      </c>
      <c r="AO73" s="877">
        <v>64.739999999999995</v>
      </c>
      <c r="AP73" s="878">
        <f t="shared" si="3"/>
        <v>3.9E-2</v>
      </c>
    </row>
    <row r="74" spans="1:42" ht="13.8">
      <c r="A74" s="873">
        <v>263</v>
      </c>
      <c r="B74" s="874">
        <v>20</v>
      </c>
      <c r="C74" s="875">
        <v>19.324000000000002</v>
      </c>
      <c r="D74" s="875">
        <v>0</v>
      </c>
      <c r="E74" s="875">
        <v>7.9980000000000002</v>
      </c>
      <c r="F74" s="875">
        <v>0</v>
      </c>
      <c r="G74" s="875">
        <v>0</v>
      </c>
      <c r="H74" s="875">
        <v>10.516999999999999</v>
      </c>
      <c r="I74" s="875">
        <v>0</v>
      </c>
      <c r="J74" s="875">
        <v>0</v>
      </c>
      <c r="K74" s="875">
        <v>0</v>
      </c>
      <c r="L74" s="875">
        <v>0</v>
      </c>
      <c r="M74" s="875">
        <v>0.82099999999999995</v>
      </c>
      <c r="N74" s="875">
        <v>0</v>
      </c>
      <c r="O74" s="875">
        <v>0</v>
      </c>
      <c r="P74" s="875">
        <v>5.2489999999999997</v>
      </c>
      <c r="Q74" s="875">
        <v>0.60199999999999998</v>
      </c>
      <c r="R74" s="875">
        <v>0</v>
      </c>
      <c r="S74" s="875"/>
      <c r="T74" s="875">
        <v>0</v>
      </c>
      <c r="U74" s="4611">
        <v>20</v>
      </c>
      <c r="V74" s="4608">
        <v>12.472</v>
      </c>
      <c r="W74" s="4608">
        <v>0</v>
      </c>
      <c r="X74" s="4611">
        <v>7.9770000000000003</v>
      </c>
      <c r="Y74" s="4611">
        <v>0</v>
      </c>
      <c r="Z74" s="4611">
        <v>0</v>
      </c>
      <c r="AA74" s="4611">
        <v>12.417999999999999</v>
      </c>
      <c r="AB74" s="4611">
        <v>0</v>
      </c>
      <c r="AC74" s="4611">
        <v>0</v>
      </c>
      <c r="AD74" s="4611">
        <v>0</v>
      </c>
      <c r="AE74" s="4611">
        <v>0</v>
      </c>
      <c r="AF74" s="4611">
        <v>0.63</v>
      </c>
      <c r="AG74" s="4611">
        <v>0</v>
      </c>
      <c r="AH74" s="4611">
        <v>0</v>
      </c>
      <c r="AI74" s="4611">
        <v>5.25</v>
      </c>
      <c r="AJ74" s="4611">
        <v>0.88600000000000001</v>
      </c>
      <c r="AK74" s="4611">
        <v>0</v>
      </c>
      <c r="AL74" s="4612"/>
      <c r="AM74" s="4611">
        <v>0</v>
      </c>
      <c r="AN74" s="876">
        <f t="shared" si="2"/>
        <v>59.633000000000003</v>
      </c>
      <c r="AO74" s="877">
        <v>64.510999999999996</v>
      </c>
      <c r="AP74" s="878">
        <f t="shared" si="3"/>
        <v>-4.8780000000000001</v>
      </c>
    </row>
    <row r="75" spans="1:42" ht="13.8">
      <c r="A75" s="873">
        <v>264</v>
      </c>
      <c r="B75" s="874">
        <v>20</v>
      </c>
      <c r="C75" s="875">
        <v>14.565</v>
      </c>
      <c r="D75" s="875">
        <v>0</v>
      </c>
      <c r="E75" s="875">
        <v>8</v>
      </c>
      <c r="F75" s="875">
        <v>0</v>
      </c>
      <c r="G75" s="875">
        <v>0</v>
      </c>
      <c r="H75" s="875">
        <v>19.222000000000001</v>
      </c>
      <c r="I75" s="875">
        <v>0</v>
      </c>
      <c r="J75" s="875">
        <v>0</v>
      </c>
      <c r="K75" s="875">
        <v>0</v>
      </c>
      <c r="L75" s="875">
        <v>0</v>
      </c>
      <c r="M75" s="875">
        <v>0</v>
      </c>
      <c r="N75" s="875">
        <v>0</v>
      </c>
      <c r="O75" s="875">
        <v>0</v>
      </c>
      <c r="P75" s="875">
        <v>3</v>
      </c>
      <c r="Q75" s="875">
        <v>0.58299999999999996</v>
      </c>
      <c r="R75" s="875">
        <v>0</v>
      </c>
      <c r="S75" s="875"/>
      <c r="T75" s="875">
        <v>0</v>
      </c>
      <c r="U75" s="4611">
        <v>20</v>
      </c>
      <c r="V75" s="4608">
        <v>13.605</v>
      </c>
      <c r="W75" s="4608">
        <v>0</v>
      </c>
      <c r="X75" s="4611">
        <v>8</v>
      </c>
      <c r="Y75" s="4611">
        <v>0</v>
      </c>
      <c r="Z75" s="4611">
        <v>0</v>
      </c>
      <c r="AA75" s="4611">
        <v>19.172999999999998</v>
      </c>
      <c r="AB75" s="4611">
        <v>0</v>
      </c>
      <c r="AC75" s="4611">
        <v>0</v>
      </c>
      <c r="AD75" s="4611">
        <v>0</v>
      </c>
      <c r="AE75" s="4611">
        <v>0</v>
      </c>
      <c r="AF75" s="4611">
        <v>0</v>
      </c>
      <c r="AG75" s="4611">
        <v>0</v>
      </c>
      <c r="AH75" s="4611">
        <v>0</v>
      </c>
      <c r="AI75" s="4611">
        <v>3</v>
      </c>
      <c r="AJ75" s="4611">
        <v>0.5</v>
      </c>
      <c r="AK75" s="4611">
        <v>0</v>
      </c>
      <c r="AL75" s="4612"/>
      <c r="AM75" s="4611">
        <v>0</v>
      </c>
      <c r="AN75" s="876">
        <f t="shared" si="2"/>
        <v>64.278000000000006</v>
      </c>
      <c r="AO75" s="877">
        <v>65.37</v>
      </c>
      <c r="AP75" s="878">
        <f t="shared" si="3"/>
        <v>-1.0920000000000001</v>
      </c>
    </row>
    <row r="76" spans="1:42" ht="13.8">
      <c r="A76" s="873">
        <v>265</v>
      </c>
      <c r="B76" s="874">
        <v>20</v>
      </c>
      <c r="C76" s="875">
        <v>14.025</v>
      </c>
      <c r="D76" s="875">
        <v>0</v>
      </c>
      <c r="E76" s="875">
        <v>8</v>
      </c>
      <c r="F76" s="875">
        <v>0</v>
      </c>
      <c r="G76" s="875">
        <v>0</v>
      </c>
      <c r="H76" s="875">
        <v>14.86</v>
      </c>
      <c r="I76" s="875">
        <v>0</v>
      </c>
      <c r="J76" s="875">
        <v>0</v>
      </c>
      <c r="K76" s="875">
        <v>0.114</v>
      </c>
      <c r="L76" s="875">
        <v>0</v>
      </c>
      <c r="M76" s="875">
        <v>0</v>
      </c>
      <c r="N76" s="875">
        <v>0</v>
      </c>
      <c r="O76" s="875">
        <v>0</v>
      </c>
      <c r="P76" s="875">
        <v>0</v>
      </c>
      <c r="Q76" s="875">
        <v>0</v>
      </c>
      <c r="R76" s="875">
        <v>0</v>
      </c>
      <c r="S76" s="875"/>
      <c r="T76" s="875">
        <v>0</v>
      </c>
      <c r="U76" s="4611">
        <v>20</v>
      </c>
      <c r="V76" s="4608">
        <v>12.741</v>
      </c>
      <c r="W76" s="4608">
        <v>0</v>
      </c>
      <c r="X76" s="4611">
        <v>7.9989999999999997</v>
      </c>
      <c r="Y76" s="4611">
        <v>0</v>
      </c>
      <c r="Z76" s="4611">
        <v>0</v>
      </c>
      <c r="AA76" s="4611">
        <v>15.333</v>
      </c>
      <c r="AB76" s="4611">
        <v>0</v>
      </c>
      <c r="AC76" s="4611">
        <v>0</v>
      </c>
      <c r="AD76" s="4611">
        <v>0.127</v>
      </c>
      <c r="AE76" s="4611">
        <v>0</v>
      </c>
      <c r="AF76" s="4611">
        <v>0</v>
      </c>
      <c r="AG76" s="4611">
        <v>0</v>
      </c>
      <c r="AH76" s="4611">
        <v>0</v>
      </c>
      <c r="AI76" s="4611">
        <v>0</v>
      </c>
      <c r="AJ76" s="4611">
        <v>0</v>
      </c>
      <c r="AK76" s="4611">
        <v>0</v>
      </c>
      <c r="AL76" s="4612"/>
      <c r="AM76" s="4611">
        <v>0</v>
      </c>
      <c r="AN76" s="876">
        <f t="shared" si="2"/>
        <v>56.2</v>
      </c>
      <c r="AO76" s="877">
        <v>56.999000000000002</v>
      </c>
      <c r="AP76" s="878">
        <f t="shared" si="3"/>
        <v>-0.79900000000000004</v>
      </c>
    </row>
    <row r="77" spans="1:42" ht="13.8">
      <c r="A77" s="873">
        <v>266</v>
      </c>
      <c r="B77" s="874">
        <v>20</v>
      </c>
      <c r="C77" s="875">
        <v>12.961</v>
      </c>
      <c r="D77" s="875">
        <v>0</v>
      </c>
      <c r="E77" s="875">
        <v>6.6130000000000004</v>
      </c>
      <c r="F77" s="875">
        <v>0</v>
      </c>
      <c r="G77" s="875">
        <v>0</v>
      </c>
      <c r="H77" s="875">
        <v>0</v>
      </c>
      <c r="I77" s="875">
        <v>19.268000000000001</v>
      </c>
      <c r="J77" s="875">
        <v>0</v>
      </c>
      <c r="K77" s="875">
        <v>0</v>
      </c>
      <c r="L77" s="875">
        <v>0</v>
      </c>
      <c r="M77" s="875">
        <v>0</v>
      </c>
      <c r="N77" s="875">
        <v>0</v>
      </c>
      <c r="O77" s="875">
        <v>0</v>
      </c>
      <c r="P77" s="875">
        <v>1</v>
      </c>
      <c r="Q77" s="875">
        <v>0</v>
      </c>
      <c r="R77" s="875">
        <v>0</v>
      </c>
      <c r="S77" s="875"/>
      <c r="T77" s="875">
        <v>0</v>
      </c>
      <c r="U77" s="4611">
        <v>20</v>
      </c>
      <c r="V77" s="4608">
        <v>13.226000000000001</v>
      </c>
      <c r="W77" s="4608">
        <v>0</v>
      </c>
      <c r="X77" s="4611">
        <v>6.3440000000000003</v>
      </c>
      <c r="Y77" s="4611">
        <v>0</v>
      </c>
      <c r="Z77" s="4611">
        <v>0</v>
      </c>
      <c r="AA77" s="4611">
        <v>0</v>
      </c>
      <c r="AB77" s="4611">
        <v>19.259</v>
      </c>
      <c r="AC77" s="4611">
        <v>0</v>
      </c>
      <c r="AD77" s="4611">
        <v>0</v>
      </c>
      <c r="AE77" s="4611">
        <v>0</v>
      </c>
      <c r="AF77" s="4611">
        <v>0</v>
      </c>
      <c r="AG77" s="4611">
        <v>0</v>
      </c>
      <c r="AH77" s="4611">
        <v>0</v>
      </c>
      <c r="AI77" s="4611">
        <v>1</v>
      </c>
      <c r="AJ77" s="4611">
        <v>0</v>
      </c>
      <c r="AK77" s="4611">
        <v>0</v>
      </c>
      <c r="AL77" s="4612"/>
      <c r="AM77" s="4611">
        <v>0</v>
      </c>
      <c r="AN77" s="876">
        <f t="shared" si="2"/>
        <v>59.829000000000001</v>
      </c>
      <c r="AO77" s="877">
        <v>59.841999999999999</v>
      </c>
      <c r="AP77" s="878">
        <f t="shared" si="3"/>
        <v>-1.2999999999999999E-2</v>
      </c>
    </row>
    <row r="78" spans="1:42" ht="13.8">
      <c r="A78" s="873">
        <v>267</v>
      </c>
      <c r="B78" s="874">
        <v>20</v>
      </c>
      <c r="C78" s="875">
        <v>13.425000000000001</v>
      </c>
      <c r="D78" s="875">
        <v>0</v>
      </c>
      <c r="E78" s="875">
        <v>8</v>
      </c>
      <c r="F78" s="875">
        <v>0</v>
      </c>
      <c r="G78" s="875">
        <v>0</v>
      </c>
      <c r="H78" s="875">
        <v>14.414</v>
      </c>
      <c r="I78" s="875">
        <v>0</v>
      </c>
      <c r="J78" s="875">
        <v>0</v>
      </c>
      <c r="K78" s="875">
        <v>0</v>
      </c>
      <c r="L78" s="875">
        <v>0</v>
      </c>
      <c r="M78" s="875">
        <v>0</v>
      </c>
      <c r="N78" s="875">
        <v>0</v>
      </c>
      <c r="O78" s="875">
        <v>0</v>
      </c>
      <c r="P78" s="875">
        <v>0</v>
      </c>
      <c r="Q78" s="875">
        <v>0</v>
      </c>
      <c r="R78" s="875">
        <v>0</v>
      </c>
      <c r="S78" s="875"/>
      <c r="T78" s="875">
        <v>0</v>
      </c>
      <c r="U78" s="4611">
        <v>20</v>
      </c>
      <c r="V78" s="4608">
        <v>13.414999999999999</v>
      </c>
      <c r="W78" s="4608">
        <v>0</v>
      </c>
      <c r="X78" s="4611">
        <v>7.9989999999999997</v>
      </c>
      <c r="Y78" s="4611">
        <v>0</v>
      </c>
      <c r="Z78" s="4611">
        <v>0</v>
      </c>
      <c r="AA78" s="4611">
        <v>14.397</v>
      </c>
      <c r="AB78" s="4611">
        <v>0</v>
      </c>
      <c r="AC78" s="4611">
        <v>0</v>
      </c>
      <c r="AD78" s="4611">
        <v>0</v>
      </c>
      <c r="AE78" s="4611">
        <v>0</v>
      </c>
      <c r="AF78" s="4611">
        <v>0</v>
      </c>
      <c r="AG78" s="4611">
        <v>0</v>
      </c>
      <c r="AH78" s="4611">
        <v>0</v>
      </c>
      <c r="AI78" s="4611">
        <v>0</v>
      </c>
      <c r="AJ78" s="4611">
        <v>0</v>
      </c>
      <c r="AK78" s="4611">
        <v>0</v>
      </c>
      <c r="AL78" s="4612"/>
      <c r="AM78" s="4611">
        <v>0</v>
      </c>
      <c r="AN78" s="876">
        <f t="shared" si="2"/>
        <v>55.811</v>
      </c>
      <c r="AO78" s="877">
        <v>55.838999999999999</v>
      </c>
      <c r="AP78" s="878">
        <f t="shared" si="3"/>
        <v>-2.8000000000000001E-2</v>
      </c>
    </row>
    <row r="79" spans="1:42" ht="13.8">
      <c r="A79" s="873">
        <v>268</v>
      </c>
      <c r="B79" s="874">
        <v>20</v>
      </c>
      <c r="C79" s="875">
        <v>16.626999999999999</v>
      </c>
      <c r="D79" s="875">
        <v>0</v>
      </c>
      <c r="E79" s="875">
        <v>8</v>
      </c>
      <c r="F79" s="875">
        <v>0</v>
      </c>
      <c r="G79" s="875">
        <v>0</v>
      </c>
      <c r="H79" s="875">
        <v>11.43</v>
      </c>
      <c r="I79" s="875">
        <v>0</v>
      </c>
      <c r="J79" s="875">
        <v>0</v>
      </c>
      <c r="K79" s="875">
        <v>0</v>
      </c>
      <c r="L79" s="875">
        <v>0</v>
      </c>
      <c r="M79" s="875">
        <v>0</v>
      </c>
      <c r="N79" s="875">
        <v>0</v>
      </c>
      <c r="O79" s="875">
        <v>0</v>
      </c>
      <c r="P79" s="875">
        <v>3</v>
      </c>
      <c r="Q79" s="875">
        <v>1.0089999999999999</v>
      </c>
      <c r="R79" s="875">
        <v>0</v>
      </c>
      <c r="S79" s="875"/>
      <c r="T79" s="875">
        <v>0</v>
      </c>
      <c r="U79" s="4611">
        <v>20</v>
      </c>
      <c r="V79" s="4608">
        <v>15.349</v>
      </c>
      <c r="W79" s="4608">
        <v>0</v>
      </c>
      <c r="X79" s="4611">
        <v>7.9989999999999997</v>
      </c>
      <c r="Y79" s="4611">
        <v>0</v>
      </c>
      <c r="Z79" s="4611">
        <v>0</v>
      </c>
      <c r="AA79" s="4611">
        <v>11.867000000000001</v>
      </c>
      <c r="AB79" s="4611">
        <v>0</v>
      </c>
      <c r="AC79" s="4611">
        <v>0</v>
      </c>
      <c r="AD79" s="4611">
        <v>0</v>
      </c>
      <c r="AE79" s="4611">
        <v>0</v>
      </c>
      <c r="AF79" s="4611">
        <v>0</v>
      </c>
      <c r="AG79" s="4611">
        <v>0</v>
      </c>
      <c r="AH79" s="4611">
        <v>0</v>
      </c>
      <c r="AI79" s="4611">
        <v>4</v>
      </c>
      <c r="AJ79" s="4611">
        <v>1</v>
      </c>
      <c r="AK79" s="4611">
        <v>0</v>
      </c>
      <c r="AL79" s="4612"/>
      <c r="AM79" s="4611">
        <v>0</v>
      </c>
      <c r="AN79" s="876">
        <f t="shared" si="2"/>
        <v>60.215000000000003</v>
      </c>
      <c r="AO79" s="877">
        <v>60.066000000000003</v>
      </c>
      <c r="AP79" s="878">
        <f t="shared" si="3"/>
        <v>0.14899999999999999</v>
      </c>
    </row>
    <row r="80" spans="1:42" ht="13.8">
      <c r="A80" s="873">
        <v>269</v>
      </c>
      <c r="B80" s="874">
        <v>20</v>
      </c>
      <c r="C80" s="875">
        <v>18.344999999999999</v>
      </c>
      <c r="D80" s="875">
        <v>0</v>
      </c>
      <c r="E80" s="875">
        <v>8</v>
      </c>
      <c r="F80" s="875">
        <v>0</v>
      </c>
      <c r="G80" s="875">
        <v>0</v>
      </c>
      <c r="H80" s="875">
        <v>0</v>
      </c>
      <c r="I80" s="875">
        <v>0</v>
      </c>
      <c r="J80" s="875">
        <v>0</v>
      </c>
      <c r="K80" s="875">
        <v>0</v>
      </c>
      <c r="L80" s="875">
        <v>0</v>
      </c>
      <c r="M80" s="875">
        <v>0</v>
      </c>
      <c r="N80" s="875">
        <v>0</v>
      </c>
      <c r="O80" s="875">
        <v>0</v>
      </c>
      <c r="P80" s="875">
        <v>0.99199999999999999</v>
      </c>
      <c r="Q80" s="875">
        <v>0</v>
      </c>
      <c r="R80" s="875">
        <v>0</v>
      </c>
      <c r="S80" s="875"/>
      <c r="T80" s="875">
        <v>0</v>
      </c>
      <c r="U80" s="4611">
        <v>20</v>
      </c>
      <c r="V80" s="4608">
        <v>22.943000000000001</v>
      </c>
      <c r="W80" s="4608">
        <v>0</v>
      </c>
      <c r="X80" s="4611">
        <v>8</v>
      </c>
      <c r="Y80" s="4611">
        <v>0</v>
      </c>
      <c r="Z80" s="4611">
        <v>0</v>
      </c>
      <c r="AA80" s="4611">
        <v>0</v>
      </c>
      <c r="AB80" s="4611">
        <v>0</v>
      </c>
      <c r="AC80" s="4611">
        <v>0</v>
      </c>
      <c r="AD80" s="4611">
        <v>0</v>
      </c>
      <c r="AE80" s="4611">
        <v>0</v>
      </c>
      <c r="AF80" s="4611">
        <v>0</v>
      </c>
      <c r="AG80" s="4611">
        <v>0</v>
      </c>
      <c r="AH80" s="4611">
        <v>0</v>
      </c>
      <c r="AI80" s="4611">
        <v>1</v>
      </c>
      <c r="AJ80" s="4611">
        <v>0</v>
      </c>
      <c r="AK80" s="4611">
        <v>0</v>
      </c>
      <c r="AL80" s="4612"/>
      <c r="AM80" s="4611">
        <v>0</v>
      </c>
      <c r="AN80" s="876">
        <f t="shared" si="2"/>
        <v>51.942999999999998</v>
      </c>
      <c r="AO80" s="877">
        <v>47.337000000000003</v>
      </c>
      <c r="AP80" s="878">
        <f t="shared" si="3"/>
        <v>4.6059999999999999</v>
      </c>
    </row>
    <row r="81" spans="1:42" ht="13.8">
      <c r="A81" s="873">
        <v>270</v>
      </c>
      <c r="B81" s="874">
        <v>20</v>
      </c>
      <c r="C81" s="875">
        <v>18.129000000000001</v>
      </c>
      <c r="D81" s="875">
        <v>0</v>
      </c>
      <c r="E81" s="875">
        <v>8</v>
      </c>
      <c r="F81" s="875">
        <v>0</v>
      </c>
      <c r="G81" s="875">
        <v>0</v>
      </c>
      <c r="H81" s="875">
        <v>7.4139999999999997</v>
      </c>
      <c r="I81" s="875">
        <v>0</v>
      </c>
      <c r="J81" s="875">
        <v>0</v>
      </c>
      <c r="K81" s="875">
        <v>0</v>
      </c>
      <c r="L81" s="875">
        <v>0</v>
      </c>
      <c r="M81" s="875">
        <v>0</v>
      </c>
      <c r="N81" s="875">
        <v>0</v>
      </c>
      <c r="O81" s="875">
        <v>0</v>
      </c>
      <c r="P81" s="875">
        <v>2.96</v>
      </c>
      <c r="Q81" s="875">
        <v>0</v>
      </c>
      <c r="R81" s="875">
        <v>0</v>
      </c>
      <c r="S81" s="875"/>
      <c r="T81" s="875">
        <v>0</v>
      </c>
      <c r="U81" s="4611">
        <v>20</v>
      </c>
      <c r="V81" s="4608">
        <v>24.158000000000001</v>
      </c>
      <c r="W81" s="4608">
        <v>0</v>
      </c>
      <c r="X81" s="4611">
        <v>8</v>
      </c>
      <c r="Y81" s="4611">
        <v>0</v>
      </c>
      <c r="Z81" s="4611">
        <v>0</v>
      </c>
      <c r="AA81" s="4611">
        <v>7.6660000000000004</v>
      </c>
      <c r="AB81" s="4611">
        <v>0</v>
      </c>
      <c r="AC81" s="4611">
        <v>0</v>
      </c>
      <c r="AD81" s="4611">
        <v>0</v>
      </c>
      <c r="AE81" s="4611">
        <v>0</v>
      </c>
      <c r="AF81" s="4611">
        <v>0</v>
      </c>
      <c r="AG81" s="4611">
        <v>0</v>
      </c>
      <c r="AH81" s="4611">
        <v>0</v>
      </c>
      <c r="AI81" s="4611">
        <v>2.96</v>
      </c>
      <c r="AJ81" s="4611">
        <v>0</v>
      </c>
      <c r="AK81" s="4611">
        <v>0</v>
      </c>
      <c r="AL81" s="4612"/>
      <c r="AM81" s="4611">
        <v>0</v>
      </c>
      <c r="AN81" s="876">
        <f t="shared" si="2"/>
        <v>62.783999999999999</v>
      </c>
      <c r="AO81" s="877">
        <v>56.503</v>
      </c>
      <c r="AP81" s="878">
        <f t="shared" si="3"/>
        <v>6.2809999999999997</v>
      </c>
    </row>
    <row r="82" spans="1:42" ht="13.8">
      <c r="A82" s="873">
        <v>271</v>
      </c>
      <c r="B82" s="874">
        <v>20</v>
      </c>
      <c r="C82" s="875">
        <v>18.408999999999999</v>
      </c>
      <c r="D82" s="875">
        <v>0</v>
      </c>
      <c r="E82" s="875">
        <v>8</v>
      </c>
      <c r="F82" s="875">
        <v>0</v>
      </c>
      <c r="G82" s="875">
        <v>0</v>
      </c>
      <c r="H82" s="875">
        <v>0</v>
      </c>
      <c r="I82" s="875">
        <v>0</v>
      </c>
      <c r="J82" s="875">
        <v>0</v>
      </c>
      <c r="K82" s="875">
        <v>0</v>
      </c>
      <c r="L82" s="875">
        <v>0</v>
      </c>
      <c r="M82" s="875">
        <v>0</v>
      </c>
      <c r="N82" s="875">
        <v>0</v>
      </c>
      <c r="O82" s="875">
        <v>0</v>
      </c>
      <c r="P82" s="875">
        <v>2.5</v>
      </c>
      <c r="Q82" s="875">
        <v>0.5</v>
      </c>
      <c r="R82" s="875">
        <v>0</v>
      </c>
      <c r="S82" s="875"/>
      <c r="T82" s="875">
        <v>0</v>
      </c>
      <c r="U82" s="4611">
        <v>20</v>
      </c>
      <c r="V82" s="4608">
        <v>18.300999999999998</v>
      </c>
      <c r="W82" s="4608">
        <v>0</v>
      </c>
      <c r="X82" s="4611">
        <v>7.923</v>
      </c>
      <c r="Y82" s="4611">
        <v>0</v>
      </c>
      <c r="Z82" s="4611">
        <v>0</v>
      </c>
      <c r="AA82" s="4611">
        <v>0</v>
      </c>
      <c r="AB82" s="4611">
        <v>0</v>
      </c>
      <c r="AC82" s="4611">
        <v>0</v>
      </c>
      <c r="AD82" s="4611">
        <v>0</v>
      </c>
      <c r="AE82" s="4611">
        <v>0</v>
      </c>
      <c r="AF82" s="4611">
        <v>0</v>
      </c>
      <c r="AG82" s="4611">
        <v>0</v>
      </c>
      <c r="AH82" s="4611">
        <v>0</v>
      </c>
      <c r="AI82" s="4611">
        <v>2.476</v>
      </c>
      <c r="AJ82" s="4611">
        <v>0.49399999999999999</v>
      </c>
      <c r="AK82" s="4611">
        <v>0</v>
      </c>
      <c r="AL82" s="4612"/>
      <c r="AM82" s="4611">
        <v>0</v>
      </c>
      <c r="AN82" s="876">
        <f t="shared" si="2"/>
        <v>49.194000000000003</v>
      </c>
      <c r="AO82" s="877">
        <v>49.408999999999999</v>
      </c>
      <c r="AP82" s="878">
        <f t="shared" si="3"/>
        <v>-0.215</v>
      </c>
    </row>
    <row r="83" spans="1:42" ht="13.8">
      <c r="A83" s="873">
        <v>272</v>
      </c>
      <c r="B83" s="874">
        <v>20</v>
      </c>
      <c r="C83" s="875">
        <v>16.933</v>
      </c>
      <c r="D83" s="875">
        <v>0</v>
      </c>
      <c r="E83" s="875">
        <v>7.9939999999999998</v>
      </c>
      <c r="F83" s="875">
        <v>0</v>
      </c>
      <c r="G83" s="875">
        <v>0</v>
      </c>
      <c r="H83" s="875">
        <v>0</v>
      </c>
      <c r="I83" s="875">
        <v>0</v>
      </c>
      <c r="J83" s="875">
        <v>0</v>
      </c>
      <c r="K83" s="875">
        <v>0</v>
      </c>
      <c r="L83" s="875">
        <v>0</v>
      </c>
      <c r="M83" s="875">
        <v>0</v>
      </c>
      <c r="N83" s="875">
        <v>0</v>
      </c>
      <c r="O83" s="875">
        <v>0</v>
      </c>
      <c r="P83" s="875">
        <v>0</v>
      </c>
      <c r="Q83" s="875">
        <v>0</v>
      </c>
      <c r="R83" s="875">
        <v>0</v>
      </c>
      <c r="S83" s="875"/>
      <c r="T83" s="875">
        <v>0</v>
      </c>
      <c r="U83" s="4611">
        <v>20</v>
      </c>
      <c r="V83" s="4608">
        <v>17.696000000000002</v>
      </c>
      <c r="W83" s="4608">
        <v>0</v>
      </c>
      <c r="X83" s="4611">
        <v>7.9950000000000001</v>
      </c>
      <c r="Y83" s="4611">
        <v>0</v>
      </c>
      <c r="Z83" s="4611">
        <v>0</v>
      </c>
      <c r="AA83" s="4611">
        <v>0</v>
      </c>
      <c r="AB83" s="4611">
        <v>0</v>
      </c>
      <c r="AC83" s="4611">
        <v>0</v>
      </c>
      <c r="AD83" s="4611">
        <v>0</v>
      </c>
      <c r="AE83" s="4611">
        <v>0</v>
      </c>
      <c r="AF83" s="4611">
        <v>0</v>
      </c>
      <c r="AG83" s="4611">
        <v>0</v>
      </c>
      <c r="AH83" s="4611">
        <v>0</v>
      </c>
      <c r="AI83" s="4611">
        <v>0</v>
      </c>
      <c r="AJ83" s="4611">
        <v>0</v>
      </c>
      <c r="AK83" s="4611">
        <v>0</v>
      </c>
      <c r="AL83" s="4612"/>
      <c r="AM83" s="4611">
        <v>0</v>
      </c>
      <c r="AN83" s="876">
        <f t="shared" si="2"/>
        <v>45.691000000000003</v>
      </c>
      <c r="AO83" s="877">
        <v>44.927</v>
      </c>
      <c r="AP83" s="878">
        <f t="shared" si="3"/>
        <v>0.76400000000000001</v>
      </c>
    </row>
    <row r="84" spans="1:42" ht="13.8">
      <c r="A84" s="873">
        <v>273</v>
      </c>
      <c r="B84" s="874">
        <v>20</v>
      </c>
      <c r="C84" s="875">
        <v>17.329999999999998</v>
      </c>
      <c r="D84" s="875">
        <v>0</v>
      </c>
      <c r="E84" s="875">
        <v>8</v>
      </c>
      <c r="F84" s="875">
        <v>0</v>
      </c>
      <c r="G84" s="875">
        <v>0</v>
      </c>
      <c r="H84" s="875">
        <v>0</v>
      </c>
      <c r="I84" s="875">
        <v>0</v>
      </c>
      <c r="J84" s="875">
        <v>0</v>
      </c>
      <c r="K84" s="875">
        <v>0</v>
      </c>
      <c r="L84" s="875">
        <v>0</v>
      </c>
      <c r="M84" s="875">
        <v>0</v>
      </c>
      <c r="N84" s="875">
        <v>0</v>
      </c>
      <c r="O84" s="875">
        <v>0</v>
      </c>
      <c r="P84" s="875">
        <v>0</v>
      </c>
      <c r="Q84" s="875">
        <v>0</v>
      </c>
      <c r="R84" s="875">
        <v>0</v>
      </c>
      <c r="S84" s="875"/>
      <c r="T84" s="875">
        <v>0</v>
      </c>
      <c r="U84" s="4611">
        <v>20</v>
      </c>
      <c r="V84" s="4608">
        <v>17.43</v>
      </c>
      <c r="W84" s="4608">
        <v>0</v>
      </c>
      <c r="X84" s="4611">
        <v>8</v>
      </c>
      <c r="Y84" s="4611">
        <v>0</v>
      </c>
      <c r="Z84" s="4611">
        <v>0</v>
      </c>
      <c r="AA84" s="4611">
        <v>0</v>
      </c>
      <c r="AB84" s="4611">
        <v>0</v>
      </c>
      <c r="AC84" s="4611">
        <v>0</v>
      </c>
      <c r="AD84" s="4611">
        <v>0</v>
      </c>
      <c r="AE84" s="4611">
        <v>0</v>
      </c>
      <c r="AF84" s="4611">
        <v>0</v>
      </c>
      <c r="AG84" s="4611">
        <v>0</v>
      </c>
      <c r="AH84" s="4611">
        <v>0</v>
      </c>
      <c r="AI84" s="4611">
        <v>0</v>
      </c>
      <c r="AJ84" s="4611">
        <v>0</v>
      </c>
      <c r="AK84" s="4611">
        <v>0</v>
      </c>
      <c r="AL84" s="4612"/>
      <c r="AM84" s="4611">
        <v>0</v>
      </c>
      <c r="AN84" s="876">
        <f t="shared" si="2"/>
        <v>45.43</v>
      </c>
      <c r="AO84" s="877">
        <v>45.33</v>
      </c>
      <c r="AP84" s="878">
        <f t="shared" si="3"/>
        <v>0.1</v>
      </c>
    </row>
    <row r="85" spans="1:42" ht="13.8">
      <c r="A85" s="873">
        <v>274</v>
      </c>
      <c r="B85" s="874">
        <v>20</v>
      </c>
      <c r="C85" s="875">
        <v>20.527000000000001</v>
      </c>
      <c r="D85" s="875">
        <v>0</v>
      </c>
      <c r="E85" s="875">
        <v>8</v>
      </c>
      <c r="F85" s="875">
        <v>0</v>
      </c>
      <c r="G85" s="875">
        <v>0</v>
      </c>
      <c r="H85" s="875">
        <v>0</v>
      </c>
      <c r="I85" s="875">
        <v>0</v>
      </c>
      <c r="J85" s="875">
        <v>0</v>
      </c>
      <c r="K85" s="875">
        <v>0</v>
      </c>
      <c r="L85" s="875">
        <v>0</v>
      </c>
      <c r="M85" s="875">
        <v>0</v>
      </c>
      <c r="N85" s="875">
        <v>0</v>
      </c>
      <c r="O85" s="875">
        <v>0</v>
      </c>
      <c r="P85" s="875">
        <v>2</v>
      </c>
      <c r="Q85" s="875">
        <v>0</v>
      </c>
      <c r="R85" s="875">
        <v>0</v>
      </c>
      <c r="S85" s="875"/>
      <c r="T85" s="875">
        <v>0</v>
      </c>
      <c r="U85" s="4611">
        <v>20</v>
      </c>
      <c r="V85" s="4608">
        <v>19.693000000000001</v>
      </c>
      <c r="W85" s="4608">
        <v>0</v>
      </c>
      <c r="X85" s="4611">
        <v>8</v>
      </c>
      <c r="Y85" s="4611">
        <v>0</v>
      </c>
      <c r="Z85" s="4611">
        <v>0</v>
      </c>
      <c r="AA85" s="4611">
        <v>0</v>
      </c>
      <c r="AB85" s="4611">
        <v>0</v>
      </c>
      <c r="AC85" s="4611">
        <v>0</v>
      </c>
      <c r="AD85" s="4611">
        <v>0</v>
      </c>
      <c r="AE85" s="4611">
        <v>0</v>
      </c>
      <c r="AF85" s="4611">
        <v>0</v>
      </c>
      <c r="AG85" s="4611">
        <v>0</v>
      </c>
      <c r="AH85" s="4611">
        <v>0</v>
      </c>
      <c r="AI85" s="4611">
        <v>2</v>
      </c>
      <c r="AJ85" s="4611">
        <v>0</v>
      </c>
      <c r="AK85" s="4611">
        <v>0</v>
      </c>
      <c r="AL85" s="4612"/>
      <c r="AM85" s="4611">
        <v>0</v>
      </c>
      <c r="AN85" s="876">
        <f t="shared" si="2"/>
        <v>49.692999999999998</v>
      </c>
      <c r="AO85" s="877">
        <v>50.527000000000001</v>
      </c>
      <c r="AP85" s="878">
        <f t="shared" si="3"/>
        <v>-0.83399999999999996</v>
      </c>
    </row>
    <row r="86" spans="1:42" ht="13.8">
      <c r="A86" s="873">
        <v>275</v>
      </c>
      <c r="B86" s="874">
        <v>20</v>
      </c>
      <c r="C86" s="875">
        <v>9.9139999999999997</v>
      </c>
      <c r="D86" s="875">
        <v>0</v>
      </c>
      <c r="E86" s="875">
        <v>7.9939999999999998</v>
      </c>
      <c r="F86" s="875">
        <v>0</v>
      </c>
      <c r="G86" s="875">
        <v>0</v>
      </c>
      <c r="H86" s="875">
        <v>0</v>
      </c>
      <c r="I86" s="875">
        <v>0</v>
      </c>
      <c r="J86" s="875">
        <v>0</v>
      </c>
      <c r="K86" s="875">
        <v>0</v>
      </c>
      <c r="L86" s="875">
        <v>0</v>
      </c>
      <c r="M86" s="875">
        <v>0</v>
      </c>
      <c r="N86" s="875">
        <v>0</v>
      </c>
      <c r="O86" s="875">
        <v>0</v>
      </c>
      <c r="P86" s="875">
        <v>0.08</v>
      </c>
      <c r="Q86" s="875">
        <v>0</v>
      </c>
      <c r="R86" s="875">
        <v>0</v>
      </c>
      <c r="S86" s="875"/>
      <c r="T86" s="875">
        <v>0</v>
      </c>
      <c r="U86" s="4611">
        <v>20</v>
      </c>
      <c r="V86" s="4608">
        <v>9.73</v>
      </c>
      <c r="W86" s="4608">
        <v>0</v>
      </c>
      <c r="X86" s="4611">
        <v>7.9980000000000002</v>
      </c>
      <c r="Y86" s="4611">
        <v>0</v>
      </c>
      <c r="Z86" s="4611">
        <v>0</v>
      </c>
      <c r="AA86" s="4611">
        <v>0</v>
      </c>
      <c r="AB86" s="4611">
        <v>0</v>
      </c>
      <c r="AC86" s="4611">
        <v>0</v>
      </c>
      <c r="AD86" s="4611">
        <v>0</v>
      </c>
      <c r="AE86" s="4611">
        <v>0</v>
      </c>
      <c r="AF86" s="4611">
        <v>0</v>
      </c>
      <c r="AG86" s="4611">
        <v>0</v>
      </c>
      <c r="AH86" s="4611">
        <v>0</v>
      </c>
      <c r="AI86" s="4611">
        <v>6.3E-2</v>
      </c>
      <c r="AJ86" s="4611">
        <v>0</v>
      </c>
      <c r="AK86" s="4611">
        <v>0</v>
      </c>
      <c r="AL86" s="4612"/>
      <c r="AM86" s="4611">
        <v>0</v>
      </c>
      <c r="AN86" s="876">
        <f t="shared" si="2"/>
        <v>37.790999999999997</v>
      </c>
      <c r="AO86" s="877">
        <v>37.988</v>
      </c>
      <c r="AP86" s="878">
        <f t="shared" si="3"/>
        <v>-0.19700000000000001</v>
      </c>
    </row>
    <row r="87" spans="1:42" ht="13.8">
      <c r="A87" s="873">
        <v>281</v>
      </c>
      <c r="B87" s="874">
        <v>20</v>
      </c>
      <c r="C87" s="875">
        <v>17.460999999999999</v>
      </c>
      <c r="D87" s="875">
        <v>0</v>
      </c>
      <c r="E87" s="875">
        <v>8</v>
      </c>
      <c r="F87" s="875">
        <v>0</v>
      </c>
      <c r="G87" s="875">
        <v>0</v>
      </c>
      <c r="H87" s="875">
        <v>6.3609999999999998</v>
      </c>
      <c r="I87" s="875">
        <v>0</v>
      </c>
      <c r="J87" s="875">
        <v>0</v>
      </c>
      <c r="K87" s="875">
        <v>0</v>
      </c>
      <c r="L87" s="875">
        <v>0</v>
      </c>
      <c r="M87" s="875">
        <v>0</v>
      </c>
      <c r="N87" s="875">
        <v>0</v>
      </c>
      <c r="O87" s="875">
        <v>0</v>
      </c>
      <c r="P87" s="875">
        <v>1.861</v>
      </c>
      <c r="Q87" s="875">
        <v>0</v>
      </c>
      <c r="R87" s="875">
        <v>0</v>
      </c>
      <c r="S87" s="875"/>
      <c r="T87" s="875">
        <v>0</v>
      </c>
      <c r="U87" s="4611">
        <v>20</v>
      </c>
      <c r="V87" s="4608">
        <v>23.963000000000001</v>
      </c>
      <c r="W87" s="4608">
        <v>0</v>
      </c>
      <c r="X87" s="4611">
        <v>5.0019999999999998</v>
      </c>
      <c r="Y87" s="4611">
        <v>0</v>
      </c>
      <c r="Z87" s="4611">
        <v>0</v>
      </c>
      <c r="AA87" s="4611">
        <v>7.9530000000000003</v>
      </c>
      <c r="AB87" s="4611">
        <v>0</v>
      </c>
      <c r="AC87" s="4611">
        <v>0</v>
      </c>
      <c r="AD87" s="4611">
        <v>0</v>
      </c>
      <c r="AE87" s="4611">
        <v>0</v>
      </c>
      <c r="AF87" s="4611">
        <v>0</v>
      </c>
      <c r="AG87" s="4611">
        <v>0</v>
      </c>
      <c r="AH87" s="4611">
        <v>0</v>
      </c>
      <c r="AI87" s="4611">
        <v>2.0009999999999999</v>
      </c>
      <c r="AJ87" s="4611">
        <v>0</v>
      </c>
      <c r="AK87" s="4611">
        <v>0</v>
      </c>
      <c r="AL87" s="4612"/>
      <c r="AM87" s="4611">
        <v>0</v>
      </c>
      <c r="AN87" s="876">
        <f t="shared" si="2"/>
        <v>58.918999999999997</v>
      </c>
      <c r="AO87" s="877">
        <v>53.683</v>
      </c>
      <c r="AP87" s="878">
        <f t="shared" si="3"/>
        <v>5.2359999999999998</v>
      </c>
    </row>
    <row r="88" spans="1:42" ht="13.8">
      <c r="A88" s="873">
        <v>282</v>
      </c>
      <c r="B88" s="874">
        <v>20</v>
      </c>
      <c r="C88" s="875">
        <v>23.738</v>
      </c>
      <c r="D88" s="875">
        <v>0</v>
      </c>
      <c r="E88" s="875">
        <v>4</v>
      </c>
      <c r="F88" s="875">
        <v>0</v>
      </c>
      <c r="G88" s="875">
        <v>0</v>
      </c>
      <c r="H88" s="875">
        <v>0</v>
      </c>
      <c r="I88" s="875">
        <v>0</v>
      </c>
      <c r="J88" s="875">
        <v>0</v>
      </c>
      <c r="K88" s="875">
        <v>0</v>
      </c>
      <c r="L88" s="875">
        <v>0</v>
      </c>
      <c r="M88" s="875">
        <v>0</v>
      </c>
      <c r="N88" s="875">
        <v>0</v>
      </c>
      <c r="O88" s="875">
        <v>0</v>
      </c>
      <c r="P88" s="875">
        <v>0</v>
      </c>
      <c r="Q88" s="875">
        <v>0</v>
      </c>
      <c r="R88" s="875">
        <v>0</v>
      </c>
      <c r="S88" s="875"/>
      <c r="T88" s="875">
        <v>0</v>
      </c>
      <c r="U88" s="4611">
        <v>20</v>
      </c>
      <c r="V88" s="4608">
        <v>20.013999999999999</v>
      </c>
      <c r="W88" s="4608">
        <v>0</v>
      </c>
      <c r="X88" s="4611">
        <v>4</v>
      </c>
      <c r="Y88" s="4611">
        <v>0</v>
      </c>
      <c r="Z88" s="4611">
        <v>0</v>
      </c>
      <c r="AA88" s="4611">
        <v>0</v>
      </c>
      <c r="AB88" s="4611">
        <v>0</v>
      </c>
      <c r="AC88" s="4611">
        <v>0</v>
      </c>
      <c r="AD88" s="4611">
        <v>0</v>
      </c>
      <c r="AE88" s="4611">
        <v>0</v>
      </c>
      <c r="AF88" s="4611">
        <v>0</v>
      </c>
      <c r="AG88" s="4611">
        <v>0</v>
      </c>
      <c r="AH88" s="4611">
        <v>0</v>
      </c>
      <c r="AI88" s="4611">
        <v>0</v>
      </c>
      <c r="AJ88" s="4611">
        <v>0</v>
      </c>
      <c r="AK88" s="4611">
        <v>0</v>
      </c>
      <c r="AL88" s="4612"/>
      <c r="AM88" s="4611">
        <v>0</v>
      </c>
      <c r="AN88" s="876">
        <f t="shared" si="2"/>
        <v>44.014000000000003</v>
      </c>
      <c r="AO88" s="877">
        <v>47.738</v>
      </c>
      <c r="AP88" s="878">
        <f t="shared" si="3"/>
        <v>-3.7240000000000002</v>
      </c>
    </row>
    <row r="89" spans="1:42" ht="13.8">
      <c r="A89" s="873">
        <v>283</v>
      </c>
      <c r="B89" s="874">
        <v>20</v>
      </c>
      <c r="C89" s="875">
        <v>34.945</v>
      </c>
      <c r="D89" s="875">
        <v>0</v>
      </c>
      <c r="E89" s="875">
        <v>1.5389999999999999</v>
      </c>
      <c r="F89" s="875">
        <v>0</v>
      </c>
      <c r="G89" s="875">
        <v>0</v>
      </c>
      <c r="H89" s="875">
        <v>0</v>
      </c>
      <c r="I89" s="875">
        <v>0</v>
      </c>
      <c r="J89" s="875">
        <v>0</v>
      </c>
      <c r="K89" s="875">
        <v>0</v>
      </c>
      <c r="L89" s="875">
        <v>0</v>
      </c>
      <c r="M89" s="875">
        <v>0</v>
      </c>
      <c r="N89" s="875">
        <v>0</v>
      </c>
      <c r="O89" s="875">
        <v>0</v>
      </c>
      <c r="P89" s="875">
        <v>0</v>
      </c>
      <c r="Q89" s="875">
        <v>0</v>
      </c>
      <c r="R89" s="875">
        <v>0</v>
      </c>
      <c r="S89" s="875"/>
      <c r="T89" s="875">
        <v>0</v>
      </c>
      <c r="U89" s="4611">
        <v>20</v>
      </c>
      <c r="V89" s="4608">
        <v>34.844999999999999</v>
      </c>
      <c r="W89" s="4608">
        <v>0</v>
      </c>
      <c r="X89" s="4611">
        <v>3.0070000000000001</v>
      </c>
      <c r="Y89" s="4611">
        <v>0</v>
      </c>
      <c r="Z89" s="4611">
        <v>0</v>
      </c>
      <c r="AA89" s="4611">
        <v>0</v>
      </c>
      <c r="AB89" s="4611">
        <v>0</v>
      </c>
      <c r="AC89" s="4611">
        <v>0</v>
      </c>
      <c r="AD89" s="4611">
        <v>0</v>
      </c>
      <c r="AE89" s="4611">
        <v>0</v>
      </c>
      <c r="AF89" s="4611">
        <v>0</v>
      </c>
      <c r="AG89" s="4611">
        <v>0</v>
      </c>
      <c r="AH89" s="4611">
        <v>0</v>
      </c>
      <c r="AI89" s="4611">
        <v>0</v>
      </c>
      <c r="AJ89" s="4611">
        <v>0</v>
      </c>
      <c r="AK89" s="4611">
        <v>0</v>
      </c>
      <c r="AL89" s="4612"/>
      <c r="AM89" s="4611">
        <v>0</v>
      </c>
      <c r="AN89" s="876">
        <f t="shared" si="2"/>
        <v>57.851999999999997</v>
      </c>
      <c r="AO89" s="877">
        <v>56.484000000000002</v>
      </c>
      <c r="AP89" s="878">
        <f t="shared" si="3"/>
        <v>1.3680000000000001</v>
      </c>
    </row>
    <row r="90" spans="1:42" ht="13.8">
      <c r="A90" s="873">
        <v>284</v>
      </c>
      <c r="B90" s="874">
        <v>20</v>
      </c>
      <c r="C90" s="875">
        <v>16.66</v>
      </c>
      <c r="D90" s="875">
        <v>0</v>
      </c>
      <c r="E90" s="875">
        <v>7.6230000000000002</v>
      </c>
      <c r="F90" s="875">
        <v>0</v>
      </c>
      <c r="G90" s="875">
        <v>0</v>
      </c>
      <c r="H90" s="875">
        <v>18.021000000000001</v>
      </c>
      <c r="I90" s="875">
        <v>0</v>
      </c>
      <c r="J90" s="875">
        <v>0</v>
      </c>
      <c r="K90" s="875">
        <v>0</v>
      </c>
      <c r="L90" s="875">
        <v>0</v>
      </c>
      <c r="M90" s="875">
        <v>0</v>
      </c>
      <c r="N90" s="875">
        <v>0</v>
      </c>
      <c r="O90" s="875">
        <v>0</v>
      </c>
      <c r="P90" s="875">
        <v>2.464</v>
      </c>
      <c r="Q90" s="875">
        <v>0</v>
      </c>
      <c r="R90" s="875">
        <v>0</v>
      </c>
      <c r="S90" s="875"/>
      <c r="T90" s="875">
        <v>0</v>
      </c>
      <c r="U90" s="4611">
        <v>20</v>
      </c>
      <c r="V90" s="4608">
        <v>17.114000000000001</v>
      </c>
      <c r="W90" s="4608">
        <v>0</v>
      </c>
      <c r="X90" s="4611">
        <v>7.835</v>
      </c>
      <c r="Y90" s="4611">
        <v>0</v>
      </c>
      <c r="Z90" s="4611">
        <v>0</v>
      </c>
      <c r="AA90" s="4611">
        <v>18.628</v>
      </c>
      <c r="AB90" s="4611">
        <v>0</v>
      </c>
      <c r="AC90" s="4611">
        <v>0</v>
      </c>
      <c r="AD90" s="4611">
        <v>0</v>
      </c>
      <c r="AE90" s="4611">
        <v>0</v>
      </c>
      <c r="AF90" s="4611">
        <v>0</v>
      </c>
      <c r="AG90" s="4611">
        <v>0</v>
      </c>
      <c r="AH90" s="4611">
        <v>0</v>
      </c>
      <c r="AI90" s="4611">
        <v>2.9390000000000001</v>
      </c>
      <c r="AJ90" s="4611">
        <v>0</v>
      </c>
      <c r="AK90" s="4611">
        <v>0</v>
      </c>
      <c r="AL90" s="4612"/>
      <c r="AM90" s="4611">
        <v>0</v>
      </c>
      <c r="AN90" s="876">
        <f t="shared" si="2"/>
        <v>66.516000000000005</v>
      </c>
      <c r="AO90" s="877">
        <v>64.768000000000001</v>
      </c>
      <c r="AP90" s="878">
        <f t="shared" si="3"/>
        <v>1.748</v>
      </c>
    </row>
    <row r="91" spans="1:42" ht="13.8">
      <c r="A91" s="873">
        <v>285</v>
      </c>
      <c r="B91" s="874">
        <v>20</v>
      </c>
      <c r="C91" s="875">
        <v>16.448</v>
      </c>
      <c r="D91" s="875">
        <v>0</v>
      </c>
      <c r="E91" s="875">
        <v>0</v>
      </c>
      <c r="F91" s="875">
        <v>0</v>
      </c>
      <c r="G91" s="875">
        <v>0</v>
      </c>
      <c r="H91" s="875">
        <v>0</v>
      </c>
      <c r="I91" s="875">
        <v>0</v>
      </c>
      <c r="J91" s="875">
        <v>0</v>
      </c>
      <c r="K91" s="875">
        <v>0</v>
      </c>
      <c r="L91" s="875">
        <v>0</v>
      </c>
      <c r="M91" s="875">
        <v>0</v>
      </c>
      <c r="N91" s="875">
        <v>0</v>
      </c>
      <c r="O91" s="875">
        <v>0</v>
      </c>
      <c r="P91" s="875">
        <v>1</v>
      </c>
      <c r="Q91" s="875">
        <v>0</v>
      </c>
      <c r="R91" s="875">
        <v>0</v>
      </c>
      <c r="S91" s="875"/>
      <c r="T91" s="875">
        <v>0</v>
      </c>
      <c r="U91" s="4611">
        <v>20</v>
      </c>
      <c r="V91" s="4608">
        <v>18.428999999999998</v>
      </c>
      <c r="W91" s="4608">
        <v>0</v>
      </c>
      <c r="X91" s="4611">
        <v>0</v>
      </c>
      <c r="Y91" s="4611">
        <v>0</v>
      </c>
      <c r="Z91" s="4611">
        <v>0</v>
      </c>
      <c r="AA91" s="4611">
        <v>0</v>
      </c>
      <c r="AB91" s="4611">
        <v>0</v>
      </c>
      <c r="AC91" s="4611">
        <v>0</v>
      </c>
      <c r="AD91" s="4611">
        <v>0</v>
      </c>
      <c r="AE91" s="4611">
        <v>0</v>
      </c>
      <c r="AF91" s="4611">
        <v>0</v>
      </c>
      <c r="AG91" s="4611">
        <v>0</v>
      </c>
      <c r="AH91" s="4611">
        <v>0</v>
      </c>
      <c r="AI91" s="4611">
        <v>1</v>
      </c>
      <c r="AJ91" s="4611">
        <v>0</v>
      </c>
      <c r="AK91" s="4611">
        <v>0</v>
      </c>
      <c r="AL91" s="4612"/>
      <c r="AM91" s="4611">
        <v>0</v>
      </c>
      <c r="AN91" s="876">
        <f t="shared" si="2"/>
        <v>39.429000000000002</v>
      </c>
      <c r="AO91" s="877">
        <v>37.448</v>
      </c>
      <c r="AP91" s="878">
        <f t="shared" si="3"/>
        <v>1.9810000000000001</v>
      </c>
    </row>
    <row r="92" spans="1:42" ht="13.8">
      <c r="A92" s="873">
        <v>286</v>
      </c>
      <c r="B92" s="874">
        <v>20</v>
      </c>
      <c r="C92" s="875">
        <v>18.683</v>
      </c>
      <c r="D92" s="875">
        <v>0</v>
      </c>
      <c r="E92" s="875">
        <v>6.0010000000000003</v>
      </c>
      <c r="F92" s="875">
        <v>0</v>
      </c>
      <c r="G92" s="875">
        <v>0</v>
      </c>
      <c r="H92" s="875">
        <v>0</v>
      </c>
      <c r="I92" s="875">
        <v>0</v>
      </c>
      <c r="J92" s="875">
        <v>0</v>
      </c>
      <c r="K92" s="875">
        <v>0</v>
      </c>
      <c r="L92" s="875">
        <v>0</v>
      </c>
      <c r="M92" s="875">
        <v>0</v>
      </c>
      <c r="N92" s="875">
        <v>0</v>
      </c>
      <c r="O92" s="875">
        <v>0</v>
      </c>
      <c r="P92" s="875">
        <v>1</v>
      </c>
      <c r="Q92" s="875">
        <v>0</v>
      </c>
      <c r="R92" s="875">
        <v>0</v>
      </c>
      <c r="S92" s="875"/>
      <c r="T92" s="875">
        <v>0</v>
      </c>
      <c r="U92" s="4611">
        <v>20</v>
      </c>
      <c r="V92" s="4608">
        <v>22.824000000000002</v>
      </c>
      <c r="W92" s="4608">
        <v>0</v>
      </c>
      <c r="X92" s="4611">
        <v>1.9079999999999999</v>
      </c>
      <c r="Y92" s="4611">
        <v>0</v>
      </c>
      <c r="Z92" s="4611">
        <v>0</v>
      </c>
      <c r="AA92" s="4611">
        <v>0</v>
      </c>
      <c r="AB92" s="4611">
        <v>0</v>
      </c>
      <c r="AC92" s="4611">
        <v>0</v>
      </c>
      <c r="AD92" s="4611">
        <v>0</v>
      </c>
      <c r="AE92" s="4611">
        <v>0</v>
      </c>
      <c r="AF92" s="4611">
        <v>0</v>
      </c>
      <c r="AG92" s="4611">
        <v>0</v>
      </c>
      <c r="AH92" s="4611">
        <v>0</v>
      </c>
      <c r="AI92" s="4611">
        <v>1</v>
      </c>
      <c r="AJ92" s="4611">
        <v>0</v>
      </c>
      <c r="AK92" s="4611">
        <v>0</v>
      </c>
      <c r="AL92" s="4612"/>
      <c r="AM92" s="4611">
        <v>0</v>
      </c>
      <c r="AN92" s="876">
        <f t="shared" si="2"/>
        <v>45.731999999999999</v>
      </c>
      <c r="AO92" s="877">
        <v>45.683999999999997</v>
      </c>
      <c r="AP92" s="878">
        <f t="shared" si="3"/>
        <v>4.8000000000000001E-2</v>
      </c>
    </row>
    <row r="93" spans="1:42" ht="13.8">
      <c r="A93" s="873">
        <v>287</v>
      </c>
      <c r="B93" s="874">
        <v>20</v>
      </c>
      <c r="C93" s="875">
        <v>16.064</v>
      </c>
      <c r="D93" s="875">
        <v>0</v>
      </c>
      <c r="E93" s="875">
        <v>7.984</v>
      </c>
      <c r="F93" s="875">
        <v>0</v>
      </c>
      <c r="G93" s="875">
        <v>0</v>
      </c>
      <c r="H93" s="875">
        <v>13.926</v>
      </c>
      <c r="I93" s="875">
        <v>0</v>
      </c>
      <c r="J93" s="875">
        <v>0</v>
      </c>
      <c r="K93" s="875">
        <v>0</v>
      </c>
      <c r="L93" s="875">
        <v>0</v>
      </c>
      <c r="M93" s="875">
        <v>0</v>
      </c>
      <c r="N93" s="875">
        <v>0</v>
      </c>
      <c r="O93" s="875">
        <v>0</v>
      </c>
      <c r="P93" s="875">
        <v>2.794</v>
      </c>
      <c r="Q93" s="875">
        <v>0</v>
      </c>
      <c r="R93" s="875">
        <v>0</v>
      </c>
      <c r="S93" s="875"/>
      <c r="T93" s="875">
        <v>0</v>
      </c>
      <c r="U93" s="4611">
        <v>20</v>
      </c>
      <c r="V93" s="4608">
        <v>17.885999999999999</v>
      </c>
      <c r="W93" s="4608">
        <v>0</v>
      </c>
      <c r="X93" s="4611">
        <v>7.9790000000000001</v>
      </c>
      <c r="Y93" s="4611">
        <v>0</v>
      </c>
      <c r="Z93" s="4611">
        <v>0</v>
      </c>
      <c r="AA93" s="4611">
        <v>13.911</v>
      </c>
      <c r="AB93" s="4611">
        <v>0</v>
      </c>
      <c r="AC93" s="4611">
        <v>0</v>
      </c>
      <c r="AD93" s="4611">
        <v>0</v>
      </c>
      <c r="AE93" s="4611">
        <v>0</v>
      </c>
      <c r="AF93" s="4611">
        <v>0</v>
      </c>
      <c r="AG93" s="4611">
        <v>0</v>
      </c>
      <c r="AH93" s="4611">
        <v>0</v>
      </c>
      <c r="AI93" s="4611">
        <v>2.7930000000000001</v>
      </c>
      <c r="AJ93" s="4611">
        <v>0</v>
      </c>
      <c r="AK93" s="4611">
        <v>0</v>
      </c>
      <c r="AL93" s="4612"/>
      <c r="AM93" s="4611">
        <v>0</v>
      </c>
      <c r="AN93" s="876">
        <f t="shared" si="2"/>
        <v>62.569000000000003</v>
      </c>
      <c r="AO93" s="877">
        <v>60.768000000000001</v>
      </c>
      <c r="AP93" s="878">
        <f t="shared" si="3"/>
        <v>1.8009999999999999</v>
      </c>
    </row>
    <row r="94" spans="1:42" ht="13.8">
      <c r="A94" s="873">
        <v>288</v>
      </c>
      <c r="B94" s="874">
        <v>20</v>
      </c>
      <c r="C94" s="875">
        <v>15.788</v>
      </c>
      <c r="D94" s="875">
        <v>0</v>
      </c>
      <c r="E94" s="875">
        <v>7.9930000000000003</v>
      </c>
      <c r="F94" s="875">
        <v>0</v>
      </c>
      <c r="G94" s="875">
        <v>0</v>
      </c>
      <c r="H94" s="875">
        <v>8.5090000000000003</v>
      </c>
      <c r="I94" s="875">
        <v>0</v>
      </c>
      <c r="J94" s="875">
        <v>0</v>
      </c>
      <c r="K94" s="875">
        <v>0</v>
      </c>
      <c r="L94" s="875">
        <v>0</v>
      </c>
      <c r="M94" s="875">
        <v>0</v>
      </c>
      <c r="N94" s="875">
        <v>0</v>
      </c>
      <c r="O94" s="875">
        <v>0</v>
      </c>
      <c r="P94" s="875">
        <v>0</v>
      </c>
      <c r="Q94" s="875">
        <v>0</v>
      </c>
      <c r="R94" s="875">
        <v>0</v>
      </c>
      <c r="S94" s="875"/>
      <c r="T94" s="875">
        <v>0</v>
      </c>
      <c r="U94" s="4611">
        <v>20</v>
      </c>
      <c r="V94" s="4608">
        <v>17.835999999999999</v>
      </c>
      <c r="W94" s="4608">
        <v>0</v>
      </c>
      <c r="X94" s="4611">
        <v>7.98</v>
      </c>
      <c r="Y94" s="4611">
        <v>0</v>
      </c>
      <c r="Z94" s="4611">
        <v>0</v>
      </c>
      <c r="AA94" s="4611">
        <v>6.3620000000000001</v>
      </c>
      <c r="AB94" s="4611">
        <v>0</v>
      </c>
      <c r="AC94" s="4611">
        <v>0</v>
      </c>
      <c r="AD94" s="4611">
        <v>0</v>
      </c>
      <c r="AE94" s="4611">
        <v>0</v>
      </c>
      <c r="AF94" s="4611">
        <v>0</v>
      </c>
      <c r="AG94" s="4611">
        <v>0</v>
      </c>
      <c r="AH94" s="4611">
        <v>0</v>
      </c>
      <c r="AI94" s="4611">
        <v>0</v>
      </c>
      <c r="AJ94" s="4611">
        <v>0</v>
      </c>
      <c r="AK94" s="4611">
        <v>0</v>
      </c>
      <c r="AL94" s="4612"/>
      <c r="AM94" s="4611">
        <v>0</v>
      </c>
      <c r="AN94" s="876">
        <f t="shared" si="2"/>
        <v>52.177999999999997</v>
      </c>
      <c r="AO94" s="877">
        <v>52.29</v>
      </c>
      <c r="AP94" s="878">
        <f t="shared" si="3"/>
        <v>-0.112</v>
      </c>
    </row>
    <row r="95" spans="1:42" ht="13.8">
      <c r="A95" s="873">
        <v>289</v>
      </c>
      <c r="B95" s="874">
        <v>20</v>
      </c>
      <c r="C95" s="875">
        <v>15.36</v>
      </c>
      <c r="D95" s="875">
        <v>0</v>
      </c>
      <c r="E95" s="875">
        <v>7.9909999999999997</v>
      </c>
      <c r="F95" s="875">
        <v>0</v>
      </c>
      <c r="G95" s="875">
        <v>0</v>
      </c>
      <c r="H95" s="875">
        <v>7.1669999999999998</v>
      </c>
      <c r="I95" s="875">
        <v>0</v>
      </c>
      <c r="J95" s="875">
        <v>0</v>
      </c>
      <c r="K95" s="875">
        <v>0</v>
      </c>
      <c r="L95" s="875">
        <v>0</v>
      </c>
      <c r="M95" s="875">
        <v>0</v>
      </c>
      <c r="N95" s="875">
        <v>0</v>
      </c>
      <c r="O95" s="875">
        <v>0</v>
      </c>
      <c r="P95" s="875">
        <v>3.9950000000000001</v>
      </c>
      <c r="Q95" s="875">
        <v>0.2</v>
      </c>
      <c r="R95" s="875">
        <v>0</v>
      </c>
      <c r="S95" s="875"/>
      <c r="T95" s="875">
        <v>0</v>
      </c>
      <c r="U95" s="4611">
        <v>20</v>
      </c>
      <c r="V95" s="4608">
        <v>14.78</v>
      </c>
      <c r="W95" s="4608">
        <v>0</v>
      </c>
      <c r="X95" s="4611">
        <v>7.8440000000000003</v>
      </c>
      <c r="Y95" s="4611">
        <v>0</v>
      </c>
      <c r="Z95" s="4611">
        <v>0</v>
      </c>
      <c r="AA95" s="4611">
        <v>4.766</v>
      </c>
      <c r="AB95" s="4611">
        <v>0</v>
      </c>
      <c r="AC95" s="4611">
        <v>0</v>
      </c>
      <c r="AD95" s="4611">
        <v>0</v>
      </c>
      <c r="AE95" s="4611">
        <v>0</v>
      </c>
      <c r="AF95" s="4611">
        <v>0</v>
      </c>
      <c r="AG95" s="4611">
        <v>0</v>
      </c>
      <c r="AH95" s="4611">
        <v>0</v>
      </c>
      <c r="AI95" s="4611">
        <v>3.9729999999999999</v>
      </c>
      <c r="AJ95" s="4611">
        <v>0.19900000000000001</v>
      </c>
      <c r="AK95" s="4611">
        <v>0</v>
      </c>
      <c r="AL95" s="4612"/>
      <c r="AM95" s="4611">
        <v>0</v>
      </c>
      <c r="AN95" s="876">
        <f t="shared" si="2"/>
        <v>51.561999999999998</v>
      </c>
      <c r="AO95" s="877">
        <v>54.713000000000001</v>
      </c>
      <c r="AP95" s="878">
        <f t="shared" si="3"/>
        <v>-3.1509999999999998</v>
      </c>
    </row>
    <row r="96" spans="1:42" ht="13.8">
      <c r="A96" s="873">
        <v>290</v>
      </c>
      <c r="B96" s="874">
        <v>20</v>
      </c>
      <c r="C96" s="875">
        <v>13.677</v>
      </c>
      <c r="D96" s="875">
        <v>0.38</v>
      </c>
      <c r="E96" s="875">
        <v>8</v>
      </c>
      <c r="F96" s="875">
        <v>0</v>
      </c>
      <c r="G96" s="875">
        <v>0</v>
      </c>
      <c r="H96" s="875">
        <v>19.896000000000001</v>
      </c>
      <c r="I96" s="875">
        <v>0</v>
      </c>
      <c r="J96" s="875">
        <v>0</v>
      </c>
      <c r="K96" s="875">
        <v>0</v>
      </c>
      <c r="L96" s="875">
        <v>0</v>
      </c>
      <c r="M96" s="875">
        <v>0</v>
      </c>
      <c r="N96" s="875">
        <v>0</v>
      </c>
      <c r="O96" s="875">
        <v>0</v>
      </c>
      <c r="P96" s="875">
        <v>5</v>
      </c>
      <c r="Q96" s="875">
        <v>1</v>
      </c>
      <c r="R96" s="875">
        <v>0</v>
      </c>
      <c r="S96" s="875"/>
      <c r="T96" s="875">
        <v>0</v>
      </c>
      <c r="U96" s="4611">
        <v>20</v>
      </c>
      <c r="V96" s="4608">
        <v>14.718999999999999</v>
      </c>
      <c r="W96" s="4608">
        <v>0.38</v>
      </c>
      <c r="X96" s="4611">
        <v>7.9969999999999999</v>
      </c>
      <c r="Y96" s="4611">
        <v>0</v>
      </c>
      <c r="Z96" s="4611">
        <v>0</v>
      </c>
      <c r="AA96" s="4611">
        <v>17.994</v>
      </c>
      <c r="AB96" s="4611">
        <v>0</v>
      </c>
      <c r="AC96" s="4611">
        <v>0</v>
      </c>
      <c r="AD96" s="4611">
        <v>0</v>
      </c>
      <c r="AE96" s="4611">
        <v>0</v>
      </c>
      <c r="AF96" s="4611">
        <v>0</v>
      </c>
      <c r="AG96" s="4611">
        <v>0</v>
      </c>
      <c r="AH96" s="4611">
        <v>0</v>
      </c>
      <c r="AI96" s="4611">
        <v>4.9980000000000002</v>
      </c>
      <c r="AJ96" s="4611">
        <v>1</v>
      </c>
      <c r="AK96" s="4611">
        <v>0</v>
      </c>
      <c r="AL96" s="4612"/>
      <c r="AM96" s="4611">
        <v>0</v>
      </c>
      <c r="AN96" s="876">
        <f t="shared" si="2"/>
        <v>67.087999999999994</v>
      </c>
      <c r="AO96" s="877">
        <v>67.953000000000003</v>
      </c>
      <c r="AP96" s="878">
        <f t="shared" si="3"/>
        <v>-0.86499999999999999</v>
      </c>
    </row>
    <row r="97" spans="1:42" ht="13.8">
      <c r="A97" s="873">
        <v>291</v>
      </c>
      <c r="B97" s="874">
        <v>20</v>
      </c>
      <c r="C97" s="875">
        <v>8.0030000000000001</v>
      </c>
      <c r="D97" s="875">
        <v>0</v>
      </c>
      <c r="E97" s="875">
        <v>3.9289999999999998</v>
      </c>
      <c r="F97" s="875">
        <v>0</v>
      </c>
      <c r="G97" s="875">
        <v>0</v>
      </c>
      <c r="H97" s="875">
        <v>0</v>
      </c>
      <c r="I97" s="875">
        <v>0</v>
      </c>
      <c r="J97" s="875">
        <v>0</v>
      </c>
      <c r="K97" s="875">
        <v>0</v>
      </c>
      <c r="L97" s="875">
        <v>0</v>
      </c>
      <c r="M97" s="875">
        <v>0</v>
      </c>
      <c r="N97" s="875">
        <v>0</v>
      </c>
      <c r="O97" s="875">
        <v>0</v>
      </c>
      <c r="P97" s="875">
        <v>0</v>
      </c>
      <c r="Q97" s="875">
        <v>0</v>
      </c>
      <c r="R97" s="875">
        <v>0</v>
      </c>
      <c r="S97" s="875"/>
      <c r="T97" s="875">
        <v>0</v>
      </c>
      <c r="U97" s="4611">
        <v>20</v>
      </c>
      <c r="V97" s="4608">
        <v>8.7319999999999993</v>
      </c>
      <c r="W97" s="4608">
        <v>0</v>
      </c>
      <c r="X97" s="4611">
        <v>3.9980000000000002</v>
      </c>
      <c r="Y97" s="4611">
        <v>0</v>
      </c>
      <c r="Z97" s="4611">
        <v>0</v>
      </c>
      <c r="AA97" s="4611">
        <v>0</v>
      </c>
      <c r="AB97" s="4611">
        <v>0</v>
      </c>
      <c r="AC97" s="4611">
        <v>0</v>
      </c>
      <c r="AD97" s="4611">
        <v>0</v>
      </c>
      <c r="AE97" s="4611">
        <v>0</v>
      </c>
      <c r="AF97" s="4611">
        <v>0</v>
      </c>
      <c r="AG97" s="4611">
        <v>0</v>
      </c>
      <c r="AH97" s="4611">
        <v>0</v>
      </c>
      <c r="AI97" s="4611">
        <v>0</v>
      </c>
      <c r="AJ97" s="4611">
        <v>0</v>
      </c>
      <c r="AK97" s="4611">
        <v>0</v>
      </c>
      <c r="AL97" s="4612"/>
      <c r="AM97" s="4611">
        <v>0</v>
      </c>
      <c r="AN97" s="876">
        <f t="shared" si="2"/>
        <v>32.729999999999997</v>
      </c>
      <c r="AO97" s="877">
        <v>31.931999999999999</v>
      </c>
      <c r="AP97" s="878">
        <f t="shared" si="3"/>
        <v>0.79800000000000004</v>
      </c>
    </row>
    <row r="98" spans="1:42" ht="13.8">
      <c r="A98" s="873">
        <v>292</v>
      </c>
      <c r="B98" s="874">
        <v>20</v>
      </c>
      <c r="C98" s="875">
        <v>14.468999999999999</v>
      </c>
      <c r="D98" s="875">
        <v>0</v>
      </c>
      <c r="E98" s="875">
        <v>7.7439999999999998</v>
      </c>
      <c r="F98" s="875">
        <v>0</v>
      </c>
      <c r="G98" s="875">
        <v>0</v>
      </c>
      <c r="H98" s="875">
        <v>0</v>
      </c>
      <c r="I98" s="875">
        <v>0</v>
      </c>
      <c r="J98" s="875">
        <v>0</v>
      </c>
      <c r="K98" s="875">
        <v>0</v>
      </c>
      <c r="L98" s="875">
        <v>0</v>
      </c>
      <c r="M98" s="875">
        <v>0</v>
      </c>
      <c r="N98" s="875">
        <v>0</v>
      </c>
      <c r="O98" s="875">
        <v>0</v>
      </c>
      <c r="P98" s="875">
        <v>0</v>
      </c>
      <c r="Q98" s="875">
        <v>0</v>
      </c>
      <c r="R98" s="875">
        <v>0</v>
      </c>
      <c r="S98" s="875"/>
      <c r="T98" s="875">
        <v>0</v>
      </c>
      <c r="U98" s="4611">
        <v>20</v>
      </c>
      <c r="V98" s="4608">
        <v>19.135000000000002</v>
      </c>
      <c r="W98" s="4608">
        <v>0</v>
      </c>
      <c r="X98" s="4611">
        <v>7.9969999999999999</v>
      </c>
      <c r="Y98" s="4611">
        <v>0</v>
      </c>
      <c r="Z98" s="4611">
        <v>0</v>
      </c>
      <c r="AA98" s="4611">
        <v>0</v>
      </c>
      <c r="AB98" s="4611">
        <v>0</v>
      </c>
      <c r="AC98" s="4611">
        <v>0</v>
      </c>
      <c r="AD98" s="4611">
        <v>0</v>
      </c>
      <c r="AE98" s="4611">
        <v>0</v>
      </c>
      <c r="AF98" s="4611">
        <v>0</v>
      </c>
      <c r="AG98" s="4611">
        <v>0</v>
      </c>
      <c r="AH98" s="4611">
        <v>0</v>
      </c>
      <c r="AI98" s="4611">
        <v>0</v>
      </c>
      <c r="AJ98" s="4611">
        <v>0</v>
      </c>
      <c r="AK98" s="4611">
        <v>0</v>
      </c>
      <c r="AL98" s="4612"/>
      <c r="AM98" s="4611">
        <v>0</v>
      </c>
      <c r="AN98" s="876">
        <f t="shared" si="2"/>
        <v>47.131999999999998</v>
      </c>
      <c r="AO98" s="877">
        <v>42.213000000000001</v>
      </c>
      <c r="AP98" s="878">
        <f t="shared" si="3"/>
        <v>4.9189999999999996</v>
      </c>
    </row>
    <row r="99" spans="1:42" ht="13.8">
      <c r="A99" s="873">
        <v>293</v>
      </c>
      <c r="B99" s="874">
        <v>20</v>
      </c>
      <c r="C99" s="875">
        <v>17.408999999999999</v>
      </c>
      <c r="D99" s="875">
        <v>0</v>
      </c>
      <c r="E99" s="875">
        <v>7.2759999999999998</v>
      </c>
      <c r="F99" s="875">
        <v>0</v>
      </c>
      <c r="G99" s="875">
        <v>0</v>
      </c>
      <c r="H99" s="875">
        <v>0</v>
      </c>
      <c r="I99" s="875">
        <v>0</v>
      </c>
      <c r="J99" s="875">
        <v>0</v>
      </c>
      <c r="K99" s="875">
        <v>0</v>
      </c>
      <c r="L99" s="875">
        <v>0</v>
      </c>
      <c r="M99" s="875">
        <v>0</v>
      </c>
      <c r="N99" s="875">
        <v>0</v>
      </c>
      <c r="O99" s="875">
        <v>0</v>
      </c>
      <c r="P99" s="875">
        <v>0</v>
      </c>
      <c r="Q99" s="875">
        <v>0</v>
      </c>
      <c r="R99" s="875">
        <v>0</v>
      </c>
      <c r="S99" s="875"/>
      <c r="T99" s="875">
        <v>0</v>
      </c>
      <c r="U99" s="4611">
        <v>20</v>
      </c>
      <c r="V99" s="4608">
        <v>21.981999999999999</v>
      </c>
      <c r="W99" s="4608">
        <v>0</v>
      </c>
      <c r="X99" s="4611">
        <v>7.9980000000000002</v>
      </c>
      <c r="Y99" s="4611">
        <v>0</v>
      </c>
      <c r="Z99" s="4611">
        <v>0</v>
      </c>
      <c r="AA99" s="4611">
        <v>0</v>
      </c>
      <c r="AB99" s="4611">
        <v>0</v>
      </c>
      <c r="AC99" s="4611">
        <v>0</v>
      </c>
      <c r="AD99" s="4611">
        <v>0</v>
      </c>
      <c r="AE99" s="4611">
        <v>0</v>
      </c>
      <c r="AF99" s="4611">
        <v>0</v>
      </c>
      <c r="AG99" s="4611">
        <v>0</v>
      </c>
      <c r="AH99" s="4611">
        <v>0</v>
      </c>
      <c r="AI99" s="4611">
        <v>0</v>
      </c>
      <c r="AJ99" s="4611">
        <v>0</v>
      </c>
      <c r="AK99" s="4611">
        <v>0</v>
      </c>
      <c r="AL99" s="4612"/>
      <c r="AM99" s="4611">
        <v>0</v>
      </c>
      <c r="AN99" s="876">
        <f t="shared" si="2"/>
        <v>49.98</v>
      </c>
      <c r="AO99" s="877">
        <v>44.685000000000002</v>
      </c>
      <c r="AP99" s="878">
        <f t="shared" si="3"/>
        <v>5.2949999999999999</v>
      </c>
    </row>
    <row r="100" spans="1:42" ht="13.8">
      <c r="A100" s="873">
        <v>294</v>
      </c>
      <c r="B100" s="874">
        <v>20</v>
      </c>
      <c r="C100" s="875">
        <v>14.492000000000001</v>
      </c>
      <c r="D100" s="875">
        <v>0</v>
      </c>
      <c r="E100" s="875">
        <v>8</v>
      </c>
      <c r="F100" s="875">
        <v>0</v>
      </c>
      <c r="G100" s="875">
        <v>0</v>
      </c>
      <c r="H100" s="875">
        <v>0</v>
      </c>
      <c r="I100" s="875">
        <v>0</v>
      </c>
      <c r="J100" s="875">
        <v>0</v>
      </c>
      <c r="K100" s="875">
        <v>0</v>
      </c>
      <c r="L100" s="875">
        <v>0</v>
      </c>
      <c r="M100" s="875">
        <v>0</v>
      </c>
      <c r="N100" s="875">
        <v>0</v>
      </c>
      <c r="O100" s="875">
        <v>0</v>
      </c>
      <c r="P100" s="875">
        <v>0</v>
      </c>
      <c r="Q100" s="875">
        <v>0</v>
      </c>
      <c r="R100" s="875">
        <v>0</v>
      </c>
      <c r="S100" s="875"/>
      <c r="T100" s="875">
        <v>0</v>
      </c>
      <c r="U100" s="4611">
        <v>20</v>
      </c>
      <c r="V100" s="4608">
        <v>14.324999999999999</v>
      </c>
      <c r="W100" s="4608">
        <v>0</v>
      </c>
      <c r="X100" s="4611">
        <v>8</v>
      </c>
      <c r="Y100" s="4611">
        <v>0</v>
      </c>
      <c r="Z100" s="4611">
        <v>0</v>
      </c>
      <c r="AA100" s="4611">
        <v>0</v>
      </c>
      <c r="AB100" s="4611">
        <v>0</v>
      </c>
      <c r="AC100" s="4611">
        <v>0</v>
      </c>
      <c r="AD100" s="4611">
        <v>0</v>
      </c>
      <c r="AE100" s="4611">
        <v>0</v>
      </c>
      <c r="AF100" s="4611">
        <v>0</v>
      </c>
      <c r="AG100" s="4611">
        <v>0</v>
      </c>
      <c r="AH100" s="4611">
        <v>0</v>
      </c>
      <c r="AI100" s="4611">
        <v>0</v>
      </c>
      <c r="AJ100" s="4611">
        <v>0</v>
      </c>
      <c r="AK100" s="4611">
        <v>0</v>
      </c>
      <c r="AL100" s="4612"/>
      <c r="AM100" s="4611">
        <v>0</v>
      </c>
      <c r="AN100" s="876">
        <f t="shared" si="2"/>
        <v>42.325000000000003</v>
      </c>
      <c r="AO100" s="877">
        <v>42.491999999999997</v>
      </c>
      <c r="AP100" s="878">
        <f t="shared" si="3"/>
        <v>-0.16700000000000001</v>
      </c>
    </row>
    <row r="101" spans="1:42" ht="13.8">
      <c r="A101" s="873">
        <v>297</v>
      </c>
      <c r="B101" s="874">
        <v>20</v>
      </c>
      <c r="C101" s="875">
        <v>16.552</v>
      </c>
      <c r="D101" s="875">
        <v>0</v>
      </c>
      <c r="E101" s="875">
        <v>8</v>
      </c>
      <c r="F101" s="875">
        <v>0</v>
      </c>
      <c r="G101" s="875">
        <v>0</v>
      </c>
      <c r="H101" s="875">
        <v>0</v>
      </c>
      <c r="I101" s="875">
        <v>0</v>
      </c>
      <c r="J101" s="875">
        <v>0</v>
      </c>
      <c r="K101" s="875">
        <v>0</v>
      </c>
      <c r="L101" s="875">
        <v>0</v>
      </c>
      <c r="M101" s="875">
        <v>0</v>
      </c>
      <c r="N101" s="875">
        <v>0</v>
      </c>
      <c r="O101" s="875">
        <v>0</v>
      </c>
      <c r="P101" s="875">
        <v>6</v>
      </c>
      <c r="Q101" s="875">
        <v>0</v>
      </c>
      <c r="R101" s="875">
        <v>0</v>
      </c>
      <c r="S101" s="875"/>
      <c r="T101" s="875">
        <v>0</v>
      </c>
      <c r="U101" s="4611">
        <v>20</v>
      </c>
      <c r="V101" s="4608">
        <v>17.166</v>
      </c>
      <c r="W101" s="4608">
        <v>0</v>
      </c>
      <c r="X101" s="4611">
        <v>8</v>
      </c>
      <c r="Y101" s="4611">
        <v>0</v>
      </c>
      <c r="Z101" s="4611">
        <v>0</v>
      </c>
      <c r="AA101" s="4611">
        <v>0</v>
      </c>
      <c r="AB101" s="4611">
        <v>0</v>
      </c>
      <c r="AC101" s="4611">
        <v>0</v>
      </c>
      <c r="AD101" s="4611">
        <v>0</v>
      </c>
      <c r="AE101" s="4611">
        <v>0</v>
      </c>
      <c r="AF101" s="4611">
        <v>0</v>
      </c>
      <c r="AG101" s="4611">
        <v>0</v>
      </c>
      <c r="AH101" s="4611">
        <v>0</v>
      </c>
      <c r="AI101" s="4611">
        <v>6</v>
      </c>
      <c r="AJ101" s="4611">
        <v>0</v>
      </c>
      <c r="AK101" s="4611">
        <v>0</v>
      </c>
      <c r="AL101" s="4612"/>
      <c r="AM101" s="4611">
        <v>0</v>
      </c>
      <c r="AN101" s="876">
        <f t="shared" si="2"/>
        <v>51.165999999999997</v>
      </c>
      <c r="AO101" s="877">
        <v>50.552</v>
      </c>
      <c r="AP101" s="878">
        <f t="shared" si="3"/>
        <v>0.61399999999999999</v>
      </c>
    </row>
    <row r="102" spans="1:42" ht="13.8">
      <c r="A102" s="873">
        <v>298</v>
      </c>
      <c r="B102" s="874">
        <v>20</v>
      </c>
      <c r="C102" s="875">
        <v>19.422999999999998</v>
      </c>
      <c r="D102" s="875">
        <v>0</v>
      </c>
      <c r="E102" s="875">
        <v>8</v>
      </c>
      <c r="F102" s="875">
        <v>0</v>
      </c>
      <c r="G102" s="875">
        <v>0</v>
      </c>
      <c r="H102" s="875">
        <v>0</v>
      </c>
      <c r="I102" s="875">
        <v>0</v>
      </c>
      <c r="J102" s="875">
        <v>0</v>
      </c>
      <c r="K102" s="875">
        <v>0</v>
      </c>
      <c r="L102" s="875">
        <v>0</v>
      </c>
      <c r="M102" s="875">
        <v>0</v>
      </c>
      <c r="N102" s="875">
        <v>0</v>
      </c>
      <c r="O102" s="875">
        <v>0</v>
      </c>
      <c r="P102" s="875">
        <v>0</v>
      </c>
      <c r="Q102" s="875">
        <v>0</v>
      </c>
      <c r="R102" s="875">
        <v>0</v>
      </c>
      <c r="S102" s="875"/>
      <c r="T102" s="875">
        <v>0</v>
      </c>
      <c r="U102" s="4611">
        <v>20</v>
      </c>
      <c r="V102" s="4608">
        <v>19.033999999999999</v>
      </c>
      <c r="W102" s="4608">
        <v>0</v>
      </c>
      <c r="X102" s="4611">
        <v>7.9989999999999997</v>
      </c>
      <c r="Y102" s="4611">
        <v>0</v>
      </c>
      <c r="Z102" s="4611">
        <v>0</v>
      </c>
      <c r="AA102" s="4611">
        <v>0</v>
      </c>
      <c r="AB102" s="4611">
        <v>0</v>
      </c>
      <c r="AC102" s="4611">
        <v>0</v>
      </c>
      <c r="AD102" s="4611">
        <v>0</v>
      </c>
      <c r="AE102" s="4611">
        <v>0</v>
      </c>
      <c r="AF102" s="4611">
        <v>0</v>
      </c>
      <c r="AG102" s="4611">
        <v>0</v>
      </c>
      <c r="AH102" s="4611">
        <v>0</v>
      </c>
      <c r="AI102" s="4611">
        <v>0</v>
      </c>
      <c r="AJ102" s="4611">
        <v>0</v>
      </c>
      <c r="AK102" s="4611">
        <v>0</v>
      </c>
      <c r="AL102" s="4612"/>
      <c r="AM102" s="4611">
        <v>0</v>
      </c>
      <c r="AN102" s="876">
        <f t="shared" si="2"/>
        <v>47.033000000000001</v>
      </c>
      <c r="AO102" s="877">
        <v>47.423000000000002</v>
      </c>
      <c r="AP102" s="878">
        <f t="shared" si="3"/>
        <v>-0.39</v>
      </c>
    </row>
    <row r="103" spans="1:42" ht="13.8">
      <c r="A103" s="873">
        <v>299</v>
      </c>
      <c r="B103" s="874">
        <v>20</v>
      </c>
      <c r="C103" s="875">
        <v>13.798999999999999</v>
      </c>
      <c r="D103" s="875">
        <v>0</v>
      </c>
      <c r="E103" s="875">
        <v>5.9939999999999998</v>
      </c>
      <c r="F103" s="875">
        <v>0</v>
      </c>
      <c r="G103" s="875">
        <v>0</v>
      </c>
      <c r="H103" s="875">
        <v>0</v>
      </c>
      <c r="I103" s="875">
        <v>0</v>
      </c>
      <c r="J103" s="875">
        <v>0</v>
      </c>
      <c r="K103" s="875">
        <v>0</v>
      </c>
      <c r="L103" s="875">
        <v>0</v>
      </c>
      <c r="M103" s="875">
        <v>0</v>
      </c>
      <c r="N103" s="875">
        <v>0</v>
      </c>
      <c r="O103" s="875">
        <v>0</v>
      </c>
      <c r="P103" s="875">
        <v>0</v>
      </c>
      <c r="Q103" s="875">
        <v>0</v>
      </c>
      <c r="R103" s="875">
        <v>0</v>
      </c>
      <c r="S103" s="875"/>
      <c r="T103" s="875">
        <v>0</v>
      </c>
      <c r="U103" s="4611">
        <v>20</v>
      </c>
      <c r="V103" s="4608">
        <v>14.372</v>
      </c>
      <c r="W103" s="4608">
        <v>0</v>
      </c>
      <c r="X103" s="4611">
        <v>5.9249999999999998</v>
      </c>
      <c r="Y103" s="4611">
        <v>0</v>
      </c>
      <c r="Z103" s="4611">
        <v>0</v>
      </c>
      <c r="AA103" s="4611">
        <v>0</v>
      </c>
      <c r="AB103" s="4611">
        <v>0</v>
      </c>
      <c r="AC103" s="4611">
        <v>0</v>
      </c>
      <c r="AD103" s="4611">
        <v>0</v>
      </c>
      <c r="AE103" s="4611">
        <v>0</v>
      </c>
      <c r="AF103" s="4611">
        <v>0</v>
      </c>
      <c r="AG103" s="4611">
        <v>0</v>
      </c>
      <c r="AH103" s="4611">
        <v>0</v>
      </c>
      <c r="AI103" s="4611">
        <v>0</v>
      </c>
      <c r="AJ103" s="4611">
        <v>0</v>
      </c>
      <c r="AK103" s="4611">
        <v>0</v>
      </c>
      <c r="AL103" s="4612"/>
      <c r="AM103" s="4611">
        <v>0</v>
      </c>
      <c r="AN103" s="876">
        <f t="shared" si="2"/>
        <v>40.296999999999997</v>
      </c>
      <c r="AO103" s="877">
        <v>39.792999999999999</v>
      </c>
      <c r="AP103" s="878">
        <f t="shared" si="3"/>
        <v>0.504</v>
      </c>
    </row>
    <row r="104" spans="1:42" ht="13.8">
      <c r="A104" s="873">
        <v>300</v>
      </c>
      <c r="B104" s="874">
        <v>20</v>
      </c>
      <c r="C104" s="875">
        <v>21.39</v>
      </c>
      <c r="D104" s="875">
        <v>0</v>
      </c>
      <c r="E104" s="875">
        <v>8</v>
      </c>
      <c r="F104" s="875">
        <v>0</v>
      </c>
      <c r="G104" s="875">
        <v>0</v>
      </c>
      <c r="H104" s="875">
        <v>0</v>
      </c>
      <c r="I104" s="875">
        <v>0</v>
      </c>
      <c r="J104" s="875">
        <v>0</v>
      </c>
      <c r="K104" s="875">
        <v>0</v>
      </c>
      <c r="L104" s="875">
        <v>0</v>
      </c>
      <c r="M104" s="875">
        <v>0</v>
      </c>
      <c r="N104" s="875">
        <v>0</v>
      </c>
      <c r="O104" s="875">
        <v>0</v>
      </c>
      <c r="P104" s="875">
        <v>1</v>
      </c>
      <c r="Q104" s="875">
        <v>0</v>
      </c>
      <c r="R104" s="875">
        <v>0</v>
      </c>
      <c r="S104" s="875"/>
      <c r="T104" s="875">
        <v>0</v>
      </c>
      <c r="U104" s="4611">
        <v>20</v>
      </c>
      <c r="V104" s="4608">
        <v>23.353000000000002</v>
      </c>
      <c r="W104" s="4608">
        <v>0</v>
      </c>
      <c r="X104" s="4611">
        <v>8</v>
      </c>
      <c r="Y104" s="4611">
        <v>0</v>
      </c>
      <c r="Z104" s="4611">
        <v>0</v>
      </c>
      <c r="AA104" s="4611">
        <v>0</v>
      </c>
      <c r="AB104" s="4611">
        <v>0</v>
      </c>
      <c r="AC104" s="4611">
        <v>0</v>
      </c>
      <c r="AD104" s="4611">
        <v>0</v>
      </c>
      <c r="AE104" s="4611">
        <v>0</v>
      </c>
      <c r="AF104" s="4611">
        <v>0</v>
      </c>
      <c r="AG104" s="4611">
        <v>0</v>
      </c>
      <c r="AH104" s="4611">
        <v>0</v>
      </c>
      <c r="AI104" s="4611">
        <v>1</v>
      </c>
      <c r="AJ104" s="4611">
        <v>0</v>
      </c>
      <c r="AK104" s="4611">
        <v>0</v>
      </c>
      <c r="AL104" s="4612"/>
      <c r="AM104" s="4611">
        <v>0</v>
      </c>
      <c r="AN104" s="876">
        <f t="shared" si="2"/>
        <v>52.353000000000002</v>
      </c>
      <c r="AO104" s="877">
        <v>50.39</v>
      </c>
      <c r="AP104" s="878">
        <f t="shared" si="3"/>
        <v>1.9630000000000001</v>
      </c>
    </row>
    <row r="105" spans="1:42" ht="13.8">
      <c r="A105" s="873">
        <v>303</v>
      </c>
      <c r="B105" s="874">
        <v>20</v>
      </c>
      <c r="C105" s="875">
        <v>19.145</v>
      </c>
      <c r="D105" s="875">
        <v>0</v>
      </c>
      <c r="E105" s="875">
        <v>8</v>
      </c>
      <c r="F105" s="875">
        <v>0</v>
      </c>
      <c r="G105" s="875">
        <v>0</v>
      </c>
      <c r="H105" s="875">
        <v>0</v>
      </c>
      <c r="I105" s="875">
        <v>0</v>
      </c>
      <c r="J105" s="875">
        <v>0</v>
      </c>
      <c r="K105" s="875">
        <v>0</v>
      </c>
      <c r="L105" s="875">
        <v>0</v>
      </c>
      <c r="M105" s="875">
        <v>0</v>
      </c>
      <c r="N105" s="875">
        <v>0</v>
      </c>
      <c r="O105" s="875">
        <v>0</v>
      </c>
      <c r="P105" s="875">
        <v>1.48</v>
      </c>
      <c r="Q105" s="875">
        <v>0.92</v>
      </c>
      <c r="R105" s="875">
        <v>0</v>
      </c>
      <c r="S105" s="875"/>
      <c r="T105" s="875">
        <v>0</v>
      </c>
      <c r="U105" s="4611">
        <v>20</v>
      </c>
      <c r="V105" s="4608">
        <v>18.998000000000001</v>
      </c>
      <c r="W105" s="4608">
        <v>0</v>
      </c>
      <c r="X105" s="4611">
        <v>7.9980000000000002</v>
      </c>
      <c r="Y105" s="4611">
        <v>0</v>
      </c>
      <c r="Z105" s="4611">
        <v>0</v>
      </c>
      <c r="AA105" s="4611">
        <v>0</v>
      </c>
      <c r="AB105" s="4611">
        <v>0</v>
      </c>
      <c r="AC105" s="4611">
        <v>0</v>
      </c>
      <c r="AD105" s="4611">
        <v>0</v>
      </c>
      <c r="AE105" s="4611">
        <v>0</v>
      </c>
      <c r="AF105" s="4611">
        <v>0</v>
      </c>
      <c r="AG105" s="4611">
        <v>0</v>
      </c>
      <c r="AH105" s="4611">
        <v>0</v>
      </c>
      <c r="AI105" s="4611">
        <v>1.966</v>
      </c>
      <c r="AJ105" s="4611">
        <v>0.434</v>
      </c>
      <c r="AK105" s="4611">
        <v>0</v>
      </c>
      <c r="AL105" s="4612"/>
      <c r="AM105" s="4611">
        <v>0</v>
      </c>
      <c r="AN105" s="876">
        <f t="shared" si="2"/>
        <v>49.396000000000001</v>
      </c>
      <c r="AO105" s="877">
        <v>49.545000000000002</v>
      </c>
      <c r="AP105" s="878">
        <f t="shared" si="3"/>
        <v>-0.14899999999999999</v>
      </c>
    </row>
    <row r="106" spans="1:42" ht="13.8">
      <c r="A106" s="873">
        <v>305</v>
      </c>
      <c r="B106" s="874">
        <v>20</v>
      </c>
      <c r="C106" s="875">
        <v>16.010999999999999</v>
      </c>
      <c r="D106" s="875">
        <v>0.75</v>
      </c>
      <c r="E106" s="875">
        <v>8</v>
      </c>
      <c r="F106" s="875">
        <v>0</v>
      </c>
      <c r="G106" s="875">
        <v>0</v>
      </c>
      <c r="H106" s="875">
        <v>10.747</v>
      </c>
      <c r="I106" s="875">
        <v>0</v>
      </c>
      <c r="J106" s="875">
        <v>0</v>
      </c>
      <c r="K106" s="875">
        <v>0</v>
      </c>
      <c r="L106" s="875">
        <v>0</v>
      </c>
      <c r="M106" s="875">
        <v>0</v>
      </c>
      <c r="N106" s="875">
        <v>0</v>
      </c>
      <c r="O106" s="875">
        <v>0</v>
      </c>
      <c r="P106" s="875">
        <v>0</v>
      </c>
      <c r="Q106" s="875">
        <v>0</v>
      </c>
      <c r="R106" s="875">
        <v>0</v>
      </c>
      <c r="S106" s="875"/>
      <c r="T106" s="875">
        <v>0</v>
      </c>
      <c r="U106" s="4611">
        <v>20</v>
      </c>
      <c r="V106" s="4608">
        <v>15.988</v>
      </c>
      <c r="W106" s="4608">
        <v>0.749</v>
      </c>
      <c r="X106" s="4611">
        <v>7.9880000000000004</v>
      </c>
      <c r="Y106" s="4611">
        <v>0</v>
      </c>
      <c r="Z106" s="4611">
        <v>0</v>
      </c>
      <c r="AA106" s="4611">
        <v>10.728999999999999</v>
      </c>
      <c r="AB106" s="4611">
        <v>0</v>
      </c>
      <c r="AC106" s="4611">
        <v>0</v>
      </c>
      <c r="AD106" s="4611">
        <v>0</v>
      </c>
      <c r="AE106" s="4611">
        <v>0</v>
      </c>
      <c r="AF106" s="4611">
        <v>0</v>
      </c>
      <c r="AG106" s="4611">
        <v>0</v>
      </c>
      <c r="AH106" s="4611">
        <v>0</v>
      </c>
      <c r="AI106" s="4611">
        <v>0</v>
      </c>
      <c r="AJ106" s="4611">
        <v>0</v>
      </c>
      <c r="AK106" s="4611">
        <v>0</v>
      </c>
      <c r="AL106" s="4612"/>
      <c r="AM106" s="4611">
        <v>0</v>
      </c>
      <c r="AN106" s="876">
        <f t="shared" si="2"/>
        <v>55.454000000000001</v>
      </c>
      <c r="AO106" s="877">
        <v>55.508000000000003</v>
      </c>
      <c r="AP106" s="878">
        <f t="shared" si="3"/>
        <v>-5.3999999999999999E-2</v>
      </c>
    </row>
    <row r="107" spans="1:42" ht="13.8">
      <c r="A107" s="873">
        <v>306</v>
      </c>
      <c r="B107" s="874">
        <v>20</v>
      </c>
      <c r="C107" s="875">
        <v>15.926</v>
      </c>
      <c r="D107" s="875">
        <v>0</v>
      </c>
      <c r="E107" s="875">
        <v>6.9850000000000003</v>
      </c>
      <c r="F107" s="875">
        <v>0</v>
      </c>
      <c r="G107" s="875">
        <v>0</v>
      </c>
      <c r="H107" s="875">
        <v>7.4450000000000003</v>
      </c>
      <c r="I107" s="875">
        <v>0</v>
      </c>
      <c r="J107" s="875">
        <v>0</v>
      </c>
      <c r="K107" s="875">
        <v>0</v>
      </c>
      <c r="L107" s="875">
        <v>0</v>
      </c>
      <c r="M107" s="875">
        <v>0</v>
      </c>
      <c r="N107" s="875">
        <v>0</v>
      </c>
      <c r="O107" s="875">
        <v>0</v>
      </c>
      <c r="P107" s="875">
        <v>0</v>
      </c>
      <c r="Q107" s="875">
        <v>0</v>
      </c>
      <c r="R107" s="875">
        <v>0</v>
      </c>
      <c r="S107" s="875"/>
      <c r="T107" s="875">
        <v>0</v>
      </c>
      <c r="U107" s="4611">
        <v>20</v>
      </c>
      <c r="V107" s="4608">
        <v>16.355</v>
      </c>
      <c r="W107" s="4608">
        <v>0</v>
      </c>
      <c r="X107" s="4611">
        <v>5.9859999999999998</v>
      </c>
      <c r="Y107" s="4611">
        <v>0</v>
      </c>
      <c r="Z107" s="4611">
        <v>0</v>
      </c>
      <c r="AA107" s="4611">
        <v>6.875</v>
      </c>
      <c r="AB107" s="4611">
        <v>0</v>
      </c>
      <c r="AC107" s="4611">
        <v>0</v>
      </c>
      <c r="AD107" s="4611">
        <v>0</v>
      </c>
      <c r="AE107" s="4611">
        <v>0</v>
      </c>
      <c r="AF107" s="4611">
        <v>0</v>
      </c>
      <c r="AG107" s="4611">
        <v>0</v>
      </c>
      <c r="AH107" s="4611">
        <v>0</v>
      </c>
      <c r="AI107" s="4611">
        <v>0</v>
      </c>
      <c r="AJ107" s="4611">
        <v>0</v>
      </c>
      <c r="AK107" s="4611">
        <v>0</v>
      </c>
      <c r="AL107" s="4612"/>
      <c r="AM107" s="4611">
        <v>0</v>
      </c>
      <c r="AN107" s="876">
        <f t="shared" si="2"/>
        <v>49.216000000000001</v>
      </c>
      <c r="AO107" s="877">
        <v>50.356000000000002</v>
      </c>
      <c r="AP107" s="878">
        <f t="shared" si="3"/>
        <v>-1.1399999999999999</v>
      </c>
    </row>
    <row r="108" spans="1:42" ht="13.8">
      <c r="A108" s="873">
        <v>307</v>
      </c>
      <c r="B108" s="874">
        <v>20</v>
      </c>
      <c r="C108" s="875">
        <v>19.571000000000002</v>
      </c>
      <c r="D108" s="875">
        <v>0</v>
      </c>
      <c r="E108" s="875">
        <v>4.016</v>
      </c>
      <c r="F108" s="875">
        <v>0</v>
      </c>
      <c r="G108" s="875">
        <v>0</v>
      </c>
      <c r="H108" s="875">
        <v>10.295999999999999</v>
      </c>
      <c r="I108" s="875">
        <v>0</v>
      </c>
      <c r="J108" s="875">
        <v>0</v>
      </c>
      <c r="K108" s="875">
        <v>0</v>
      </c>
      <c r="L108" s="875">
        <v>0</v>
      </c>
      <c r="M108" s="875">
        <v>0</v>
      </c>
      <c r="N108" s="875">
        <v>0</v>
      </c>
      <c r="O108" s="875">
        <v>0</v>
      </c>
      <c r="P108" s="875">
        <v>0</v>
      </c>
      <c r="Q108" s="875">
        <v>0</v>
      </c>
      <c r="R108" s="875">
        <v>0</v>
      </c>
      <c r="S108" s="875"/>
      <c r="T108" s="875">
        <v>0</v>
      </c>
      <c r="U108" s="4611">
        <v>20</v>
      </c>
      <c r="V108" s="4608">
        <v>19.507999999999999</v>
      </c>
      <c r="W108" s="4608">
        <v>0</v>
      </c>
      <c r="X108" s="4611">
        <v>3.9860000000000002</v>
      </c>
      <c r="Y108" s="4611">
        <v>0</v>
      </c>
      <c r="Z108" s="4611">
        <v>0</v>
      </c>
      <c r="AA108" s="4611">
        <v>10.276</v>
      </c>
      <c r="AB108" s="4611">
        <v>0</v>
      </c>
      <c r="AC108" s="4611">
        <v>0</v>
      </c>
      <c r="AD108" s="4611">
        <v>0</v>
      </c>
      <c r="AE108" s="4611">
        <v>0</v>
      </c>
      <c r="AF108" s="4611">
        <v>0</v>
      </c>
      <c r="AG108" s="4611">
        <v>0</v>
      </c>
      <c r="AH108" s="4611">
        <v>0</v>
      </c>
      <c r="AI108" s="4611">
        <v>0</v>
      </c>
      <c r="AJ108" s="4611">
        <v>0</v>
      </c>
      <c r="AK108" s="4611">
        <v>0</v>
      </c>
      <c r="AL108" s="4612"/>
      <c r="AM108" s="4611">
        <v>0</v>
      </c>
      <c r="AN108" s="876">
        <f t="shared" si="2"/>
        <v>53.77</v>
      </c>
      <c r="AO108" s="877">
        <v>53.883000000000003</v>
      </c>
      <c r="AP108" s="878">
        <f t="shared" si="3"/>
        <v>-0.113</v>
      </c>
    </row>
    <row r="109" spans="1:42" ht="13.8">
      <c r="A109" s="873">
        <v>308</v>
      </c>
      <c r="B109" s="874">
        <v>20</v>
      </c>
      <c r="C109" s="875">
        <v>15.497</v>
      </c>
      <c r="D109" s="875">
        <v>0</v>
      </c>
      <c r="E109" s="875">
        <v>5.4630000000000001</v>
      </c>
      <c r="F109" s="875">
        <v>0</v>
      </c>
      <c r="G109" s="875">
        <v>0</v>
      </c>
      <c r="H109" s="875">
        <v>13.496</v>
      </c>
      <c r="I109" s="875">
        <v>0</v>
      </c>
      <c r="J109" s="875">
        <v>0</v>
      </c>
      <c r="K109" s="875">
        <v>0</v>
      </c>
      <c r="L109" s="875">
        <v>0</v>
      </c>
      <c r="M109" s="875">
        <v>0</v>
      </c>
      <c r="N109" s="875">
        <v>0</v>
      </c>
      <c r="O109" s="875">
        <v>0</v>
      </c>
      <c r="P109" s="875">
        <v>0</v>
      </c>
      <c r="Q109" s="875">
        <v>0</v>
      </c>
      <c r="R109" s="875">
        <v>0</v>
      </c>
      <c r="S109" s="875"/>
      <c r="T109" s="875">
        <v>0</v>
      </c>
      <c r="U109" s="4611">
        <v>20</v>
      </c>
      <c r="V109" s="4608">
        <v>15.211</v>
      </c>
      <c r="W109" s="4608">
        <v>0</v>
      </c>
      <c r="X109" s="4611">
        <v>5.8920000000000003</v>
      </c>
      <c r="Y109" s="4611">
        <v>0</v>
      </c>
      <c r="Z109" s="4611">
        <v>0</v>
      </c>
      <c r="AA109" s="4611">
        <v>12.404</v>
      </c>
      <c r="AB109" s="4611">
        <v>0</v>
      </c>
      <c r="AC109" s="4611">
        <v>0</v>
      </c>
      <c r="AD109" s="4611">
        <v>0</v>
      </c>
      <c r="AE109" s="4611">
        <v>0</v>
      </c>
      <c r="AF109" s="4611">
        <v>0</v>
      </c>
      <c r="AG109" s="4611">
        <v>0</v>
      </c>
      <c r="AH109" s="4611">
        <v>0</v>
      </c>
      <c r="AI109" s="4611">
        <v>0</v>
      </c>
      <c r="AJ109" s="4611">
        <v>0</v>
      </c>
      <c r="AK109" s="4611">
        <v>0</v>
      </c>
      <c r="AL109" s="4612"/>
      <c r="AM109" s="4611">
        <v>0</v>
      </c>
      <c r="AN109" s="876">
        <f t="shared" si="2"/>
        <v>53.506999999999998</v>
      </c>
      <c r="AO109" s="877">
        <v>54.456000000000003</v>
      </c>
      <c r="AP109" s="878">
        <f t="shared" si="3"/>
        <v>-0.94899999999999995</v>
      </c>
    </row>
    <row r="110" spans="1:42" ht="13.8">
      <c r="A110" s="873">
        <v>309</v>
      </c>
      <c r="B110" s="874">
        <v>20</v>
      </c>
      <c r="C110" s="875">
        <v>16.773</v>
      </c>
      <c r="D110" s="875">
        <v>0</v>
      </c>
      <c r="E110" s="875">
        <v>7.9749999999999996</v>
      </c>
      <c r="F110" s="875">
        <v>0</v>
      </c>
      <c r="G110" s="875">
        <v>0</v>
      </c>
      <c r="H110" s="875">
        <v>0</v>
      </c>
      <c r="I110" s="875">
        <v>0</v>
      </c>
      <c r="J110" s="875">
        <v>0</v>
      </c>
      <c r="K110" s="875">
        <v>0</v>
      </c>
      <c r="L110" s="875">
        <v>0</v>
      </c>
      <c r="M110" s="875">
        <v>0</v>
      </c>
      <c r="N110" s="875">
        <v>0</v>
      </c>
      <c r="O110" s="875">
        <v>0</v>
      </c>
      <c r="P110" s="875">
        <v>0</v>
      </c>
      <c r="Q110" s="875">
        <v>0</v>
      </c>
      <c r="R110" s="875">
        <v>0</v>
      </c>
      <c r="S110" s="875"/>
      <c r="T110" s="875">
        <v>0</v>
      </c>
      <c r="U110" s="4611">
        <v>20</v>
      </c>
      <c r="V110" s="4608">
        <v>14.115</v>
      </c>
      <c r="W110" s="4608">
        <v>0</v>
      </c>
      <c r="X110" s="4611">
        <v>8</v>
      </c>
      <c r="Y110" s="4611">
        <v>0</v>
      </c>
      <c r="Z110" s="4611">
        <v>0</v>
      </c>
      <c r="AA110" s="4611">
        <v>0</v>
      </c>
      <c r="AB110" s="4611">
        <v>0</v>
      </c>
      <c r="AC110" s="4611">
        <v>0</v>
      </c>
      <c r="AD110" s="4611">
        <v>0</v>
      </c>
      <c r="AE110" s="4611">
        <v>0</v>
      </c>
      <c r="AF110" s="4611">
        <v>0</v>
      </c>
      <c r="AG110" s="4611">
        <v>0</v>
      </c>
      <c r="AH110" s="4611">
        <v>0</v>
      </c>
      <c r="AI110" s="4611">
        <v>0</v>
      </c>
      <c r="AJ110" s="4611">
        <v>0</v>
      </c>
      <c r="AK110" s="4611">
        <v>0</v>
      </c>
      <c r="AL110" s="4612"/>
      <c r="AM110" s="4611">
        <v>0</v>
      </c>
      <c r="AN110" s="876">
        <f t="shared" si="2"/>
        <v>42.115000000000002</v>
      </c>
      <c r="AO110" s="877">
        <v>44.747999999999998</v>
      </c>
      <c r="AP110" s="878">
        <f t="shared" si="3"/>
        <v>-2.633</v>
      </c>
    </row>
    <row r="111" spans="1:42" ht="13.8">
      <c r="A111" s="873">
        <v>310</v>
      </c>
      <c r="B111" s="874">
        <v>20</v>
      </c>
      <c r="C111" s="875">
        <v>19.149000000000001</v>
      </c>
      <c r="D111" s="875">
        <v>0</v>
      </c>
      <c r="E111" s="875">
        <v>7.9980000000000002</v>
      </c>
      <c r="F111" s="875">
        <v>0</v>
      </c>
      <c r="G111" s="875">
        <v>0</v>
      </c>
      <c r="H111" s="875">
        <v>9.5280000000000005</v>
      </c>
      <c r="I111" s="875">
        <v>0</v>
      </c>
      <c r="J111" s="875">
        <v>0</v>
      </c>
      <c r="K111" s="875">
        <v>0</v>
      </c>
      <c r="L111" s="875">
        <v>0</v>
      </c>
      <c r="M111" s="875">
        <v>0</v>
      </c>
      <c r="N111" s="875">
        <v>0</v>
      </c>
      <c r="O111" s="875">
        <v>0</v>
      </c>
      <c r="P111" s="875">
        <v>0</v>
      </c>
      <c r="Q111" s="875">
        <v>0</v>
      </c>
      <c r="R111" s="875">
        <v>0</v>
      </c>
      <c r="S111" s="875"/>
      <c r="T111" s="875">
        <v>0</v>
      </c>
      <c r="U111" s="4611">
        <v>20</v>
      </c>
      <c r="V111" s="4608">
        <v>19.149000000000001</v>
      </c>
      <c r="W111" s="4608">
        <v>0</v>
      </c>
      <c r="X111" s="4611">
        <v>8</v>
      </c>
      <c r="Y111" s="4611">
        <v>0</v>
      </c>
      <c r="Z111" s="4611">
        <v>0</v>
      </c>
      <c r="AA111" s="4611">
        <v>9.5289999999999999</v>
      </c>
      <c r="AB111" s="4611">
        <v>0</v>
      </c>
      <c r="AC111" s="4611">
        <v>0</v>
      </c>
      <c r="AD111" s="4611">
        <v>0</v>
      </c>
      <c r="AE111" s="4611">
        <v>0</v>
      </c>
      <c r="AF111" s="4611">
        <v>0</v>
      </c>
      <c r="AG111" s="4611">
        <v>0</v>
      </c>
      <c r="AH111" s="4611">
        <v>0</v>
      </c>
      <c r="AI111" s="4611">
        <v>0</v>
      </c>
      <c r="AJ111" s="4611">
        <v>0</v>
      </c>
      <c r="AK111" s="4611">
        <v>0</v>
      </c>
      <c r="AL111" s="4612"/>
      <c r="AM111" s="4611">
        <v>0</v>
      </c>
      <c r="AN111" s="876">
        <f t="shared" si="2"/>
        <v>56.677999999999997</v>
      </c>
      <c r="AO111" s="877">
        <v>56.674999999999997</v>
      </c>
      <c r="AP111" s="878">
        <f t="shared" si="3"/>
        <v>3.0000000000000001E-3</v>
      </c>
    </row>
    <row r="112" spans="1:42" ht="13.8">
      <c r="A112" s="873">
        <v>311</v>
      </c>
      <c r="B112" s="874">
        <v>20</v>
      </c>
      <c r="C112" s="875">
        <v>23.271999999999998</v>
      </c>
      <c r="D112" s="875">
        <v>0</v>
      </c>
      <c r="E112" s="875">
        <v>7.9969999999999999</v>
      </c>
      <c r="F112" s="875">
        <v>0</v>
      </c>
      <c r="G112" s="875">
        <v>0</v>
      </c>
      <c r="H112" s="875">
        <v>5.4710000000000001</v>
      </c>
      <c r="I112" s="875">
        <v>0</v>
      </c>
      <c r="J112" s="875">
        <v>0</v>
      </c>
      <c r="K112" s="875">
        <v>0</v>
      </c>
      <c r="L112" s="875">
        <v>0</v>
      </c>
      <c r="M112" s="875">
        <v>0</v>
      </c>
      <c r="N112" s="875">
        <v>0</v>
      </c>
      <c r="O112" s="875">
        <v>0</v>
      </c>
      <c r="P112" s="875">
        <v>1.948</v>
      </c>
      <c r="Q112" s="875">
        <v>0</v>
      </c>
      <c r="R112" s="875">
        <v>0</v>
      </c>
      <c r="S112" s="875"/>
      <c r="T112" s="875">
        <v>0</v>
      </c>
      <c r="U112" s="4611">
        <v>20</v>
      </c>
      <c r="V112" s="4608">
        <v>17.241</v>
      </c>
      <c r="W112" s="4608">
        <v>0</v>
      </c>
      <c r="X112" s="4611">
        <v>7.9939999999999998</v>
      </c>
      <c r="Y112" s="4611">
        <v>0</v>
      </c>
      <c r="Z112" s="4611">
        <v>0</v>
      </c>
      <c r="AA112" s="4611">
        <v>4.38</v>
      </c>
      <c r="AB112" s="4611">
        <v>0</v>
      </c>
      <c r="AC112" s="4611">
        <v>0</v>
      </c>
      <c r="AD112" s="4611">
        <v>0</v>
      </c>
      <c r="AE112" s="4611">
        <v>0</v>
      </c>
      <c r="AF112" s="4611">
        <v>0</v>
      </c>
      <c r="AG112" s="4611">
        <v>0</v>
      </c>
      <c r="AH112" s="4611">
        <v>0</v>
      </c>
      <c r="AI112" s="4611">
        <v>1.696</v>
      </c>
      <c r="AJ112" s="4611">
        <v>0</v>
      </c>
      <c r="AK112" s="4611">
        <v>0</v>
      </c>
      <c r="AL112" s="4612"/>
      <c r="AM112" s="4611">
        <v>0</v>
      </c>
      <c r="AN112" s="876">
        <f t="shared" si="2"/>
        <v>51.311</v>
      </c>
      <c r="AO112" s="877">
        <v>58.688000000000002</v>
      </c>
      <c r="AP112" s="878">
        <f t="shared" si="3"/>
        <v>-7.3769999999999998</v>
      </c>
    </row>
    <row r="113" spans="1:42" ht="13.8">
      <c r="A113" s="873">
        <v>312</v>
      </c>
      <c r="B113" s="874">
        <v>20</v>
      </c>
      <c r="C113" s="875">
        <v>16.506</v>
      </c>
      <c r="D113" s="875">
        <v>0</v>
      </c>
      <c r="E113" s="875">
        <v>7.3239999999999998</v>
      </c>
      <c r="F113" s="875">
        <v>0</v>
      </c>
      <c r="G113" s="875">
        <v>0</v>
      </c>
      <c r="H113" s="875">
        <v>9.8179999999999996</v>
      </c>
      <c r="I113" s="875">
        <v>0</v>
      </c>
      <c r="J113" s="875">
        <v>0</v>
      </c>
      <c r="K113" s="875">
        <v>0</v>
      </c>
      <c r="L113" s="875">
        <v>0</v>
      </c>
      <c r="M113" s="875">
        <v>0</v>
      </c>
      <c r="N113" s="875">
        <v>0</v>
      </c>
      <c r="O113" s="875">
        <v>0</v>
      </c>
      <c r="P113" s="875">
        <v>0</v>
      </c>
      <c r="Q113" s="875">
        <v>0</v>
      </c>
      <c r="R113" s="875">
        <v>0</v>
      </c>
      <c r="S113" s="875"/>
      <c r="T113" s="875">
        <v>0</v>
      </c>
      <c r="U113" s="4611">
        <v>20</v>
      </c>
      <c r="V113" s="4608">
        <v>16.318999999999999</v>
      </c>
      <c r="W113" s="4608">
        <v>0</v>
      </c>
      <c r="X113" s="4611">
        <v>5.9930000000000003</v>
      </c>
      <c r="Y113" s="4611">
        <v>0</v>
      </c>
      <c r="Z113" s="4611">
        <v>0</v>
      </c>
      <c r="AA113" s="4611">
        <v>10.708</v>
      </c>
      <c r="AB113" s="4611">
        <v>0</v>
      </c>
      <c r="AC113" s="4611">
        <v>0</v>
      </c>
      <c r="AD113" s="4611">
        <v>0</v>
      </c>
      <c r="AE113" s="4611">
        <v>0</v>
      </c>
      <c r="AF113" s="4611">
        <v>0</v>
      </c>
      <c r="AG113" s="4611">
        <v>0</v>
      </c>
      <c r="AH113" s="4611">
        <v>0</v>
      </c>
      <c r="AI113" s="4611">
        <v>0</v>
      </c>
      <c r="AJ113" s="4611">
        <v>0</v>
      </c>
      <c r="AK113" s="4611">
        <v>0</v>
      </c>
      <c r="AL113" s="4612"/>
      <c r="AM113" s="4611">
        <v>0</v>
      </c>
      <c r="AN113" s="876">
        <f t="shared" si="2"/>
        <v>53.02</v>
      </c>
      <c r="AO113" s="877">
        <v>53.648000000000003</v>
      </c>
      <c r="AP113" s="878">
        <f t="shared" si="3"/>
        <v>-0.628</v>
      </c>
    </row>
    <row r="114" spans="1:42" ht="13.8">
      <c r="A114" s="873">
        <v>313</v>
      </c>
      <c r="B114" s="874">
        <v>20</v>
      </c>
      <c r="C114" s="875">
        <v>14.832000000000001</v>
      </c>
      <c r="D114" s="875">
        <v>0</v>
      </c>
      <c r="E114" s="875">
        <v>8</v>
      </c>
      <c r="F114" s="875">
        <v>0</v>
      </c>
      <c r="G114" s="875">
        <v>0</v>
      </c>
      <c r="H114" s="875">
        <v>12.387</v>
      </c>
      <c r="I114" s="875">
        <v>0</v>
      </c>
      <c r="J114" s="875">
        <v>0</v>
      </c>
      <c r="K114" s="875">
        <v>0</v>
      </c>
      <c r="L114" s="875">
        <v>0</v>
      </c>
      <c r="M114" s="875">
        <v>0</v>
      </c>
      <c r="N114" s="875">
        <v>0</v>
      </c>
      <c r="O114" s="875">
        <v>0</v>
      </c>
      <c r="P114" s="875">
        <v>0</v>
      </c>
      <c r="Q114" s="875">
        <v>0</v>
      </c>
      <c r="R114" s="875">
        <v>0</v>
      </c>
      <c r="S114" s="875"/>
      <c r="T114" s="875">
        <v>0</v>
      </c>
      <c r="U114" s="4611">
        <v>20</v>
      </c>
      <c r="V114" s="4608">
        <v>14.285</v>
      </c>
      <c r="W114" s="4608">
        <v>0</v>
      </c>
      <c r="X114" s="4611">
        <v>7.94</v>
      </c>
      <c r="Y114" s="4611">
        <v>0</v>
      </c>
      <c r="Z114" s="4611">
        <v>0</v>
      </c>
      <c r="AA114" s="4611">
        <v>12.456</v>
      </c>
      <c r="AB114" s="4611">
        <v>0</v>
      </c>
      <c r="AC114" s="4611">
        <v>0</v>
      </c>
      <c r="AD114" s="4611">
        <v>0</v>
      </c>
      <c r="AE114" s="4611">
        <v>0</v>
      </c>
      <c r="AF114" s="4611">
        <v>0</v>
      </c>
      <c r="AG114" s="4611">
        <v>0</v>
      </c>
      <c r="AH114" s="4611">
        <v>0</v>
      </c>
      <c r="AI114" s="4611">
        <v>0</v>
      </c>
      <c r="AJ114" s="4611">
        <v>0</v>
      </c>
      <c r="AK114" s="4611">
        <v>0</v>
      </c>
      <c r="AL114" s="4612"/>
      <c r="AM114" s="4611">
        <v>0</v>
      </c>
      <c r="AN114" s="876">
        <f t="shared" si="2"/>
        <v>54.680999999999997</v>
      </c>
      <c r="AO114" s="877">
        <v>55.219000000000001</v>
      </c>
      <c r="AP114" s="878">
        <f t="shared" si="3"/>
        <v>-0.53800000000000003</v>
      </c>
    </row>
    <row r="115" spans="1:42" ht="13.8">
      <c r="A115" s="873">
        <v>314</v>
      </c>
      <c r="B115" s="874">
        <v>20</v>
      </c>
      <c r="C115" s="875">
        <v>15.013999999999999</v>
      </c>
      <c r="D115" s="875">
        <v>0</v>
      </c>
      <c r="E115" s="875">
        <v>7</v>
      </c>
      <c r="F115" s="875">
        <v>0</v>
      </c>
      <c r="G115" s="875">
        <v>0</v>
      </c>
      <c r="H115" s="875">
        <v>0</v>
      </c>
      <c r="I115" s="875">
        <v>0</v>
      </c>
      <c r="J115" s="875">
        <v>0</v>
      </c>
      <c r="K115" s="875">
        <v>0</v>
      </c>
      <c r="L115" s="875">
        <v>0</v>
      </c>
      <c r="M115" s="875">
        <v>0</v>
      </c>
      <c r="N115" s="875">
        <v>0</v>
      </c>
      <c r="O115" s="875">
        <v>0</v>
      </c>
      <c r="P115" s="875">
        <v>1</v>
      </c>
      <c r="Q115" s="875">
        <v>0</v>
      </c>
      <c r="R115" s="875">
        <v>0</v>
      </c>
      <c r="S115" s="875"/>
      <c r="T115" s="875">
        <v>0</v>
      </c>
      <c r="U115" s="4611">
        <v>20</v>
      </c>
      <c r="V115" s="4608">
        <v>18.486999999999998</v>
      </c>
      <c r="W115" s="4608">
        <v>0</v>
      </c>
      <c r="X115" s="4611">
        <v>6.2210000000000001</v>
      </c>
      <c r="Y115" s="4611">
        <v>0</v>
      </c>
      <c r="Z115" s="4611">
        <v>0</v>
      </c>
      <c r="AA115" s="4611">
        <v>0</v>
      </c>
      <c r="AB115" s="4611">
        <v>0</v>
      </c>
      <c r="AC115" s="4611">
        <v>0</v>
      </c>
      <c r="AD115" s="4611">
        <v>0</v>
      </c>
      <c r="AE115" s="4611">
        <v>0</v>
      </c>
      <c r="AF115" s="4611">
        <v>0</v>
      </c>
      <c r="AG115" s="4611">
        <v>0</v>
      </c>
      <c r="AH115" s="4611">
        <v>0</v>
      </c>
      <c r="AI115" s="4611">
        <v>0.88800000000000001</v>
      </c>
      <c r="AJ115" s="4611">
        <v>0</v>
      </c>
      <c r="AK115" s="4611">
        <v>0</v>
      </c>
      <c r="AL115" s="4612"/>
      <c r="AM115" s="4611">
        <v>0</v>
      </c>
      <c r="AN115" s="876">
        <f t="shared" si="2"/>
        <v>45.595999999999997</v>
      </c>
      <c r="AO115" s="877">
        <v>43.014000000000003</v>
      </c>
      <c r="AP115" s="878">
        <f t="shared" si="3"/>
        <v>2.5819999999999999</v>
      </c>
    </row>
    <row r="116" spans="1:42" ht="13.8">
      <c r="A116" s="873">
        <v>315</v>
      </c>
      <c r="B116" s="874">
        <v>20</v>
      </c>
      <c r="C116" s="875">
        <v>15.836</v>
      </c>
      <c r="D116" s="875">
        <v>0</v>
      </c>
      <c r="E116" s="875">
        <v>8</v>
      </c>
      <c r="F116" s="875">
        <v>0</v>
      </c>
      <c r="G116" s="875">
        <v>0</v>
      </c>
      <c r="H116" s="875">
        <v>0</v>
      </c>
      <c r="I116" s="875">
        <v>0</v>
      </c>
      <c r="J116" s="875">
        <v>0</v>
      </c>
      <c r="K116" s="875">
        <v>0</v>
      </c>
      <c r="L116" s="875">
        <v>0</v>
      </c>
      <c r="M116" s="875">
        <v>0</v>
      </c>
      <c r="N116" s="875">
        <v>0</v>
      </c>
      <c r="O116" s="875">
        <v>0</v>
      </c>
      <c r="P116" s="875">
        <v>0</v>
      </c>
      <c r="Q116" s="875">
        <v>0</v>
      </c>
      <c r="R116" s="875">
        <v>0</v>
      </c>
      <c r="S116" s="875"/>
      <c r="T116" s="875">
        <v>0</v>
      </c>
      <c r="U116" s="4611">
        <v>20</v>
      </c>
      <c r="V116" s="4608">
        <v>14.805</v>
      </c>
      <c r="W116" s="4608">
        <v>0</v>
      </c>
      <c r="X116" s="4611">
        <v>8</v>
      </c>
      <c r="Y116" s="4611">
        <v>0</v>
      </c>
      <c r="Z116" s="4611">
        <v>0</v>
      </c>
      <c r="AA116" s="4611">
        <v>0</v>
      </c>
      <c r="AB116" s="4611">
        <v>0</v>
      </c>
      <c r="AC116" s="4611">
        <v>0</v>
      </c>
      <c r="AD116" s="4611">
        <v>0</v>
      </c>
      <c r="AE116" s="4611">
        <v>0</v>
      </c>
      <c r="AF116" s="4611">
        <v>0</v>
      </c>
      <c r="AG116" s="4611">
        <v>0</v>
      </c>
      <c r="AH116" s="4611">
        <v>0</v>
      </c>
      <c r="AI116" s="4611">
        <v>0</v>
      </c>
      <c r="AJ116" s="4611">
        <v>0</v>
      </c>
      <c r="AK116" s="4611">
        <v>0</v>
      </c>
      <c r="AL116" s="4612"/>
      <c r="AM116" s="4611">
        <v>0</v>
      </c>
      <c r="AN116" s="876">
        <f t="shared" si="2"/>
        <v>42.805</v>
      </c>
      <c r="AO116" s="877">
        <v>43.835999999999999</v>
      </c>
      <c r="AP116" s="878">
        <f t="shared" si="3"/>
        <v>-1.0309999999999999</v>
      </c>
    </row>
    <row r="117" spans="1:42" ht="13.8">
      <c r="A117" s="873">
        <v>316</v>
      </c>
      <c r="B117" s="874">
        <v>20</v>
      </c>
      <c r="C117" s="875">
        <v>23.22</v>
      </c>
      <c r="D117" s="875">
        <v>0</v>
      </c>
      <c r="E117" s="875">
        <v>2</v>
      </c>
      <c r="F117" s="875">
        <v>0</v>
      </c>
      <c r="G117" s="875">
        <v>0</v>
      </c>
      <c r="H117" s="875">
        <v>0</v>
      </c>
      <c r="I117" s="875">
        <v>0</v>
      </c>
      <c r="J117" s="875">
        <v>0</v>
      </c>
      <c r="K117" s="875">
        <v>0</v>
      </c>
      <c r="L117" s="875">
        <v>0</v>
      </c>
      <c r="M117" s="875">
        <v>0</v>
      </c>
      <c r="N117" s="875">
        <v>0</v>
      </c>
      <c r="O117" s="875">
        <v>0</v>
      </c>
      <c r="P117" s="875">
        <v>0</v>
      </c>
      <c r="Q117" s="875">
        <v>0</v>
      </c>
      <c r="R117" s="875">
        <v>0</v>
      </c>
      <c r="S117" s="875"/>
      <c r="T117" s="875">
        <v>0</v>
      </c>
      <c r="U117" s="4611">
        <v>20</v>
      </c>
      <c r="V117" s="4608">
        <v>23.899000000000001</v>
      </c>
      <c r="W117" s="4608">
        <v>0</v>
      </c>
      <c r="X117" s="4611">
        <v>1.996</v>
      </c>
      <c r="Y117" s="4611">
        <v>0</v>
      </c>
      <c r="Z117" s="4611">
        <v>0</v>
      </c>
      <c r="AA117" s="4611">
        <v>0</v>
      </c>
      <c r="AB117" s="4611">
        <v>0</v>
      </c>
      <c r="AC117" s="4611">
        <v>0</v>
      </c>
      <c r="AD117" s="4611">
        <v>0</v>
      </c>
      <c r="AE117" s="4611">
        <v>0</v>
      </c>
      <c r="AF117" s="4611">
        <v>0</v>
      </c>
      <c r="AG117" s="4611">
        <v>0</v>
      </c>
      <c r="AH117" s="4611">
        <v>0</v>
      </c>
      <c r="AI117" s="4611">
        <v>0</v>
      </c>
      <c r="AJ117" s="4611">
        <v>0</v>
      </c>
      <c r="AK117" s="4611">
        <v>0</v>
      </c>
      <c r="AL117" s="4612"/>
      <c r="AM117" s="4611">
        <v>0</v>
      </c>
      <c r="AN117" s="876">
        <f t="shared" si="2"/>
        <v>45.895000000000003</v>
      </c>
      <c r="AO117" s="877">
        <v>45.22</v>
      </c>
      <c r="AP117" s="878">
        <f t="shared" si="3"/>
        <v>0.67500000000000004</v>
      </c>
    </row>
    <row r="118" spans="1:42" ht="13.8">
      <c r="A118" s="873">
        <v>320</v>
      </c>
      <c r="B118" s="874">
        <v>20</v>
      </c>
      <c r="C118" s="875">
        <v>13.44</v>
      </c>
      <c r="D118" s="875">
        <v>0</v>
      </c>
      <c r="E118" s="875">
        <v>4</v>
      </c>
      <c r="F118" s="875">
        <v>0</v>
      </c>
      <c r="G118" s="875">
        <v>0</v>
      </c>
      <c r="H118" s="875">
        <v>16</v>
      </c>
      <c r="I118" s="875">
        <v>0</v>
      </c>
      <c r="J118" s="875">
        <v>0</v>
      </c>
      <c r="K118" s="875">
        <v>0</v>
      </c>
      <c r="L118" s="875">
        <v>0</v>
      </c>
      <c r="M118" s="875">
        <v>0</v>
      </c>
      <c r="N118" s="875">
        <v>0</v>
      </c>
      <c r="O118" s="875">
        <v>0</v>
      </c>
      <c r="P118" s="875">
        <v>0</v>
      </c>
      <c r="Q118" s="875">
        <v>0</v>
      </c>
      <c r="R118" s="875">
        <v>0</v>
      </c>
      <c r="S118" s="875"/>
      <c r="T118" s="875">
        <v>0</v>
      </c>
      <c r="U118" s="4611">
        <v>20</v>
      </c>
      <c r="V118" s="4608">
        <v>13.208</v>
      </c>
      <c r="W118" s="4608">
        <v>0</v>
      </c>
      <c r="X118" s="4611">
        <v>5.9989999999999997</v>
      </c>
      <c r="Y118" s="4611">
        <v>0</v>
      </c>
      <c r="Z118" s="4611">
        <v>0</v>
      </c>
      <c r="AA118" s="4611">
        <v>13.997999999999999</v>
      </c>
      <c r="AB118" s="4611">
        <v>0</v>
      </c>
      <c r="AC118" s="4611">
        <v>0</v>
      </c>
      <c r="AD118" s="4611">
        <v>0</v>
      </c>
      <c r="AE118" s="4611">
        <v>0</v>
      </c>
      <c r="AF118" s="4611">
        <v>0</v>
      </c>
      <c r="AG118" s="4611">
        <v>0</v>
      </c>
      <c r="AH118" s="4611">
        <v>0</v>
      </c>
      <c r="AI118" s="4611">
        <v>0</v>
      </c>
      <c r="AJ118" s="4611">
        <v>0</v>
      </c>
      <c r="AK118" s="4611">
        <v>0</v>
      </c>
      <c r="AL118" s="4612"/>
      <c r="AM118" s="4611">
        <v>0</v>
      </c>
      <c r="AN118" s="876">
        <f t="shared" si="2"/>
        <v>53.204999999999998</v>
      </c>
      <c r="AO118" s="877">
        <v>53.44</v>
      </c>
      <c r="AP118" s="878">
        <f t="shared" si="3"/>
        <v>-0.23499999999999999</v>
      </c>
    </row>
    <row r="119" spans="1:42" ht="13.8">
      <c r="A119" s="873">
        <v>321</v>
      </c>
      <c r="B119" s="874">
        <v>20</v>
      </c>
      <c r="C119" s="875">
        <v>7.5190000000000001</v>
      </c>
      <c r="D119" s="875">
        <v>0</v>
      </c>
      <c r="E119" s="875">
        <v>7.4930000000000003</v>
      </c>
      <c r="F119" s="875">
        <v>0</v>
      </c>
      <c r="G119" s="875">
        <v>0</v>
      </c>
      <c r="H119" s="875">
        <v>0</v>
      </c>
      <c r="I119" s="875">
        <v>0</v>
      </c>
      <c r="J119" s="875">
        <v>0</v>
      </c>
      <c r="K119" s="875">
        <v>0</v>
      </c>
      <c r="L119" s="875">
        <v>0</v>
      </c>
      <c r="M119" s="875">
        <v>0</v>
      </c>
      <c r="N119" s="875">
        <v>0</v>
      </c>
      <c r="O119" s="875">
        <v>0</v>
      </c>
      <c r="P119" s="875">
        <v>0</v>
      </c>
      <c r="Q119" s="875">
        <v>0</v>
      </c>
      <c r="R119" s="875">
        <v>0</v>
      </c>
      <c r="S119" s="875"/>
      <c r="T119" s="875">
        <v>0</v>
      </c>
      <c r="U119" s="4611">
        <v>20</v>
      </c>
      <c r="V119" s="4608">
        <v>6.7690000000000001</v>
      </c>
      <c r="W119" s="4608">
        <v>0</v>
      </c>
      <c r="X119" s="4611">
        <v>8</v>
      </c>
      <c r="Y119" s="4611">
        <v>0</v>
      </c>
      <c r="Z119" s="4611">
        <v>0</v>
      </c>
      <c r="AA119" s="4611">
        <v>0</v>
      </c>
      <c r="AB119" s="4611">
        <v>0</v>
      </c>
      <c r="AC119" s="4611">
        <v>0</v>
      </c>
      <c r="AD119" s="4611">
        <v>0</v>
      </c>
      <c r="AE119" s="4611">
        <v>0</v>
      </c>
      <c r="AF119" s="4611">
        <v>0</v>
      </c>
      <c r="AG119" s="4611">
        <v>0</v>
      </c>
      <c r="AH119" s="4611">
        <v>0</v>
      </c>
      <c r="AI119" s="4611">
        <v>0</v>
      </c>
      <c r="AJ119" s="4611">
        <v>0</v>
      </c>
      <c r="AK119" s="4611">
        <v>0</v>
      </c>
      <c r="AL119" s="4612"/>
      <c r="AM119" s="4611">
        <v>0</v>
      </c>
      <c r="AN119" s="876">
        <f t="shared" si="2"/>
        <v>34.768999999999998</v>
      </c>
      <c r="AO119" s="877">
        <v>35.012</v>
      </c>
      <c r="AP119" s="878">
        <f t="shared" si="3"/>
        <v>-0.24299999999999999</v>
      </c>
    </row>
    <row r="120" spans="1:42" ht="13.8">
      <c r="A120" s="873">
        <v>322</v>
      </c>
      <c r="B120" s="874">
        <v>20</v>
      </c>
      <c r="C120" s="875">
        <v>17.091999999999999</v>
      </c>
      <c r="D120" s="875">
        <v>0</v>
      </c>
      <c r="E120" s="875">
        <v>7.9980000000000002</v>
      </c>
      <c r="F120" s="875">
        <v>0</v>
      </c>
      <c r="G120" s="875">
        <v>0</v>
      </c>
      <c r="H120" s="875">
        <v>0</v>
      </c>
      <c r="I120" s="875">
        <v>0</v>
      </c>
      <c r="J120" s="875">
        <v>0</v>
      </c>
      <c r="K120" s="875">
        <v>0</v>
      </c>
      <c r="L120" s="875">
        <v>0</v>
      </c>
      <c r="M120" s="875">
        <v>0</v>
      </c>
      <c r="N120" s="875">
        <v>0</v>
      </c>
      <c r="O120" s="875">
        <v>0</v>
      </c>
      <c r="P120" s="875">
        <v>0</v>
      </c>
      <c r="Q120" s="875">
        <v>0</v>
      </c>
      <c r="R120" s="875">
        <v>0</v>
      </c>
      <c r="S120" s="875"/>
      <c r="T120" s="875">
        <v>0</v>
      </c>
      <c r="U120" s="4611">
        <v>20</v>
      </c>
      <c r="V120" s="4608">
        <v>16.809000000000001</v>
      </c>
      <c r="W120" s="4608">
        <v>0</v>
      </c>
      <c r="X120" s="4611">
        <v>7.99</v>
      </c>
      <c r="Y120" s="4611">
        <v>0</v>
      </c>
      <c r="Z120" s="4611">
        <v>0</v>
      </c>
      <c r="AA120" s="4611">
        <v>0</v>
      </c>
      <c r="AB120" s="4611">
        <v>0</v>
      </c>
      <c r="AC120" s="4611">
        <v>0</v>
      </c>
      <c r="AD120" s="4611">
        <v>0</v>
      </c>
      <c r="AE120" s="4611">
        <v>0</v>
      </c>
      <c r="AF120" s="4611">
        <v>0</v>
      </c>
      <c r="AG120" s="4611">
        <v>0</v>
      </c>
      <c r="AH120" s="4611">
        <v>0</v>
      </c>
      <c r="AI120" s="4611">
        <v>0</v>
      </c>
      <c r="AJ120" s="4611">
        <v>0</v>
      </c>
      <c r="AK120" s="4611">
        <v>0</v>
      </c>
      <c r="AL120" s="4612"/>
      <c r="AM120" s="4611">
        <v>0</v>
      </c>
      <c r="AN120" s="876">
        <f t="shared" si="2"/>
        <v>44.798999999999999</v>
      </c>
      <c r="AO120" s="877">
        <v>45.09</v>
      </c>
      <c r="AP120" s="878">
        <f t="shared" si="3"/>
        <v>-0.29099999999999998</v>
      </c>
    </row>
    <row r="121" spans="1:42" ht="13.8">
      <c r="A121" s="873">
        <v>323</v>
      </c>
      <c r="B121" s="874">
        <v>20</v>
      </c>
      <c r="C121" s="875">
        <v>14.055999999999999</v>
      </c>
      <c r="D121" s="875">
        <v>0</v>
      </c>
      <c r="E121" s="875">
        <v>2.9990000000000001</v>
      </c>
      <c r="F121" s="875">
        <v>0</v>
      </c>
      <c r="G121" s="875">
        <v>0</v>
      </c>
      <c r="H121" s="875">
        <v>22.827000000000002</v>
      </c>
      <c r="I121" s="875">
        <v>0</v>
      </c>
      <c r="J121" s="875">
        <v>0</v>
      </c>
      <c r="K121" s="875">
        <v>0</v>
      </c>
      <c r="L121" s="875">
        <v>0</v>
      </c>
      <c r="M121" s="875">
        <v>0</v>
      </c>
      <c r="N121" s="875">
        <v>0</v>
      </c>
      <c r="O121" s="875">
        <v>0</v>
      </c>
      <c r="P121" s="875">
        <v>0</v>
      </c>
      <c r="Q121" s="875">
        <v>0</v>
      </c>
      <c r="R121" s="875">
        <v>0</v>
      </c>
      <c r="S121" s="875"/>
      <c r="T121" s="875">
        <v>0</v>
      </c>
      <c r="U121" s="4611">
        <v>20</v>
      </c>
      <c r="V121" s="4608">
        <v>14.221</v>
      </c>
      <c r="W121" s="4608">
        <v>0</v>
      </c>
      <c r="X121" s="4611">
        <v>3.9969999999999999</v>
      </c>
      <c r="Y121" s="4611">
        <v>0</v>
      </c>
      <c r="Z121" s="4611">
        <v>0</v>
      </c>
      <c r="AA121" s="4611">
        <v>21.283999999999999</v>
      </c>
      <c r="AB121" s="4611">
        <v>0</v>
      </c>
      <c r="AC121" s="4611">
        <v>0</v>
      </c>
      <c r="AD121" s="4611">
        <v>0</v>
      </c>
      <c r="AE121" s="4611">
        <v>0</v>
      </c>
      <c r="AF121" s="4611">
        <v>0</v>
      </c>
      <c r="AG121" s="4611">
        <v>0</v>
      </c>
      <c r="AH121" s="4611">
        <v>0</v>
      </c>
      <c r="AI121" s="4611">
        <v>0</v>
      </c>
      <c r="AJ121" s="4611">
        <v>0</v>
      </c>
      <c r="AK121" s="4611">
        <v>0</v>
      </c>
      <c r="AL121" s="4612"/>
      <c r="AM121" s="4611">
        <v>0</v>
      </c>
      <c r="AN121" s="876">
        <f t="shared" si="2"/>
        <v>59.502000000000002</v>
      </c>
      <c r="AO121" s="877">
        <v>59.881999999999998</v>
      </c>
      <c r="AP121" s="878">
        <f t="shared" si="3"/>
        <v>-0.38</v>
      </c>
    </row>
    <row r="122" spans="1:42" ht="13.8">
      <c r="A122" s="873">
        <v>325</v>
      </c>
      <c r="B122" s="874">
        <v>20</v>
      </c>
      <c r="C122" s="875">
        <v>16.492999999999999</v>
      </c>
      <c r="D122" s="875">
        <v>0</v>
      </c>
      <c r="E122" s="875">
        <v>5.899</v>
      </c>
      <c r="F122" s="875">
        <v>0</v>
      </c>
      <c r="G122" s="875">
        <v>0</v>
      </c>
      <c r="H122" s="875">
        <v>0</v>
      </c>
      <c r="I122" s="875">
        <v>0</v>
      </c>
      <c r="J122" s="875">
        <v>0</v>
      </c>
      <c r="K122" s="875">
        <v>0</v>
      </c>
      <c r="L122" s="875">
        <v>0</v>
      </c>
      <c r="M122" s="875">
        <v>0</v>
      </c>
      <c r="N122" s="875">
        <v>0</v>
      </c>
      <c r="O122" s="875">
        <v>0</v>
      </c>
      <c r="P122" s="875">
        <v>0</v>
      </c>
      <c r="Q122" s="875">
        <v>0</v>
      </c>
      <c r="R122" s="875">
        <v>0</v>
      </c>
      <c r="S122" s="875"/>
      <c r="T122" s="875">
        <v>0</v>
      </c>
      <c r="U122" s="4611">
        <v>20</v>
      </c>
      <c r="V122" s="4608">
        <v>16.065999999999999</v>
      </c>
      <c r="W122" s="4608">
        <v>0</v>
      </c>
      <c r="X122" s="4611">
        <v>6</v>
      </c>
      <c r="Y122" s="4611">
        <v>0</v>
      </c>
      <c r="Z122" s="4611">
        <v>0</v>
      </c>
      <c r="AA122" s="4611">
        <v>0</v>
      </c>
      <c r="AB122" s="4611">
        <v>0</v>
      </c>
      <c r="AC122" s="4611">
        <v>0</v>
      </c>
      <c r="AD122" s="4611">
        <v>0</v>
      </c>
      <c r="AE122" s="4611">
        <v>0</v>
      </c>
      <c r="AF122" s="4611">
        <v>0</v>
      </c>
      <c r="AG122" s="4611">
        <v>0</v>
      </c>
      <c r="AH122" s="4611">
        <v>0</v>
      </c>
      <c r="AI122" s="4611">
        <v>0</v>
      </c>
      <c r="AJ122" s="4611">
        <v>0</v>
      </c>
      <c r="AK122" s="4611">
        <v>0</v>
      </c>
      <c r="AL122" s="4612"/>
      <c r="AM122" s="4611">
        <v>0</v>
      </c>
      <c r="AN122" s="876">
        <f t="shared" si="2"/>
        <v>42.066000000000003</v>
      </c>
      <c r="AO122" s="877">
        <v>42.392000000000003</v>
      </c>
      <c r="AP122" s="878">
        <f t="shared" si="3"/>
        <v>-0.32600000000000001</v>
      </c>
    </row>
    <row r="123" spans="1:42" ht="13.8">
      <c r="A123" s="873">
        <v>326</v>
      </c>
      <c r="B123" s="874">
        <v>20</v>
      </c>
      <c r="C123" s="875">
        <v>23.526</v>
      </c>
      <c r="D123" s="875">
        <v>0</v>
      </c>
      <c r="E123" s="875">
        <v>5.4</v>
      </c>
      <c r="F123" s="875">
        <v>0</v>
      </c>
      <c r="G123" s="875">
        <v>0</v>
      </c>
      <c r="H123" s="875">
        <v>0</v>
      </c>
      <c r="I123" s="875">
        <v>0</v>
      </c>
      <c r="J123" s="875">
        <v>0</v>
      </c>
      <c r="K123" s="875">
        <v>0</v>
      </c>
      <c r="L123" s="875">
        <v>0</v>
      </c>
      <c r="M123" s="875">
        <v>0</v>
      </c>
      <c r="N123" s="875">
        <v>0</v>
      </c>
      <c r="O123" s="875">
        <v>0</v>
      </c>
      <c r="P123" s="875">
        <v>0</v>
      </c>
      <c r="Q123" s="875">
        <v>0</v>
      </c>
      <c r="R123" s="875">
        <v>0</v>
      </c>
      <c r="S123" s="875"/>
      <c r="T123" s="875">
        <v>0</v>
      </c>
      <c r="U123" s="4611">
        <v>20</v>
      </c>
      <c r="V123" s="4608">
        <v>24.887</v>
      </c>
      <c r="W123" s="4608">
        <v>0</v>
      </c>
      <c r="X123" s="4611">
        <v>5</v>
      </c>
      <c r="Y123" s="4611">
        <v>0</v>
      </c>
      <c r="Z123" s="4611">
        <v>0</v>
      </c>
      <c r="AA123" s="4611">
        <v>0</v>
      </c>
      <c r="AB123" s="4611">
        <v>0</v>
      </c>
      <c r="AC123" s="4611">
        <v>0</v>
      </c>
      <c r="AD123" s="4611">
        <v>0</v>
      </c>
      <c r="AE123" s="4611">
        <v>0</v>
      </c>
      <c r="AF123" s="4611">
        <v>0</v>
      </c>
      <c r="AG123" s="4611">
        <v>0</v>
      </c>
      <c r="AH123" s="4611">
        <v>0</v>
      </c>
      <c r="AI123" s="4611">
        <v>0</v>
      </c>
      <c r="AJ123" s="4611">
        <v>0</v>
      </c>
      <c r="AK123" s="4611">
        <v>0</v>
      </c>
      <c r="AL123" s="4612"/>
      <c r="AM123" s="4611">
        <v>0</v>
      </c>
      <c r="AN123" s="876">
        <f t="shared" si="2"/>
        <v>49.887</v>
      </c>
      <c r="AO123" s="877">
        <v>48.926000000000002</v>
      </c>
      <c r="AP123" s="878">
        <f t="shared" si="3"/>
        <v>0.96099999999999997</v>
      </c>
    </row>
    <row r="124" spans="1:42" ht="13.8">
      <c r="A124" s="873">
        <v>327</v>
      </c>
      <c r="B124" s="874">
        <v>20</v>
      </c>
      <c r="C124" s="875">
        <v>16.875</v>
      </c>
      <c r="D124" s="875">
        <v>0</v>
      </c>
      <c r="E124" s="875">
        <v>8</v>
      </c>
      <c r="F124" s="875">
        <v>0</v>
      </c>
      <c r="G124" s="875">
        <v>0</v>
      </c>
      <c r="H124" s="875">
        <v>5.7030000000000003</v>
      </c>
      <c r="I124" s="875">
        <v>0</v>
      </c>
      <c r="J124" s="875">
        <v>0</v>
      </c>
      <c r="K124" s="875">
        <v>0</v>
      </c>
      <c r="L124" s="875">
        <v>0</v>
      </c>
      <c r="M124" s="875">
        <v>0</v>
      </c>
      <c r="N124" s="875">
        <v>0</v>
      </c>
      <c r="O124" s="875">
        <v>0</v>
      </c>
      <c r="P124" s="875">
        <v>0</v>
      </c>
      <c r="Q124" s="875">
        <v>0</v>
      </c>
      <c r="R124" s="875">
        <v>0</v>
      </c>
      <c r="S124" s="875"/>
      <c r="T124" s="875">
        <v>0</v>
      </c>
      <c r="U124" s="4611">
        <v>20</v>
      </c>
      <c r="V124" s="4608">
        <v>16.184999999999999</v>
      </c>
      <c r="W124" s="4608">
        <v>0</v>
      </c>
      <c r="X124" s="4611">
        <v>7.976</v>
      </c>
      <c r="Y124" s="4611">
        <v>0</v>
      </c>
      <c r="Z124" s="4611">
        <v>0</v>
      </c>
      <c r="AA124" s="4611">
        <v>5.6639999999999997</v>
      </c>
      <c r="AB124" s="4611">
        <v>0</v>
      </c>
      <c r="AC124" s="4611">
        <v>0</v>
      </c>
      <c r="AD124" s="4611">
        <v>0</v>
      </c>
      <c r="AE124" s="4611">
        <v>0</v>
      </c>
      <c r="AF124" s="4611">
        <v>0</v>
      </c>
      <c r="AG124" s="4611">
        <v>0</v>
      </c>
      <c r="AH124" s="4611">
        <v>0</v>
      </c>
      <c r="AI124" s="4611">
        <v>0</v>
      </c>
      <c r="AJ124" s="4611">
        <v>0</v>
      </c>
      <c r="AK124" s="4611">
        <v>0</v>
      </c>
      <c r="AL124" s="4612"/>
      <c r="AM124" s="4611">
        <v>0</v>
      </c>
      <c r="AN124" s="876">
        <f t="shared" si="2"/>
        <v>49.825000000000003</v>
      </c>
      <c r="AO124" s="877">
        <v>50.578000000000003</v>
      </c>
      <c r="AP124" s="878">
        <f t="shared" si="3"/>
        <v>-0.753</v>
      </c>
    </row>
    <row r="125" spans="1:42" ht="13.8">
      <c r="A125" s="873">
        <v>329</v>
      </c>
      <c r="B125" s="874">
        <v>20</v>
      </c>
      <c r="C125" s="875">
        <v>18.603000000000002</v>
      </c>
      <c r="D125" s="875">
        <v>0</v>
      </c>
      <c r="E125" s="875">
        <v>8</v>
      </c>
      <c r="F125" s="875">
        <v>0</v>
      </c>
      <c r="G125" s="875">
        <v>0</v>
      </c>
      <c r="H125" s="875">
        <v>12.367000000000001</v>
      </c>
      <c r="I125" s="875">
        <v>0</v>
      </c>
      <c r="J125" s="875">
        <v>0</v>
      </c>
      <c r="K125" s="875">
        <v>0</v>
      </c>
      <c r="L125" s="875">
        <v>0</v>
      </c>
      <c r="M125" s="875">
        <v>0</v>
      </c>
      <c r="N125" s="875">
        <v>0</v>
      </c>
      <c r="O125" s="875">
        <v>0</v>
      </c>
      <c r="P125" s="875">
        <v>0</v>
      </c>
      <c r="Q125" s="875">
        <v>0</v>
      </c>
      <c r="R125" s="875">
        <v>0</v>
      </c>
      <c r="S125" s="875"/>
      <c r="T125" s="875">
        <v>0</v>
      </c>
      <c r="U125" s="4611">
        <v>20</v>
      </c>
      <c r="V125" s="4608">
        <v>17.997</v>
      </c>
      <c r="W125" s="4608">
        <v>0</v>
      </c>
      <c r="X125" s="4611">
        <v>8</v>
      </c>
      <c r="Y125" s="4611">
        <v>0</v>
      </c>
      <c r="Z125" s="4611">
        <v>0</v>
      </c>
      <c r="AA125" s="4611">
        <v>8.9019999999999992</v>
      </c>
      <c r="AB125" s="4611">
        <v>0</v>
      </c>
      <c r="AC125" s="4611">
        <v>0</v>
      </c>
      <c r="AD125" s="4611">
        <v>0</v>
      </c>
      <c r="AE125" s="4611">
        <v>0</v>
      </c>
      <c r="AF125" s="4611">
        <v>0</v>
      </c>
      <c r="AG125" s="4611">
        <v>0</v>
      </c>
      <c r="AH125" s="4611">
        <v>0</v>
      </c>
      <c r="AI125" s="4611">
        <v>0</v>
      </c>
      <c r="AJ125" s="4611">
        <v>0</v>
      </c>
      <c r="AK125" s="4611">
        <v>0</v>
      </c>
      <c r="AL125" s="4612"/>
      <c r="AM125" s="4611">
        <v>0</v>
      </c>
      <c r="AN125" s="876">
        <f t="shared" si="2"/>
        <v>54.899000000000001</v>
      </c>
      <c r="AO125" s="877">
        <v>58.97</v>
      </c>
      <c r="AP125" s="878">
        <f t="shared" si="3"/>
        <v>-4.0709999999999997</v>
      </c>
    </row>
    <row r="126" spans="1:42" ht="13.8">
      <c r="A126" s="873">
        <v>330</v>
      </c>
      <c r="B126" s="874">
        <v>20</v>
      </c>
      <c r="C126" s="875">
        <v>19.097999999999999</v>
      </c>
      <c r="D126" s="875">
        <v>0</v>
      </c>
      <c r="E126" s="875">
        <v>7.9909999999999997</v>
      </c>
      <c r="F126" s="875">
        <v>0</v>
      </c>
      <c r="G126" s="875">
        <v>0</v>
      </c>
      <c r="H126" s="875">
        <v>11.430999999999999</v>
      </c>
      <c r="I126" s="875">
        <v>0</v>
      </c>
      <c r="J126" s="875">
        <v>0</v>
      </c>
      <c r="K126" s="875">
        <v>0</v>
      </c>
      <c r="L126" s="875">
        <v>0</v>
      </c>
      <c r="M126" s="875">
        <v>0</v>
      </c>
      <c r="N126" s="875">
        <v>0</v>
      </c>
      <c r="O126" s="875">
        <v>0</v>
      </c>
      <c r="P126" s="875">
        <v>0</v>
      </c>
      <c r="Q126" s="875">
        <v>0</v>
      </c>
      <c r="R126" s="875">
        <v>0</v>
      </c>
      <c r="S126" s="875"/>
      <c r="T126" s="875">
        <v>0</v>
      </c>
      <c r="U126" s="4611">
        <v>20</v>
      </c>
      <c r="V126" s="4608">
        <v>18.196999999999999</v>
      </c>
      <c r="W126" s="4608">
        <v>0</v>
      </c>
      <c r="X126" s="4611">
        <v>8</v>
      </c>
      <c r="Y126" s="4611">
        <v>0</v>
      </c>
      <c r="Z126" s="4611">
        <v>0</v>
      </c>
      <c r="AA126" s="4611">
        <v>12.29</v>
      </c>
      <c r="AB126" s="4611">
        <v>0</v>
      </c>
      <c r="AC126" s="4611">
        <v>0</v>
      </c>
      <c r="AD126" s="4611">
        <v>0</v>
      </c>
      <c r="AE126" s="4611">
        <v>0</v>
      </c>
      <c r="AF126" s="4611">
        <v>0</v>
      </c>
      <c r="AG126" s="4611">
        <v>0</v>
      </c>
      <c r="AH126" s="4611">
        <v>0</v>
      </c>
      <c r="AI126" s="4611">
        <v>0</v>
      </c>
      <c r="AJ126" s="4611">
        <v>0</v>
      </c>
      <c r="AK126" s="4611">
        <v>0</v>
      </c>
      <c r="AL126" s="4612"/>
      <c r="AM126" s="4611">
        <v>0</v>
      </c>
      <c r="AN126" s="876">
        <f t="shared" si="2"/>
        <v>58.487000000000002</v>
      </c>
      <c r="AO126" s="877">
        <v>58.52</v>
      </c>
      <c r="AP126" s="878">
        <f t="shared" si="3"/>
        <v>-3.3000000000000002E-2</v>
      </c>
    </row>
    <row r="127" spans="1:42" ht="13.8">
      <c r="A127" s="873">
        <v>331</v>
      </c>
      <c r="B127" s="874">
        <v>20</v>
      </c>
      <c r="C127" s="875">
        <v>18.190000000000001</v>
      </c>
      <c r="D127" s="875">
        <v>0</v>
      </c>
      <c r="E127" s="875">
        <v>8</v>
      </c>
      <c r="F127" s="875">
        <v>0</v>
      </c>
      <c r="G127" s="875">
        <v>0</v>
      </c>
      <c r="H127" s="875">
        <v>0</v>
      </c>
      <c r="I127" s="875">
        <v>0</v>
      </c>
      <c r="J127" s="875">
        <v>0</v>
      </c>
      <c r="K127" s="875">
        <v>0</v>
      </c>
      <c r="L127" s="875">
        <v>0</v>
      </c>
      <c r="M127" s="875">
        <v>0</v>
      </c>
      <c r="N127" s="875">
        <v>0</v>
      </c>
      <c r="O127" s="875">
        <v>0</v>
      </c>
      <c r="P127" s="875">
        <v>5</v>
      </c>
      <c r="Q127" s="875">
        <v>0.57499999999999996</v>
      </c>
      <c r="R127" s="875">
        <v>0</v>
      </c>
      <c r="S127" s="875"/>
      <c r="T127" s="875">
        <v>0</v>
      </c>
      <c r="U127" s="4611">
        <v>20</v>
      </c>
      <c r="V127" s="4608">
        <v>20.83</v>
      </c>
      <c r="W127" s="4608">
        <v>0</v>
      </c>
      <c r="X127" s="4611">
        <v>8</v>
      </c>
      <c r="Y127" s="4611">
        <v>0</v>
      </c>
      <c r="Z127" s="4611">
        <v>0</v>
      </c>
      <c r="AA127" s="4611">
        <v>0</v>
      </c>
      <c r="AB127" s="4611">
        <v>0</v>
      </c>
      <c r="AC127" s="4611">
        <v>0</v>
      </c>
      <c r="AD127" s="4611">
        <v>0</v>
      </c>
      <c r="AE127" s="4611">
        <v>0</v>
      </c>
      <c r="AF127" s="4611">
        <v>0</v>
      </c>
      <c r="AG127" s="4611">
        <v>0</v>
      </c>
      <c r="AH127" s="4611">
        <v>0</v>
      </c>
      <c r="AI127" s="4611">
        <v>5</v>
      </c>
      <c r="AJ127" s="4611">
        <v>0.80500000000000005</v>
      </c>
      <c r="AK127" s="4611">
        <v>0</v>
      </c>
      <c r="AL127" s="4612"/>
      <c r="AM127" s="4611">
        <v>0</v>
      </c>
      <c r="AN127" s="876">
        <f t="shared" si="2"/>
        <v>54.634999999999998</v>
      </c>
      <c r="AO127" s="877">
        <v>51.765000000000001</v>
      </c>
      <c r="AP127" s="878">
        <f t="shared" si="3"/>
        <v>2.87</v>
      </c>
    </row>
    <row r="128" spans="1:42" ht="13.8">
      <c r="A128" s="873">
        <v>332</v>
      </c>
      <c r="B128" s="874">
        <v>20</v>
      </c>
      <c r="C128" s="875">
        <v>8.7449999999999992</v>
      </c>
      <c r="D128" s="875">
        <v>0</v>
      </c>
      <c r="E128" s="875">
        <v>8</v>
      </c>
      <c r="F128" s="875">
        <v>0</v>
      </c>
      <c r="G128" s="875">
        <v>0</v>
      </c>
      <c r="H128" s="875">
        <v>0</v>
      </c>
      <c r="I128" s="875">
        <v>0</v>
      </c>
      <c r="J128" s="875">
        <v>0</v>
      </c>
      <c r="K128" s="875">
        <v>0</v>
      </c>
      <c r="L128" s="875">
        <v>0</v>
      </c>
      <c r="M128" s="875">
        <v>0</v>
      </c>
      <c r="N128" s="875">
        <v>0</v>
      </c>
      <c r="O128" s="875">
        <v>0</v>
      </c>
      <c r="P128" s="875">
        <v>0</v>
      </c>
      <c r="Q128" s="875">
        <v>0</v>
      </c>
      <c r="R128" s="875">
        <v>0</v>
      </c>
      <c r="S128" s="875"/>
      <c r="T128" s="875">
        <v>0</v>
      </c>
      <c r="U128" s="4611">
        <v>20</v>
      </c>
      <c r="V128" s="4608">
        <v>8.141</v>
      </c>
      <c r="W128" s="4608">
        <v>0</v>
      </c>
      <c r="X128" s="4611">
        <v>8</v>
      </c>
      <c r="Y128" s="4611">
        <v>0</v>
      </c>
      <c r="Z128" s="4611">
        <v>0</v>
      </c>
      <c r="AA128" s="4611">
        <v>0</v>
      </c>
      <c r="AB128" s="4611">
        <v>0</v>
      </c>
      <c r="AC128" s="4611">
        <v>0</v>
      </c>
      <c r="AD128" s="4611">
        <v>0</v>
      </c>
      <c r="AE128" s="4611">
        <v>0</v>
      </c>
      <c r="AF128" s="4611">
        <v>0</v>
      </c>
      <c r="AG128" s="4611">
        <v>0</v>
      </c>
      <c r="AH128" s="4611">
        <v>0</v>
      </c>
      <c r="AI128" s="4611">
        <v>0</v>
      </c>
      <c r="AJ128" s="4611">
        <v>0</v>
      </c>
      <c r="AK128" s="4611">
        <v>0</v>
      </c>
      <c r="AL128" s="4612"/>
      <c r="AM128" s="4611">
        <v>0</v>
      </c>
      <c r="AN128" s="876">
        <f t="shared" si="2"/>
        <v>36.140999999999998</v>
      </c>
      <c r="AO128" s="877">
        <v>36.744999999999997</v>
      </c>
      <c r="AP128" s="878">
        <f t="shared" si="3"/>
        <v>-0.60399999999999998</v>
      </c>
    </row>
    <row r="129" spans="1:42" ht="13.8">
      <c r="A129" s="873">
        <v>333</v>
      </c>
      <c r="B129" s="874">
        <v>20</v>
      </c>
      <c r="C129" s="875">
        <v>15.234</v>
      </c>
      <c r="D129" s="875">
        <v>0</v>
      </c>
      <c r="E129" s="875">
        <v>7.9279999999999999</v>
      </c>
      <c r="F129" s="875">
        <v>0</v>
      </c>
      <c r="G129" s="875">
        <v>0</v>
      </c>
      <c r="H129" s="875">
        <v>3.4</v>
      </c>
      <c r="I129" s="875">
        <v>0</v>
      </c>
      <c r="J129" s="875">
        <v>0</v>
      </c>
      <c r="K129" s="875">
        <v>0</v>
      </c>
      <c r="L129" s="875">
        <v>0</v>
      </c>
      <c r="M129" s="875">
        <v>0</v>
      </c>
      <c r="N129" s="875">
        <v>0</v>
      </c>
      <c r="O129" s="875">
        <v>0</v>
      </c>
      <c r="P129" s="875">
        <v>0</v>
      </c>
      <c r="Q129" s="875">
        <v>0</v>
      </c>
      <c r="R129" s="875">
        <v>0</v>
      </c>
      <c r="S129" s="875"/>
      <c r="T129" s="875">
        <v>0</v>
      </c>
      <c r="U129" s="4611">
        <v>20</v>
      </c>
      <c r="V129" s="4608">
        <v>16.138000000000002</v>
      </c>
      <c r="W129" s="4608">
        <v>0</v>
      </c>
      <c r="X129" s="4611">
        <v>8</v>
      </c>
      <c r="Y129" s="4611">
        <v>0</v>
      </c>
      <c r="Z129" s="4611">
        <v>0</v>
      </c>
      <c r="AA129" s="4611">
        <v>2.613</v>
      </c>
      <c r="AB129" s="4611">
        <v>0</v>
      </c>
      <c r="AC129" s="4611">
        <v>0</v>
      </c>
      <c r="AD129" s="4611">
        <v>0</v>
      </c>
      <c r="AE129" s="4611">
        <v>0</v>
      </c>
      <c r="AF129" s="4611">
        <v>0</v>
      </c>
      <c r="AG129" s="4611">
        <v>0</v>
      </c>
      <c r="AH129" s="4611">
        <v>0</v>
      </c>
      <c r="AI129" s="4611">
        <v>0</v>
      </c>
      <c r="AJ129" s="4611">
        <v>0</v>
      </c>
      <c r="AK129" s="4611">
        <v>0</v>
      </c>
      <c r="AL129" s="4612"/>
      <c r="AM129" s="4611">
        <v>0</v>
      </c>
      <c r="AN129" s="876">
        <f t="shared" si="2"/>
        <v>46.750999999999998</v>
      </c>
      <c r="AO129" s="877">
        <v>46.561999999999998</v>
      </c>
      <c r="AP129" s="878">
        <f t="shared" si="3"/>
        <v>0.189</v>
      </c>
    </row>
    <row r="130" spans="1:42" ht="13.8">
      <c r="A130" s="873">
        <v>334</v>
      </c>
      <c r="B130" s="874">
        <v>20</v>
      </c>
      <c r="C130" s="875">
        <v>22.059000000000001</v>
      </c>
      <c r="D130" s="875">
        <v>0</v>
      </c>
      <c r="E130" s="875">
        <v>8</v>
      </c>
      <c r="F130" s="875">
        <v>0</v>
      </c>
      <c r="G130" s="875">
        <v>0</v>
      </c>
      <c r="H130" s="875">
        <v>0</v>
      </c>
      <c r="I130" s="875">
        <v>0</v>
      </c>
      <c r="J130" s="875">
        <v>0</v>
      </c>
      <c r="K130" s="875">
        <v>0</v>
      </c>
      <c r="L130" s="875">
        <v>0</v>
      </c>
      <c r="M130" s="875">
        <v>0</v>
      </c>
      <c r="N130" s="875">
        <v>0</v>
      </c>
      <c r="O130" s="875">
        <v>0</v>
      </c>
      <c r="P130" s="875">
        <v>0</v>
      </c>
      <c r="Q130" s="875">
        <v>0</v>
      </c>
      <c r="R130" s="875">
        <v>0</v>
      </c>
      <c r="S130" s="875"/>
      <c r="T130" s="875">
        <v>0</v>
      </c>
      <c r="U130" s="4611">
        <v>20</v>
      </c>
      <c r="V130" s="4608">
        <v>19.265000000000001</v>
      </c>
      <c r="W130" s="4608">
        <v>0</v>
      </c>
      <c r="X130" s="4611">
        <v>7.9980000000000002</v>
      </c>
      <c r="Y130" s="4611">
        <v>0</v>
      </c>
      <c r="Z130" s="4611">
        <v>0</v>
      </c>
      <c r="AA130" s="4611">
        <v>0</v>
      </c>
      <c r="AB130" s="4611">
        <v>0</v>
      </c>
      <c r="AC130" s="4611">
        <v>0</v>
      </c>
      <c r="AD130" s="4611">
        <v>0</v>
      </c>
      <c r="AE130" s="4611">
        <v>0</v>
      </c>
      <c r="AF130" s="4611">
        <v>0</v>
      </c>
      <c r="AG130" s="4611">
        <v>0</v>
      </c>
      <c r="AH130" s="4611">
        <v>0</v>
      </c>
      <c r="AI130" s="4611">
        <v>0</v>
      </c>
      <c r="AJ130" s="4611">
        <v>0</v>
      </c>
      <c r="AK130" s="4611">
        <v>0</v>
      </c>
      <c r="AL130" s="4612"/>
      <c r="AM130" s="4611">
        <v>0</v>
      </c>
      <c r="AN130" s="876">
        <f t="shared" si="2"/>
        <v>47.262999999999998</v>
      </c>
      <c r="AO130" s="877">
        <v>50.058999999999997</v>
      </c>
      <c r="AP130" s="878">
        <f t="shared" si="3"/>
        <v>-2.7959999999999998</v>
      </c>
    </row>
    <row r="131" spans="1:42" ht="13.8">
      <c r="A131" s="873">
        <v>335</v>
      </c>
      <c r="B131" s="874">
        <v>20</v>
      </c>
      <c r="C131" s="875">
        <v>17.358000000000001</v>
      </c>
      <c r="D131" s="875">
        <v>0</v>
      </c>
      <c r="E131" s="875">
        <v>4.01</v>
      </c>
      <c r="F131" s="875">
        <v>0</v>
      </c>
      <c r="G131" s="875">
        <v>0</v>
      </c>
      <c r="H131" s="875">
        <v>8.5389999999999997</v>
      </c>
      <c r="I131" s="875">
        <v>0</v>
      </c>
      <c r="J131" s="875">
        <v>0</v>
      </c>
      <c r="K131" s="875">
        <v>0</v>
      </c>
      <c r="L131" s="875">
        <v>0</v>
      </c>
      <c r="M131" s="875">
        <v>0</v>
      </c>
      <c r="N131" s="875">
        <v>0</v>
      </c>
      <c r="O131" s="875">
        <v>0</v>
      </c>
      <c r="P131" s="875">
        <v>0</v>
      </c>
      <c r="Q131" s="875">
        <v>0</v>
      </c>
      <c r="R131" s="875">
        <v>0</v>
      </c>
      <c r="S131" s="875"/>
      <c r="T131" s="875">
        <v>0</v>
      </c>
      <c r="U131" s="4611">
        <v>20</v>
      </c>
      <c r="V131" s="4608">
        <v>16.161999999999999</v>
      </c>
      <c r="W131" s="4608">
        <v>0</v>
      </c>
      <c r="X131" s="4611">
        <v>4.798</v>
      </c>
      <c r="Y131" s="4611">
        <v>0</v>
      </c>
      <c r="Z131" s="4611">
        <v>0</v>
      </c>
      <c r="AA131" s="4611">
        <v>8.5860000000000003</v>
      </c>
      <c r="AB131" s="4611">
        <v>0</v>
      </c>
      <c r="AC131" s="4611">
        <v>0</v>
      </c>
      <c r="AD131" s="4611">
        <v>0</v>
      </c>
      <c r="AE131" s="4611">
        <v>0</v>
      </c>
      <c r="AF131" s="4611">
        <v>0</v>
      </c>
      <c r="AG131" s="4611">
        <v>0</v>
      </c>
      <c r="AH131" s="4611">
        <v>0</v>
      </c>
      <c r="AI131" s="4611">
        <v>0</v>
      </c>
      <c r="AJ131" s="4611">
        <v>0</v>
      </c>
      <c r="AK131" s="4611">
        <v>0</v>
      </c>
      <c r="AL131" s="4612"/>
      <c r="AM131" s="4611">
        <v>0</v>
      </c>
      <c r="AN131" s="876">
        <f t="shared" si="2"/>
        <v>49.545999999999999</v>
      </c>
      <c r="AO131" s="877">
        <v>49.906999999999996</v>
      </c>
      <c r="AP131" s="878">
        <f t="shared" si="3"/>
        <v>-0.36099999999999999</v>
      </c>
    </row>
    <row r="132" spans="1:42" ht="13.8">
      <c r="A132" s="873">
        <v>336</v>
      </c>
      <c r="B132" s="874">
        <v>20</v>
      </c>
      <c r="C132" s="875">
        <v>14.457000000000001</v>
      </c>
      <c r="D132" s="875">
        <v>0</v>
      </c>
      <c r="E132" s="875">
        <v>7.9740000000000002</v>
      </c>
      <c r="F132" s="875">
        <v>0</v>
      </c>
      <c r="G132" s="875">
        <v>0</v>
      </c>
      <c r="H132" s="875">
        <v>13.98</v>
      </c>
      <c r="I132" s="875">
        <v>0</v>
      </c>
      <c r="J132" s="875">
        <v>0</v>
      </c>
      <c r="K132" s="875">
        <v>0</v>
      </c>
      <c r="L132" s="875">
        <v>0</v>
      </c>
      <c r="M132" s="875">
        <v>0</v>
      </c>
      <c r="N132" s="875">
        <v>0</v>
      </c>
      <c r="O132" s="875">
        <v>0</v>
      </c>
      <c r="P132" s="875">
        <v>0</v>
      </c>
      <c r="Q132" s="875">
        <v>0</v>
      </c>
      <c r="R132" s="875">
        <v>0</v>
      </c>
      <c r="S132" s="875"/>
      <c r="T132" s="875">
        <v>0</v>
      </c>
      <c r="U132" s="4611">
        <v>20</v>
      </c>
      <c r="V132" s="4608">
        <v>13.744999999999999</v>
      </c>
      <c r="W132" s="4608">
        <v>0</v>
      </c>
      <c r="X132" s="4611">
        <v>8</v>
      </c>
      <c r="Y132" s="4611">
        <v>0</v>
      </c>
      <c r="Z132" s="4611">
        <v>0</v>
      </c>
      <c r="AA132" s="4611">
        <v>14.042</v>
      </c>
      <c r="AB132" s="4611">
        <v>0</v>
      </c>
      <c r="AC132" s="4611">
        <v>0</v>
      </c>
      <c r="AD132" s="4611">
        <v>0</v>
      </c>
      <c r="AE132" s="4611">
        <v>0</v>
      </c>
      <c r="AF132" s="4611">
        <v>0</v>
      </c>
      <c r="AG132" s="4611">
        <v>0</v>
      </c>
      <c r="AH132" s="4611">
        <v>0</v>
      </c>
      <c r="AI132" s="4611">
        <v>0</v>
      </c>
      <c r="AJ132" s="4611">
        <v>0</v>
      </c>
      <c r="AK132" s="4611">
        <v>0</v>
      </c>
      <c r="AL132" s="4612"/>
      <c r="AM132" s="4611">
        <v>0</v>
      </c>
      <c r="AN132" s="876">
        <f t="shared" si="2"/>
        <v>55.786999999999999</v>
      </c>
      <c r="AO132" s="877">
        <v>56.411000000000001</v>
      </c>
      <c r="AP132" s="878">
        <f t="shared" si="3"/>
        <v>-0.624</v>
      </c>
    </row>
    <row r="133" spans="1:42" ht="13.8">
      <c r="A133" s="873">
        <v>337</v>
      </c>
      <c r="B133" s="874">
        <v>20</v>
      </c>
      <c r="C133" s="875">
        <v>16.981000000000002</v>
      </c>
      <c r="D133" s="875">
        <v>0</v>
      </c>
      <c r="E133" s="875">
        <v>8</v>
      </c>
      <c r="F133" s="875">
        <v>0</v>
      </c>
      <c r="G133" s="875">
        <v>0</v>
      </c>
      <c r="H133" s="875">
        <v>0</v>
      </c>
      <c r="I133" s="875">
        <v>0</v>
      </c>
      <c r="J133" s="875">
        <v>0</v>
      </c>
      <c r="K133" s="875">
        <v>0</v>
      </c>
      <c r="L133" s="875">
        <v>0</v>
      </c>
      <c r="M133" s="875">
        <v>0</v>
      </c>
      <c r="N133" s="875">
        <v>0</v>
      </c>
      <c r="O133" s="875">
        <v>0</v>
      </c>
      <c r="P133" s="875">
        <v>0</v>
      </c>
      <c r="Q133" s="875">
        <v>0</v>
      </c>
      <c r="R133" s="875">
        <v>0</v>
      </c>
      <c r="S133" s="875"/>
      <c r="T133" s="875">
        <v>0</v>
      </c>
      <c r="U133" s="4611">
        <v>20</v>
      </c>
      <c r="V133" s="4608">
        <v>17.434999999999999</v>
      </c>
      <c r="W133" s="4608">
        <v>0</v>
      </c>
      <c r="X133" s="4611">
        <v>8</v>
      </c>
      <c r="Y133" s="4611">
        <v>0</v>
      </c>
      <c r="Z133" s="4611">
        <v>0</v>
      </c>
      <c r="AA133" s="4611">
        <v>0</v>
      </c>
      <c r="AB133" s="4611">
        <v>0</v>
      </c>
      <c r="AC133" s="4611">
        <v>0</v>
      </c>
      <c r="AD133" s="4611">
        <v>0</v>
      </c>
      <c r="AE133" s="4611">
        <v>0</v>
      </c>
      <c r="AF133" s="4611">
        <v>0</v>
      </c>
      <c r="AG133" s="4611">
        <v>0</v>
      </c>
      <c r="AH133" s="4611">
        <v>0</v>
      </c>
      <c r="AI133" s="4611">
        <v>0</v>
      </c>
      <c r="AJ133" s="4611">
        <v>0</v>
      </c>
      <c r="AK133" s="4611">
        <v>0</v>
      </c>
      <c r="AL133" s="4612"/>
      <c r="AM133" s="4611">
        <v>0</v>
      </c>
      <c r="AN133" s="876">
        <f t="shared" ref="AN133:AN196" si="4">SUM(U133:AM133)</f>
        <v>45.435000000000002</v>
      </c>
      <c r="AO133" s="877">
        <v>44.981000000000002</v>
      </c>
      <c r="AP133" s="878">
        <f t="shared" ref="AP133:AP196" si="5">AN133-AO133</f>
        <v>0.45400000000000001</v>
      </c>
    </row>
    <row r="134" spans="1:42" ht="13.8">
      <c r="A134" s="873">
        <v>338</v>
      </c>
      <c r="B134" s="874">
        <v>20</v>
      </c>
      <c r="C134" s="875">
        <v>20.716000000000001</v>
      </c>
      <c r="D134" s="875">
        <v>0</v>
      </c>
      <c r="E134" s="875">
        <v>8</v>
      </c>
      <c r="F134" s="875">
        <v>0</v>
      </c>
      <c r="G134" s="875">
        <v>0</v>
      </c>
      <c r="H134" s="875">
        <v>7.6470000000000002</v>
      </c>
      <c r="I134" s="875">
        <v>0</v>
      </c>
      <c r="J134" s="875">
        <v>0</v>
      </c>
      <c r="K134" s="875">
        <v>0</v>
      </c>
      <c r="L134" s="875">
        <v>0</v>
      </c>
      <c r="M134" s="875">
        <v>0</v>
      </c>
      <c r="N134" s="875">
        <v>0</v>
      </c>
      <c r="O134" s="875">
        <v>0</v>
      </c>
      <c r="P134" s="875">
        <v>1</v>
      </c>
      <c r="Q134" s="875">
        <v>0</v>
      </c>
      <c r="R134" s="875">
        <v>0</v>
      </c>
      <c r="S134" s="875"/>
      <c r="T134" s="875">
        <v>0</v>
      </c>
      <c r="U134" s="4611">
        <v>20</v>
      </c>
      <c r="V134" s="4608">
        <v>20.704999999999998</v>
      </c>
      <c r="W134" s="4608">
        <v>0</v>
      </c>
      <c r="X134" s="4611">
        <v>8</v>
      </c>
      <c r="Y134" s="4611">
        <v>0</v>
      </c>
      <c r="Z134" s="4611">
        <v>0</v>
      </c>
      <c r="AA134" s="4611">
        <v>7.7839999999999998</v>
      </c>
      <c r="AB134" s="4611">
        <v>0</v>
      </c>
      <c r="AC134" s="4611">
        <v>0</v>
      </c>
      <c r="AD134" s="4611">
        <v>0</v>
      </c>
      <c r="AE134" s="4611">
        <v>0</v>
      </c>
      <c r="AF134" s="4611">
        <v>0</v>
      </c>
      <c r="AG134" s="4611">
        <v>0</v>
      </c>
      <c r="AH134" s="4611">
        <v>0</v>
      </c>
      <c r="AI134" s="4611">
        <v>1</v>
      </c>
      <c r="AJ134" s="4611">
        <v>0</v>
      </c>
      <c r="AK134" s="4611">
        <v>0</v>
      </c>
      <c r="AL134" s="4612"/>
      <c r="AM134" s="4611">
        <v>0</v>
      </c>
      <c r="AN134" s="876">
        <f t="shared" si="4"/>
        <v>57.488999999999997</v>
      </c>
      <c r="AO134" s="877">
        <v>57.363</v>
      </c>
      <c r="AP134" s="878">
        <f t="shared" si="5"/>
        <v>0.126</v>
      </c>
    </row>
    <row r="135" spans="1:42" ht="13.8">
      <c r="A135" s="873">
        <v>339</v>
      </c>
      <c r="B135" s="874">
        <v>20</v>
      </c>
      <c r="C135" s="875">
        <v>16.789000000000001</v>
      </c>
      <c r="D135" s="875">
        <v>0</v>
      </c>
      <c r="E135" s="875">
        <v>6.3440000000000003</v>
      </c>
      <c r="F135" s="875">
        <v>0</v>
      </c>
      <c r="G135" s="875">
        <v>0</v>
      </c>
      <c r="H135" s="875">
        <v>4.8979999999999997</v>
      </c>
      <c r="I135" s="875">
        <v>0</v>
      </c>
      <c r="J135" s="875">
        <v>0</v>
      </c>
      <c r="K135" s="875">
        <v>0</v>
      </c>
      <c r="L135" s="875">
        <v>0</v>
      </c>
      <c r="M135" s="875">
        <v>0</v>
      </c>
      <c r="N135" s="875">
        <v>0</v>
      </c>
      <c r="O135" s="875">
        <v>0</v>
      </c>
      <c r="P135" s="875">
        <v>0</v>
      </c>
      <c r="Q135" s="875">
        <v>0</v>
      </c>
      <c r="R135" s="875">
        <v>0</v>
      </c>
      <c r="S135" s="875"/>
      <c r="T135" s="875">
        <v>0</v>
      </c>
      <c r="U135" s="4611">
        <v>20</v>
      </c>
      <c r="V135" s="4608">
        <v>15.989000000000001</v>
      </c>
      <c r="W135" s="4608">
        <v>0</v>
      </c>
      <c r="X135" s="4611">
        <v>6.9969999999999999</v>
      </c>
      <c r="Y135" s="4611">
        <v>0</v>
      </c>
      <c r="Z135" s="4611">
        <v>0</v>
      </c>
      <c r="AA135" s="4611">
        <v>4.9160000000000004</v>
      </c>
      <c r="AB135" s="4611">
        <v>0</v>
      </c>
      <c r="AC135" s="4611">
        <v>0</v>
      </c>
      <c r="AD135" s="4611">
        <v>0</v>
      </c>
      <c r="AE135" s="4611">
        <v>0</v>
      </c>
      <c r="AF135" s="4611">
        <v>0</v>
      </c>
      <c r="AG135" s="4611">
        <v>0</v>
      </c>
      <c r="AH135" s="4611">
        <v>0</v>
      </c>
      <c r="AI135" s="4611">
        <v>0</v>
      </c>
      <c r="AJ135" s="4611">
        <v>0</v>
      </c>
      <c r="AK135" s="4611">
        <v>0</v>
      </c>
      <c r="AL135" s="4612"/>
      <c r="AM135" s="4611">
        <v>0</v>
      </c>
      <c r="AN135" s="876">
        <f t="shared" si="4"/>
        <v>47.902000000000001</v>
      </c>
      <c r="AO135" s="877">
        <v>48.030999999999999</v>
      </c>
      <c r="AP135" s="878">
        <f t="shared" si="5"/>
        <v>-0.129</v>
      </c>
    </row>
    <row r="136" spans="1:42" ht="13.8">
      <c r="A136" s="873">
        <v>340</v>
      </c>
      <c r="B136" s="874">
        <v>20</v>
      </c>
      <c r="C136" s="875">
        <v>14.542</v>
      </c>
      <c r="D136" s="875">
        <v>0</v>
      </c>
      <c r="E136" s="875">
        <v>7.9989999999999997</v>
      </c>
      <c r="F136" s="875">
        <v>0</v>
      </c>
      <c r="G136" s="875">
        <v>0</v>
      </c>
      <c r="H136" s="875">
        <v>0</v>
      </c>
      <c r="I136" s="875">
        <v>0</v>
      </c>
      <c r="J136" s="875">
        <v>0</v>
      </c>
      <c r="K136" s="875">
        <v>0</v>
      </c>
      <c r="L136" s="875">
        <v>0</v>
      </c>
      <c r="M136" s="875">
        <v>0</v>
      </c>
      <c r="N136" s="875">
        <v>0</v>
      </c>
      <c r="O136" s="875">
        <v>0</v>
      </c>
      <c r="P136" s="875">
        <v>0</v>
      </c>
      <c r="Q136" s="875">
        <v>0</v>
      </c>
      <c r="R136" s="875">
        <v>0</v>
      </c>
      <c r="S136" s="875"/>
      <c r="T136" s="875">
        <v>0</v>
      </c>
      <c r="U136" s="4611">
        <v>20</v>
      </c>
      <c r="V136" s="4608">
        <v>17.446999999999999</v>
      </c>
      <c r="W136" s="4608">
        <v>0</v>
      </c>
      <c r="X136" s="4611">
        <v>8</v>
      </c>
      <c r="Y136" s="4611">
        <v>0</v>
      </c>
      <c r="Z136" s="4611">
        <v>0</v>
      </c>
      <c r="AA136" s="4611">
        <v>0</v>
      </c>
      <c r="AB136" s="4611">
        <v>0</v>
      </c>
      <c r="AC136" s="4611">
        <v>0</v>
      </c>
      <c r="AD136" s="4611">
        <v>0</v>
      </c>
      <c r="AE136" s="4611">
        <v>0</v>
      </c>
      <c r="AF136" s="4611">
        <v>0</v>
      </c>
      <c r="AG136" s="4611">
        <v>0</v>
      </c>
      <c r="AH136" s="4611">
        <v>0</v>
      </c>
      <c r="AI136" s="4611">
        <v>0</v>
      </c>
      <c r="AJ136" s="4611">
        <v>0</v>
      </c>
      <c r="AK136" s="4611">
        <v>0</v>
      </c>
      <c r="AL136" s="4612"/>
      <c r="AM136" s="4611">
        <v>0</v>
      </c>
      <c r="AN136" s="876">
        <f t="shared" si="4"/>
        <v>45.447000000000003</v>
      </c>
      <c r="AO136" s="877">
        <v>42.540999999999997</v>
      </c>
      <c r="AP136" s="878">
        <f t="shared" si="5"/>
        <v>2.9060000000000001</v>
      </c>
    </row>
    <row r="137" spans="1:42" ht="13.8">
      <c r="A137" s="873">
        <v>341</v>
      </c>
      <c r="B137" s="874">
        <v>20</v>
      </c>
      <c r="C137" s="875">
        <v>19.187000000000001</v>
      </c>
      <c r="D137" s="875">
        <v>0</v>
      </c>
      <c r="E137" s="875">
        <v>8</v>
      </c>
      <c r="F137" s="875">
        <v>0</v>
      </c>
      <c r="G137" s="875">
        <v>0</v>
      </c>
      <c r="H137" s="875">
        <v>0</v>
      </c>
      <c r="I137" s="875">
        <v>0</v>
      </c>
      <c r="J137" s="875">
        <v>0</v>
      </c>
      <c r="K137" s="875">
        <v>0</v>
      </c>
      <c r="L137" s="875">
        <v>0</v>
      </c>
      <c r="M137" s="875">
        <v>0</v>
      </c>
      <c r="N137" s="875">
        <v>0</v>
      </c>
      <c r="O137" s="875">
        <v>0</v>
      </c>
      <c r="P137" s="875">
        <v>1</v>
      </c>
      <c r="Q137" s="875">
        <v>0</v>
      </c>
      <c r="R137" s="875">
        <v>0</v>
      </c>
      <c r="S137" s="875"/>
      <c r="T137" s="875">
        <v>0</v>
      </c>
      <c r="U137" s="4611">
        <v>20</v>
      </c>
      <c r="V137" s="4608">
        <v>17.68</v>
      </c>
      <c r="W137" s="4608">
        <v>0</v>
      </c>
      <c r="X137" s="4611">
        <v>7.9980000000000002</v>
      </c>
      <c r="Y137" s="4611">
        <v>0</v>
      </c>
      <c r="Z137" s="4611">
        <v>0</v>
      </c>
      <c r="AA137" s="4611">
        <v>0</v>
      </c>
      <c r="AB137" s="4611">
        <v>0</v>
      </c>
      <c r="AC137" s="4611">
        <v>0</v>
      </c>
      <c r="AD137" s="4611">
        <v>0</v>
      </c>
      <c r="AE137" s="4611">
        <v>0</v>
      </c>
      <c r="AF137" s="4611">
        <v>0</v>
      </c>
      <c r="AG137" s="4611">
        <v>0</v>
      </c>
      <c r="AH137" s="4611">
        <v>0</v>
      </c>
      <c r="AI137" s="4611">
        <v>1</v>
      </c>
      <c r="AJ137" s="4611">
        <v>0</v>
      </c>
      <c r="AK137" s="4611">
        <v>0</v>
      </c>
      <c r="AL137" s="4612"/>
      <c r="AM137" s="4611">
        <v>0</v>
      </c>
      <c r="AN137" s="876">
        <f t="shared" si="4"/>
        <v>46.677999999999997</v>
      </c>
      <c r="AO137" s="877">
        <v>48.186999999999998</v>
      </c>
      <c r="AP137" s="878">
        <f t="shared" si="5"/>
        <v>-1.5089999999999999</v>
      </c>
    </row>
    <row r="138" spans="1:42" ht="13.8">
      <c r="A138" s="873">
        <v>342</v>
      </c>
      <c r="B138" s="874">
        <v>20</v>
      </c>
      <c r="C138" s="875">
        <v>17.178999999999998</v>
      </c>
      <c r="D138" s="875">
        <v>0</v>
      </c>
      <c r="E138" s="875">
        <v>5.0010000000000003</v>
      </c>
      <c r="F138" s="875">
        <v>0</v>
      </c>
      <c r="G138" s="875">
        <v>0</v>
      </c>
      <c r="H138" s="875">
        <v>4.7359999999999998</v>
      </c>
      <c r="I138" s="875">
        <v>0</v>
      </c>
      <c r="J138" s="875">
        <v>0</v>
      </c>
      <c r="K138" s="875">
        <v>0</v>
      </c>
      <c r="L138" s="875">
        <v>0</v>
      </c>
      <c r="M138" s="875">
        <v>0</v>
      </c>
      <c r="N138" s="875">
        <v>0</v>
      </c>
      <c r="O138" s="875">
        <v>0</v>
      </c>
      <c r="P138" s="875">
        <v>2</v>
      </c>
      <c r="Q138" s="875">
        <v>0</v>
      </c>
      <c r="R138" s="875">
        <v>0</v>
      </c>
      <c r="S138" s="875"/>
      <c r="T138" s="875">
        <v>0</v>
      </c>
      <c r="U138" s="4611">
        <v>20</v>
      </c>
      <c r="V138" s="4608">
        <v>17.18</v>
      </c>
      <c r="W138" s="4608">
        <v>0</v>
      </c>
      <c r="X138" s="4611">
        <v>4.9989999999999997</v>
      </c>
      <c r="Y138" s="4611">
        <v>0</v>
      </c>
      <c r="Z138" s="4611">
        <v>0</v>
      </c>
      <c r="AA138" s="4611">
        <v>4.7309999999999999</v>
      </c>
      <c r="AB138" s="4611">
        <v>0</v>
      </c>
      <c r="AC138" s="4611">
        <v>0</v>
      </c>
      <c r="AD138" s="4611">
        <v>0</v>
      </c>
      <c r="AE138" s="4611">
        <v>0</v>
      </c>
      <c r="AF138" s="4611">
        <v>0</v>
      </c>
      <c r="AG138" s="4611">
        <v>0</v>
      </c>
      <c r="AH138" s="4611">
        <v>0</v>
      </c>
      <c r="AI138" s="4611">
        <v>1.9990000000000001</v>
      </c>
      <c r="AJ138" s="4611">
        <v>0</v>
      </c>
      <c r="AK138" s="4611">
        <v>0</v>
      </c>
      <c r="AL138" s="4612"/>
      <c r="AM138" s="4611">
        <v>0</v>
      </c>
      <c r="AN138" s="876">
        <f t="shared" si="4"/>
        <v>48.908999999999999</v>
      </c>
      <c r="AO138" s="877">
        <v>48.915999999999997</v>
      </c>
      <c r="AP138" s="878">
        <f t="shared" si="5"/>
        <v>-7.0000000000000001E-3</v>
      </c>
    </row>
    <row r="139" spans="1:42" ht="13.8">
      <c r="A139" s="873">
        <v>343</v>
      </c>
      <c r="B139" s="874">
        <v>20</v>
      </c>
      <c r="C139" s="875">
        <v>15.196999999999999</v>
      </c>
      <c r="D139" s="875">
        <v>0</v>
      </c>
      <c r="E139" s="875">
        <v>8</v>
      </c>
      <c r="F139" s="875">
        <v>0</v>
      </c>
      <c r="G139" s="875">
        <v>0</v>
      </c>
      <c r="H139" s="875">
        <v>12.366</v>
      </c>
      <c r="I139" s="875">
        <v>0</v>
      </c>
      <c r="J139" s="875">
        <v>0</v>
      </c>
      <c r="K139" s="875">
        <v>0</v>
      </c>
      <c r="L139" s="875">
        <v>0</v>
      </c>
      <c r="M139" s="875">
        <v>0</v>
      </c>
      <c r="N139" s="875">
        <v>0</v>
      </c>
      <c r="O139" s="875">
        <v>0</v>
      </c>
      <c r="P139" s="875">
        <v>0</v>
      </c>
      <c r="Q139" s="875">
        <v>0</v>
      </c>
      <c r="R139" s="875">
        <v>0</v>
      </c>
      <c r="S139" s="875"/>
      <c r="T139" s="875">
        <v>0</v>
      </c>
      <c r="U139" s="4611">
        <v>20</v>
      </c>
      <c r="V139" s="4608">
        <v>15.84</v>
      </c>
      <c r="W139" s="4608">
        <v>0</v>
      </c>
      <c r="X139" s="4611">
        <v>8</v>
      </c>
      <c r="Y139" s="4611">
        <v>0</v>
      </c>
      <c r="Z139" s="4611">
        <v>0</v>
      </c>
      <c r="AA139" s="4611">
        <v>12.102</v>
      </c>
      <c r="AB139" s="4611">
        <v>0</v>
      </c>
      <c r="AC139" s="4611">
        <v>0</v>
      </c>
      <c r="AD139" s="4611">
        <v>0</v>
      </c>
      <c r="AE139" s="4611">
        <v>0</v>
      </c>
      <c r="AF139" s="4611">
        <v>0</v>
      </c>
      <c r="AG139" s="4611">
        <v>0</v>
      </c>
      <c r="AH139" s="4611">
        <v>0</v>
      </c>
      <c r="AI139" s="4611">
        <v>0</v>
      </c>
      <c r="AJ139" s="4611">
        <v>0</v>
      </c>
      <c r="AK139" s="4611">
        <v>0</v>
      </c>
      <c r="AL139" s="4612"/>
      <c r="AM139" s="4611">
        <v>0</v>
      </c>
      <c r="AN139" s="876">
        <f t="shared" si="4"/>
        <v>55.942</v>
      </c>
      <c r="AO139" s="877">
        <v>55.563000000000002</v>
      </c>
      <c r="AP139" s="878">
        <f t="shared" si="5"/>
        <v>0.379</v>
      </c>
    </row>
    <row r="140" spans="1:42" ht="13.8">
      <c r="A140" s="873">
        <v>344</v>
      </c>
      <c r="B140" s="874">
        <v>20</v>
      </c>
      <c r="C140" s="875">
        <v>17.707999999999998</v>
      </c>
      <c r="D140" s="875">
        <v>0</v>
      </c>
      <c r="E140" s="875">
        <v>7.9969999999999999</v>
      </c>
      <c r="F140" s="875">
        <v>0</v>
      </c>
      <c r="G140" s="875">
        <v>0</v>
      </c>
      <c r="H140" s="875">
        <v>17.936</v>
      </c>
      <c r="I140" s="875">
        <v>0</v>
      </c>
      <c r="J140" s="875">
        <v>0</v>
      </c>
      <c r="K140" s="875">
        <v>0</v>
      </c>
      <c r="L140" s="875">
        <v>0</v>
      </c>
      <c r="M140" s="875">
        <v>0</v>
      </c>
      <c r="N140" s="875">
        <v>0</v>
      </c>
      <c r="O140" s="875">
        <v>0</v>
      </c>
      <c r="P140" s="875">
        <v>0</v>
      </c>
      <c r="Q140" s="875">
        <v>0</v>
      </c>
      <c r="R140" s="875">
        <v>0</v>
      </c>
      <c r="S140" s="875"/>
      <c r="T140" s="875">
        <v>0</v>
      </c>
      <c r="U140" s="4611">
        <v>20</v>
      </c>
      <c r="V140" s="4608">
        <v>19.600000000000001</v>
      </c>
      <c r="W140" s="4608">
        <v>0</v>
      </c>
      <c r="X140" s="4611">
        <v>8</v>
      </c>
      <c r="Y140" s="4611">
        <v>0</v>
      </c>
      <c r="Z140" s="4611">
        <v>0</v>
      </c>
      <c r="AA140" s="4611">
        <v>16.047000000000001</v>
      </c>
      <c r="AB140" s="4611">
        <v>0</v>
      </c>
      <c r="AC140" s="4611">
        <v>0</v>
      </c>
      <c r="AD140" s="4611">
        <v>0</v>
      </c>
      <c r="AE140" s="4611">
        <v>0</v>
      </c>
      <c r="AF140" s="4611">
        <v>0</v>
      </c>
      <c r="AG140" s="4611">
        <v>0</v>
      </c>
      <c r="AH140" s="4611">
        <v>0</v>
      </c>
      <c r="AI140" s="4611">
        <v>0</v>
      </c>
      <c r="AJ140" s="4611">
        <v>0</v>
      </c>
      <c r="AK140" s="4611">
        <v>0</v>
      </c>
      <c r="AL140" s="4612"/>
      <c r="AM140" s="4611">
        <v>0</v>
      </c>
      <c r="AN140" s="876">
        <f t="shared" si="4"/>
        <v>63.646999999999998</v>
      </c>
      <c r="AO140" s="877">
        <v>63.640999999999998</v>
      </c>
      <c r="AP140" s="878">
        <f t="shared" si="5"/>
        <v>6.0000000000000001E-3</v>
      </c>
    </row>
    <row r="141" spans="1:42" ht="13.8">
      <c r="A141" s="873">
        <v>345</v>
      </c>
      <c r="B141" s="874">
        <v>20</v>
      </c>
      <c r="C141" s="875">
        <v>13.188000000000001</v>
      </c>
      <c r="D141" s="875">
        <v>0</v>
      </c>
      <c r="E141" s="875">
        <v>7.9729999999999999</v>
      </c>
      <c r="F141" s="875">
        <v>0</v>
      </c>
      <c r="G141" s="875">
        <v>0</v>
      </c>
      <c r="H141" s="875">
        <v>9.7409999999999997</v>
      </c>
      <c r="I141" s="875">
        <v>0</v>
      </c>
      <c r="J141" s="875">
        <v>0</v>
      </c>
      <c r="K141" s="875">
        <v>0</v>
      </c>
      <c r="L141" s="875">
        <v>0</v>
      </c>
      <c r="M141" s="875">
        <v>0</v>
      </c>
      <c r="N141" s="875">
        <v>0</v>
      </c>
      <c r="O141" s="875">
        <v>0</v>
      </c>
      <c r="P141" s="875">
        <v>0</v>
      </c>
      <c r="Q141" s="875">
        <v>0</v>
      </c>
      <c r="R141" s="875">
        <v>0</v>
      </c>
      <c r="S141" s="875"/>
      <c r="T141" s="875">
        <v>0</v>
      </c>
      <c r="U141" s="4611">
        <v>20</v>
      </c>
      <c r="V141" s="4608">
        <v>13.837</v>
      </c>
      <c r="W141" s="4608">
        <v>0</v>
      </c>
      <c r="X141" s="4611">
        <v>8</v>
      </c>
      <c r="Y141" s="4611">
        <v>0</v>
      </c>
      <c r="Z141" s="4611">
        <v>0</v>
      </c>
      <c r="AA141" s="4611">
        <v>9.0879999999999992</v>
      </c>
      <c r="AB141" s="4611">
        <v>0</v>
      </c>
      <c r="AC141" s="4611">
        <v>0</v>
      </c>
      <c r="AD141" s="4611">
        <v>0</v>
      </c>
      <c r="AE141" s="4611">
        <v>0</v>
      </c>
      <c r="AF141" s="4611">
        <v>0</v>
      </c>
      <c r="AG141" s="4611">
        <v>0</v>
      </c>
      <c r="AH141" s="4611">
        <v>0</v>
      </c>
      <c r="AI141" s="4611">
        <v>0</v>
      </c>
      <c r="AJ141" s="4611">
        <v>0</v>
      </c>
      <c r="AK141" s="4611">
        <v>0</v>
      </c>
      <c r="AL141" s="4612"/>
      <c r="AM141" s="4611">
        <v>0</v>
      </c>
      <c r="AN141" s="876">
        <f t="shared" si="4"/>
        <v>50.924999999999997</v>
      </c>
      <c r="AO141" s="877">
        <v>50.902000000000001</v>
      </c>
      <c r="AP141" s="878">
        <f t="shared" si="5"/>
        <v>2.3E-2</v>
      </c>
    </row>
    <row r="142" spans="1:42" ht="13.8">
      <c r="A142" s="873">
        <v>346</v>
      </c>
      <c r="B142" s="874">
        <v>20</v>
      </c>
      <c r="C142" s="875">
        <v>21.431000000000001</v>
      </c>
      <c r="D142" s="875">
        <v>0</v>
      </c>
      <c r="E142" s="875">
        <v>7.9939999999999998</v>
      </c>
      <c r="F142" s="875">
        <v>0</v>
      </c>
      <c r="G142" s="875">
        <v>0</v>
      </c>
      <c r="H142" s="875">
        <v>9.8460000000000001</v>
      </c>
      <c r="I142" s="875">
        <v>0</v>
      </c>
      <c r="J142" s="875">
        <v>0</v>
      </c>
      <c r="K142" s="875">
        <v>0</v>
      </c>
      <c r="L142" s="875">
        <v>0</v>
      </c>
      <c r="M142" s="875">
        <v>0</v>
      </c>
      <c r="N142" s="875">
        <v>0</v>
      </c>
      <c r="O142" s="875">
        <v>0</v>
      </c>
      <c r="P142" s="875">
        <v>0</v>
      </c>
      <c r="Q142" s="875">
        <v>0</v>
      </c>
      <c r="R142" s="875">
        <v>0</v>
      </c>
      <c r="S142" s="875"/>
      <c r="T142" s="875">
        <v>0</v>
      </c>
      <c r="U142" s="4611">
        <v>20</v>
      </c>
      <c r="V142" s="4608">
        <v>20.190000000000001</v>
      </c>
      <c r="W142" s="4608">
        <v>0</v>
      </c>
      <c r="X142" s="4611">
        <v>8</v>
      </c>
      <c r="Y142" s="4611">
        <v>0</v>
      </c>
      <c r="Z142" s="4611">
        <v>0</v>
      </c>
      <c r="AA142" s="4611">
        <v>11.018000000000001</v>
      </c>
      <c r="AB142" s="4611">
        <v>0</v>
      </c>
      <c r="AC142" s="4611">
        <v>0</v>
      </c>
      <c r="AD142" s="4611">
        <v>0</v>
      </c>
      <c r="AE142" s="4611">
        <v>0</v>
      </c>
      <c r="AF142" s="4611">
        <v>0</v>
      </c>
      <c r="AG142" s="4611">
        <v>0</v>
      </c>
      <c r="AH142" s="4611">
        <v>0</v>
      </c>
      <c r="AI142" s="4611">
        <v>0</v>
      </c>
      <c r="AJ142" s="4611">
        <v>0</v>
      </c>
      <c r="AK142" s="4611">
        <v>0</v>
      </c>
      <c r="AL142" s="4612"/>
      <c r="AM142" s="4611">
        <v>0</v>
      </c>
      <c r="AN142" s="876">
        <f t="shared" si="4"/>
        <v>59.207999999999998</v>
      </c>
      <c r="AO142" s="877">
        <v>59.271000000000001</v>
      </c>
      <c r="AP142" s="878">
        <f t="shared" si="5"/>
        <v>-6.3E-2</v>
      </c>
    </row>
    <row r="143" spans="1:42" ht="13.8">
      <c r="A143" s="873">
        <v>347</v>
      </c>
      <c r="B143" s="874">
        <v>20</v>
      </c>
      <c r="C143" s="875">
        <v>21.143000000000001</v>
      </c>
      <c r="D143" s="875">
        <v>0</v>
      </c>
      <c r="E143" s="875">
        <v>7.9950000000000001</v>
      </c>
      <c r="F143" s="875">
        <v>0</v>
      </c>
      <c r="G143" s="875">
        <v>0</v>
      </c>
      <c r="H143" s="875">
        <v>16.265999999999998</v>
      </c>
      <c r="I143" s="875">
        <v>0</v>
      </c>
      <c r="J143" s="875">
        <v>0</v>
      </c>
      <c r="K143" s="875">
        <v>0</v>
      </c>
      <c r="L143" s="875">
        <v>0</v>
      </c>
      <c r="M143" s="875">
        <v>0</v>
      </c>
      <c r="N143" s="875">
        <v>0</v>
      </c>
      <c r="O143" s="875">
        <v>0</v>
      </c>
      <c r="P143" s="875">
        <v>1.9990000000000001</v>
      </c>
      <c r="Q143" s="875">
        <v>0</v>
      </c>
      <c r="R143" s="875">
        <v>0</v>
      </c>
      <c r="S143" s="875"/>
      <c r="T143" s="875">
        <v>0</v>
      </c>
      <c r="U143" s="4611">
        <v>20</v>
      </c>
      <c r="V143" s="4608">
        <v>20.609000000000002</v>
      </c>
      <c r="W143" s="4608">
        <v>0</v>
      </c>
      <c r="X143" s="4611">
        <v>7.9989999999999997</v>
      </c>
      <c r="Y143" s="4611">
        <v>0</v>
      </c>
      <c r="Z143" s="4611">
        <v>0</v>
      </c>
      <c r="AA143" s="4611">
        <v>16.274999999999999</v>
      </c>
      <c r="AB143" s="4611">
        <v>0</v>
      </c>
      <c r="AC143" s="4611">
        <v>0</v>
      </c>
      <c r="AD143" s="4611">
        <v>0</v>
      </c>
      <c r="AE143" s="4611">
        <v>0</v>
      </c>
      <c r="AF143" s="4611">
        <v>0</v>
      </c>
      <c r="AG143" s="4611">
        <v>0</v>
      </c>
      <c r="AH143" s="4611">
        <v>0</v>
      </c>
      <c r="AI143" s="4611">
        <v>2</v>
      </c>
      <c r="AJ143" s="4611">
        <v>0</v>
      </c>
      <c r="AK143" s="4611">
        <v>0</v>
      </c>
      <c r="AL143" s="4612"/>
      <c r="AM143" s="4611">
        <v>0</v>
      </c>
      <c r="AN143" s="876">
        <f t="shared" si="4"/>
        <v>66.882999999999996</v>
      </c>
      <c r="AO143" s="877">
        <v>67.403000000000006</v>
      </c>
      <c r="AP143" s="878">
        <f t="shared" si="5"/>
        <v>-0.52</v>
      </c>
    </row>
    <row r="144" spans="1:42" ht="13.8">
      <c r="A144" s="873">
        <v>348</v>
      </c>
      <c r="B144" s="874">
        <v>20</v>
      </c>
      <c r="C144" s="875">
        <v>14.417999999999999</v>
      </c>
      <c r="D144" s="875">
        <v>0</v>
      </c>
      <c r="E144" s="875">
        <v>7.9950000000000001</v>
      </c>
      <c r="F144" s="875">
        <v>0</v>
      </c>
      <c r="G144" s="875">
        <v>0</v>
      </c>
      <c r="H144" s="875">
        <v>14.993</v>
      </c>
      <c r="I144" s="875">
        <v>0</v>
      </c>
      <c r="J144" s="875">
        <v>0</v>
      </c>
      <c r="K144" s="875">
        <v>0</v>
      </c>
      <c r="L144" s="875">
        <v>0</v>
      </c>
      <c r="M144" s="875">
        <v>0</v>
      </c>
      <c r="N144" s="875">
        <v>0</v>
      </c>
      <c r="O144" s="875">
        <v>0</v>
      </c>
      <c r="P144" s="875">
        <v>3.9969999999999999</v>
      </c>
      <c r="Q144" s="875">
        <v>0.998</v>
      </c>
      <c r="R144" s="875">
        <v>0</v>
      </c>
      <c r="S144" s="875"/>
      <c r="T144" s="875">
        <v>0</v>
      </c>
      <c r="U144" s="4611">
        <v>20</v>
      </c>
      <c r="V144" s="4608">
        <v>14.265000000000001</v>
      </c>
      <c r="W144" s="4608">
        <v>0</v>
      </c>
      <c r="X144" s="4611">
        <v>7.9969999999999999</v>
      </c>
      <c r="Y144" s="4611">
        <v>0</v>
      </c>
      <c r="Z144" s="4611">
        <v>0</v>
      </c>
      <c r="AA144" s="4611">
        <v>14.997</v>
      </c>
      <c r="AB144" s="4611">
        <v>0</v>
      </c>
      <c r="AC144" s="4611">
        <v>0</v>
      </c>
      <c r="AD144" s="4611">
        <v>0</v>
      </c>
      <c r="AE144" s="4611">
        <v>0</v>
      </c>
      <c r="AF144" s="4611">
        <v>0</v>
      </c>
      <c r="AG144" s="4611">
        <v>0</v>
      </c>
      <c r="AH144" s="4611">
        <v>0</v>
      </c>
      <c r="AI144" s="4611">
        <v>3.9990000000000001</v>
      </c>
      <c r="AJ144" s="4611">
        <v>0.999</v>
      </c>
      <c r="AK144" s="4611">
        <v>0</v>
      </c>
      <c r="AL144" s="4612"/>
      <c r="AM144" s="4611">
        <v>0</v>
      </c>
      <c r="AN144" s="876">
        <f t="shared" si="4"/>
        <v>62.256999999999998</v>
      </c>
      <c r="AO144" s="877">
        <v>62.401000000000003</v>
      </c>
      <c r="AP144" s="878">
        <f t="shared" si="5"/>
        <v>-0.14399999999999999</v>
      </c>
    </row>
    <row r="145" spans="1:42" ht="13.8">
      <c r="A145" s="873">
        <v>349</v>
      </c>
      <c r="B145" s="874">
        <v>20</v>
      </c>
      <c r="C145" s="875">
        <v>24.425000000000001</v>
      </c>
      <c r="D145" s="875">
        <v>0</v>
      </c>
      <c r="E145" s="875">
        <v>8</v>
      </c>
      <c r="F145" s="875">
        <v>0</v>
      </c>
      <c r="G145" s="875">
        <v>0</v>
      </c>
      <c r="H145" s="875">
        <v>0</v>
      </c>
      <c r="I145" s="875">
        <v>0</v>
      </c>
      <c r="J145" s="875">
        <v>0</v>
      </c>
      <c r="K145" s="875">
        <v>0</v>
      </c>
      <c r="L145" s="875">
        <v>0</v>
      </c>
      <c r="M145" s="875">
        <v>0</v>
      </c>
      <c r="N145" s="875">
        <v>0</v>
      </c>
      <c r="O145" s="875">
        <v>0</v>
      </c>
      <c r="P145" s="875">
        <v>5</v>
      </c>
      <c r="Q145" s="875">
        <v>0</v>
      </c>
      <c r="R145" s="875">
        <v>0</v>
      </c>
      <c r="S145" s="875"/>
      <c r="T145" s="875">
        <v>0</v>
      </c>
      <c r="U145" s="4611">
        <v>20</v>
      </c>
      <c r="V145" s="4608">
        <v>20.082999999999998</v>
      </c>
      <c r="W145" s="4608">
        <v>0</v>
      </c>
      <c r="X145" s="4611">
        <v>7.9829999999999997</v>
      </c>
      <c r="Y145" s="4611">
        <v>0</v>
      </c>
      <c r="Z145" s="4611">
        <v>0</v>
      </c>
      <c r="AA145" s="4611">
        <v>0</v>
      </c>
      <c r="AB145" s="4611">
        <v>0</v>
      </c>
      <c r="AC145" s="4611">
        <v>0</v>
      </c>
      <c r="AD145" s="4611">
        <v>0</v>
      </c>
      <c r="AE145" s="4611">
        <v>0</v>
      </c>
      <c r="AF145" s="4611">
        <v>0</v>
      </c>
      <c r="AG145" s="4611">
        <v>0</v>
      </c>
      <c r="AH145" s="4611">
        <v>0</v>
      </c>
      <c r="AI145" s="4611">
        <v>4.99</v>
      </c>
      <c r="AJ145" s="4611">
        <v>0</v>
      </c>
      <c r="AK145" s="4611">
        <v>0</v>
      </c>
      <c r="AL145" s="4612"/>
      <c r="AM145" s="4611">
        <v>0</v>
      </c>
      <c r="AN145" s="876">
        <f t="shared" si="4"/>
        <v>53.055999999999997</v>
      </c>
      <c r="AO145" s="877">
        <v>57.424999999999997</v>
      </c>
      <c r="AP145" s="878">
        <f t="shared" si="5"/>
        <v>-4.3689999999999998</v>
      </c>
    </row>
    <row r="146" spans="1:42" ht="13.8">
      <c r="A146" s="873">
        <v>350</v>
      </c>
      <c r="B146" s="874">
        <v>20</v>
      </c>
      <c r="C146" s="875">
        <v>22.044</v>
      </c>
      <c r="D146" s="875">
        <v>0</v>
      </c>
      <c r="E146" s="875">
        <v>8</v>
      </c>
      <c r="F146" s="875">
        <v>0</v>
      </c>
      <c r="G146" s="875">
        <v>0</v>
      </c>
      <c r="H146" s="875">
        <v>0</v>
      </c>
      <c r="I146" s="875">
        <v>0</v>
      </c>
      <c r="J146" s="875">
        <v>0</v>
      </c>
      <c r="K146" s="875">
        <v>0</v>
      </c>
      <c r="L146" s="875">
        <v>0</v>
      </c>
      <c r="M146" s="875">
        <v>0</v>
      </c>
      <c r="N146" s="875">
        <v>0</v>
      </c>
      <c r="O146" s="875">
        <v>0</v>
      </c>
      <c r="P146" s="875">
        <v>3</v>
      </c>
      <c r="Q146" s="875">
        <v>0.70899999999999996</v>
      </c>
      <c r="R146" s="875">
        <v>0</v>
      </c>
      <c r="S146" s="875"/>
      <c r="T146" s="875">
        <v>0</v>
      </c>
      <c r="U146" s="4611">
        <v>20</v>
      </c>
      <c r="V146" s="4608">
        <v>23.777999999999999</v>
      </c>
      <c r="W146" s="4608">
        <v>0</v>
      </c>
      <c r="X146" s="4611">
        <v>8</v>
      </c>
      <c r="Y146" s="4611">
        <v>0</v>
      </c>
      <c r="Z146" s="4611">
        <v>0</v>
      </c>
      <c r="AA146" s="4611">
        <v>0</v>
      </c>
      <c r="AB146" s="4611">
        <v>0</v>
      </c>
      <c r="AC146" s="4611">
        <v>0</v>
      </c>
      <c r="AD146" s="4611">
        <v>0</v>
      </c>
      <c r="AE146" s="4611">
        <v>0</v>
      </c>
      <c r="AF146" s="4611">
        <v>0</v>
      </c>
      <c r="AG146" s="4611">
        <v>0</v>
      </c>
      <c r="AH146" s="4611">
        <v>0</v>
      </c>
      <c r="AI146" s="4611">
        <v>3</v>
      </c>
      <c r="AJ146" s="4611">
        <v>0.70399999999999996</v>
      </c>
      <c r="AK146" s="4611">
        <v>0</v>
      </c>
      <c r="AL146" s="4612"/>
      <c r="AM146" s="4611">
        <v>0</v>
      </c>
      <c r="AN146" s="876">
        <f t="shared" si="4"/>
        <v>55.481999999999999</v>
      </c>
      <c r="AO146" s="877">
        <v>53.753</v>
      </c>
      <c r="AP146" s="878">
        <f t="shared" si="5"/>
        <v>1.7290000000000001</v>
      </c>
    </row>
    <row r="147" spans="1:42" ht="13.8">
      <c r="A147" s="873">
        <v>351</v>
      </c>
      <c r="B147" s="874">
        <v>20</v>
      </c>
      <c r="C147" s="875">
        <v>16.431000000000001</v>
      </c>
      <c r="D147" s="875">
        <v>0</v>
      </c>
      <c r="E147" s="875">
        <v>4.0330000000000004</v>
      </c>
      <c r="F147" s="875">
        <v>0</v>
      </c>
      <c r="G147" s="875">
        <v>0</v>
      </c>
      <c r="H147" s="875">
        <v>0</v>
      </c>
      <c r="I147" s="875">
        <v>0</v>
      </c>
      <c r="J147" s="875">
        <v>0</v>
      </c>
      <c r="K147" s="875">
        <v>0</v>
      </c>
      <c r="L147" s="875">
        <v>0</v>
      </c>
      <c r="M147" s="875">
        <v>0</v>
      </c>
      <c r="N147" s="875">
        <v>0</v>
      </c>
      <c r="O147" s="875">
        <v>0</v>
      </c>
      <c r="P147" s="875">
        <v>1</v>
      </c>
      <c r="Q147" s="875">
        <v>0</v>
      </c>
      <c r="R147" s="875">
        <v>0</v>
      </c>
      <c r="S147" s="875"/>
      <c r="T147" s="875">
        <v>0</v>
      </c>
      <c r="U147" s="4611">
        <v>20</v>
      </c>
      <c r="V147" s="4608">
        <v>16.405000000000001</v>
      </c>
      <c r="W147" s="4608">
        <v>0</v>
      </c>
      <c r="X147" s="4611">
        <v>5.9870000000000001</v>
      </c>
      <c r="Y147" s="4611">
        <v>0</v>
      </c>
      <c r="Z147" s="4611">
        <v>0</v>
      </c>
      <c r="AA147" s="4611">
        <v>0</v>
      </c>
      <c r="AB147" s="4611">
        <v>0</v>
      </c>
      <c r="AC147" s="4611">
        <v>0</v>
      </c>
      <c r="AD147" s="4611">
        <v>0</v>
      </c>
      <c r="AE147" s="4611">
        <v>0</v>
      </c>
      <c r="AF147" s="4611">
        <v>0</v>
      </c>
      <c r="AG147" s="4611">
        <v>0</v>
      </c>
      <c r="AH147" s="4611">
        <v>0</v>
      </c>
      <c r="AI147" s="4611">
        <v>0.998</v>
      </c>
      <c r="AJ147" s="4611">
        <v>0</v>
      </c>
      <c r="AK147" s="4611">
        <v>0</v>
      </c>
      <c r="AL147" s="4612"/>
      <c r="AM147" s="4611">
        <v>0</v>
      </c>
      <c r="AN147" s="876">
        <f t="shared" si="4"/>
        <v>43.39</v>
      </c>
      <c r="AO147" s="877">
        <v>41.463999999999999</v>
      </c>
      <c r="AP147" s="878">
        <f t="shared" si="5"/>
        <v>1.9259999999999999</v>
      </c>
    </row>
    <row r="148" spans="1:42" ht="13.8">
      <c r="A148" s="873">
        <v>352</v>
      </c>
      <c r="B148" s="874">
        <v>20</v>
      </c>
      <c r="C148" s="875">
        <v>17.082999999999998</v>
      </c>
      <c r="D148" s="875">
        <v>0</v>
      </c>
      <c r="E148" s="875">
        <v>3.75</v>
      </c>
      <c r="F148" s="875">
        <v>0</v>
      </c>
      <c r="G148" s="875">
        <v>0</v>
      </c>
      <c r="H148" s="875">
        <v>8.4</v>
      </c>
      <c r="I148" s="875">
        <v>0</v>
      </c>
      <c r="J148" s="875">
        <v>0</v>
      </c>
      <c r="K148" s="875">
        <v>0</v>
      </c>
      <c r="L148" s="875">
        <v>0</v>
      </c>
      <c r="M148" s="875">
        <v>0</v>
      </c>
      <c r="N148" s="875">
        <v>0</v>
      </c>
      <c r="O148" s="875">
        <v>0</v>
      </c>
      <c r="P148" s="875">
        <v>0</v>
      </c>
      <c r="Q148" s="875">
        <v>0</v>
      </c>
      <c r="R148" s="875">
        <v>0</v>
      </c>
      <c r="S148" s="875"/>
      <c r="T148" s="875">
        <v>0</v>
      </c>
      <c r="U148" s="4611">
        <v>20</v>
      </c>
      <c r="V148" s="4608">
        <v>16.637</v>
      </c>
      <c r="W148" s="4608">
        <v>0</v>
      </c>
      <c r="X148" s="4611">
        <v>4.1989999999999998</v>
      </c>
      <c r="Y148" s="4611">
        <v>0</v>
      </c>
      <c r="Z148" s="4611">
        <v>0</v>
      </c>
      <c r="AA148" s="4611">
        <v>8.4009999999999998</v>
      </c>
      <c r="AB148" s="4611">
        <v>0</v>
      </c>
      <c r="AC148" s="4611">
        <v>0</v>
      </c>
      <c r="AD148" s="4611">
        <v>0</v>
      </c>
      <c r="AE148" s="4611">
        <v>0</v>
      </c>
      <c r="AF148" s="4611">
        <v>0</v>
      </c>
      <c r="AG148" s="4611">
        <v>0</v>
      </c>
      <c r="AH148" s="4611">
        <v>0</v>
      </c>
      <c r="AI148" s="4611">
        <v>0</v>
      </c>
      <c r="AJ148" s="4611">
        <v>0</v>
      </c>
      <c r="AK148" s="4611">
        <v>0</v>
      </c>
      <c r="AL148" s="4612"/>
      <c r="AM148" s="4611">
        <v>0</v>
      </c>
      <c r="AN148" s="876">
        <f t="shared" si="4"/>
        <v>49.237000000000002</v>
      </c>
      <c r="AO148" s="877">
        <v>49.232999999999997</v>
      </c>
      <c r="AP148" s="878">
        <f t="shared" si="5"/>
        <v>4.0000000000000001E-3</v>
      </c>
    </row>
    <row r="149" spans="1:42" ht="13.8">
      <c r="A149" s="873">
        <v>353</v>
      </c>
      <c r="B149" s="874">
        <v>20</v>
      </c>
      <c r="C149" s="875">
        <v>15.907</v>
      </c>
      <c r="D149" s="875">
        <v>0</v>
      </c>
      <c r="E149" s="875">
        <v>7.9980000000000002</v>
      </c>
      <c r="F149" s="875">
        <v>0</v>
      </c>
      <c r="G149" s="875">
        <v>0</v>
      </c>
      <c r="H149" s="875">
        <v>10.897</v>
      </c>
      <c r="I149" s="875">
        <v>0</v>
      </c>
      <c r="J149" s="875">
        <v>0</v>
      </c>
      <c r="K149" s="875">
        <v>0</v>
      </c>
      <c r="L149" s="875">
        <v>0</v>
      </c>
      <c r="M149" s="875">
        <v>0</v>
      </c>
      <c r="N149" s="875">
        <v>0</v>
      </c>
      <c r="O149" s="875">
        <v>0</v>
      </c>
      <c r="P149" s="875">
        <v>4.9989999999999997</v>
      </c>
      <c r="Q149" s="875">
        <v>0.89100000000000001</v>
      </c>
      <c r="R149" s="875">
        <v>0</v>
      </c>
      <c r="S149" s="875"/>
      <c r="T149" s="875">
        <v>0</v>
      </c>
      <c r="U149" s="4611">
        <v>20</v>
      </c>
      <c r="V149" s="4608">
        <v>13.991</v>
      </c>
      <c r="W149" s="4608">
        <v>0</v>
      </c>
      <c r="X149" s="4611">
        <v>7.8090000000000002</v>
      </c>
      <c r="Y149" s="4611">
        <v>0</v>
      </c>
      <c r="Z149" s="4611">
        <v>0</v>
      </c>
      <c r="AA149" s="4611">
        <v>12.852</v>
      </c>
      <c r="AB149" s="4611">
        <v>0</v>
      </c>
      <c r="AC149" s="4611">
        <v>0</v>
      </c>
      <c r="AD149" s="4611">
        <v>0</v>
      </c>
      <c r="AE149" s="4611">
        <v>0</v>
      </c>
      <c r="AF149" s="4611">
        <v>0</v>
      </c>
      <c r="AG149" s="4611">
        <v>0</v>
      </c>
      <c r="AH149" s="4611">
        <v>0</v>
      </c>
      <c r="AI149" s="4611">
        <v>5</v>
      </c>
      <c r="AJ149" s="4611">
        <v>0.89100000000000001</v>
      </c>
      <c r="AK149" s="4611">
        <v>0</v>
      </c>
      <c r="AL149" s="4612"/>
      <c r="AM149" s="4611">
        <v>0</v>
      </c>
      <c r="AN149" s="876">
        <f t="shared" si="4"/>
        <v>60.542999999999999</v>
      </c>
      <c r="AO149" s="877">
        <v>60.692</v>
      </c>
      <c r="AP149" s="878">
        <f t="shared" si="5"/>
        <v>-0.14899999999999999</v>
      </c>
    </row>
    <row r="150" spans="1:42" ht="13.8">
      <c r="A150" s="873">
        <v>355</v>
      </c>
      <c r="B150" s="874">
        <v>20</v>
      </c>
      <c r="C150" s="875">
        <v>18.661999999999999</v>
      </c>
      <c r="D150" s="875">
        <v>0</v>
      </c>
      <c r="E150" s="875">
        <v>8</v>
      </c>
      <c r="F150" s="875">
        <v>0</v>
      </c>
      <c r="G150" s="875">
        <v>0</v>
      </c>
      <c r="H150" s="875">
        <v>0</v>
      </c>
      <c r="I150" s="875">
        <v>0</v>
      </c>
      <c r="J150" s="875">
        <v>0</v>
      </c>
      <c r="K150" s="875">
        <v>0</v>
      </c>
      <c r="L150" s="875">
        <v>0</v>
      </c>
      <c r="M150" s="875">
        <v>0</v>
      </c>
      <c r="N150" s="875">
        <v>0</v>
      </c>
      <c r="O150" s="875">
        <v>0</v>
      </c>
      <c r="P150" s="875">
        <v>3</v>
      </c>
      <c r="Q150" s="875">
        <v>0</v>
      </c>
      <c r="R150" s="875">
        <v>0</v>
      </c>
      <c r="S150" s="875"/>
      <c r="T150" s="875">
        <v>0</v>
      </c>
      <c r="U150" s="4611">
        <v>20</v>
      </c>
      <c r="V150" s="4608">
        <v>21.379000000000001</v>
      </c>
      <c r="W150" s="4608">
        <v>0</v>
      </c>
      <c r="X150" s="4611">
        <v>8</v>
      </c>
      <c r="Y150" s="4611">
        <v>0</v>
      </c>
      <c r="Z150" s="4611">
        <v>0</v>
      </c>
      <c r="AA150" s="4611">
        <v>0</v>
      </c>
      <c r="AB150" s="4611">
        <v>0</v>
      </c>
      <c r="AC150" s="4611">
        <v>0</v>
      </c>
      <c r="AD150" s="4611">
        <v>0</v>
      </c>
      <c r="AE150" s="4611">
        <v>0</v>
      </c>
      <c r="AF150" s="4611">
        <v>0</v>
      </c>
      <c r="AG150" s="4611">
        <v>0</v>
      </c>
      <c r="AH150" s="4611">
        <v>0</v>
      </c>
      <c r="AI150" s="4611">
        <v>3</v>
      </c>
      <c r="AJ150" s="4611">
        <v>0</v>
      </c>
      <c r="AK150" s="4611">
        <v>0</v>
      </c>
      <c r="AL150" s="4612"/>
      <c r="AM150" s="4611">
        <v>0</v>
      </c>
      <c r="AN150" s="876">
        <f t="shared" si="4"/>
        <v>52.378999999999998</v>
      </c>
      <c r="AO150" s="877">
        <v>49.661999999999999</v>
      </c>
      <c r="AP150" s="878">
        <f t="shared" si="5"/>
        <v>2.7170000000000001</v>
      </c>
    </row>
    <row r="151" spans="1:42" ht="13.8">
      <c r="A151" s="873">
        <v>356</v>
      </c>
      <c r="B151" s="874">
        <v>20</v>
      </c>
      <c r="C151" s="875">
        <v>16.524000000000001</v>
      </c>
      <c r="D151" s="875">
        <v>0</v>
      </c>
      <c r="E151" s="875">
        <v>8</v>
      </c>
      <c r="F151" s="875">
        <v>0</v>
      </c>
      <c r="G151" s="875">
        <v>0</v>
      </c>
      <c r="H151" s="875">
        <v>0</v>
      </c>
      <c r="I151" s="875">
        <v>0</v>
      </c>
      <c r="J151" s="875">
        <v>0</v>
      </c>
      <c r="K151" s="875">
        <v>0</v>
      </c>
      <c r="L151" s="875">
        <v>0</v>
      </c>
      <c r="M151" s="875">
        <v>0</v>
      </c>
      <c r="N151" s="875">
        <v>0</v>
      </c>
      <c r="O151" s="875">
        <v>0</v>
      </c>
      <c r="P151" s="875">
        <v>4</v>
      </c>
      <c r="Q151" s="875">
        <v>0</v>
      </c>
      <c r="R151" s="875">
        <v>0</v>
      </c>
      <c r="S151" s="875"/>
      <c r="T151" s="875">
        <v>0</v>
      </c>
      <c r="U151" s="4611">
        <v>20</v>
      </c>
      <c r="V151" s="4608">
        <v>15.199</v>
      </c>
      <c r="W151" s="4608">
        <v>0</v>
      </c>
      <c r="X151" s="4611">
        <v>7.9989999999999997</v>
      </c>
      <c r="Y151" s="4611">
        <v>0</v>
      </c>
      <c r="Z151" s="4611">
        <v>0</v>
      </c>
      <c r="AA151" s="4611">
        <v>0</v>
      </c>
      <c r="AB151" s="4611">
        <v>0</v>
      </c>
      <c r="AC151" s="4611">
        <v>0</v>
      </c>
      <c r="AD151" s="4611">
        <v>0</v>
      </c>
      <c r="AE151" s="4611">
        <v>0</v>
      </c>
      <c r="AF151" s="4611">
        <v>0</v>
      </c>
      <c r="AG151" s="4611">
        <v>0</v>
      </c>
      <c r="AH151" s="4611">
        <v>0</v>
      </c>
      <c r="AI151" s="4611">
        <v>3.9990000000000001</v>
      </c>
      <c r="AJ151" s="4611">
        <v>0</v>
      </c>
      <c r="AK151" s="4611">
        <v>0</v>
      </c>
      <c r="AL151" s="4612"/>
      <c r="AM151" s="4611">
        <v>0</v>
      </c>
      <c r="AN151" s="876">
        <f t="shared" si="4"/>
        <v>47.197000000000003</v>
      </c>
      <c r="AO151" s="877">
        <v>48.524000000000001</v>
      </c>
      <c r="AP151" s="878">
        <f t="shared" si="5"/>
        <v>-1.327</v>
      </c>
    </row>
    <row r="152" spans="1:42" ht="13.8">
      <c r="A152" s="873">
        <v>357</v>
      </c>
      <c r="B152" s="874">
        <v>20</v>
      </c>
      <c r="C152" s="875">
        <v>21.466000000000001</v>
      </c>
      <c r="D152" s="875">
        <v>0</v>
      </c>
      <c r="E152" s="875">
        <v>8</v>
      </c>
      <c r="F152" s="875">
        <v>0</v>
      </c>
      <c r="G152" s="875">
        <v>0</v>
      </c>
      <c r="H152" s="875">
        <v>9.032</v>
      </c>
      <c r="I152" s="875">
        <v>0</v>
      </c>
      <c r="J152" s="875">
        <v>0</v>
      </c>
      <c r="K152" s="875">
        <v>0</v>
      </c>
      <c r="L152" s="875">
        <v>0</v>
      </c>
      <c r="M152" s="875">
        <v>0</v>
      </c>
      <c r="N152" s="875">
        <v>0</v>
      </c>
      <c r="O152" s="875">
        <v>0</v>
      </c>
      <c r="P152" s="875">
        <v>0</v>
      </c>
      <c r="Q152" s="875">
        <v>0</v>
      </c>
      <c r="R152" s="875">
        <v>0</v>
      </c>
      <c r="S152" s="875"/>
      <c r="T152" s="875">
        <v>0</v>
      </c>
      <c r="U152" s="4611">
        <v>20</v>
      </c>
      <c r="V152" s="4608">
        <v>16.071999999999999</v>
      </c>
      <c r="W152" s="4608">
        <v>0</v>
      </c>
      <c r="X152" s="4611">
        <v>7.9960000000000004</v>
      </c>
      <c r="Y152" s="4611">
        <v>0</v>
      </c>
      <c r="Z152" s="4611">
        <v>0</v>
      </c>
      <c r="AA152" s="4611">
        <v>14.25</v>
      </c>
      <c r="AB152" s="4611">
        <v>0</v>
      </c>
      <c r="AC152" s="4611">
        <v>0</v>
      </c>
      <c r="AD152" s="4611">
        <v>0</v>
      </c>
      <c r="AE152" s="4611">
        <v>0</v>
      </c>
      <c r="AF152" s="4611">
        <v>0</v>
      </c>
      <c r="AG152" s="4611">
        <v>0</v>
      </c>
      <c r="AH152" s="4611">
        <v>0</v>
      </c>
      <c r="AI152" s="4611">
        <v>0</v>
      </c>
      <c r="AJ152" s="4611">
        <v>0</v>
      </c>
      <c r="AK152" s="4611">
        <v>0</v>
      </c>
      <c r="AL152" s="4612"/>
      <c r="AM152" s="4611">
        <v>0</v>
      </c>
      <c r="AN152" s="876">
        <f t="shared" si="4"/>
        <v>58.317999999999998</v>
      </c>
      <c r="AO152" s="877">
        <v>58.497999999999998</v>
      </c>
      <c r="AP152" s="878">
        <f t="shared" si="5"/>
        <v>-0.18</v>
      </c>
    </row>
    <row r="153" spans="1:42" ht="13.8">
      <c r="A153" s="873">
        <v>358</v>
      </c>
      <c r="B153" s="874">
        <v>20</v>
      </c>
      <c r="C153" s="875">
        <v>14.227</v>
      </c>
      <c r="D153" s="875">
        <v>0</v>
      </c>
      <c r="E153" s="875">
        <v>7.9930000000000003</v>
      </c>
      <c r="F153" s="875">
        <v>0</v>
      </c>
      <c r="G153" s="875">
        <v>0</v>
      </c>
      <c r="H153" s="875">
        <v>11.41</v>
      </c>
      <c r="I153" s="875">
        <v>0</v>
      </c>
      <c r="J153" s="875">
        <v>0</v>
      </c>
      <c r="K153" s="875">
        <v>0</v>
      </c>
      <c r="L153" s="875">
        <v>0</v>
      </c>
      <c r="M153" s="875">
        <v>0</v>
      </c>
      <c r="N153" s="875">
        <v>0</v>
      </c>
      <c r="O153" s="875">
        <v>0</v>
      </c>
      <c r="P153" s="875">
        <v>0</v>
      </c>
      <c r="Q153" s="875">
        <v>0</v>
      </c>
      <c r="R153" s="875">
        <v>0</v>
      </c>
      <c r="S153" s="875"/>
      <c r="T153" s="875">
        <v>0</v>
      </c>
      <c r="U153" s="4611">
        <v>20</v>
      </c>
      <c r="V153" s="4608">
        <v>12.032</v>
      </c>
      <c r="W153" s="4608">
        <v>0</v>
      </c>
      <c r="X153" s="4611">
        <v>7.61</v>
      </c>
      <c r="Y153" s="4611">
        <v>0</v>
      </c>
      <c r="Z153" s="4611">
        <v>0</v>
      </c>
      <c r="AA153" s="4611">
        <v>13.901999999999999</v>
      </c>
      <c r="AB153" s="4611">
        <v>0</v>
      </c>
      <c r="AC153" s="4611">
        <v>0</v>
      </c>
      <c r="AD153" s="4611">
        <v>0</v>
      </c>
      <c r="AE153" s="4611">
        <v>0</v>
      </c>
      <c r="AF153" s="4611">
        <v>0</v>
      </c>
      <c r="AG153" s="4611">
        <v>0</v>
      </c>
      <c r="AH153" s="4611">
        <v>0</v>
      </c>
      <c r="AI153" s="4611">
        <v>0</v>
      </c>
      <c r="AJ153" s="4611">
        <v>0</v>
      </c>
      <c r="AK153" s="4611">
        <v>0</v>
      </c>
      <c r="AL153" s="4612"/>
      <c r="AM153" s="4611">
        <v>0</v>
      </c>
      <c r="AN153" s="876">
        <f t="shared" si="4"/>
        <v>53.543999999999997</v>
      </c>
      <c r="AO153" s="877">
        <v>53.63</v>
      </c>
      <c r="AP153" s="878">
        <f t="shared" si="5"/>
        <v>-8.5999999999999993E-2</v>
      </c>
    </row>
    <row r="154" spans="1:42" ht="13.8">
      <c r="A154" s="873">
        <v>359</v>
      </c>
      <c r="B154" s="874">
        <v>20</v>
      </c>
      <c r="C154" s="875">
        <v>23.274000000000001</v>
      </c>
      <c r="D154" s="875">
        <v>0</v>
      </c>
      <c r="E154" s="875">
        <v>4.8920000000000003</v>
      </c>
      <c r="F154" s="875">
        <v>0</v>
      </c>
      <c r="G154" s="875">
        <v>0</v>
      </c>
      <c r="H154" s="875">
        <v>0</v>
      </c>
      <c r="I154" s="875">
        <v>0</v>
      </c>
      <c r="J154" s="875">
        <v>0</v>
      </c>
      <c r="K154" s="875">
        <v>0</v>
      </c>
      <c r="L154" s="875">
        <v>0</v>
      </c>
      <c r="M154" s="875">
        <v>0</v>
      </c>
      <c r="N154" s="875">
        <v>0</v>
      </c>
      <c r="O154" s="875">
        <v>0</v>
      </c>
      <c r="P154" s="875">
        <v>2.5</v>
      </c>
      <c r="Q154" s="875">
        <v>0</v>
      </c>
      <c r="R154" s="875">
        <v>0</v>
      </c>
      <c r="S154" s="875"/>
      <c r="T154" s="875">
        <v>0</v>
      </c>
      <c r="U154" s="4611">
        <v>20</v>
      </c>
      <c r="V154" s="4608">
        <v>26.765999999999998</v>
      </c>
      <c r="W154" s="4608">
        <v>0</v>
      </c>
      <c r="X154" s="4611">
        <v>1.3680000000000001</v>
      </c>
      <c r="Y154" s="4611">
        <v>0</v>
      </c>
      <c r="Z154" s="4611">
        <v>0</v>
      </c>
      <c r="AA154" s="4611">
        <v>0</v>
      </c>
      <c r="AB154" s="4611">
        <v>0</v>
      </c>
      <c r="AC154" s="4611">
        <v>0</v>
      </c>
      <c r="AD154" s="4611">
        <v>0</v>
      </c>
      <c r="AE154" s="4611">
        <v>0</v>
      </c>
      <c r="AF154" s="4611">
        <v>0</v>
      </c>
      <c r="AG154" s="4611">
        <v>0</v>
      </c>
      <c r="AH154" s="4611">
        <v>0</v>
      </c>
      <c r="AI154" s="4611">
        <v>2.3809999999999998</v>
      </c>
      <c r="AJ154" s="4611">
        <v>0</v>
      </c>
      <c r="AK154" s="4611">
        <v>0</v>
      </c>
      <c r="AL154" s="4612"/>
      <c r="AM154" s="4611">
        <v>0</v>
      </c>
      <c r="AN154" s="876">
        <f t="shared" si="4"/>
        <v>50.515000000000001</v>
      </c>
      <c r="AO154" s="877">
        <v>50.665999999999997</v>
      </c>
      <c r="AP154" s="878">
        <f t="shared" si="5"/>
        <v>-0.151</v>
      </c>
    </row>
    <row r="155" spans="1:42" ht="13.8">
      <c r="A155" s="873">
        <v>360</v>
      </c>
      <c r="B155" s="874">
        <v>20</v>
      </c>
      <c r="C155" s="875">
        <v>26.173999999999999</v>
      </c>
      <c r="D155" s="875">
        <v>0</v>
      </c>
      <c r="E155" s="875">
        <v>7.9939999999999998</v>
      </c>
      <c r="F155" s="875">
        <v>0</v>
      </c>
      <c r="G155" s="875">
        <v>0</v>
      </c>
      <c r="H155" s="875">
        <v>15.683</v>
      </c>
      <c r="I155" s="875">
        <v>0</v>
      </c>
      <c r="J155" s="875">
        <v>0</v>
      </c>
      <c r="K155" s="875">
        <v>0</v>
      </c>
      <c r="L155" s="875">
        <v>0</v>
      </c>
      <c r="M155" s="875">
        <v>0</v>
      </c>
      <c r="N155" s="875">
        <v>0</v>
      </c>
      <c r="O155" s="875">
        <v>0</v>
      </c>
      <c r="P155" s="875">
        <v>1.9990000000000001</v>
      </c>
      <c r="Q155" s="875">
        <v>0</v>
      </c>
      <c r="R155" s="875">
        <v>0</v>
      </c>
      <c r="S155" s="875"/>
      <c r="T155" s="875">
        <v>0</v>
      </c>
      <c r="U155" s="4611">
        <v>20</v>
      </c>
      <c r="V155" s="4608">
        <v>24.878</v>
      </c>
      <c r="W155" s="4608">
        <v>0</v>
      </c>
      <c r="X155" s="4611">
        <v>7.9880000000000004</v>
      </c>
      <c r="Y155" s="4611">
        <v>0</v>
      </c>
      <c r="Z155" s="4611">
        <v>0</v>
      </c>
      <c r="AA155" s="4611">
        <v>15.593999999999999</v>
      </c>
      <c r="AB155" s="4611">
        <v>0</v>
      </c>
      <c r="AC155" s="4611">
        <v>0</v>
      </c>
      <c r="AD155" s="4611">
        <v>0</v>
      </c>
      <c r="AE155" s="4611">
        <v>0</v>
      </c>
      <c r="AF155" s="4611">
        <v>0</v>
      </c>
      <c r="AG155" s="4611">
        <v>0</v>
      </c>
      <c r="AH155" s="4611">
        <v>0</v>
      </c>
      <c r="AI155" s="4611">
        <v>2.9830000000000001</v>
      </c>
      <c r="AJ155" s="4611">
        <v>0</v>
      </c>
      <c r="AK155" s="4611">
        <v>0</v>
      </c>
      <c r="AL155" s="4612"/>
      <c r="AM155" s="4611">
        <v>0</v>
      </c>
      <c r="AN155" s="876">
        <f t="shared" si="4"/>
        <v>71.442999999999998</v>
      </c>
      <c r="AO155" s="877">
        <v>71.849999999999994</v>
      </c>
      <c r="AP155" s="878">
        <f t="shared" si="5"/>
        <v>-0.40699999999999997</v>
      </c>
    </row>
    <row r="156" spans="1:42" ht="13.8">
      <c r="A156" s="873">
        <v>361</v>
      </c>
      <c r="B156" s="874">
        <v>20</v>
      </c>
      <c r="C156" s="875">
        <v>20.818999999999999</v>
      </c>
      <c r="D156" s="875">
        <v>0</v>
      </c>
      <c r="E156" s="875">
        <v>7.83</v>
      </c>
      <c r="F156" s="875">
        <v>0</v>
      </c>
      <c r="G156" s="875">
        <v>0</v>
      </c>
      <c r="H156" s="875">
        <v>7.42</v>
      </c>
      <c r="I156" s="875">
        <v>0</v>
      </c>
      <c r="J156" s="875">
        <v>0</v>
      </c>
      <c r="K156" s="875">
        <v>0</v>
      </c>
      <c r="L156" s="875">
        <v>0</v>
      </c>
      <c r="M156" s="875">
        <v>0</v>
      </c>
      <c r="N156" s="875">
        <v>0</v>
      </c>
      <c r="O156" s="875">
        <v>0</v>
      </c>
      <c r="P156" s="875">
        <v>0</v>
      </c>
      <c r="Q156" s="875">
        <v>0</v>
      </c>
      <c r="R156" s="875">
        <v>0</v>
      </c>
      <c r="S156" s="875"/>
      <c r="T156" s="875">
        <v>0</v>
      </c>
      <c r="U156" s="4611">
        <v>20</v>
      </c>
      <c r="V156" s="4608">
        <v>21.608000000000001</v>
      </c>
      <c r="W156" s="4608">
        <v>0</v>
      </c>
      <c r="X156" s="4611">
        <v>7.2240000000000002</v>
      </c>
      <c r="Y156" s="4611">
        <v>0</v>
      </c>
      <c r="Z156" s="4611">
        <v>0</v>
      </c>
      <c r="AA156" s="4611">
        <v>4.9889999999999999</v>
      </c>
      <c r="AB156" s="4611">
        <v>0</v>
      </c>
      <c r="AC156" s="4611">
        <v>0</v>
      </c>
      <c r="AD156" s="4611">
        <v>0</v>
      </c>
      <c r="AE156" s="4611">
        <v>0</v>
      </c>
      <c r="AF156" s="4611">
        <v>0</v>
      </c>
      <c r="AG156" s="4611">
        <v>0</v>
      </c>
      <c r="AH156" s="4611">
        <v>0</v>
      </c>
      <c r="AI156" s="4611">
        <v>0</v>
      </c>
      <c r="AJ156" s="4611">
        <v>0</v>
      </c>
      <c r="AK156" s="4611">
        <v>0</v>
      </c>
      <c r="AL156" s="4612"/>
      <c r="AM156" s="4611">
        <v>0</v>
      </c>
      <c r="AN156" s="876">
        <f t="shared" si="4"/>
        <v>53.820999999999998</v>
      </c>
      <c r="AO156" s="877">
        <v>56.069000000000003</v>
      </c>
      <c r="AP156" s="878">
        <f t="shared" si="5"/>
        <v>-2.2480000000000002</v>
      </c>
    </row>
    <row r="157" spans="1:42" ht="13.8">
      <c r="A157" s="873">
        <v>362</v>
      </c>
      <c r="B157" s="874">
        <v>20</v>
      </c>
      <c r="C157" s="875">
        <v>11.444000000000001</v>
      </c>
      <c r="D157" s="875">
        <v>0</v>
      </c>
      <c r="E157" s="875">
        <v>8</v>
      </c>
      <c r="F157" s="875">
        <v>0</v>
      </c>
      <c r="G157" s="875">
        <v>0</v>
      </c>
      <c r="H157" s="875">
        <v>4.7969999999999997</v>
      </c>
      <c r="I157" s="875">
        <v>0</v>
      </c>
      <c r="J157" s="875">
        <v>0</v>
      </c>
      <c r="K157" s="875">
        <v>0</v>
      </c>
      <c r="L157" s="875">
        <v>0</v>
      </c>
      <c r="M157" s="875">
        <v>0</v>
      </c>
      <c r="N157" s="875">
        <v>0</v>
      </c>
      <c r="O157" s="875">
        <v>0</v>
      </c>
      <c r="P157" s="875">
        <v>0</v>
      </c>
      <c r="Q157" s="875">
        <v>0</v>
      </c>
      <c r="R157" s="875">
        <v>0</v>
      </c>
      <c r="S157" s="875"/>
      <c r="T157" s="875">
        <v>0</v>
      </c>
      <c r="U157" s="4611">
        <v>20</v>
      </c>
      <c r="V157" s="4608">
        <v>11.712</v>
      </c>
      <c r="W157" s="4608">
        <v>0</v>
      </c>
      <c r="X157" s="4611">
        <v>8</v>
      </c>
      <c r="Y157" s="4611">
        <v>0</v>
      </c>
      <c r="Z157" s="4611">
        <v>0</v>
      </c>
      <c r="AA157" s="4611">
        <v>4.5289999999999999</v>
      </c>
      <c r="AB157" s="4611">
        <v>0</v>
      </c>
      <c r="AC157" s="4611">
        <v>0</v>
      </c>
      <c r="AD157" s="4611">
        <v>0</v>
      </c>
      <c r="AE157" s="4611">
        <v>0</v>
      </c>
      <c r="AF157" s="4611">
        <v>0</v>
      </c>
      <c r="AG157" s="4611">
        <v>0</v>
      </c>
      <c r="AH157" s="4611">
        <v>0</v>
      </c>
      <c r="AI157" s="4611">
        <v>0</v>
      </c>
      <c r="AJ157" s="4611">
        <v>0</v>
      </c>
      <c r="AK157" s="4611">
        <v>0</v>
      </c>
      <c r="AL157" s="4612"/>
      <c r="AM157" s="4611">
        <v>0</v>
      </c>
      <c r="AN157" s="876">
        <f t="shared" si="4"/>
        <v>44.241</v>
      </c>
      <c r="AO157" s="877">
        <v>44.241</v>
      </c>
      <c r="AP157" s="878">
        <f t="shared" si="5"/>
        <v>0</v>
      </c>
    </row>
    <row r="158" spans="1:42" ht="13.8">
      <c r="A158" s="873">
        <v>363</v>
      </c>
      <c r="B158" s="874">
        <v>20</v>
      </c>
      <c r="C158" s="875">
        <v>21.068000000000001</v>
      </c>
      <c r="D158" s="875">
        <v>0</v>
      </c>
      <c r="E158" s="875">
        <v>4.7430000000000003</v>
      </c>
      <c r="F158" s="875">
        <v>0</v>
      </c>
      <c r="G158" s="875">
        <v>0</v>
      </c>
      <c r="H158" s="875">
        <v>3.1269999999999998</v>
      </c>
      <c r="I158" s="875">
        <v>0</v>
      </c>
      <c r="J158" s="875">
        <v>0</v>
      </c>
      <c r="K158" s="875">
        <v>0</v>
      </c>
      <c r="L158" s="875">
        <v>0</v>
      </c>
      <c r="M158" s="875">
        <v>0</v>
      </c>
      <c r="N158" s="875">
        <v>0</v>
      </c>
      <c r="O158" s="875">
        <v>0</v>
      </c>
      <c r="P158" s="875">
        <v>3.6019999999999999</v>
      </c>
      <c r="Q158" s="875">
        <v>1.0009999999999999</v>
      </c>
      <c r="R158" s="875">
        <v>0</v>
      </c>
      <c r="S158" s="875"/>
      <c r="T158" s="875">
        <v>0</v>
      </c>
      <c r="U158" s="4611">
        <v>20</v>
      </c>
      <c r="V158" s="4608">
        <v>20.981000000000002</v>
      </c>
      <c r="W158" s="4608">
        <v>0</v>
      </c>
      <c r="X158" s="4611">
        <v>4.7670000000000003</v>
      </c>
      <c r="Y158" s="4611">
        <v>0</v>
      </c>
      <c r="Z158" s="4611">
        <v>0</v>
      </c>
      <c r="AA158" s="4611">
        <v>3.117</v>
      </c>
      <c r="AB158" s="4611">
        <v>0</v>
      </c>
      <c r="AC158" s="4611">
        <v>0</v>
      </c>
      <c r="AD158" s="4611">
        <v>0</v>
      </c>
      <c r="AE158" s="4611">
        <v>0</v>
      </c>
      <c r="AF158" s="4611">
        <v>0</v>
      </c>
      <c r="AG158" s="4611">
        <v>0</v>
      </c>
      <c r="AH158" s="4611">
        <v>0</v>
      </c>
      <c r="AI158" s="4611">
        <v>3.5910000000000002</v>
      </c>
      <c r="AJ158" s="4611">
        <v>0.997</v>
      </c>
      <c r="AK158" s="4611">
        <v>0</v>
      </c>
      <c r="AL158" s="4612"/>
      <c r="AM158" s="4611">
        <v>0</v>
      </c>
      <c r="AN158" s="876">
        <f t="shared" si="4"/>
        <v>53.453000000000003</v>
      </c>
      <c r="AO158" s="877">
        <v>53.540999999999997</v>
      </c>
      <c r="AP158" s="878">
        <f t="shared" si="5"/>
        <v>-8.7999999999999995E-2</v>
      </c>
    </row>
    <row r="159" spans="1:42" ht="13.8">
      <c r="A159" s="873">
        <v>364</v>
      </c>
      <c r="B159" s="874">
        <v>20</v>
      </c>
      <c r="C159" s="875">
        <v>16.574999999999999</v>
      </c>
      <c r="D159" s="875">
        <v>0</v>
      </c>
      <c r="E159" s="875">
        <v>7.9989999999999997</v>
      </c>
      <c r="F159" s="875">
        <v>0</v>
      </c>
      <c r="G159" s="875">
        <v>0</v>
      </c>
      <c r="H159" s="875">
        <v>14.125</v>
      </c>
      <c r="I159" s="875">
        <v>0</v>
      </c>
      <c r="J159" s="875">
        <v>0</v>
      </c>
      <c r="K159" s="875">
        <v>0</v>
      </c>
      <c r="L159" s="875">
        <v>0</v>
      </c>
      <c r="M159" s="875">
        <v>0</v>
      </c>
      <c r="N159" s="875">
        <v>0</v>
      </c>
      <c r="O159" s="875">
        <v>0</v>
      </c>
      <c r="P159" s="875">
        <v>0</v>
      </c>
      <c r="Q159" s="875">
        <v>0</v>
      </c>
      <c r="R159" s="875">
        <v>0</v>
      </c>
      <c r="S159" s="875"/>
      <c r="T159" s="875">
        <v>0</v>
      </c>
      <c r="U159" s="4611">
        <v>20</v>
      </c>
      <c r="V159" s="4608">
        <v>17.065000000000001</v>
      </c>
      <c r="W159" s="4608">
        <v>0</v>
      </c>
      <c r="X159" s="4611">
        <v>7.9989999999999997</v>
      </c>
      <c r="Y159" s="4611">
        <v>0</v>
      </c>
      <c r="Z159" s="4611">
        <v>0</v>
      </c>
      <c r="AA159" s="4611">
        <v>13.863</v>
      </c>
      <c r="AB159" s="4611">
        <v>0</v>
      </c>
      <c r="AC159" s="4611">
        <v>0</v>
      </c>
      <c r="AD159" s="4611">
        <v>0</v>
      </c>
      <c r="AE159" s="4611">
        <v>0</v>
      </c>
      <c r="AF159" s="4611">
        <v>0</v>
      </c>
      <c r="AG159" s="4611">
        <v>0</v>
      </c>
      <c r="AH159" s="4611">
        <v>0</v>
      </c>
      <c r="AI159" s="4611">
        <v>0</v>
      </c>
      <c r="AJ159" s="4611">
        <v>0</v>
      </c>
      <c r="AK159" s="4611">
        <v>0</v>
      </c>
      <c r="AL159" s="4612"/>
      <c r="AM159" s="4611">
        <v>0</v>
      </c>
      <c r="AN159" s="876">
        <f t="shared" si="4"/>
        <v>58.927</v>
      </c>
      <c r="AO159" s="877">
        <v>58.698999999999998</v>
      </c>
      <c r="AP159" s="878">
        <f t="shared" si="5"/>
        <v>0.22800000000000001</v>
      </c>
    </row>
    <row r="160" spans="1:42" ht="13.8">
      <c r="A160" s="873">
        <v>365</v>
      </c>
      <c r="B160" s="874">
        <v>20</v>
      </c>
      <c r="C160" s="875">
        <v>17.814</v>
      </c>
      <c r="D160" s="875">
        <v>0</v>
      </c>
      <c r="E160" s="875">
        <v>7.4969999999999999</v>
      </c>
      <c r="F160" s="875">
        <v>0</v>
      </c>
      <c r="G160" s="875">
        <v>0</v>
      </c>
      <c r="H160" s="875">
        <v>7.9660000000000002</v>
      </c>
      <c r="I160" s="875">
        <v>0</v>
      </c>
      <c r="J160" s="875">
        <v>0</v>
      </c>
      <c r="K160" s="875">
        <v>0</v>
      </c>
      <c r="L160" s="875">
        <v>0</v>
      </c>
      <c r="M160" s="875">
        <v>0</v>
      </c>
      <c r="N160" s="875">
        <v>0</v>
      </c>
      <c r="O160" s="875">
        <v>0</v>
      </c>
      <c r="P160" s="875">
        <v>0</v>
      </c>
      <c r="Q160" s="875">
        <v>0</v>
      </c>
      <c r="R160" s="875">
        <v>0</v>
      </c>
      <c r="S160" s="875"/>
      <c r="T160" s="875">
        <v>0</v>
      </c>
      <c r="U160" s="4611">
        <v>20</v>
      </c>
      <c r="V160" s="4608">
        <v>17.103999999999999</v>
      </c>
      <c r="W160" s="4608">
        <v>0</v>
      </c>
      <c r="X160" s="4611">
        <v>7.5039999999999996</v>
      </c>
      <c r="Y160" s="4611">
        <v>0</v>
      </c>
      <c r="Z160" s="4611">
        <v>0</v>
      </c>
      <c r="AA160" s="4611">
        <v>8.1069999999999993</v>
      </c>
      <c r="AB160" s="4611">
        <v>0</v>
      </c>
      <c r="AC160" s="4611">
        <v>0</v>
      </c>
      <c r="AD160" s="4611">
        <v>0</v>
      </c>
      <c r="AE160" s="4611">
        <v>0</v>
      </c>
      <c r="AF160" s="4611">
        <v>0</v>
      </c>
      <c r="AG160" s="4611">
        <v>0</v>
      </c>
      <c r="AH160" s="4611">
        <v>0</v>
      </c>
      <c r="AI160" s="4611">
        <v>0</v>
      </c>
      <c r="AJ160" s="4611">
        <v>0</v>
      </c>
      <c r="AK160" s="4611">
        <v>0</v>
      </c>
      <c r="AL160" s="4612"/>
      <c r="AM160" s="4611">
        <v>0</v>
      </c>
      <c r="AN160" s="876">
        <f t="shared" si="4"/>
        <v>52.715000000000003</v>
      </c>
      <c r="AO160" s="877">
        <v>53.277000000000001</v>
      </c>
      <c r="AP160" s="878">
        <f t="shared" si="5"/>
        <v>-0.56200000000000006</v>
      </c>
    </row>
    <row r="161" spans="1:42" ht="13.8">
      <c r="A161" s="873">
        <v>366</v>
      </c>
      <c r="B161" s="874">
        <v>20</v>
      </c>
      <c r="C161" s="875">
        <v>17.52</v>
      </c>
      <c r="D161" s="875">
        <v>0</v>
      </c>
      <c r="E161" s="875">
        <v>7.9950000000000001</v>
      </c>
      <c r="F161" s="875">
        <v>0</v>
      </c>
      <c r="G161" s="875">
        <v>0</v>
      </c>
      <c r="H161" s="875">
        <v>0</v>
      </c>
      <c r="I161" s="875">
        <v>0</v>
      </c>
      <c r="J161" s="875">
        <v>0</v>
      </c>
      <c r="K161" s="875">
        <v>0</v>
      </c>
      <c r="L161" s="875">
        <v>0</v>
      </c>
      <c r="M161" s="875">
        <v>0</v>
      </c>
      <c r="N161" s="875">
        <v>0</v>
      </c>
      <c r="O161" s="875">
        <v>0</v>
      </c>
      <c r="P161" s="875">
        <v>0</v>
      </c>
      <c r="Q161" s="875">
        <v>0</v>
      </c>
      <c r="R161" s="875">
        <v>0</v>
      </c>
      <c r="S161" s="875"/>
      <c r="T161" s="875">
        <v>0</v>
      </c>
      <c r="U161" s="4611">
        <v>20</v>
      </c>
      <c r="V161" s="4608">
        <v>19.616</v>
      </c>
      <c r="W161" s="4608">
        <v>0</v>
      </c>
      <c r="X161" s="4611">
        <v>8</v>
      </c>
      <c r="Y161" s="4611">
        <v>0</v>
      </c>
      <c r="Z161" s="4611">
        <v>0</v>
      </c>
      <c r="AA161" s="4611">
        <v>0</v>
      </c>
      <c r="AB161" s="4611">
        <v>0</v>
      </c>
      <c r="AC161" s="4611">
        <v>0</v>
      </c>
      <c r="AD161" s="4611">
        <v>0</v>
      </c>
      <c r="AE161" s="4611">
        <v>0</v>
      </c>
      <c r="AF161" s="4611">
        <v>0</v>
      </c>
      <c r="AG161" s="4611">
        <v>0</v>
      </c>
      <c r="AH161" s="4611">
        <v>0</v>
      </c>
      <c r="AI161" s="4611">
        <v>0</v>
      </c>
      <c r="AJ161" s="4611">
        <v>0</v>
      </c>
      <c r="AK161" s="4611">
        <v>0</v>
      </c>
      <c r="AL161" s="4612"/>
      <c r="AM161" s="4611">
        <v>0</v>
      </c>
      <c r="AN161" s="876">
        <f t="shared" si="4"/>
        <v>47.616</v>
      </c>
      <c r="AO161" s="877">
        <v>45.515000000000001</v>
      </c>
      <c r="AP161" s="878">
        <f t="shared" si="5"/>
        <v>2.101</v>
      </c>
    </row>
    <row r="162" spans="1:42" ht="13.8">
      <c r="A162" s="873">
        <v>367</v>
      </c>
      <c r="B162" s="874">
        <v>20</v>
      </c>
      <c r="C162" s="875">
        <v>20.259</v>
      </c>
      <c r="D162" s="875">
        <v>0</v>
      </c>
      <c r="E162" s="875">
        <v>8</v>
      </c>
      <c r="F162" s="875">
        <v>0</v>
      </c>
      <c r="G162" s="875">
        <v>0</v>
      </c>
      <c r="H162" s="875">
        <v>10.865</v>
      </c>
      <c r="I162" s="875">
        <v>0</v>
      </c>
      <c r="J162" s="875">
        <v>0</v>
      </c>
      <c r="K162" s="875">
        <v>0</v>
      </c>
      <c r="L162" s="875">
        <v>0</v>
      </c>
      <c r="M162" s="875">
        <v>0</v>
      </c>
      <c r="N162" s="875">
        <v>0</v>
      </c>
      <c r="O162" s="875">
        <v>0</v>
      </c>
      <c r="P162" s="875">
        <v>1</v>
      </c>
      <c r="Q162" s="875">
        <v>0</v>
      </c>
      <c r="R162" s="875">
        <v>0</v>
      </c>
      <c r="S162" s="875"/>
      <c r="T162" s="875">
        <v>0</v>
      </c>
      <c r="U162" s="4611">
        <v>20</v>
      </c>
      <c r="V162" s="4608">
        <v>19.585999999999999</v>
      </c>
      <c r="W162" s="4608">
        <v>0</v>
      </c>
      <c r="X162" s="4611">
        <v>8</v>
      </c>
      <c r="Y162" s="4611">
        <v>0</v>
      </c>
      <c r="Z162" s="4611">
        <v>0</v>
      </c>
      <c r="AA162" s="4611">
        <v>11.522</v>
      </c>
      <c r="AB162" s="4611">
        <v>0</v>
      </c>
      <c r="AC162" s="4611">
        <v>0</v>
      </c>
      <c r="AD162" s="4611">
        <v>0</v>
      </c>
      <c r="AE162" s="4611">
        <v>0</v>
      </c>
      <c r="AF162" s="4611">
        <v>0</v>
      </c>
      <c r="AG162" s="4611">
        <v>0</v>
      </c>
      <c r="AH162" s="4611">
        <v>0</v>
      </c>
      <c r="AI162" s="4611">
        <v>1</v>
      </c>
      <c r="AJ162" s="4611">
        <v>0</v>
      </c>
      <c r="AK162" s="4611">
        <v>0</v>
      </c>
      <c r="AL162" s="4612"/>
      <c r="AM162" s="4611">
        <v>0</v>
      </c>
      <c r="AN162" s="876">
        <f t="shared" si="4"/>
        <v>60.107999999999997</v>
      </c>
      <c r="AO162" s="877">
        <v>60.124000000000002</v>
      </c>
      <c r="AP162" s="878">
        <f t="shared" si="5"/>
        <v>-1.6E-2</v>
      </c>
    </row>
    <row r="163" spans="1:42" ht="13.8">
      <c r="A163" s="873">
        <v>368</v>
      </c>
      <c r="B163" s="874">
        <v>20</v>
      </c>
      <c r="C163" s="875">
        <v>14.106</v>
      </c>
      <c r="D163" s="875">
        <v>0</v>
      </c>
      <c r="E163" s="875">
        <v>7.98</v>
      </c>
      <c r="F163" s="875">
        <v>0</v>
      </c>
      <c r="G163" s="875">
        <v>0</v>
      </c>
      <c r="H163" s="875">
        <v>10.858000000000001</v>
      </c>
      <c r="I163" s="875">
        <v>0</v>
      </c>
      <c r="J163" s="875">
        <v>0</v>
      </c>
      <c r="K163" s="875">
        <v>0</v>
      </c>
      <c r="L163" s="875">
        <v>0</v>
      </c>
      <c r="M163" s="875">
        <v>0</v>
      </c>
      <c r="N163" s="875">
        <v>0</v>
      </c>
      <c r="O163" s="875">
        <v>0</v>
      </c>
      <c r="P163" s="875">
        <v>0</v>
      </c>
      <c r="Q163" s="875">
        <v>0</v>
      </c>
      <c r="R163" s="875">
        <v>0</v>
      </c>
      <c r="S163" s="875"/>
      <c r="T163" s="875">
        <v>0</v>
      </c>
      <c r="U163" s="4611">
        <v>20</v>
      </c>
      <c r="V163" s="4608">
        <v>13.153</v>
      </c>
      <c r="W163" s="4608">
        <v>0</v>
      </c>
      <c r="X163" s="4611">
        <v>8</v>
      </c>
      <c r="Y163" s="4611">
        <v>0</v>
      </c>
      <c r="Z163" s="4611">
        <v>0</v>
      </c>
      <c r="AA163" s="4611">
        <v>10.789</v>
      </c>
      <c r="AB163" s="4611">
        <v>0</v>
      </c>
      <c r="AC163" s="4611">
        <v>0</v>
      </c>
      <c r="AD163" s="4611">
        <v>0</v>
      </c>
      <c r="AE163" s="4611">
        <v>0</v>
      </c>
      <c r="AF163" s="4611">
        <v>0</v>
      </c>
      <c r="AG163" s="4611">
        <v>0</v>
      </c>
      <c r="AH163" s="4611">
        <v>0</v>
      </c>
      <c r="AI163" s="4611">
        <v>0</v>
      </c>
      <c r="AJ163" s="4611">
        <v>0</v>
      </c>
      <c r="AK163" s="4611">
        <v>0</v>
      </c>
      <c r="AL163" s="4612"/>
      <c r="AM163" s="4611">
        <v>0</v>
      </c>
      <c r="AN163" s="876">
        <f t="shared" si="4"/>
        <v>51.942</v>
      </c>
      <c r="AO163" s="877">
        <v>52.944000000000003</v>
      </c>
      <c r="AP163" s="878">
        <f t="shared" si="5"/>
        <v>-1.002</v>
      </c>
    </row>
    <row r="164" spans="1:42" ht="13.8">
      <c r="A164" s="873">
        <v>369</v>
      </c>
      <c r="B164" s="874">
        <v>20</v>
      </c>
      <c r="C164" s="875">
        <v>19.015999999999998</v>
      </c>
      <c r="D164" s="875">
        <v>0</v>
      </c>
      <c r="E164" s="875">
        <v>7.9969999999999999</v>
      </c>
      <c r="F164" s="875">
        <v>0</v>
      </c>
      <c r="G164" s="875">
        <v>0</v>
      </c>
      <c r="H164" s="875">
        <v>7.0590000000000002</v>
      </c>
      <c r="I164" s="875">
        <v>0</v>
      </c>
      <c r="J164" s="875">
        <v>0</v>
      </c>
      <c r="K164" s="875">
        <v>0</v>
      </c>
      <c r="L164" s="875">
        <v>0</v>
      </c>
      <c r="M164" s="875">
        <v>0</v>
      </c>
      <c r="N164" s="875">
        <v>0</v>
      </c>
      <c r="O164" s="875">
        <v>0</v>
      </c>
      <c r="P164" s="875">
        <v>1</v>
      </c>
      <c r="Q164" s="875">
        <v>0</v>
      </c>
      <c r="R164" s="875">
        <v>0</v>
      </c>
      <c r="S164" s="875"/>
      <c r="T164" s="875">
        <v>0</v>
      </c>
      <c r="U164" s="4611">
        <v>20</v>
      </c>
      <c r="V164" s="4608">
        <v>21.58</v>
      </c>
      <c r="W164" s="4608">
        <v>0</v>
      </c>
      <c r="X164" s="4611">
        <v>8</v>
      </c>
      <c r="Y164" s="4611">
        <v>0</v>
      </c>
      <c r="Z164" s="4611">
        <v>0</v>
      </c>
      <c r="AA164" s="4611">
        <v>7.5759999999999996</v>
      </c>
      <c r="AB164" s="4611">
        <v>0</v>
      </c>
      <c r="AC164" s="4611">
        <v>0</v>
      </c>
      <c r="AD164" s="4611">
        <v>0</v>
      </c>
      <c r="AE164" s="4611">
        <v>0</v>
      </c>
      <c r="AF164" s="4611">
        <v>0</v>
      </c>
      <c r="AG164" s="4611">
        <v>0</v>
      </c>
      <c r="AH164" s="4611">
        <v>0</v>
      </c>
      <c r="AI164" s="4611">
        <v>1</v>
      </c>
      <c r="AJ164" s="4611">
        <v>0</v>
      </c>
      <c r="AK164" s="4611">
        <v>0</v>
      </c>
      <c r="AL164" s="4612"/>
      <c r="AM164" s="4611">
        <v>0</v>
      </c>
      <c r="AN164" s="876">
        <f t="shared" si="4"/>
        <v>58.155999999999999</v>
      </c>
      <c r="AO164" s="877">
        <v>55.072000000000003</v>
      </c>
      <c r="AP164" s="878">
        <f t="shared" si="5"/>
        <v>3.0840000000000001</v>
      </c>
    </row>
    <row r="165" spans="1:42" ht="13.8">
      <c r="A165" s="873">
        <v>371</v>
      </c>
      <c r="B165" s="874">
        <v>20</v>
      </c>
      <c r="C165" s="875">
        <v>18.492999999999999</v>
      </c>
      <c r="D165" s="875">
        <v>0</v>
      </c>
      <c r="E165" s="875">
        <v>8</v>
      </c>
      <c r="F165" s="875">
        <v>0</v>
      </c>
      <c r="G165" s="875">
        <v>0</v>
      </c>
      <c r="H165" s="875">
        <v>13.954000000000001</v>
      </c>
      <c r="I165" s="875">
        <v>0</v>
      </c>
      <c r="J165" s="875">
        <v>0</v>
      </c>
      <c r="K165" s="875">
        <v>0</v>
      </c>
      <c r="L165" s="875">
        <v>0</v>
      </c>
      <c r="M165" s="875">
        <v>0</v>
      </c>
      <c r="N165" s="875">
        <v>0</v>
      </c>
      <c r="O165" s="875">
        <v>0</v>
      </c>
      <c r="P165" s="875">
        <v>3.5</v>
      </c>
      <c r="Q165" s="875">
        <v>0.44900000000000001</v>
      </c>
      <c r="R165" s="875">
        <v>0</v>
      </c>
      <c r="S165" s="875"/>
      <c r="T165" s="875">
        <v>0</v>
      </c>
      <c r="U165" s="4611">
        <v>20</v>
      </c>
      <c r="V165" s="4608">
        <v>18.789000000000001</v>
      </c>
      <c r="W165" s="4608">
        <v>0</v>
      </c>
      <c r="X165" s="4611">
        <v>8</v>
      </c>
      <c r="Y165" s="4611">
        <v>0</v>
      </c>
      <c r="Z165" s="4611">
        <v>0</v>
      </c>
      <c r="AA165" s="4611">
        <v>13.952999999999999</v>
      </c>
      <c r="AB165" s="4611">
        <v>0</v>
      </c>
      <c r="AC165" s="4611">
        <v>0</v>
      </c>
      <c r="AD165" s="4611">
        <v>0</v>
      </c>
      <c r="AE165" s="4611">
        <v>0</v>
      </c>
      <c r="AF165" s="4611">
        <v>0</v>
      </c>
      <c r="AG165" s="4611">
        <v>0</v>
      </c>
      <c r="AH165" s="4611">
        <v>0</v>
      </c>
      <c r="AI165" s="4611">
        <v>3.5</v>
      </c>
      <c r="AJ165" s="4611">
        <v>0.45</v>
      </c>
      <c r="AK165" s="4611">
        <v>0</v>
      </c>
      <c r="AL165" s="4612"/>
      <c r="AM165" s="4611">
        <v>0</v>
      </c>
      <c r="AN165" s="876">
        <f t="shared" si="4"/>
        <v>64.691999999999993</v>
      </c>
      <c r="AO165" s="877">
        <v>64.396000000000001</v>
      </c>
      <c r="AP165" s="878">
        <f t="shared" si="5"/>
        <v>0.29599999999999999</v>
      </c>
    </row>
    <row r="166" spans="1:42" ht="13.8">
      <c r="A166" s="873">
        <v>372</v>
      </c>
      <c r="B166" s="874">
        <v>20</v>
      </c>
      <c r="C166" s="875">
        <v>12.843999999999999</v>
      </c>
      <c r="D166" s="875">
        <v>0</v>
      </c>
      <c r="E166" s="875">
        <v>7.9960000000000004</v>
      </c>
      <c r="F166" s="875">
        <v>0</v>
      </c>
      <c r="G166" s="875">
        <v>0</v>
      </c>
      <c r="H166" s="875">
        <v>13.551</v>
      </c>
      <c r="I166" s="875">
        <v>0</v>
      </c>
      <c r="J166" s="875">
        <v>0</v>
      </c>
      <c r="K166" s="875">
        <v>0</v>
      </c>
      <c r="L166" s="875">
        <v>0</v>
      </c>
      <c r="M166" s="875">
        <v>0</v>
      </c>
      <c r="N166" s="875">
        <v>0</v>
      </c>
      <c r="O166" s="875">
        <v>0</v>
      </c>
      <c r="P166" s="875">
        <v>0</v>
      </c>
      <c r="Q166" s="875">
        <v>0</v>
      </c>
      <c r="R166" s="875">
        <v>0</v>
      </c>
      <c r="S166" s="875"/>
      <c r="T166" s="875">
        <v>0</v>
      </c>
      <c r="U166" s="4611">
        <v>20</v>
      </c>
      <c r="V166" s="4608">
        <v>14.523</v>
      </c>
      <c r="W166" s="4608">
        <v>0</v>
      </c>
      <c r="X166" s="4611">
        <v>8</v>
      </c>
      <c r="Y166" s="4611">
        <v>0</v>
      </c>
      <c r="Z166" s="4611">
        <v>0</v>
      </c>
      <c r="AA166" s="4611">
        <v>12.443</v>
      </c>
      <c r="AB166" s="4611">
        <v>0</v>
      </c>
      <c r="AC166" s="4611">
        <v>0</v>
      </c>
      <c r="AD166" s="4611">
        <v>0</v>
      </c>
      <c r="AE166" s="4611">
        <v>0</v>
      </c>
      <c r="AF166" s="4611">
        <v>0</v>
      </c>
      <c r="AG166" s="4611">
        <v>0</v>
      </c>
      <c r="AH166" s="4611">
        <v>0</v>
      </c>
      <c r="AI166" s="4611">
        <v>0</v>
      </c>
      <c r="AJ166" s="4611">
        <v>0</v>
      </c>
      <c r="AK166" s="4611">
        <v>0</v>
      </c>
      <c r="AL166" s="4612"/>
      <c r="AM166" s="4611">
        <v>0</v>
      </c>
      <c r="AN166" s="876">
        <f t="shared" si="4"/>
        <v>54.966000000000001</v>
      </c>
      <c r="AO166" s="877">
        <v>54.390999999999998</v>
      </c>
      <c r="AP166" s="878">
        <f t="shared" si="5"/>
        <v>0.57499999999999996</v>
      </c>
    </row>
    <row r="167" spans="1:42" ht="13.8">
      <c r="A167" s="873">
        <v>373</v>
      </c>
      <c r="B167" s="874">
        <v>20</v>
      </c>
      <c r="C167" s="875">
        <v>13.879</v>
      </c>
      <c r="D167" s="875">
        <v>0</v>
      </c>
      <c r="E167" s="875">
        <v>8</v>
      </c>
      <c r="F167" s="875">
        <v>0</v>
      </c>
      <c r="G167" s="875">
        <v>0</v>
      </c>
      <c r="H167" s="875">
        <v>11.178000000000001</v>
      </c>
      <c r="I167" s="875">
        <v>0</v>
      </c>
      <c r="J167" s="875">
        <v>0</v>
      </c>
      <c r="K167" s="875">
        <v>0</v>
      </c>
      <c r="L167" s="875">
        <v>0</v>
      </c>
      <c r="M167" s="875">
        <v>0</v>
      </c>
      <c r="N167" s="875">
        <v>0</v>
      </c>
      <c r="O167" s="875">
        <v>0</v>
      </c>
      <c r="P167" s="875">
        <v>6.1189999999999998</v>
      </c>
      <c r="Q167" s="875">
        <v>1.9510000000000001</v>
      </c>
      <c r="R167" s="875">
        <v>0</v>
      </c>
      <c r="S167" s="875"/>
      <c r="T167" s="875">
        <v>0</v>
      </c>
      <c r="U167" s="4611">
        <v>20</v>
      </c>
      <c r="V167" s="4608">
        <v>13.548</v>
      </c>
      <c r="W167" s="4608">
        <v>0</v>
      </c>
      <c r="X167" s="4611">
        <v>8</v>
      </c>
      <c r="Y167" s="4611">
        <v>0</v>
      </c>
      <c r="Z167" s="4611">
        <v>0</v>
      </c>
      <c r="AA167" s="4611">
        <v>11.282</v>
      </c>
      <c r="AB167" s="4611">
        <v>0</v>
      </c>
      <c r="AC167" s="4611">
        <v>0</v>
      </c>
      <c r="AD167" s="4611">
        <v>0</v>
      </c>
      <c r="AE167" s="4611">
        <v>0</v>
      </c>
      <c r="AF167" s="4611">
        <v>0</v>
      </c>
      <c r="AG167" s="4611">
        <v>0</v>
      </c>
      <c r="AH167" s="4611">
        <v>0</v>
      </c>
      <c r="AI167" s="4611">
        <v>6.2610000000000001</v>
      </c>
      <c r="AJ167" s="4611">
        <v>2.0249999999999999</v>
      </c>
      <c r="AK167" s="4611">
        <v>0</v>
      </c>
      <c r="AL167" s="4612"/>
      <c r="AM167" s="4611">
        <v>0</v>
      </c>
      <c r="AN167" s="876">
        <f t="shared" si="4"/>
        <v>61.116</v>
      </c>
      <c r="AO167" s="877">
        <v>61.127000000000002</v>
      </c>
      <c r="AP167" s="878">
        <f t="shared" si="5"/>
        <v>-1.0999999999999999E-2</v>
      </c>
    </row>
    <row r="168" spans="1:42" ht="13.8">
      <c r="A168" s="873">
        <v>374</v>
      </c>
      <c r="B168" s="874">
        <v>20</v>
      </c>
      <c r="C168" s="875">
        <v>16.026</v>
      </c>
      <c r="D168" s="875">
        <v>0</v>
      </c>
      <c r="E168" s="875">
        <v>7.9009999999999998</v>
      </c>
      <c r="F168" s="875">
        <v>0</v>
      </c>
      <c r="G168" s="875">
        <v>0</v>
      </c>
      <c r="H168" s="875">
        <v>6.7270000000000003</v>
      </c>
      <c r="I168" s="875">
        <v>0</v>
      </c>
      <c r="J168" s="875">
        <v>0</v>
      </c>
      <c r="K168" s="875">
        <v>0</v>
      </c>
      <c r="L168" s="875">
        <v>0</v>
      </c>
      <c r="M168" s="875">
        <v>0</v>
      </c>
      <c r="N168" s="875">
        <v>0</v>
      </c>
      <c r="O168" s="875">
        <v>0</v>
      </c>
      <c r="P168" s="875">
        <v>2.952</v>
      </c>
      <c r="Q168" s="875">
        <v>0.73599999999999999</v>
      </c>
      <c r="R168" s="875">
        <v>0</v>
      </c>
      <c r="S168" s="875"/>
      <c r="T168" s="875">
        <v>0</v>
      </c>
      <c r="U168" s="4611">
        <v>20</v>
      </c>
      <c r="V168" s="4608">
        <v>20.344999999999999</v>
      </c>
      <c r="W168" s="4608">
        <v>0</v>
      </c>
      <c r="X168" s="4611">
        <v>7.9889999999999999</v>
      </c>
      <c r="Y168" s="4611">
        <v>0</v>
      </c>
      <c r="Z168" s="4611">
        <v>0</v>
      </c>
      <c r="AA168" s="4611">
        <v>5.859</v>
      </c>
      <c r="AB168" s="4611">
        <v>0</v>
      </c>
      <c r="AC168" s="4611">
        <v>0</v>
      </c>
      <c r="AD168" s="4611">
        <v>0</v>
      </c>
      <c r="AE168" s="4611">
        <v>0</v>
      </c>
      <c r="AF168" s="4611">
        <v>0</v>
      </c>
      <c r="AG168" s="4611">
        <v>0</v>
      </c>
      <c r="AH168" s="4611">
        <v>0</v>
      </c>
      <c r="AI168" s="4611">
        <v>2.9660000000000002</v>
      </c>
      <c r="AJ168" s="4611">
        <v>0.96499999999999997</v>
      </c>
      <c r="AK168" s="4611">
        <v>0</v>
      </c>
      <c r="AL168" s="4612"/>
      <c r="AM168" s="4611">
        <v>0</v>
      </c>
      <c r="AN168" s="876">
        <f t="shared" si="4"/>
        <v>58.124000000000002</v>
      </c>
      <c r="AO168" s="877">
        <v>54.341999999999999</v>
      </c>
      <c r="AP168" s="878">
        <f t="shared" si="5"/>
        <v>3.782</v>
      </c>
    </row>
    <row r="169" spans="1:42" ht="13.8">
      <c r="A169" s="873">
        <v>375</v>
      </c>
      <c r="B169" s="874">
        <v>20</v>
      </c>
      <c r="C169" s="875">
        <v>13.691000000000001</v>
      </c>
      <c r="D169" s="875">
        <v>0</v>
      </c>
      <c r="E169" s="875">
        <v>8</v>
      </c>
      <c r="F169" s="875">
        <v>0</v>
      </c>
      <c r="G169" s="875">
        <v>0</v>
      </c>
      <c r="H169" s="875">
        <v>21.71</v>
      </c>
      <c r="I169" s="875">
        <v>0</v>
      </c>
      <c r="J169" s="875">
        <v>0</v>
      </c>
      <c r="K169" s="875">
        <v>0</v>
      </c>
      <c r="L169" s="875">
        <v>0</v>
      </c>
      <c r="M169" s="875">
        <v>0</v>
      </c>
      <c r="N169" s="875">
        <v>0</v>
      </c>
      <c r="O169" s="875">
        <v>0</v>
      </c>
      <c r="P169" s="875">
        <v>0</v>
      </c>
      <c r="Q169" s="875">
        <v>0</v>
      </c>
      <c r="R169" s="875">
        <v>0</v>
      </c>
      <c r="S169" s="875"/>
      <c r="T169" s="875">
        <v>0</v>
      </c>
      <c r="U169" s="4611">
        <v>20</v>
      </c>
      <c r="V169" s="4608">
        <v>13.843</v>
      </c>
      <c r="W169" s="4608">
        <v>0</v>
      </c>
      <c r="X169" s="4611">
        <v>8</v>
      </c>
      <c r="Y169" s="4611">
        <v>0</v>
      </c>
      <c r="Z169" s="4611">
        <v>0</v>
      </c>
      <c r="AA169" s="4611">
        <v>21.963000000000001</v>
      </c>
      <c r="AB169" s="4611">
        <v>0</v>
      </c>
      <c r="AC169" s="4611">
        <v>0</v>
      </c>
      <c r="AD169" s="4611">
        <v>0</v>
      </c>
      <c r="AE169" s="4611">
        <v>0</v>
      </c>
      <c r="AF169" s="4611">
        <v>0</v>
      </c>
      <c r="AG169" s="4611">
        <v>0</v>
      </c>
      <c r="AH169" s="4611">
        <v>0</v>
      </c>
      <c r="AI169" s="4611">
        <v>0</v>
      </c>
      <c r="AJ169" s="4611">
        <v>0</v>
      </c>
      <c r="AK169" s="4611">
        <v>0</v>
      </c>
      <c r="AL169" s="4612"/>
      <c r="AM169" s="4611">
        <v>0</v>
      </c>
      <c r="AN169" s="876">
        <f t="shared" si="4"/>
        <v>63.805999999999997</v>
      </c>
      <c r="AO169" s="877">
        <v>63.401000000000003</v>
      </c>
      <c r="AP169" s="878">
        <f t="shared" si="5"/>
        <v>0.40500000000000003</v>
      </c>
    </row>
    <row r="170" spans="1:42" ht="13.8">
      <c r="A170" s="873">
        <v>376</v>
      </c>
      <c r="B170" s="874">
        <v>20</v>
      </c>
      <c r="C170" s="875">
        <v>16.241</v>
      </c>
      <c r="D170" s="875">
        <v>0</v>
      </c>
      <c r="E170" s="875">
        <v>6.8259999999999996</v>
      </c>
      <c r="F170" s="875">
        <v>0</v>
      </c>
      <c r="G170" s="875">
        <v>0</v>
      </c>
      <c r="H170" s="875">
        <v>21.369</v>
      </c>
      <c r="I170" s="875">
        <v>0</v>
      </c>
      <c r="J170" s="875">
        <v>0</v>
      </c>
      <c r="K170" s="875">
        <v>0</v>
      </c>
      <c r="L170" s="875">
        <v>0</v>
      </c>
      <c r="M170" s="875">
        <v>0</v>
      </c>
      <c r="N170" s="875">
        <v>0</v>
      </c>
      <c r="O170" s="875">
        <v>0</v>
      </c>
      <c r="P170" s="875">
        <v>2.4820000000000002</v>
      </c>
      <c r="Q170" s="875">
        <v>0</v>
      </c>
      <c r="R170" s="875">
        <v>0</v>
      </c>
      <c r="S170" s="875"/>
      <c r="T170" s="875">
        <v>0</v>
      </c>
      <c r="U170" s="4611">
        <v>20</v>
      </c>
      <c r="V170" s="4608">
        <v>17.876999999999999</v>
      </c>
      <c r="W170" s="4608">
        <v>0</v>
      </c>
      <c r="X170" s="4611">
        <v>7.1920000000000002</v>
      </c>
      <c r="Y170" s="4611">
        <v>0</v>
      </c>
      <c r="Z170" s="4611">
        <v>0</v>
      </c>
      <c r="AA170" s="4611">
        <v>22.652000000000001</v>
      </c>
      <c r="AB170" s="4611">
        <v>0</v>
      </c>
      <c r="AC170" s="4611">
        <v>0</v>
      </c>
      <c r="AD170" s="4611">
        <v>0</v>
      </c>
      <c r="AE170" s="4611">
        <v>0</v>
      </c>
      <c r="AF170" s="4611">
        <v>0</v>
      </c>
      <c r="AG170" s="4611">
        <v>0</v>
      </c>
      <c r="AH170" s="4611">
        <v>0</v>
      </c>
      <c r="AI170" s="4611">
        <v>2.5670000000000002</v>
      </c>
      <c r="AJ170" s="4611">
        <v>0</v>
      </c>
      <c r="AK170" s="4611">
        <v>0</v>
      </c>
      <c r="AL170" s="4612"/>
      <c r="AM170" s="4611">
        <v>0</v>
      </c>
      <c r="AN170" s="876">
        <f t="shared" si="4"/>
        <v>70.287999999999997</v>
      </c>
      <c r="AO170" s="877">
        <v>66.918000000000006</v>
      </c>
      <c r="AP170" s="878">
        <f t="shared" si="5"/>
        <v>3.37</v>
      </c>
    </row>
    <row r="171" spans="1:42" ht="13.8">
      <c r="A171" s="873">
        <v>377</v>
      </c>
      <c r="B171" s="874">
        <v>20</v>
      </c>
      <c r="C171" s="875">
        <v>19.856000000000002</v>
      </c>
      <c r="D171" s="875">
        <v>0</v>
      </c>
      <c r="E171" s="875">
        <v>4.9969999999999999</v>
      </c>
      <c r="F171" s="875">
        <v>0</v>
      </c>
      <c r="G171" s="875">
        <v>0</v>
      </c>
      <c r="H171" s="875">
        <v>0</v>
      </c>
      <c r="I171" s="875">
        <v>0</v>
      </c>
      <c r="J171" s="875">
        <v>0</v>
      </c>
      <c r="K171" s="875">
        <v>0</v>
      </c>
      <c r="L171" s="875">
        <v>0</v>
      </c>
      <c r="M171" s="875">
        <v>0</v>
      </c>
      <c r="N171" s="875">
        <v>0</v>
      </c>
      <c r="O171" s="875">
        <v>0</v>
      </c>
      <c r="P171" s="875">
        <v>0</v>
      </c>
      <c r="Q171" s="875">
        <v>0</v>
      </c>
      <c r="R171" s="875">
        <v>0</v>
      </c>
      <c r="S171" s="875"/>
      <c r="T171" s="875">
        <v>0</v>
      </c>
      <c r="U171" s="4611">
        <v>20</v>
      </c>
      <c r="V171" s="4608">
        <v>18.338000000000001</v>
      </c>
      <c r="W171" s="4608">
        <v>0</v>
      </c>
      <c r="X171" s="4611">
        <v>4.68</v>
      </c>
      <c r="Y171" s="4611">
        <v>0</v>
      </c>
      <c r="Z171" s="4611">
        <v>0</v>
      </c>
      <c r="AA171" s="4611">
        <v>0</v>
      </c>
      <c r="AB171" s="4611">
        <v>0</v>
      </c>
      <c r="AC171" s="4611">
        <v>0</v>
      </c>
      <c r="AD171" s="4611">
        <v>0</v>
      </c>
      <c r="AE171" s="4611">
        <v>0</v>
      </c>
      <c r="AF171" s="4611">
        <v>0</v>
      </c>
      <c r="AG171" s="4611">
        <v>0</v>
      </c>
      <c r="AH171" s="4611">
        <v>0</v>
      </c>
      <c r="AI171" s="4611">
        <v>0</v>
      </c>
      <c r="AJ171" s="4611">
        <v>0</v>
      </c>
      <c r="AK171" s="4611">
        <v>0</v>
      </c>
      <c r="AL171" s="4612"/>
      <c r="AM171" s="4611">
        <v>0</v>
      </c>
      <c r="AN171" s="876">
        <f t="shared" si="4"/>
        <v>43.018000000000001</v>
      </c>
      <c r="AO171" s="877">
        <v>44.853000000000002</v>
      </c>
      <c r="AP171" s="878">
        <f t="shared" si="5"/>
        <v>-1.835</v>
      </c>
    </row>
    <row r="172" spans="1:42" ht="13.8">
      <c r="A172" s="873">
        <v>378</v>
      </c>
      <c r="B172" s="874">
        <v>20</v>
      </c>
      <c r="C172" s="875">
        <v>15.874000000000001</v>
      </c>
      <c r="D172" s="875">
        <v>0</v>
      </c>
      <c r="E172" s="875">
        <v>7.7569999999999997</v>
      </c>
      <c r="F172" s="875">
        <v>0</v>
      </c>
      <c r="G172" s="875">
        <v>0</v>
      </c>
      <c r="H172" s="875">
        <v>0</v>
      </c>
      <c r="I172" s="875">
        <v>0</v>
      </c>
      <c r="J172" s="875">
        <v>0</v>
      </c>
      <c r="K172" s="875">
        <v>0</v>
      </c>
      <c r="L172" s="875">
        <v>0</v>
      </c>
      <c r="M172" s="875">
        <v>0</v>
      </c>
      <c r="N172" s="875">
        <v>0</v>
      </c>
      <c r="O172" s="875">
        <v>0</v>
      </c>
      <c r="P172" s="875">
        <v>0</v>
      </c>
      <c r="Q172" s="875">
        <v>0</v>
      </c>
      <c r="R172" s="875">
        <v>0</v>
      </c>
      <c r="S172" s="875"/>
      <c r="T172" s="875">
        <v>0</v>
      </c>
      <c r="U172" s="4611">
        <v>20</v>
      </c>
      <c r="V172" s="4608">
        <v>15.058</v>
      </c>
      <c r="W172" s="4608">
        <v>0</v>
      </c>
      <c r="X172" s="4611">
        <v>8</v>
      </c>
      <c r="Y172" s="4611">
        <v>0</v>
      </c>
      <c r="Z172" s="4611">
        <v>0</v>
      </c>
      <c r="AA172" s="4611">
        <v>19.047999999999998</v>
      </c>
      <c r="AB172" s="4611">
        <v>0</v>
      </c>
      <c r="AC172" s="4611">
        <v>0</v>
      </c>
      <c r="AD172" s="4611">
        <v>0</v>
      </c>
      <c r="AE172" s="4611">
        <v>0</v>
      </c>
      <c r="AF172" s="4611">
        <v>0</v>
      </c>
      <c r="AG172" s="4611">
        <v>0</v>
      </c>
      <c r="AH172" s="4611">
        <v>0</v>
      </c>
      <c r="AI172" s="4611">
        <v>0</v>
      </c>
      <c r="AJ172" s="4611">
        <v>0</v>
      </c>
      <c r="AK172" s="4611">
        <v>0</v>
      </c>
      <c r="AL172" s="4612"/>
      <c r="AM172" s="4611">
        <v>0</v>
      </c>
      <c r="AN172" s="876">
        <f t="shared" si="4"/>
        <v>62.106000000000002</v>
      </c>
      <c r="AO172" s="877">
        <v>43.631</v>
      </c>
      <c r="AP172" s="878">
        <f t="shared" si="5"/>
        <v>18.475000000000001</v>
      </c>
    </row>
    <row r="173" spans="1:42" ht="13.8">
      <c r="A173" s="873">
        <v>379</v>
      </c>
      <c r="B173" s="874">
        <v>20</v>
      </c>
      <c r="C173" s="875">
        <v>13.69</v>
      </c>
      <c r="D173" s="875">
        <v>0</v>
      </c>
      <c r="E173" s="875">
        <v>8</v>
      </c>
      <c r="F173" s="875">
        <v>0</v>
      </c>
      <c r="G173" s="875">
        <v>0</v>
      </c>
      <c r="H173" s="875">
        <v>5.3540000000000001</v>
      </c>
      <c r="I173" s="875">
        <v>0</v>
      </c>
      <c r="J173" s="875">
        <v>0</v>
      </c>
      <c r="K173" s="875">
        <v>0</v>
      </c>
      <c r="L173" s="875">
        <v>0</v>
      </c>
      <c r="M173" s="875">
        <v>0</v>
      </c>
      <c r="N173" s="875">
        <v>0</v>
      </c>
      <c r="O173" s="875">
        <v>0</v>
      </c>
      <c r="P173" s="875">
        <v>0</v>
      </c>
      <c r="Q173" s="875">
        <v>0</v>
      </c>
      <c r="R173" s="875">
        <v>0</v>
      </c>
      <c r="S173" s="875"/>
      <c r="T173" s="875">
        <v>0</v>
      </c>
      <c r="U173" s="4611">
        <v>20</v>
      </c>
      <c r="V173" s="4608">
        <v>13.419</v>
      </c>
      <c r="W173" s="4608">
        <v>0</v>
      </c>
      <c r="X173" s="4611">
        <v>7.9989999999999997</v>
      </c>
      <c r="Y173" s="4611">
        <v>0</v>
      </c>
      <c r="Z173" s="4611">
        <v>0</v>
      </c>
      <c r="AA173" s="4611">
        <v>6.6219999999999999</v>
      </c>
      <c r="AB173" s="4611">
        <v>0</v>
      </c>
      <c r="AC173" s="4611">
        <v>0</v>
      </c>
      <c r="AD173" s="4611">
        <v>0</v>
      </c>
      <c r="AE173" s="4611">
        <v>0</v>
      </c>
      <c r="AF173" s="4611">
        <v>0</v>
      </c>
      <c r="AG173" s="4611">
        <v>0</v>
      </c>
      <c r="AH173" s="4611">
        <v>0</v>
      </c>
      <c r="AI173" s="4611">
        <v>0</v>
      </c>
      <c r="AJ173" s="4611">
        <v>0</v>
      </c>
      <c r="AK173" s="4611">
        <v>0</v>
      </c>
      <c r="AL173" s="4612"/>
      <c r="AM173" s="4611">
        <v>0</v>
      </c>
      <c r="AN173" s="876">
        <f t="shared" si="4"/>
        <v>48.04</v>
      </c>
      <c r="AO173" s="877">
        <v>47.043999999999997</v>
      </c>
      <c r="AP173" s="878">
        <f t="shared" si="5"/>
        <v>0.996</v>
      </c>
    </row>
    <row r="174" spans="1:42" ht="13.8">
      <c r="A174" s="873">
        <v>380</v>
      </c>
      <c r="B174" s="874">
        <v>20</v>
      </c>
      <c r="C174" s="875">
        <v>15.237</v>
      </c>
      <c r="D174" s="875">
        <v>0</v>
      </c>
      <c r="E174" s="875">
        <v>7.9989999999999997</v>
      </c>
      <c r="F174" s="875">
        <v>0</v>
      </c>
      <c r="G174" s="875">
        <v>0</v>
      </c>
      <c r="H174" s="875">
        <v>0</v>
      </c>
      <c r="I174" s="875">
        <v>0</v>
      </c>
      <c r="J174" s="875">
        <v>0</v>
      </c>
      <c r="K174" s="875">
        <v>0</v>
      </c>
      <c r="L174" s="875">
        <v>0</v>
      </c>
      <c r="M174" s="875">
        <v>0</v>
      </c>
      <c r="N174" s="875">
        <v>0</v>
      </c>
      <c r="O174" s="875">
        <v>0</v>
      </c>
      <c r="P174" s="875">
        <v>0</v>
      </c>
      <c r="Q174" s="875">
        <v>0</v>
      </c>
      <c r="R174" s="875">
        <v>0</v>
      </c>
      <c r="S174" s="875"/>
      <c r="T174" s="875">
        <v>0</v>
      </c>
      <c r="U174" s="4611">
        <v>20</v>
      </c>
      <c r="V174" s="4608">
        <v>15.61</v>
      </c>
      <c r="W174" s="4608">
        <v>0</v>
      </c>
      <c r="X174" s="4611">
        <v>7</v>
      </c>
      <c r="Y174" s="4611">
        <v>0</v>
      </c>
      <c r="Z174" s="4611">
        <v>0</v>
      </c>
      <c r="AA174" s="4611">
        <v>0</v>
      </c>
      <c r="AB174" s="4611">
        <v>0</v>
      </c>
      <c r="AC174" s="4611">
        <v>0</v>
      </c>
      <c r="AD174" s="4611">
        <v>0</v>
      </c>
      <c r="AE174" s="4611">
        <v>0</v>
      </c>
      <c r="AF174" s="4611">
        <v>0</v>
      </c>
      <c r="AG174" s="4611">
        <v>0</v>
      </c>
      <c r="AH174" s="4611">
        <v>0</v>
      </c>
      <c r="AI174" s="4611">
        <v>0</v>
      </c>
      <c r="AJ174" s="4611">
        <v>0</v>
      </c>
      <c r="AK174" s="4611">
        <v>0</v>
      </c>
      <c r="AL174" s="4612"/>
      <c r="AM174" s="4611">
        <v>0</v>
      </c>
      <c r="AN174" s="876">
        <f t="shared" si="4"/>
        <v>42.61</v>
      </c>
      <c r="AO174" s="877">
        <v>43.235999999999997</v>
      </c>
      <c r="AP174" s="878">
        <f t="shared" si="5"/>
        <v>-0.626</v>
      </c>
    </row>
    <row r="175" spans="1:42" ht="13.8">
      <c r="A175" s="873">
        <v>381</v>
      </c>
      <c r="B175" s="874">
        <v>20</v>
      </c>
      <c r="C175" s="875">
        <v>17.113</v>
      </c>
      <c r="D175" s="875">
        <v>0</v>
      </c>
      <c r="E175" s="875">
        <v>4</v>
      </c>
      <c r="F175" s="875">
        <v>0</v>
      </c>
      <c r="G175" s="875">
        <v>0</v>
      </c>
      <c r="H175" s="875">
        <v>6.4470000000000001</v>
      </c>
      <c r="I175" s="875">
        <v>0</v>
      </c>
      <c r="J175" s="875">
        <v>0</v>
      </c>
      <c r="K175" s="875">
        <v>0</v>
      </c>
      <c r="L175" s="875">
        <v>0</v>
      </c>
      <c r="M175" s="875">
        <v>0</v>
      </c>
      <c r="N175" s="875">
        <v>0</v>
      </c>
      <c r="O175" s="875">
        <v>0</v>
      </c>
      <c r="P175" s="875">
        <v>3.7490000000000001</v>
      </c>
      <c r="Q175" s="875">
        <v>0</v>
      </c>
      <c r="R175" s="875">
        <v>0</v>
      </c>
      <c r="S175" s="875"/>
      <c r="T175" s="875">
        <v>0</v>
      </c>
      <c r="U175" s="4611">
        <v>20</v>
      </c>
      <c r="V175" s="4608">
        <v>17.390999999999998</v>
      </c>
      <c r="W175" s="4608">
        <v>0</v>
      </c>
      <c r="X175" s="4611">
        <v>4</v>
      </c>
      <c r="Y175" s="4611">
        <v>0</v>
      </c>
      <c r="Z175" s="4611">
        <v>0</v>
      </c>
      <c r="AA175" s="4611">
        <v>0</v>
      </c>
      <c r="AB175" s="4611">
        <v>0</v>
      </c>
      <c r="AC175" s="4611">
        <v>0</v>
      </c>
      <c r="AD175" s="4611">
        <v>0</v>
      </c>
      <c r="AE175" s="4611">
        <v>0</v>
      </c>
      <c r="AF175" s="4611">
        <v>0</v>
      </c>
      <c r="AG175" s="4611">
        <v>0</v>
      </c>
      <c r="AH175" s="4611">
        <v>0</v>
      </c>
      <c r="AI175" s="4611">
        <v>3.75</v>
      </c>
      <c r="AJ175" s="4611">
        <v>0</v>
      </c>
      <c r="AK175" s="4611">
        <v>0</v>
      </c>
      <c r="AL175" s="4612"/>
      <c r="AM175" s="4611">
        <v>0</v>
      </c>
      <c r="AN175" s="876">
        <f t="shared" si="4"/>
        <v>45.140999999999998</v>
      </c>
      <c r="AO175" s="877">
        <v>51.308999999999997</v>
      </c>
      <c r="AP175" s="878">
        <f t="shared" si="5"/>
        <v>-6.1680000000000001</v>
      </c>
    </row>
    <row r="176" spans="1:42" ht="13.8">
      <c r="A176" s="873">
        <v>382</v>
      </c>
      <c r="B176" s="874">
        <v>20</v>
      </c>
      <c r="C176" s="875">
        <v>15.496</v>
      </c>
      <c r="D176" s="875">
        <v>0</v>
      </c>
      <c r="E176" s="875">
        <v>8</v>
      </c>
      <c r="F176" s="875">
        <v>0</v>
      </c>
      <c r="G176" s="875">
        <v>0</v>
      </c>
      <c r="H176" s="875">
        <v>7.056</v>
      </c>
      <c r="I176" s="875">
        <v>0</v>
      </c>
      <c r="J176" s="875">
        <v>0</v>
      </c>
      <c r="K176" s="875">
        <v>0</v>
      </c>
      <c r="L176" s="875">
        <v>0</v>
      </c>
      <c r="M176" s="875">
        <v>0</v>
      </c>
      <c r="N176" s="875">
        <v>0</v>
      </c>
      <c r="O176" s="875">
        <v>0</v>
      </c>
      <c r="P176" s="875">
        <v>0</v>
      </c>
      <c r="Q176" s="875">
        <v>0</v>
      </c>
      <c r="R176" s="875">
        <v>0</v>
      </c>
      <c r="S176" s="875"/>
      <c r="T176" s="875">
        <v>0</v>
      </c>
      <c r="U176" s="4611">
        <v>20</v>
      </c>
      <c r="V176" s="4608">
        <v>15.831</v>
      </c>
      <c r="W176" s="4608">
        <v>0</v>
      </c>
      <c r="X176" s="4611">
        <v>7.6589999999999998</v>
      </c>
      <c r="Y176" s="4611">
        <v>0</v>
      </c>
      <c r="Z176" s="4611">
        <v>0</v>
      </c>
      <c r="AA176" s="4611">
        <v>6.6029999999999998</v>
      </c>
      <c r="AB176" s="4611">
        <v>0</v>
      </c>
      <c r="AC176" s="4611">
        <v>0</v>
      </c>
      <c r="AD176" s="4611">
        <v>0</v>
      </c>
      <c r="AE176" s="4611">
        <v>0</v>
      </c>
      <c r="AF176" s="4611">
        <v>0</v>
      </c>
      <c r="AG176" s="4611">
        <v>0</v>
      </c>
      <c r="AH176" s="4611">
        <v>0</v>
      </c>
      <c r="AI176" s="4611">
        <v>0</v>
      </c>
      <c r="AJ176" s="4611">
        <v>0</v>
      </c>
      <c r="AK176" s="4611">
        <v>0</v>
      </c>
      <c r="AL176" s="4612"/>
      <c r="AM176" s="4611">
        <v>0</v>
      </c>
      <c r="AN176" s="876">
        <f t="shared" si="4"/>
        <v>50.093000000000004</v>
      </c>
      <c r="AO176" s="877">
        <v>50.552</v>
      </c>
      <c r="AP176" s="878">
        <f t="shared" si="5"/>
        <v>-0.45900000000000002</v>
      </c>
    </row>
    <row r="177" spans="1:42" ht="13.8">
      <c r="A177" s="873">
        <v>383</v>
      </c>
      <c r="B177" s="874">
        <v>20</v>
      </c>
      <c r="C177" s="875">
        <v>15.092000000000001</v>
      </c>
      <c r="D177" s="875">
        <v>0.42</v>
      </c>
      <c r="E177" s="875">
        <v>8</v>
      </c>
      <c r="F177" s="875">
        <v>0</v>
      </c>
      <c r="G177" s="875">
        <v>0</v>
      </c>
      <c r="H177" s="875">
        <v>18.472999999999999</v>
      </c>
      <c r="I177" s="875">
        <v>0</v>
      </c>
      <c r="J177" s="875">
        <v>0</v>
      </c>
      <c r="K177" s="875">
        <v>0.152</v>
      </c>
      <c r="L177" s="875">
        <v>0</v>
      </c>
      <c r="M177" s="875">
        <v>0</v>
      </c>
      <c r="N177" s="875">
        <v>0</v>
      </c>
      <c r="O177" s="875">
        <v>0</v>
      </c>
      <c r="P177" s="875">
        <v>0</v>
      </c>
      <c r="Q177" s="875">
        <v>0</v>
      </c>
      <c r="R177" s="875">
        <v>0</v>
      </c>
      <c r="S177" s="875"/>
      <c r="T177" s="875">
        <v>0</v>
      </c>
      <c r="U177" s="4611">
        <v>20</v>
      </c>
      <c r="V177" s="4608">
        <v>15.548</v>
      </c>
      <c r="W177" s="4608">
        <v>0</v>
      </c>
      <c r="X177" s="4611">
        <v>8</v>
      </c>
      <c r="Y177" s="4611">
        <v>0</v>
      </c>
      <c r="Z177" s="4611">
        <v>0</v>
      </c>
      <c r="AA177" s="4611">
        <v>18.097000000000001</v>
      </c>
      <c r="AB177" s="4611">
        <v>0</v>
      </c>
      <c r="AC177" s="4611">
        <v>0</v>
      </c>
      <c r="AD177" s="4611">
        <v>0</v>
      </c>
      <c r="AE177" s="4611">
        <v>0</v>
      </c>
      <c r="AF177" s="4611">
        <v>0</v>
      </c>
      <c r="AG177" s="4611">
        <v>0</v>
      </c>
      <c r="AH177" s="4611">
        <v>0</v>
      </c>
      <c r="AI177" s="4611">
        <v>0</v>
      </c>
      <c r="AJ177" s="4611">
        <v>0</v>
      </c>
      <c r="AK177" s="4611">
        <v>0</v>
      </c>
      <c r="AL177" s="4612"/>
      <c r="AM177" s="4611">
        <v>0</v>
      </c>
      <c r="AN177" s="876">
        <f t="shared" si="4"/>
        <v>61.645000000000003</v>
      </c>
      <c r="AO177" s="877">
        <v>62.137</v>
      </c>
      <c r="AP177" s="878">
        <f t="shared" si="5"/>
        <v>-0.49199999999999999</v>
      </c>
    </row>
    <row r="178" spans="1:42" ht="13.8">
      <c r="A178" s="873">
        <v>384</v>
      </c>
      <c r="B178" s="874">
        <v>20</v>
      </c>
      <c r="C178" s="875">
        <v>22.109000000000002</v>
      </c>
      <c r="D178" s="875">
        <v>0</v>
      </c>
      <c r="E178" s="875">
        <v>7.9980000000000002</v>
      </c>
      <c r="F178" s="875">
        <v>0</v>
      </c>
      <c r="G178" s="875">
        <v>0</v>
      </c>
      <c r="H178" s="875">
        <v>7.0049999999999999</v>
      </c>
      <c r="I178" s="875">
        <v>0</v>
      </c>
      <c r="J178" s="875">
        <v>0</v>
      </c>
      <c r="K178" s="875">
        <v>0</v>
      </c>
      <c r="L178" s="875">
        <v>0</v>
      </c>
      <c r="M178" s="875">
        <v>0</v>
      </c>
      <c r="N178" s="875">
        <v>0</v>
      </c>
      <c r="O178" s="875">
        <v>0</v>
      </c>
      <c r="P178" s="875">
        <v>0</v>
      </c>
      <c r="Q178" s="875">
        <v>0</v>
      </c>
      <c r="R178" s="875">
        <v>0</v>
      </c>
      <c r="S178" s="875"/>
      <c r="T178" s="875">
        <v>0</v>
      </c>
      <c r="U178" s="4611">
        <v>20</v>
      </c>
      <c r="V178" s="4608">
        <v>21.902000000000001</v>
      </c>
      <c r="W178" s="4608">
        <v>0</v>
      </c>
      <c r="X178" s="4611">
        <v>7.9969999999999999</v>
      </c>
      <c r="Y178" s="4611">
        <v>0</v>
      </c>
      <c r="Z178" s="4611">
        <v>0</v>
      </c>
      <c r="AA178" s="4611">
        <v>9.8960000000000008</v>
      </c>
      <c r="AB178" s="4611">
        <v>0</v>
      </c>
      <c r="AC178" s="4611">
        <v>0</v>
      </c>
      <c r="AD178" s="4611">
        <v>0</v>
      </c>
      <c r="AE178" s="4611">
        <v>0</v>
      </c>
      <c r="AF178" s="4611">
        <v>0</v>
      </c>
      <c r="AG178" s="4611">
        <v>0</v>
      </c>
      <c r="AH178" s="4611">
        <v>0</v>
      </c>
      <c r="AI178" s="4611">
        <v>0</v>
      </c>
      <c r="AJ178" s="4611">
        <v>0</v>
      </c>
      <c r="AK178" s="4611">
        <v>0</v>
      </c>
      <c r="AL178" s="4612"/>
      <c r="AM178" s="4611">
        <v>0</v>
      </c>
      <c r="AN178" s="876">
        <f t="shared" si="4"/>
        <v>59.795000000000002</v>
      </c>
      <c r="AO178" s="877">
        <v>57.112000000000002</v>
      </c>
      <c r="AP178" s="878">
        <f t="shared" si="5"/>
        <v>2.6829999999999998</v>
      </c>
    </row>
    <row r="179" spans="1:42" ht="13.8">
      <c r="A179" s="873">
        <v>385</v>
      </c>
      <c r="B179" s="874">
        <v>20</v>
      </c>
      <c r="C179" s="875">
        <v>10.911</v>
      </c>
      <c r="D179" s="875">
        <v>0</v>
      </c>
      <c r="E179" s="875">
        <v>8</v>
      </c>
      <c r="F179" s="875">
        <v>0</v>
      </c>
      <c r="G179" s="875">
        <v>0</v>
      </c>
      <c r="H179" s="875">
        <v>28.824999999999999</v>
      </c>
      <c r="I179" s="875">
        <v>0</v>
      </c>
      <c r="J179" s="875">
        <v>0</v>
      </c>
      <c r="K179" s="875">
        <v>0</v>
      </c>
      <c r="L179" s="875">
        <v>0</v>
      </c>
      <c r="M179" s="875">
        <v>0</v>
      </c>
      <c r="N179" s="875">
        <v>0</v>
      </c>
      <c r="O179" s="875">
        <v>0</v>
      </c>
      <c r="P179" s="875">
        <v>0</v>
      </c>
      <c r="Q179" s="875">
        <v>0</v>
      </c>
      <c r="R179" s="875">
        <v>0</v>
      </c>
      <c r="S179" s="875"/>
      <c r="T179" s="875">
        <v>0</v>
      </c>
      <c r="U179" s="4611">
        <v>20</v>
      </c>
      <c r="V179" s="4608">
        <v>11.148999999999999</v>
      </c>
      <c r="W179" s="4608">
        <v>0</v>
      </c>
      <c r="X179" s="4611">
        <v>7.9939999999999998</v>
      </c>
      <c r="Y179" s="4611">
        <v>0</v>
      </c>
      <c r="Z179" s="4611">
        <v>0</v>
      </c>
      <c r="AA179" s="4611">
        <v>28.716000000000001</v>
      </c>
      <c r="AB179" s="4611">
        <v>0</v>
      </c>
      <c r="AC179" s="4611">
        <v>0</v>
      </c>
      <c r="AD179" s="4611">
        <v>0</v>
      </c>
      <c r="AE179" s="4611">
        <v>0</v>
      </c>
      <c r="AF179" s="4611">
        <v>0</v>
      </c>
      <c r="AG179" s="4611">
        <v>0</v>
      </c>
      <c r="AH179" s="4611">
        <v>0</v>
      </c>
      <c r="AI179" s="4611">
        <v>0</v>
      </c>
      <c r="AJ179" s="4611">
        <v>0</v>
      </c>
      <c r="AK179" s="4611">
        <v>0</v>
      </c>
      <c r="AL179" s="4612"/>
      <c r="AM179" s="4611">
        <v>0</v>
      </c>
      <c r="AN179" s="876">
        <f t="shared" si="4"/>
        <v>67.858999999999995</v>
      </c>
      <c r="AO179" s="877">
        <v>67.736000000000004</v>
      </c>
      <c r="AP179" s="878">
        <f t="shared" si="5"/>
        <v>0.123</v>
      </c>
    </row>
    <row r="180" spans="1:42" ht="13.8">
      <c r="A180" s="873">
        <v>386</v>
      </c>
      <c r="B180" s="874">
        <v>20</v>
      </c>
      <c r="C180" s="875">
        <v>23.408999999999999</v>
      </c>
      <c r="D180" s="875">
        <v>0</v>
      </c>
      <c r="E180" s="875">
        <v>7.9870000000000001</v>
      </c>
      <c r="F180" s="875">
        <v>0</v>
      </c>
      <c r="G180" s="875">
        <v>0</v>
      </c>
      <c r="H180" s="875">
        <v>0</v>
      </c>
      <c r="I180" s="875">
        <v>0</v>
      </c>
      <c r="J180" s="875">
        <v>0</v>
      </c>
      <c r="K180" s="875">
        <v>0</v>
      </c>
      <c r="L180" s="875">
        <v>0</v>
      </c>
      <c r="M180" s="875">
        <v>0</v>
      </c>
      <c r="N180" s="875">
        <v>0</v>
      </c>
      <c r="O180" s="875">
        <v>0</v>
      </c>
      <c r="P180" s="875">
        <v>0.998</v>
      </c>
      <c r="Q180" s="875">
        <v>0</v>
      </c>
      <c r="R180" s="875">
        <v>0</v>
      </c>
      <c r="S180" s="875"/>
      <c r="T180" s="875">
        <v>0</v>
      </c>
      <c r="U180" s="4611">
        <v>20</v>
      </c>
      <c r="V180" s="4608">
        <v>20.635999999999999</v>
      </c>
      <c r="W180" s="4608">
        <v>0</v>
      </c>
      <c r="X180" s="4611">
        <v>8</v>
      </c>
      <c r="Y180" s="4611">
        <v>0</v>
      </c>
      <c r="Z180" s="4611">
        <v>0</v>
      </c>
      <c r="AA180" s="4611">
        <v>0</v>
      </c>
      <c r="AB180" s="4611">
        <v>0</v>
      </c>
      <c r="AC180" s="4611">
        <v>0</v>
      </c>
      <c r="AD180" s="4611">
        <v>0</v>
      </c>
      <c r="AE180" s="4611">
        <v>0</v>
      </c>
      <c r="AF180" s="4611">
        <v>0</v>
      </c>
      <c r="AG180" s="4611">
        <v>0</v>
      </c>
      <c r="AH180" s="4611">
        <v>0</v>
      </c>
      <c r="AI180" s="4611">
        <v>1</v>
      </c>
      <c r="AJ180" s="4611">
        <v>0</v>
      </c>
      <c r="AK180" s="4611">
        <v>0</v>
      </c>
      <c r="AL180" s="4612"/>
      <c r="AM180" s="4611">
        <v>0</v>
      </c>
      <c r="AN180" s="876">
        <f t="shared" si="4"/>
        <v>49.636000000000003</v>
      </c>
      <c r="AO180" s="877">
        <v>52.393999999999998</v>
      </c>
      <c r="AP180" s="878">
        <f t="shared" si="5"/>
        <v>-2.758</v>
      </c>
    </row>
    <row r="181" spans="1:42" ht="13.8">
      <c r="A181" s="873">
        <v>387</v>
      </c>
      <c r="B181" s="874">
        <v>20</v>
      </c>
      <c r="C181" s="875">
        <v>17.896999999999998</v>
      </c>
      <c r="D181" s="875">
        <v>0</v>
      </c>
      <c r="E181" s="875">
        <v>4</v>
      </c>
      <c r="F181" s="875">
        <v>0</v>
      </c>
      <c r="G181" s="875">
        <v>0</v>
      </c>
      <c r="H181" s="875">
        <v>0</v>
      </c>
      <c r="I181" s="875">
        <v>0</v>
      </c>
      <c r="J181" s="875">
        <v>0</v>
      </c>
      <c r="K181" s="875">
        <v>0</v>
      </c>
      <c r="L181" s="875">
        <v>0</v>
      </c>
      <c r="M181" s="875">
        <v>0</v>
      </c>
      <c r="N181" s="875">
        <v>0</v>
      </c>
      <c r="O181" s="875">
        <v>0</v>
      </c>
      <c r="P181" s="875">
        <v>0</v>
      </c>
      <c r="Q181" s="875">
        <v>0</v>
      </c>
      <c r="R181" s="875">
        <v>0</v>
      </c>
      <c r="S181" s="875"/>
      <c r="T181" s="875">
        <v>0</v>
      </c>
      <c r="U181" s="4611">
        <v>20</v>
      </c>
      <c r="V181" s="4608">
        <v>17.53</v>
      </c>
      <c r="W181" s="4608">
        <v>0</v>
      </c>
      <c r="X181" s="4611">
        <v>5</v>
      </c>
      <c r="Y181" s="4611">
        <v>0</v>
      </c>
      <c r="Z181" s="4611">
        <v>0</v>
      </c>
      <c r="AA181" s="4611">
        <v>0</v>
      </c>
      <c r="AB181" s="4611">
        <v>0</v>
      </c>
      <c r="AC181" s="4611">
        <v>0</v>
      </c>
      <c r="AD181" s="4611">
        <v>0</v>
      </c>
      <c r="AE181" s="4611">
        <v>0</v>
      </c>
      <c r="AF181" s="4611">
        <v>0</v>
      </c>
      <c r="AG181" s="4611">
        <v>0</v>
      </c>
      <c r="AH181" s="4611">
        <v>0</v>
      </c>
      <c r="AI181" s="4611">
        <v>0</v>
      </c>
      <c r="AJ181" s="4611">
        <v>0</v>
      </c>
      <c r="AK181" s="4611">
        <v>0</v>
      </c>
      <c r="AL181" s="4612"/>
      <c r="AM181" s="4611">
        <v>0</v>
      </c>
      <c r="AN181" s="876">
        <f t="shared" si="4"/>
        <v>42.53</v>
      </c>
      <c r="AO181" s="877">
        <v>41.896999999999998</v>
      </c>
      <c r="AP181" s="878">
        <f t="shared" si="5"/>
        <v>0.63300000000000001</v>
      </c>
    </row>
    <row r="182" spans="1:42" ht="13.8">
      <c r="A182" s="873">
        <v>388</v>
      </c>
      <c r="B182" s="874">
        <v>20</v>
      </c>
      <c r="C182" s="875">
        <v>15.942</v>
      </c>
      <c r="D182" s="875">
        <v>0</v>
      </c>
      <c r="E182" s="875">
        <v>8</v>
      </c>
      <c r="F182" s="875">
        <v>0</v>
      </c>
      <c r="G182" s="875">
        <v>0</v>
      </c>
      <c r="H182" s="875">
        <v>0</v>
      </c>
      <c r="I182" s="875">
        <v>0</v>
      </c>
      <c r="J182" s="875">
        <v>0</v>
      </c>
      <c r="K182" s="875">
        <v>0</v>
      </c>
      <c r="L182" s="875">
        <v>0</v>
      </c>
      <c r="M182" s="875">
        <v>0</v>
      </c>
      <c r="N182" s="875">
        <v>0</v>
      </c>
      <c r="O182" s="875">
        <v>0</v>
      </c>
      <c r="P182" s="875">
        <v>4</v>
      </c>
      <c r="Q182" s="875">
        <v>0.38100000000000001</v>
      </c>
      <c r="R182" s="875">
        <v>0</v>
      </c>
      <c r="S182" s="875"/>
      <c r="T182" s="875">
        <v>0</v>
      </c>
      <c r="U182" s="4611">
        <v>20</v>
      </c>
      <c r="V182" s="4608">
        <v>17.664000000000001</v>
      </c>
      <c r="W182" s="4608">
        <v>0</v>
      </c>
      <c r="X182" s="4611">
        <v>8</v>
      </c>
      <c r="Y182" s="4611">
        <v>0</v>
      </c>
      <c r="Z182" s="4611">
        <v>0</v>
      </c>
      <c r="AA182" s="4611">
        <v>0</v>
      </c>
      <c r="AB182" s="4611">
        <v>0</v>
      </c>
      <c r="AC182" s="4611">
        <v>0</v>
      </c>
      <c r="AD182" s="4611">
        <v>0</v>
      </c>
      <c r="AE182" s="4611">
        <v>0</v>
      </c>
      <c r="AF182" s="4611">
        <v>0</v>
      </c>
      <c r="AG182" s="4611">
        <v>0</v>
      </c>
      <c r="AH182" s="4611">
        <v>0</v>
      </c>
      <c r="AI182" s="4611">
        <v>4</v>
      </c>
      <c r="AJ182" s="4611">
        <v>0.48799999999999999</v>
      </c>
      <c r="AK182" s="4611">
        <v>0</v>
      </c>
      <c r="AL182" s="4612"/>
      <c r="AM182" s="4611">
        <v>0</v>
      </c>
      <c r="AN182" s="876">
        <f t="shared" si="4"/>
        <v>50.152000000000001</v>
      </c>
      <c r="AO182" s="877">
        <v>48.323</v>
      </c>
      <c r="AP182" s="878">
        <f t="shared" si="5"/>
        <v>1.829</v>
      </c>
    </row>
    <row r="183" spans="1:42" ht="13.8">
      <c r="A183" s="873">
        <v>389</v>
      </c>
      <c r="B183" s="874">
        <v>20</v>
      </c>
      <c r="C183" s="875">
        <v>18.547999999999998</v>
      </c>
      <c r="D183" s="875">
        <v>0</v>
      </c>
      <c r="E183" s="875">
        <v>7.984</v>
      </c>
      <c r="F183" s="875">
        <v>0</v>
      </c>
      <c r="G183" s="875">
        <v>0</v>
      </c>
      <c r="H183" s="875">
        <v>10.622</v>
      </c>
      <c r="I183" s="875">
        <v>0</v>
      </c>
      <c r="J183" s="875">
        <v>0</v>
      </c>
      <c r="K183" s="875">
        <v>0</v>
      </c>
      <c r="L183" s="875">
        <v>0</v>
      </c>
      <c r="M183" s="875">
        <v>0</v>
      </c>
      <c r="N183" s="875">
        <v>0</v>
      </c>
      <c r="O183" s="875">
        <v>0</v>
      </c>
      <c r="P183" s="875">
        <v>3.153</v>
      </c>
      <c r="Q183" s="875">
        <v>0</v>
      </c>
      <c r="R183" s="875">
        <v>0</v>
      </c>
      <c r="S183" s="875"/>
      <c r="T183" s="875">
        <v>0</v>
      </c>
      <c r="U183" s="4611">
        <v>20</v>
      </c>
      <c r="V183" s="4608">
        <v>17.97</v>
      </c>
      <c r="W183" s="4608">
        <v>0</v>
      </c>
      <c r="X183" s="4611">
        <v>8</v>
      </c>
      <c r="Y183" s="4611">
        <v>0</v>
      </c>
      <c r="Z183" s="4611">
        <v>0</v>
      </c>
      <c r="AA183" s="4611">
        <v>11.977</v>
      </c>
      <c r="AB183" s="4611">
        <v>0</v>
      </c>
      <c r="AC183" s="4611">
        <v>0</v>
      </c>
      <c r="AD183" s="4611">
        <v>0</v>
      </c>
      <c r="AE183" s="4611">
        <v>0</v>
      </c>
      <c r="AF183" s="4611">
        <v>0</v>
      </c>
      <c r="AG183" s="4611">
        <v>0</v>
      </c>
      <c r="AH183" s="4611">
        <v>0</v>
      </c>
      <c r="AI183" s="4611">
        <v>3.16</v>
      </c>
      <c r="AJ183" s="4611">
        <v>0</v>
      </c>
      <c r="AK183" s="4611">
        <v>0</v>
      </c>
      <c r="AL183" s="4612"/>
      <c r="AM183" s="4611">
        <v>0</v>
      </c>
      <c r="AN183" s="876">
        <f t="shared" si="4"/>
        <v>61.106999999999999</v>
      </c>
      <c r="AO183" s="877">
        <v>60.307000000000002</v>
      </c>
      <c r="AP183" s="878">
        <f t="shared" si="5"/>
        <v>0.8</v>
      </c>
    </row>
    <row r="184" spans="1:42" ht="13.8">
      <c r="A184" s="873">
        <v>390</v>
      </c>
      <c r="B184" s="874">
        <v>20</v>
      </c>
      <c r="C184" s="875">
        <v>22.898</v>
      </c>
      <c r="D184" s="875">
        <v>0</v>
      </c>
      <c r="E184" s="875">
        <v>7.9489999999999998</v>
      </c>
      <c r="F184" s="875">
        <v>0</v>
      </c>
      <c r="G184" s="875">
        <v>0</v>
      </c>
      <c r="H184" s="875">
        <v>0</v>
      </c>
      <c r="I184" s="875">
        <v>0</v>
      </c>
      <c r="J184" s="875">
        <v>0</v>
      </c>
      <c r="K184" s="875">
        <v>0</v>
      </c>
      <c r="L184" s="875">
        <v>0</v>
      </c>
      <c r="M184" s="875">
        <v>0</v>
      </c>
      <c r="N184" s="875">
        <v>0</v>
      </c>
      <c r="O184" s="875">
        <v>0</v>
      </c>
      <c r="P184" s="875">
        <v>0.497</v>
      </c>
      <c r="Q184" s="875">
        <v>0</v>
      </c>
      <c r="R184" s="875">
        <v>0</v>
      </c>
      <c r="S184" s="875"/>
      <c r="T184" s="875">
        <v>0</v>
      </c>
      <c r="U184" s="4611">
        <v>20</v>
      </c>
      <c r="V184" s="4608">
        <v>22.934000000000001</v>
      </c>
      <c r="W184" s="4608">
        <v>0</v>
      </c>
      <c r="X184" s="4611">
        <v>8</v>
      </c>
      <c r="Y184" s="4611">
        <v>0</v>
      </c>
      <c r="Z184" s="4611">
        <v>0</v>
      </c>
      <c r="AA184" s="4611">
        <v>0</v>
      </c>
      <c r="AB184" s="4611">
        <v>0</v>
      </c>
      <c r="AC184" s="4611">
        <v>0</v>
      </c>
      <c r="AD184" s="4611">
        <v>0</v>
      </c>
      <c r="AE184" s="4611">
        <v>0</v>
      </c>
      <c r="AF184" s="4611">
        <v>0</v>
      </c>
      <c r="AG184" s="4611">
        <v>0</v>
      </c>
      <c r="AH184" s="4611">
        <v>0</v>
      </c>
      <c r="AI184" s="4611">
        <v>0.5</v>
      </c>
      <c r="AJ184" s="4611">
        <v>0</v>
      </c>
      <c r="AK184" s="4611">
        <v>0</v>
      </c>
      <c r="AL184" s="4612"/>
      <c r="AM184" s="4611">
        <v>0</v>
      </c>
      <c r="AN184" s="876">
        <f t="shared" si="4"/>
        <v>51.433999999999997</v>
      </c>
      <c r="AO184" s="877">
        <v>51.344000000000001</v>
      </c>
      <c r="AP184" s="878">
        <f t="shared" si="5"/>
        <v>0.09</v>
      </c>
    </row>
    <row r="185" spans="1:42" ht="13.8">
      <c r="A185" s="873">
        <v>392</v>
      </c>
      <c r="B185" s="874">
        <v>20</v>
      </c>
      <c r="C185" s="875">
        <v>19.754999999999999</v>
      </c>
      <c r="D185" s="875">
        <v>0</v>
      </c>
      <c r="E185" s="875">
        <v>8</v>
      </c>
      <c r="F185" s="875">
        <v>0</v>
      </c>
      <c r="G185" s="875">
        <v>0</v>
      </c>
      <c r="H185" s="875">
        <v>0</v>
      </c>
      <c r="I185" s="875">
        <v>0</v>
      </c>
      <c r="J185" s="875">
        <v>0</v>
      </c>
      <c r="K185" s="875">
        <v>0</v>
      </c>
      <c r="L185" s="875">
        <v>0</v>
      </c>
      <c r="M185" s="875">
        <v>0</v>
      </c>
      <c r="N185" s="875">
        <v>0</v>
      </c>
      <c r="O185" s="875">
        <v>0</v>
      </c>
      <c r="P185" s="875">
        <v>0</v>
      </c>
      <c r="Q185" s="875">
        <v>0</v>
      </c>
      <c r="R185" s="875">
        <v>0</v>
      </c>
      <c r="S185" s="875"/>
      <c r="T185" s="875">
        <v>0</v>
      </c>
      <c r="U185" s="4611">
        <v>20</v>
      </c>
      <c r="V185" s="4608">
        <v>18.417999999999999</v>
      </c>
      <c r="W185" s="4608">
        <v>0</v>
      </c>
      <c r="X185" s="4611">
        <v>8</v>
      </c>
      <c r="Y185" s="4611">
        <v>0</v>
      </c>
      <c r="Z185" s="4611">
        <v>0</v>
      </c>
      <c r="AA185" s="4611">
        <v>0</v>
      </c>
      <c r="AB185" s="4611">
        <v>0</v>
      </c>
      <c r="AC185" s="4611">
        <v>0</v>
      </c>
      <c r="AD185" s="4611">
        <v>0</v>
      </c>
      <c r="AE185" s="4611">
        <v>0</v>
      </c>
      <c r="AF185" s="4611">
        <v>0</v>
      </c>
      <c r="AG185" s="4611">
        <v>0</v>
      </c>
      <c r="AH185" s="4611">
        <v>0</v>
      </c>
      <c r="AI185" s="4611">
        <v>0</v>
      </c>
      <c r="AJ185" s="4611">
        <v>0</v>
      </c>
      <c r="AK185" s="4611">
        <v>0</v>
      </c>
      <c r="AL185" s="4612"/>
      <c r="AM185" s="4611">
        <v>0</v>
      </c>
      <c r="AN185" s="876">
        <f t="shared" si="4"/>
        <v>46.417999999999999</v>
      </c>
      <c r="AO185" s="877">
        <v>47.755000000000003</v>
      </c>
      <c r="AP185" s="878">
        <f t="shared" si="5"/>
        <v>-1.337</v>
      </c>
    </row>
    <row r="186" spans="1:42" ht="13.8">
      <c r="A186" s="873">
        <v>393</v>
      </c>
      <c r="B186" s="874">
        <v>20</v>
      </c>
      <c r="C186" s="875">
        <v>22.824000000000002</v>
      </c>
      <c r="D186" s="875">
        <v>0</v>
      </c>
      <c r="E186" s="875">
        <v>7.9930000000000003</v>
      </c>
      <c r="F186" s="875">
        <v>0</v>
      </c>
      <c r="G186" s="875">
        <v>0</v>
      </c>
      <c r="H186" s="875">
        <v>0</v>
      </c>
      <c r="I186" s="875">
        <v>0</v>
      </c>
      <c r="J186" s="875">
        <v>0</v>
      </c>
      <c r="K186" s="875">
        <v>0</v>
      </c>
      <c r="L186" s="875">
        <v>0</v>
      </c>
      <c r="M186" s="875">
        <v>0</v>
      </c>
      <c r="N186" s="875">
        <v>0</v>
      </c>
      <c r="O186" s="875">
        <v>0</v>
      </c>
      <c r="P186" s="875">
        <v>0.999</v>
      </c>
      <c r="Q186" s="875">
        <v>0</v>
      </c>
      <c r="R186" s="875">
        <v>0</v>
      </c>
      <c r="S186" s="875"/>
      <c r="T186" s="875">
        <v>0</v>
      </c>
      <c r="U186" s="4611">
        <v>20</v>
      </c>
      <c r="V186" s="4608">
        <v>21.297999999999998</v>
      </c>
      <c r="W186" s="4608">
        <v>0</v>
      </c>
      <c r="X186" s="4611">
        <v>7.9950000000000001</v>
      </c>
      <c r="Y186" s="4611">
        <v>0</v>
      </c>
      <c r="Z186" s="4611">
        <v>0</v>
      </c>
      <c r="AA186" s="4611">
        <v>0</v>
      </c>
      <c r="AB186" s="4611">
        <v>0</v>
      </c>
      <c r="AC186" s="4611">
        <v>0</v>
      </c>
      <c r="AD186" s="4611">
        <v>0</v>
      </c>
      <c r="AE186" s="4611">
        <v>0</v>
      </c>
      <c r="AF186" s="4611">
        <v>0</v>
      </c>
      <c r="AG186" s="4611">
        <v>0</v>
      </c>
      <c r="AH186" s="4611">
        <v>0</v>
      </c>
      <c r="AI186" s="4611">
        <v>0.999</v>
      </c>
      <c r="AJ186" s="4611">
        <v>0</v>
      </c>
      <c r="AK186" s="4611">
        <v>0</v>
      </c>
      <c r="AL186" s="4612"/>
      <c r="AM186" s="4611">
        <v>0</v>
      </c>
      <c r="AN186" s="876">
        <f t="shared" si="4"/>
        <v>50.292000000000002</v>
      </c>
      <c r="AO186" s="877">
        <v>51.816000000000003</v>
      </c>
      <c r="AP186" s="878">
        <f t="shared" si="5"/>
        <v>-1.524</v>
      </c>
    </row>
    <row r="187" spans="1:42" ht="13.8">
      <c r="A187" s="873">
        <v>394</v>
      </c>
      <c r="B187" s="874">
        <v>20</v>
      </c>
      <c r="C187" s="875">
        <v>13.510999999999999</v>
      </c>
      <c r="D187" s="875">
        <v>0</v>
      </c>
      <c r="E187" s="875">
        <v>8</v>
      </c>
      <c r="F187" s="875">
        <v>0</v>
      </c>
      <c r="G187" s="875">
        <v>0</v>
      </c>
      <c r="H187" s="875">
        <v>17.504000000000001</v>
      </c>
      <c r="I187" s="875">
        <v>0</v>
      </c>
      <c r="J187" s="875">
        <v>0</v>
      </c>
      <c r="K187" s="875">
        <v>0</v>
      </c>
      <c r="L187" s="875">
        <v>0</v>
      </c>
      <c r="M187" s="875">
        <v>0.71</v>
      </c>
      <c r="N187" s="875">
        <v>0</v>
      </c>
      <c r="O187" s="875">
        <v>0</v>
      </c>
      <c r="P187" s="875">
        <v>3.8820000000000001</v>
      </c>
      <c r="Q187" s="875">
        <v>0.91500000000000004</v>
      </c>
      <c r="R187" s="875">
        <v>0</v>
      </c>
      <c r="S187" s="875"/>
      <c r="T187" s="875">
        <v>0</v>
      </c>
      <c r="U187" s="4611">
        <v>20</v>
      </c>
      <c r="V187" s="4608">
        <v>13.249000000000001</v>
      </c>
      <c r="W187" s="4608">
        <v>0</v>
      </c>
      <c r="X187" s="4611">
        <v>7.9980000000000002</v>
      </c>
      <c r="Y187" s="4611">
        <v>0</v>
      </c>
      <c r="Z187" s="4611">
        <v>0</v>
      </c>
      <c r="AA187" s="4611">
        <v>17.36</v>
      </c>
      <c r="AB187" s="4611">
        <v>0</v>
      </c>
      <c r="AC187" s="4611">
        <v>0</v>
      </c>
      <c r="AD187" s="4611">
        <v>0</v>
      </c>
      <c r="AE187" s="4611">
        <v>0</v>
      </c>
      <c r="AF187" s="4611">
        <v>0.5</v>
      </c>
      <c r="AG187" s="4611">
        <v>0</v>
      </c>
      <c r="AH187" s="4611">
        <v>0</v>
      </c>
      <c r="AI187" s="4611">
        <v>3.8290000000000002</v>
      </c>
      <c r="AJ187" s="4611">
        <v>0.90300000000000002</v>
      </c>
      <c r="AK187" s="4611">
        <v>0</v>
      </c>
      <c r="AL187" s="4612"/>
      <c r="AM187" s="4611">
        <v>0</v>
      </c>
      <c r="AN187" s="876">
        <f t="shared" si="4"/>
        <v>63.838999999999999</v>
      </c>
      <c r="AO187" s="877">
        <v>64.522000000000006</v>
      </c>
      <c r="AP187" s="878">
        <f t="shared" si="5"/>
        <v>-0.68300000000000005</v>
      </c>
    </row>
    <row r="188" spans="1:42" ht="13.8">
      <c r="A188" s="873">
        <v>395</v>
      </c>
      <c r="B188" s="874">
        <v>20</v>
      </c>
      <c r="C188" s="875">
        <v>19.989999999999998</v>
      </c>
      <c r="D188" s="875">
        <v>0</v>
      </c>
      <c r="E188" s="875">
        <v>7.0090000000000003</v>
      </c>
      <c r="F188" s="875">
        <v>0</v>
      </c>
      <c r="G188" s="875">
        <v>0</v>
      </c>
      <c r="H188" s="875">
        <v>0</v>
      </c>
      <c r="I188" s="875">
        <v>0</v>
      </c>
      <c r="J188" s="875">
        <v>0</v>
      </c>
      <c r="K188" s="875">
        <v>0</v>
      </c>
      <c r="L188" s="875">
        <v>0</v>
      </c>
      <c r="M188" s="875">
        <v>0</v>
      </c>
      <c r="N188" s="875">
        <v>0</v>
      </c>
      <c r="O188" s="875">
        <v>0</v>
      </c>
      <c r="P188" s="875">
        <v>0</v>
      </c>
      <c r="Q188" s="875">
        <v>0</v>
      </c>
      <c r="R188" s="875">
        <v>0</v>
      </c>
      <c r="S188" s="875"/>
      <c r="T188" s="875">
        <v>0</v>
      </c>
      <c r="U188" s="4611">
        <v>20</v>
      </c>
      <c r="V188" s="4608">
        <v>21.713999999999999</v>
      </c>
      <c r="W188" s="4608">
        <v>0</v>
      </c>
      <c r="X188" s="4611">
        <v>5.8959999999999999</v>
      </c>
      <c r="Y188" s="4611">
        <v>0</v>
      </c>
      <c r="Z188" s="4611">
        <v>0</v>
      </c>
      <c r="AA188" s="4611">
        <v>0</v>
      </c>
      <c r="AB188" s="4611">
        <v>0</v>
      </c>
      <c r="AC188" s="4611">
        <v>0</v>
      </c>
      <c r="AD188" s="4611">
        <v>0</v>
      </c>
      <c r="AE188" s="4611">
        <v>0</v>
      </c>
      <c r="AF188" s="4611">
        <v>0</v>
      </c>
      <c r="AG188" s="4611">
        <v>0</v>
      </c>
      <c r="AH188" s="4611">
        <v>0</v>
      </c>
      <c r="AI188" s="4611">
        <v>0</v>
      </c>
      <c r="AJ188" s="4611">
        <v>0</v>
      </c>
      <c r="AK188" s="4611">
        <v>0</v>
      </c>
      <c r="AL188" s="4612"/>
      <c r="AM188" s="4611">
        <v>0</v>
      </c>
      <c r="AN188" s="876">
        <f t="shared" si="4"/>
        <v>47.61</v>
      </c>
      <c r="AO188" s="877">
        <v>46.999000000000002</v>
      </c>
      <c r="AP188" s="878">
        <f t="shared" si="5"/>
        <v>0.61099999999999999</v>
      </c>
    </row>
    <row r="189" spans="1:42" ht="13.8">
      <c r="A189" s="873">
        <v>396</v>
      </c>
      <c r="B189" s="874">
        <v>20</v>
      </c>
      <c r="C189" s="875">
        <v>16.132999999999999</v>
      </c>
      <c r="D189" s="875">
        <v>0</v>
      </c>
      <c r="E189" s="875">
        <v>8</v>
      </c>
      <c r="F189" s="875">
        <v>0</v>
      </c>
      <c r="G189" s="875">
        <v>0</v>
      </c>
      <c r="H189" s="875">
        <v>16.248000000000001</v>
      </c>
      <c r="I189" s="875">
        <v>0</v>
      </c>
      <c r="J189" s="875">
        <v>0</v>
      </c>
      <c r="K189" s="875">
        <v>0</v>
      </c>
      <c r="L189" s="875">
        <v>0</v>
      </c>
      <c r="M189" s="875">
        <v>0</v>
      </c>
      <c r="N189" s="875">
        <v>0</v>
      </c>
      <c r="O189" s="875">
        <v>0</v>
      </c>
      <c r="P189" s="875">
        <v>1</v>
      </c>
      <c r="Q189" s="875">
        <v>0</v>
      </c>
      <c r="R189" s="875">
        <v>0</v>
      </c>
      <c r="S189" s="875"/>
      <c r="T189" s="875">
        <v>0</v>
      </c>
      <c r="U189" s="4611">
        <v>20</v>
      </c>
      <c r="V189" s="4608">
        <v>16.242999999999999</v>
      </c>
      <c r="W189" s="4608">
        <v>0</v>
      </c>
      <c r="X189" s="4611">
        <v>7.9989999999999997</v>
      </c>
      <c r="Y189" s="4611">
        <v>0</v>
      </c>
      <c r="Z189" s="4611">
        <v>0</v>
      </c>
      <c r="AA189" s="4611">
        <v>16.134</v>
      </c>
      <c r="AB189" s="4611">
        <v>0</v>
      </c>
      <c r="AC189" s="4611">
        <v>0</v>
      </c>
      <c r="AD189" s="4611">
        <v>0</v>
      </c>
      <c r="AE189" s="4611">
        <v>0</v>
      </c>
      <c r="AF189" s="4611">
        <v>0</v>
      </c>
      <c r="AG189" s="4611">
        <v>0</v>
      </c>
      <c r="AH189" s="4611">
        <v>0</v>
      </c>
      <c r="AI189" s="4611">
        <v>1</v>
      </c>
      <c r="AJ189" s="4611">
        <v>0</v>
      </c>
      <c r="AK189" s="4611">
        <v>0</v>
      </c>
      <c r="AL189" s="4612"/>
      <c r="AM189" s="4611">
        <v>0</v>
      </c>
      <c r="AN189" s="876">
        <f t="shared" si="4"/>
        <v>61.375999999999998</v>
      </c>
      <c r="AO189" s="877">
        <v>61.381</v>
      </c>
      <c r="AP189" s="878">
        <f t="shared" si="5"/>
        <v>-5.0000000000000001E-3</v>
      </c>
    </row>
    <row r="190" spans="1:42" ht="13.8">
      <c r="A190" s="873">
        <v>397</v>
      </c>
      <c r="B190" s="874">
        <v>20</v>
      </c>
      <c r="C190" s="875">
        <v>12.494999999999999</v>
      </c>
      <c r="D190" s="875">
        <v>0</v>
      </c>
      <c r="E190" s="875">
        <v>7.9690000000000003</v>
      </c>
      <c r="F190" s="875">
        <v>0</v>
      </c>
      <c r="G190" s="875">
        <v>0</v>
      </c>
      <c r="H190" s="875">
        <v>0</v>
      </c>
      <c r="I190" s="875">
        <v>0</v>
      </c>
      <c r="J190" s="875">
        <v>0</v>
      </c>
      <c r="K190" s="875">
        <v>0</v>
      </c>
      <c r="L190" s="875">
        <v>0</v>
      </c>
      <c r="M190" s="875">
        <v>0</v>
      </c>
      <c r="N190" s="875">
        <v>0</v>
      </c>
      <c r="O190" s="875">
        <v>0</v>
      </c>
      <c r="P190" s="875">
        <v>0</v>
      </c>
      <c r="Q190" s="875">
        <v>0</v>
      </c>
      <c r="R190" s="875">
        <v>0</v>
      </c>
      <c r="S190" s="875"/>
      <c r="T190" s="875">
        <v>0</v>
      </c>
      <c r="U190" s="4611">
        <v>20</v>
      </c>
      <c r="V190" s="4608">
        <v>12.506</v>
      </c>
      <c r="W190" s="4608">
        <v>0</v>
      </c>
      <c r="X190" s="4611">
        <v>7.9969999999999999</v>
      </c>
      <c r="Y190" s="4611">
        <v>0</v>
      </c>
      <c r="Z190" s="4611">
        <v>0</v>
      </c>
      <c r="AA190" s="4611">
        <v>0</v>
      </c>
      <c r="AB190" s="4611">
        <v>0</v>
      </c>
      <c r="AC190" s="4611">
        <v>0</v>
      </c>
      <c r="AD190" s="4611">
        <v>0</v>
      </c>
      <c r="AE190" s="4611">
        <v>0</v>
      </c>
      <c r="AF190" s="4611">
        <v>0</v>
      </c>
      <c r="AG190" s="4611">
        <v>0</v>
      </c>
      <c r="AH190" s="4611">
        <v>0</v>
      </c>
      <c r="AI190" s="4611">
        <v>0</v>
      </c>
      <c r="AJ190" s="4611">
        <v>0</v>
      </c>
      <c r="AK190" s="4611">
        <v>0</v>
      </c>
      <c r="AL190" s="4612"/>
      <c r="AM190" s="4611">
        <v>0</v>
      </c>
      <c r="AN190" s="876">
        <f t="shared" si="4"/>
        <v>40.503</v>
      </c>
      <c r="AO190" s="877">
        <v>40.463999999999999</v>
      </c>
      <c r="AP190" s="878">
        <f t="shared" si="5"/>
        <v>3.9E-2</v>
      </c>
    </row>
    <row r="191" spans="1:42" ht="13.8">
      <c r="A191" s="873">
        <v>398</v>
      </c>
      <c r="B191" s="874">
        <v>20</v>
      </c>
      <c r="C191" s="875">
        <v>23.997</v>
      </c>
      <c r="D191" s="875">
        <v>0</v>
      </c>
      <c r="E191" s="875">
        <v>4.9960000000000004</v>
      </c>
      <c r="F191" s="875">
        <v>0</v>
      </c>
      <c r="G191" s="875">
        <v>0</v>
      </c>
      <c r="H191" s="875">
        <v>0</v>
      </c>
      <c r="I191" s="875">
        <v>0</v>
      </c>
      <c r="J191" s="875">
        <v>0</v>
      </c>
      <c r="K191" s="875">
        <v>0</v>
      </c>
      <c r="L191" s="875">
        <v>0</v>
      </c>
      <c r="M191" s="875">
        <v>0</v>
      </c>
      <c r="N191" s="875">
        <v>0</v>
      </c>
      <c r="O191" s="875">
        <v>0</v>
      </c>
      <c r="P191" s="875">
        <v>1.998</v>
      </c>
      <c r="Q191" s="875">
        <v>0</v>
      </c>
      <c r="R191" s="875">
        <v>0</v>
      </c>
      <c r="S191" s="875"/>
      <c r="T191" s="875">
        <v>0</v>
      </c>
      <c r="U191" s="4611">
        <v>20</v>
      </c>
      <c r="V191" s="4608">
        <v>25.699000000000002</v>
      </c>
      <c r="W191" s="4608">
        <v>0</v>
      </c>
      <c r="X191" s="4611">
        <v>3.9990000000000001</v>
      </c>
      <c r="Y191" s="4611">
        <v>0</v>
      </c>
      <c r="Z191" s="4611">
        <v>0</v>
      </c>
      <c r="AA191" s="4611">
        <v>0</v>
      </c>
      <c r="AB191" s="4611">
        <v>0</v>
      </c>
      <c r="AC191" s="4611">
        <v>0</v>
      </c>
      <c r="AD191" s="4611">
        <v>0</v>
      </c>
      <c r="AE191" s="4611">
        <v>0</v>
      </c>
      <c r="AF191" s="4611">
        <v>0</v>
      </c>
      <c r="AG191" s="4611">
        <v>0</v>
      </c>
      <c r="AH191" s="4611">
        <v>0</v>
      </c>
      <c r="AI191" s="4611">
        <v>1.8939999999999999</v>
      </c>
      <c r="AJ191" s="4611">
        <v>0</v>
      </c>
      <c r="AK191" s="4611">
        <v>0</v>
      </c>
      <c r="AL191" s="4612"/>
      <c r="AM191" s="4611">
        <v>0</v>
      </c>
      <c r="AN191" s="876">
        <f t="shared" si="4"/>
        <v>51.591999999999999</v>
      </c>
      <c r="AO191" s="877">
        <v>50.991</v>
      </c>
      <c r="AP191" s="878">
        <f t="shared" si="5"/>
        <v>0.60099999999999998</v>
      </c>
    </row>
    <row r="192" spans="1:42" ht="13.8">
      <c r="A192" s="873">
        <v>399</v>
      </c>
      <c r="B192" s="874">
        <v>20</v>
      </c>
      <c r="C192" s="875">
        <v>16.311</v>
      </c>
      <c r="D192" s="875">
        <v>0</v>
      </c>
      <c r="E192" s="875">
        <v>8</v>
      </c>
      <c r="F192" s="875">
        <v>0</v>
      </c>
      <c r="G192" s="875">
        <v>0</v>
      </c>
      <c r="H192" s="875">
        <v>0</v>
      </c>
      <c r="I192" s="875">
        <v>0</v>
      </c>
      <c r="J192" s="875">
        <v>0</v>
      </c>
      <c r="K192" s="875">
        <v>0</v>
      </c>
      <c r="L192" s="875">
        <v>0</v>
      </c>
      <c r="M192" s="875">
        <v>0</v>
      </c>
      <c r="N192" s="875">
        <v>0</v>
      </c>
      <c r="O192" s="875">
        <v>0</v>
      </c>
      <c r="P192" s="875">
        <v>0</v>
      </c>
      <c r="Q192" s="875">
        <v>0</v>
      </c>
      <c r="R192" s="875">
        <v>0</v>
      </c>
      <c r="S192" s="875"/>
      <c r="T192" s="875">
        <v>0</v>
      </c>
      <c r="U192" s="4611">
        <v>20</v>
      </c>
      <c r="V192" s="4608">
        <v>18.428000000000001</v>
      </c>
      <c r="W192" s="4608">
        <v>0</v>
      </c>
      <c r="X192" s="4611">
        <v>8</v>
      </c>
      <c r="Y192" s="4611">
        <v>0</v>
      </c>
      <c r="Z192" s="4611">
        <v>0</v>
      </c>
      <c r="AA192" s="4611">
        <v>0</v>
      </c>
      <c r="AB192" s="4611">
        <v>0</v>
      </c>
      <c r="AC192" s="4611">
        <v>0</v>
      </c>
      <c r="AD192" s="4611">
        <v>0</v>
      </c>
      <c r="AE192" s="4611">
        <v>0</v>
      </c>
      <c r="AF192" s="4611">
        <v>0</v>
      </c>
      <c r="AG192" s="4611">
        <v>0</v>
      </c>
      <c r="AH192" s="4611">
        <v>0</v>
      </c>
      <c r="AI192" s="4611">
        <v>0</v>
      </c>
      <c r="AJ192" s="4611">
        <v>0</v>
      </c>
      <c r="AK192" s="4611">
        <v>0</v>
      </c>
      <c r="AL192" s="4612"/>
      <c r="AM192" s="4611">
        <v>0</v>
      </c>
      <c r="AN192" s="876">
        <f t="shared" si="4"/>
        <v>46.427999999999997</v>
      </c>
      <c r="AO192" s="877">
        <v>44.311</v>
      </c>
      <c r="AP192" s="878">
        <f t="shared" si="5"/>
        <v>2.117</v>
      </c>
    </row>
    <row r="193" spans="1:42" ht="13.8">
      <c r="A193" s="873">
        <v>400</v>
      </c>
      <c r="B193" s="874">
        <v>20</v>
      </c>
      <c r="C193" s="875">
        <v>12.602</v>
      </c>
      <c r="D193" s="875">
        <v>0</v>
      </c>
      <c r="E193" s="875">
        <v>8</v>
      </c>
      <c r="F193" s="875">
        <v>0</v>
      </c>
      <c r="G193" s="875">
        <v>0</v>
      </c>
      <c r="H193" s="875">
        <v>0</v>
      </c>
      <c r="I193" s="875">
        <v>0</v>
      </c>
      <c r="J193" s="875">
        <v>0</v>
      </c>
      <c r="K193" s="875">
        <v>0</v>
      </c>
      <c r="L193" s="875">
        <v>0</v>
      </c>
      <c r="M193" s="875">
        <v>0</v>
      </c>
      <c r="N193" s="875">
        <v>0</v>
      </c>
      <c r="O193" s="875">
        <v>0</v>
      </c>
      <c r="P193" s="875">
        <v>0</v>
      </c>
      <c r="Q193" s="875">
        <v>0</v>
      </c>
      <c r="R193" s="875">
        <v>0</v>
      </c>
      <c r="S193" s="875"/>
      <c r="T193" s="875">
        <v>0</v>
      </c>
      <c r="U193" s="4611">
        <v>20</v>
      </c>
      <c r="V193" s="4608">
        <v>13.417</v>
      </c>
      <c r="W193" s="4608">
        <v>0</v>
      </c>
      <c r="X193" s="4611">
        <v>7.984</v>
      </c>
      <c r="Y193" s="4611">
        <v>0</v>
      </c>
      <c r="Z193" s="4611">
        <v>0</v>
      </c>
      <c r="AA193" s="4611">
        <v>0</v>
      </c>
      <c r="AB193" s="4611">
        <v>0</v>
      </c>
      <c r="AC193" s="4611">
        <v>0</v>
      </c>
      <c r="AD193" s="4611">
        <v>0</v>
      </c>
      <c r="AE193" s="4611">
        <v>0</v>
      </c>
      <c r="AF193" s="4611">
        <v>0</v>
      </c>
      <c r="AG193" s="4611">
        <v>0</v>
      </c>
      <c r="AH193" s="4611">
        <v>0</v>
      </c>
      <c r="AI193" s="4611">
        <v>0</v>
      </c>
      <c r="AJ193" s="4611">
        <v>0</v>
      </c>
      <c r="AK193" s="4611">
        <v>0</v>
      </c>
      <c r="AL193" s="4612"/>
      <c r="AM193" s="4611">
        <v>0</v>
      </c>
      <c r="AN193" s="876">
        <f t="shared" si="4"/>
        <v>41.401000000000003</v>
      </c>
      <c r="AO193" s="877">
        <v>40.601999999999997</v>
      </c>
      <c r="AP193" s="878">
        <f t="shared" si="5"/>
        <v>0.79900000000000004</v>
      </c>
    </row>
    <row r="194" spans="1:42" ht="13.8">
      <c r="A194" s="873">
        <v>401</v>
      </c>
      <c r="B194" s="874">
        <v>20</v>
      </c>
      <c r="C194" s="875">
        <v>22.106000000000002</v>
      </c>
      <c r="D194" s="875">
        <v>0</v>
      </c>
      <c r="E194" s="875">
        <v>7.0019999999999998</v>
      </c>
      <c r="F194" s="875">
        <v>0</v>
      </c>
      <c r="G194" s="875">
        <v>0</v>
      </c>
      <c r="H194" s="875">
        <v>0</v>
      </c>
      <c r="I194" s="875">
        <v>0</v>
      </c>
      <c r="J194" s="875">
        <v>0</v>
      </c>
      <c r="K194" s="875">
        <v>0</v>
      </c>
      <c r="L194" s="875">
        <v>0</v>
      </c>
      <c r="M194" s="875">
        <v>0</v>
      </c>
      <c r="N194" s="875">
        <v>0</v>
      </c>
      <c r="O194" s="875">
        <v>0</v>
      </c>
      <c r="P194" s="875">
        <v>0</v>
      </c>
      <c r="Q194" s="875">
        <v>0</v>
      </c>
      <c r="R194" s="875">
        <v>0</v>
      </c>
      <c r="S194" s="875"/>
      <c r="T194" s="875">
        <v>0</v>
      </c>
      <c r="U194" s="4611">
        <v>20</v>
      </c>
      <c r="V194" s="4608">
        <v>23.94</v>
      </c>
      <c r="W194" s="4608">
        <v>0</v>
      </c>
      <c r="X194" s="4611">
        <v>7.0060000000000002</v>
      </c>
      <c r="Y194" s="4611">
        <v>0</v>
      </c>
      <c r="Z194" s="4611">
        <v>0</v>
      </c>
      <c r="AA194" s="4611">
        <v>0</v>
      </c>
      <c r="AB194" s="4611">
        <v>0</v>
      </c>
      <c r="AC194" s="4611">
        <v>0</v>
      </c>
      <c r="AD194" s="4611">
        <v>0</v>
      </c>
      <c r="AE194" s="4611">
        <v>0</v>
      </c>
      <c r="AF194" s="4611">
        <v>0</v>
      </c>
      <c r="AG194" s="4611">
        <v>0</v>
      </c>
      <c r="AH194" s="4611">
        <v>0</v>
      </c>
      <c r="AI194" s="4611">
        <v>0</v>
      </c>
      <c r="AJ194" s="4611">
        <v>0</v>
      </c>
      <c r="AK194" s="4611">
        <v>0</v>
      </c>
      <c r="AL194" s="4612"/>
      <c r="AM194" s="4611">
        <v>0</v>
      </c>
      <c r="AN194" s="876">
        <f t="shared" si="4"/>
        <v>50.945999999999998</v>
      </c>
      <c r="AO194" s="877">
        <v>49.107999999999997</v>
      </c>
      <c r="AP194" s="878">
        <f t="shared" si="5"/>
        <v>1.8380000000000001</v>
      </c>
    </row>
    <row r="195" spans="1:42" ht="13.8">
      <c r="A195" s="873">
        <v>402</v>
      </c>
      <c r="B195" s="874">
        <v>20</v>
      </c>
      <c r="C195" s="875">
        <v>14.051</v>
      </c>
      <c r="D195" s="875">
        <v>0</v>
      </c>
      <c r="E195" s="875">
        <v>7.9980000000000002</v>
      </c>
      <c r="F195" s="875">
        <v>0</v>
      </c>
      <c r="G195" s="875">
        <v>0</v>
      </c>
      <c r="H195" s="875">
        <v>21.175999999999998</v>
      </c>
      <c r="I195" s="875">
        <v>0</v>
      </c>
      <c r="J195" s="875">
        <v>0</v>
      </c>
      <c r="K195" s="875">
        <v>0</v>
      </c>
      <c r="L195" s="875">
        <v>0</v>
      </c>
      <c r="M195" s="875">
        <v>0</v>
      </c>
      <c r="N195" s="875">
        <v>0</v>
      </c>
      <c r="O195" s="875">
        <v>0</v>
      </c>
      <c r="P195" s="875">
        <v>0</v>
      </c>
      <c r="Q195" s="875">
        <v>0</v>
      </c>
      <c r="R195" s="875">
        <v>0</v>
      </c>
      <c r="S195" s="875"/>
      <c r="T195" s="875">
        <v>0</v>
      </c>
      <c r="U195" s="4611">
        <v>20</v>
      </c>
      <c r="V195" s="4608">
        <v>13.058999999999999</v>
      </c>
      <c r="W195" s="4608">
        <v>0</v>
      </c>
      <c r="X195" s="4611">
        <v>8</v>
      </c>
      <c r="Y195" s="4611">
        <v>0</v>
      </c>
      <c r="Z195" s="4611">
        <v>0</v>
      </c>
      <c r="AA195" s="4611">
        <v>21.193999999999999</v>
      </c>
      <c r="AB195" s="4611">
        <v>0</v>
      </c>
      <c r="AC195" s="4611">
        <v>0</v>
      </c>
      <c r="AD195" s="4611">
        <v>0</v>
      </c>
      <c r="AE195" s="4611">
        <v>0</v>
      </c>
      <c r="AF195" s="4611">
        <v>0</v>
      </c>
      <c r="AG195" s="4611">
        <v>0</v>
      </c>
      <c r="AH195" s="4611">
        <v>0</v>
      </c>
      <c r="AI195" s="4611">
        <v>0</v>
      </c>
      <c r="AJ195" s="4611">
        <v>0</v>
      </c>
      <c r="AK195" s="4611">
        <v>0</v>
      </c>
      <c r="AL195" s="4612"/>
      <c r="AM195" s="4611">
        <v>0</v>
      </c>
      <c r="AN195" s="876">
        <f t="shared" si="4"/>
        <v>62.253</v>
      </c>
      <c r="AO195" s="877">
        <v>63.225000000000001</v>
      </c>
      <c r="AP195" s="878">
        <f t="shared" si="5"/>
        <v>-0.97199999999999998</v>
      </c>
    </row>
    <row r="196" spans="1:42" ht="13.8">
      <c r="A196" s="873">
        <v>403</v>
      </c>
      <c r="B196" s="874">
        <v>20</v>
      </c>
      <c r="C196" s="875">
        <v>20.788</v>
      </c>
      <c r="D196" s="875">
        <v>0</v>
      </c>
      <c r="E196" s="875">
        <v>8</v>
      </c>
      <c r="F196" s="875">
        <v>0</v>
      </c>
      <c r="G196" s="875">
        <v>0</v>
      </c>
      <c r="H196" s="875">
        <v>0</v>
      </c>
      <c r="I196" s="875">
        <v>0</v>
      </c>
      <c r="J196" s="875">
        <v>0</v>
      </c>
      <c r="K196" s="875">
        <v>0</v>
      </c>
      <c r="L196" s="875">
        <v>0</v>
      </c>
      <c r="M196" s="875">
        <v>0</v>
      </c>
      <c r="N196" s="875">
        <v>0</v>
      </c>
      <c r="O196" s="875">
        <v>0</v>
      </c>
      <c r="P196" s="875">
        <v>0</v>
      </c>
      <c r="Q196" s="875">
        <v>0</v>
      </c>
      <c r="R196" s="875">
        <v>0</v>
      </c>
      <c r="S196" s="875"/>
      <c r="T196" s="875">
        <v>0</v>
      </c>
      <c r="U196" s="4611">
        <v>20</v>
      </c>
      <c r="V196" s="4608">
        <v>19.977</v>
      </c>
      <c r="W196" s="4608">
        <v>0</v>
      </c>
      <c r="X196" s="4611">
        <v>8</v>
      </c>
      <c r="Y196" s="4611">
        <v>0</v>
      </c>
      <c r="Z196" s="4611">
        <v>0</v>
      </c>
      <c r="AA196" s="4611">
        <v>0</v>
      </c>
      <c r="AB196" s="4611">
        <v>0</v>
      </c>
      <c r="AC196" s="4611">
        <v>0</v>
      </c>
      <c r="AD196" s="4611">
        <v>0</v>
      </c>
      <c r="AE196" s="4611">
        <v>0</v>
      </c>
      <c r="AF196" s="4611">
        <v>0</v>
      </c>
      <c r="AG196" s="4611">
        <v>0</v>
      </c>
      <c r="AH196" s="4611">
        <v>0</v>
      </c>
      <c r="AI196" s="4611">
        <v>0</v>
      </c>
      <c r="AJ196" s="4611">
        <v>0</v>
      </c>
      <c r="AK196" s="4611">
        <v>0</v>
      </c>
      <c r="AL196" s="4612"/>
      <c r="AM196" s="4611">
        <v>0</v>
      </c>
      <c r="AN196" s="876">
        <f t="shared" si="4"/>
        <v>47.976999999999997</v>
      </c>
      <c r="AO196" s="877">
        <v>48.787999999999997</v>
      </c>
      <c r="AP196" s="878">
        <f t="shared" si="5"/>
        <v>-0.81100000000000005</v>
      </c>
    </row>
    <row r="197" spans="1:42" ht="13.8">
      <c r="A197" s="873">
        <v>404</v>
      </c>
      <c r="B197" s="874">
        <v>20</v>
      </c>
      <c r="C197" s="875">
        <v>16.86</v>
      </c>
      <c r="D197" s="875">
        <v>0</v>
      </c>
      <c r="E197" s="875">
        <v>6.5010000000000003</v>
      </c>
      <c r="F197" s="875">
        <v>0</v>
      </c>
      <c r="G197" s="875">
        <v>0</v>
      </c>
      <c r="H197" s="875">
        <v>12.609</v>
      </c>
      <c r="I197" s="875">
        <v>0</v>
      </c>
      <c r="J197" s="875">
        <v>0</v>
      </c>
      <c r="K197" s="875">
        <v>0</v>
      </c>
      <c r="L197" s="875">
        <v>0</v>
      </c>
      <c r="M197" s="875">
        <v>0</v>
      </c>
      <c r="N197" s="875">
        <v>0</v>
      </c>
      <c r="O197" s="875">
        <v>0</v>
      </c>
      <c r="P197" s="875">
        <v>0</v>
      </c>
      <c r="Q197" s="875">
        <v>0</v>
      </c>
      <c r="R197" s="875">
        <v>0</v>
      </c>
      <c r="S197" s="875"/>
      <c r="T197" s="875">
        <v>0</v>
      </c>
      <c r="U197" s="4611">
        <v>20</v>
      </c>
      <c r="V197" s="4608">
        <v>14.661</v>
      </c>
      <c r="W197" s="4608">
        <v>0</v>
      </c>
      <c r="X197" s="4611">
        <v>7.9859999999999998</v>
      </c>
      <c r="Y197" s="4611">
        <v>0</v>
      </c>
      <c r="Z197" s="4611">
        <v>0</v>
      </c>
      <c r="AA197" s="4611">
        <v>12.278</v>
      </c>
      <c r="AB197" s="4611">
        <v>0</v>
      </c>
      <c r="AC197" s="4611">
        <v>0</v>
      </c>
      <c r="AD197" s="4611">
        <v>0</v>
      </c>
      <c r="AE197" s="4611">
        <v>0</v>
      </c>
      <c r="AF197" s="4611">
        <v>0</v>
      </c>
      <c r="AG197" s="4611">
        <v>0</v>
      </c>
      <c r="AH197" s="4611">
        <v>0</v>
      </c>
      <c r="AI197" s="4611">
        <v>0</v>
      </c>
      <c r="AJ197" s="4611">
        <v>0</v>
      </c>
      <c r="AK197" s="4611">
        <v>0</v>
      </c>
      <c r="AL197" s="4612"/>
      <c r="AM197" s="4611">
        <v>0</v>
      </c>
      <c r="AN197" s="876">
        <f t="shared" ref="AN197:AN260" si="6">SUM(U197:AM197)</f>
        <v>54.924999999999997</v>
      </c>
      <c r="AO197" s="877">
        <v>55.97</v>
      </c>
      <c r="AP197" s="878">
        <f t="shared" ref="AP197:AP260" si="7">AN197-AO197</f>
        <v>-1.0449999999999999</v>
      </c>
    </row>
    <row r="198" spans="1:42" ht="13.8">
      <c r="A198" s="873">
        <v>405</v>
      </c>
      <c r="B198" s="874">
        <v>20</v>
      </c>
      <c r="C198" s="875">
        <v>17.036000000000001</v>
      </c>
      <c r="D198" s="875">
        <v>0</v>
      </c>
      <c r="E198" s="875">
        <v>3.9990000000000001</v>
      </c>
      <c r="F198" s="875">
        <v>0</v>
      </c>
      <c r="G198" s="875">
        <v>0</v>
      </c>
      <c r="H198" s="875">
        <v>13.994</v>
      </c>
      <c r="I198" s="875">
        <v>0</v>
      </c>
      <c r="J198" s="875">
        <v>0</v>
      </c>
      <c r="K198" s="875">
        <v>0</v>
      </c>
      <c r="L198" s="875">
        <v>0</v>
      </c>
      <c r="M198" s="875">
        <v>0</v>
      </c>
      <c r="N198" s="875">
        <v>0</v>
      </c>
      <c r="O198" s="875">
        <v>0</v>
      </c>
      <c r="P198" s="875">
        <v>7.9969999999999999</v>
      </c>
      <c r="Q198" s="875">
        <v>1</v>
      </c>
      <c r="R198" s="875">
        <v>0</v>
      </c>
      <c r="S198" s="875"/>
      <c r="T198" s="875">
        <v>0</v>
      </c>
      <c r="U198" s="4611">
        <v>20</v>
      </c>
      <c r="V198" s="4608">
        <v>17.045000000000002</v>
      </c>
      <c r="W198" s="4608">
        <v>0</v>
      </c>
      <c r="X198" s="4611">
        <v>4</v>
      </c>
      <c r="Y198" s="4611">
        <v>0</v>
      </c>
      <c r="Z198" s="4611">
        <v>0</v>
      </c>
      <c r="AA198" s="4611">
        <v>14</v>
      </c>
      <c r="AB198" s="4611">
        <v>0</v>
      </c>
      <c r="AC198" s="4611">
        <v>0</v>
      </c>
      <c r="AD198" s="4611">
        <v>0</v>
      </c>
      <c r="AE198" s="4611">
        <v>0</v>
      </c>
      <c r="AF198" s="4611">
        <v>0</v>
      </c>
      <c r="AG198" s="4611">
        <v>0</v>
      </c>
      <c r="AH198" s="4611">
        <v>0</v>
      </c>
      <c r="AI198" s="4611">
        <v>8</v>
      </c>
      <c r="AJ198" s="4611">
        <v>1</v>
      </c>
      <c r="AK198" s="4611">
        <v>0</v>
      </c>
      <c r="AL198" s="4612"/>
      <c r="AM198" s="4611">
        <v>0</v>
      </c>
      <c r="AN198" s="876">
        <f t="shared" si="6"/>
        <v>64.045000000000002</v>
      </c>
      <c r="AO198" s="877">
        <v>64.025999999999996</v>
      </c>
      <c r="AP198" s="878">
        <f t="shared" si="7"/>
        <v>1.9E-2</v>
      </c>
    </row>
    <row r="199" spans="1:42" ht="13.8">
      <c r="A199" s="873">
        <v>407</v>
      </c>
      <c r="B199" s="874">
        <v>20</v>
      </c>
      <c r="C199" s="875">
        <v>18.556999999999999</v>
      </c>
      <c r="D199" s="875">
        <v>0</v>
      </c>
      <c r="E199" s="875">
        <v>7.9850000000000003</v>
      </c>
      <c r="F199" s="875">
        <v>0</v>
      </c>
      <c r="G199" s="875">
        <v>0</v>
      </c>
      <c r="H199" s="875">
        <v>0</v>
      </c>
      <c r="I199" s="875">
        <v>0</v>
      </c>
      <c r="J199" s="875">
        <v>0</v>
      </c>
      <c r="K199" s="875">
        <v>0</v>
      </c>
      <c r="L199" s="875">
        <v>0</v>
      </c>
      <c r="M199" s="875">
        <v>0</v>
      </c>
      <c r="N199" s="875">
        <v>0</v>
      </c>
      <c r="O199" s="875">
        <v>0</v>
      </c>
      <c r="P199" s="875">
        <v>0</v>
      </c>
      <c r="Q199" s="875">
        <v>0</v>
      </c>
      <c r="R199" s="875">
        <v>0</v>
      </c>
      <c r="S199" s="875"/>
      <c r="T199" s="875">
        <v>0</v>
      </c>
      <c r="U199" s="4611">
        <v>20</v>
      </c>
      <c r="V199" s="4608">
        <v>18.620999999999999</v>
      </c>
      <c r="W199" s="4608">
        <v>0</v>
      </c>
      <c r="X199" s="4611">
        <v>8</v>
      </c>
      <c r="Y199" s="4611">
        <v>0</v>
      </c>
      <c r="Z199" s="4611">
        <v>0</v>
      </c>
      <c r="AA199" s="4611">
        <v>0</v>
      </c>
      <c r="AB199" s="4611">
        <v>0</v>
      </c>
      <c r="AC199" s="4611">
        <v>0</v>
      </c>
      <c r="AD199" s="4611">
        <v>0</v>
      </c>
      <c r="AE199" s="4611">
        <v>0</v>
      </c>
      <c r="AF199" s="4611">
        <v>0</v>
      </c>
      <c r="AG199" s="4611">
        <v>0</v>
      </c>
      <c r="AH199" s="4611">
        <v>0</v>
      </c>
      <c r="AI199" s="4611">
        <v>0</v>
      </c>
      <c r="AJ199" s="4611">
        <v>0</v>
      </c>
      <c r="AK199" s="4611">
        <v>0</v>
      </c>
      <c r="AL199" s="4612"/>
      <c r="AM199" s="4611">
        <v>0</v>
      </c>
      <c r="AN199" s="876">
        <f t="shared" si="6"/>
        <v>46.621000000000002</v>
      </c>
      <c r="AO199" s="877">
        <v>46.542000000000002</v>
      </c>
      <c r="AP199" s="878">
        <f t="shared" si="7"/>
        <v>7.9000000000000001E-2</v>
      </c>
    </row>
    <row r="200" spans="1:42" ht="13.8">
      <c r="A200" s="873">
        <v>408</v>
      </c>
      <c r="B200" s="874">
        <v>20</v>
      </c>
      <c r="C200" s="875">
        <v>17.422999999999998</v>
      </c>
      <c r="D200" s="875">
        <v>0</v>
      </c>
      <c r="E200" s="875">
        <v>7.9969999999999999</v>
      </c>
      <c r="F200" s="875">
        <v>0</v>
      </c>
      <c r="G200" s="875">
        <v>0</v>
      </c>
      <c r="H200" s="875">
        <v>7.3849999999999998</v>
      </c>
      <c r="I200" s="875">
        <v>0</v>
      </c>
      <c r="J200" s="875">
        <v>0</v>
      </c>
      <c r="K200" s="875">
        <v>0</v>
      </c>
      <c r="L200" s="875">
        <v>0</v>
      </c>
      <c r="M200" s="875">
        <v>0</v>
      </c>
      <c r="N200" s="875">
        <v>0</v>
      </c>
      <c r="O200" s="875">
        <v>0</v>
      </c>
      <c r="P200" s="875">
        <v>0</v>
      </c>
      <c r="Q200" s="875">
        <v>0</v>
      </c>
      <c r="R200" s="875">
        <v>0</v>
      </c>
      <c r="S200" s="875"/>
      <c r="T200" s="875">
        <v>0</v>
      </c>
      <c r="U200" s="4611">
        <v>20</v>
      </c>
      <c r="V200" s="4608">
        <v>17.678000000000001</v>
      </c>
      <c r="W200" s="4608">
        <v>0</v>
      </c>
      <c r="X200" s="4611">
        <v>7.9980000000000002</v>
      </c>
      <c r="Y200" s="4611">
        <v>0</v>
      </c>
      <c r="Z200" s="4611">
        <v>0</v>
      </c>
      <c r="AA200" s="4611">
        <v>7.0449999999999999</v>
      </c>
      <c r="AB200" s="4611">
        <v>0</v>
      </c>
      <c r="AC200" s="4611">
        <v>0</v>
      </c>
      <c r="AD200" s="4611">
        <v>0</v>
      </c>
      <c r="AE200" s="4611">
        <v>0</v>
      </c>
      <c r="AF200" s="4611">
        <v>0</v>
      </c>
      <c r="AG200" s="4611">
        <v>0</v>
      </c>
      <c r="AH200" s="4611">
        <v>0</v>
      </c>
      <c r="AI200" s="4611">
        <v>0</v>
      </c>
      <c r="AJ200" s="4611">
        <v>0</v>
      </c>
      <c r="AK200" s="4611">
        <v>0</v>
      </c>
      <c r="AL200" s="4612"/>
      <c r="AM200" s="4611">
        <v>0</v>
      </c>
      <c r="AN200" s="876">
        <f t="shared" si="6"/>
        <v>52.720999999999997</v>
      </c>
      <c r="AO200" s="877">
        <v>52.805</v>
      </c>
      <c r="AP200" s="878">
        <f t="shared" si="7"/>
        <v>-8.4000000000000005E-2</v>
      </c>
    </row>
    <row r="201" spans="1:42" ht="13.8">
      <c r="A201" s="873">
        <v>409</v>
      </c>
      <c r="B201" s="874">
        <v>20</v>
      </c>
      <c r="C201" s="875">
        <v>15.561</v>
      </c>
      <c r="D201" s="875">
        <v>0</v>
      </c>
      <c r="E201" s="875">
        <v>5</v>
      </c>
      <c r="F201" s="875">
        <v>0</v>
      </c>
      <c r="G201" s="875">
        <v>0</v>
      </c>
      <c r="H201" s="875">
        <v>13.81</v>
      </c>
      <c r="I201" s="875">
        <v>0</v>
      </c>
      <c r="J201" s="875">
        <v>0</v>
      </c>
      <c r="K201" s="875">
        <v>0</v>
      </c>
      <c r="L201" s="875">
        <v>0</v>
      </c>
      <c r="M201" s="875">
        <v>0</v>
      </c>
      <c r="N201" s="875">
        <v>0</v>
      </c>
      <c r="O201" s="875">
        <v>0</v>
      </c>
      <c r="P201" s="875">
        <v>2.3290000000000002</v>
      </c>
      <c r="Q201" s="875">
        <v>0.72499999999999998</v>
      </c>
      <c r="R201" s="875">
        <v>0</v>
      </c>
      <c r="S201" s="875"/>
      <c r="T201" s="875">
        <v>0</v>
      </c>
      <c r="U201" s="4611">
        <v>20</v>
      </c>
      <c r="V201" s="4608">
        <v>14.778</v>
      </c>
      <c r="W201" s="4608">
        <v>0</v>
      </c>
      <c r="X201" s="4611">
        <v>4.9989999999999997</v>
      </c>
      <c r="Y201" s="4611">
        <v>0</v>
      </c>
      <c r="Z201" s="4611">
        <v>0</v>
      </c>
      <c r="AA201" s="4611">
        <v>13.994999999999999</v>
      </c>
      <c r="AB201" s="4611">
        <v>0</v>
      </c>
      <c r="AC201" s="4611">
        <v>0</v>
      </c>
      <c r="AD201" s="4611">
        <v>0</v>
      </c>
      <c r="AE201" s="4611">
        <v>0</v>
      </c>
      <c r="AF201" s="4611">
        <v>0</v>
      </c>
      <c r="AG201" s="4611">
        <v>0</v>
      </c>
      <c r="AH201" s="4611">
        <v>0</v>
      </c>
      <c r="AI201" s="4611">
        <v>3.097</v>
      </c>
      <c r="AJ201" s="4611">
        <v>0.85399999999999998</v>
      </c>
      <c r="AK201" s="4611">
        <v>0</v>
      </c>
      <c r="AL201" s="4612"/>
      <c r="AM201" s="4611">
        <v>0</v>
      </c>
      <c r="AN201" s="876">
        <f t="shared" si="6"/>
        <v>57.722999999999999</v>
      </c>
      <c r="AO201" s="877">
        <v>57.424999999999997</v>
      </c>
      <c r="AP201" s="878">
        <f t="shared" si="7"/>
        <v>0.29799999999999999</v>
      </c>
    </row>
    <row r="202" spans="1:42" ht="13.8">
      <c r="A202" s="873">
        <v>410</v>
      </c>
      <c r="B202" s="874">
        <v>20</v>
      </c>
      <c r="C202" s="875">
        <v>20.193000000000001</v>
      </c>
      <c r="D202" s="875">
        <v>0</v>
      </c>
      <c r="E202" s="875">
        <v>8</v>
      </c>
      <c r="F202" s="875">
        <v>0</v>
      </c>
      <c r="G202" s="875">
        <v>0</v>
      </c>
      <c r="H202" s="875">
        <v>13.621</v>
      </c>
      <c r="I202" s="875">
        <v>0</v>
      </c>
      <c r="J202" s="875">
        <v>0</v>
      </c>
      <c r="K202" s="875">
        <v>0</v>
      </c>
      <c r="L202" s="875">
        <v>0</v>
      </c>
      <c r="M202" s="875">
        <v>0</v>
      </c>
      <c r="N202" s="875">
        <v>0</v>
      </c>
      <c r="O202" s="875">
        <v>0</v>
      </c>
      <c r="P202" s="875">
        <v>0</v>
      </c>
      <c r="Q202" s="875">
        <v>0</v>
      </c>
      <c r="R202" s="875">
        <v>0</v>
      </c>
      <c r="S202" s="875"/>
      <c r="T202" s="875">
        <v>0</v>
      </c>
      <c r="U202" s="4611">
        <v>20</v>
      </c>
      <c r="V202" s="4608">
        <v>17.916</v>
      </c>
      <c r="W202" s="4608">
        <v>0</v>
      </c>
      <c r="X202" s="4611">
        <v>7.9980000000000002</v>
      </c>
      <c r="Y202" s="4611">
        <v>0</v>
      </c>
      <c r="Z202" s="4611">
        <v>0</v>
      </c>
      <c r="AA202" s="4611">
        <v>15.888</v>
      </c>
      <c r="AB202" s="4611">
        <v>0</v>
      </c>
      <c r="AC202" s="4611">
        <v>0</v>
      </c>
      <c r="AD202" s="4611">
        <v>0</v>
      </c>
      <c r="AE202" s="4611">
        <v>0</v>
      </c>
      <c r="AF202" s="4611">
        <v>0</v>
      </c>
      <c r="AG202" s="4611">
        <v>0</v>
      </c>
      <c r="AH202" s="4611">
        <v>0</v>
      </c>
      <c r="AI202" s="4611">
        <v>0</v>
      </c>
      <c r="AJ202" s="4611">
        <v>0</v>
      </c>
      <c r="AK202" s="4611">
        <v>0</v>
      </c>
      <c r="AL202" s="4612"/>
      <c r="AM202" s="4611">
        <v>0</v>
      </c>
      <c r="AN202" s="876">
        <f t="shared" si="6"/>
        <v>61.802</v>
      </c>
      <c r="AO202" s="877">
        <v>61.814</v>
      </c>
      <c r="AP202" s="878">
        <f t="shared" si="7"/>
        <v>-1.2E-2</v>
      </c>
    </row>
    <row r="203" spans="1:42" ht="13.8">
      <c r="A203" s="873">
        <v>411</v>
      </c>
      <c r="B203" s="874">
        <v>20</v>
      </c>
      <c r="C203" s="875">
        <v>22.209</v>
      </c>
      <c r="D203" s="875">
        <v>0</v>
      </c>
      <c r="E203" s="875">
        <v>7</v>
      </c>
      <c r="F203" s="875">
        <v>0</v>
      </c>
      <c r="G203" s="875">
        <v>0</v>
      </c>
      <c r="H203" s="875">
        <v>8.8330000000000002</v>
      </c>
      <c r="I203" s="875">
        <v>0</v>
      </c>
      <c r="J203" s="875">
        <v>0</v>
      </c>
      <c r="K203" s="875">
        <v>0</v>
      </c>
      <c r="L203" s="875">
        <v>0</v>
      </c>
      <c r="M203" s="875">
        <v>0</v>
      </c>
      <c r="N203" s="875">
        <v>0</v>
      </c>
      <c r="O203" s="875">
        <v>0</v>
      </c>
      <c r="P203" s="875">
        <v>1.347</v>
      </c>
      <c r="Q203" s="875">
        <v>0</v>
      </c>
      <c r="R203" s="875">
        <v>0</v>
      </c>
      <c r="S203" s="875"/>
      <c r="T203" s="875">
        <v>0</v>
      </c>
      <c r="U203" s="4611">
        <v>20</v>
      </c>
      <c r="V203" s="4608">
        <v>19.486000000000001</v>
      </c>
      <c r="W203" s="4608">
        <v>0</v>
      </c>
      <c r="X203" s="4611">
        <v>7.9969999999999999</v>
      </c>
      <c r="Y203" s="4611">
        <v>0</v>
      </c>
      <c r="Z203" s="4611">
        <v>0</v>
      </c>
      <c r="AA203" s="4611">
        <v>9.593</v>
      </c>
      <c r="AB203" s="4611">
        <v>0</v>
      </c>
      <c r="AC203" s="4611">
        <v>0</v>
      </c>
      <c r="AD203" s="4611">
        <v>0</v>
      </c>
      <c r="AE203" s="4611">
        <v>0</v>
      </c>
      <c r="AF203" s="4611">
        <v>0</v>
      </c>
      <c r="AG203" s="4611">
        <v>0</v>
      </c>
      <c r="AH203" s="4611">
        <v>0</v>
      </c>
      <c r="AI203" s="4611">
        <v>1.395</v>
      </c>
      <c r="AJ203" s="4611">
        <v>0</v>
      </c>
      <c r="AK203" s="4611">
        <v>0</v>
      </c>
      <c r="AL203" s="4612"/>
      <c r="AM203" s="4611">
        <v>0</v>
      </c>
      <c r="AN203" s="876">
        <f t="shared" si="6"/>
        <v>58.470999999999997</v>
      </c>
      <c r="AO203" s="877">
        <v>59.389000000000003</v>
      </c>
      <c r="AP203" s="878">
        <f t="shared" si="7"/>
        <v>-0.91800000000000004</v>
      </c>
    </row>
    <row r="204" spans="1:42" ht="13.8">
      <c r="A204" s="873">
        <v>412</v>
      </c>
      <c r="B204" s="874">
        <v>20</v>
      </c>
      <c r="C204" s="875">
        <v>13.943</v>
      </c>
      <c r="D204" s="875">
        <v>0</v>
      </c>
      <c r="E204" s="875">
        <v>7.8079999999999998</v>
      </c>
      <c r="F204" s="875">
        <v>0</v>
      </c>
      <c r="G204" s="875">
        <v>0</v>
      </c>
      <c r="H204" s="875">
        <v>0</v>
      </c>
      <c r="I204" s="875">
        <v>0</v>
      </c>
      <c r="J204" s="875">
        <v>0</v>
      </c>
      <c r="K204" s="875">
        <v>0</v>
      </c>
      <c r="L204" s="875">
        <v>0</v>
      </c>
      <c r="M204" s="875">
        <v>0</v>
      </c>
      <c r="N204" s="875">
        <v>0</v>
      </c>
      <c r="O204" s="875">
        <v>0</v>
      </c>
      <c r="P204" s="875">
        <v>0</v>
      </c>
      <c r="Q204" s="875">
        <v>0</v>
      </c>
      <c r="R204" s="875">
        <v>0</v>
      </c>
      <c r="S204" s="875"/>
      <c r="T204" s="875">
        <v>0</v>
      </c>
      <c r="U204" s="4611">
        <v>20</v>
      </c>
      <c r="V204" s="4608">
        <v>16.428000000000001</v>
      </c>
      <c r="W204" s="4608">
        <v>0</v>
      </c>
      <c r="X204" s="4611">
        <v>5.29</v>
      </c>
      <c r="Y204" s="4611">
        <v>0</v>
      </c>
      <c r="Z204" s="4611">
        <v>0</v>
      </c>
      <c r="AA204" s="4611">
        <v>0</v>
      </c>
      <c r="AB204" s="4611">
        <v>0</v>
      </c>
      <c r="AC204" s="4611">
        <v>0</v>
      </c>
      <c r="AD204" s="4611">
        <v>0</v>
      </c>
      <c r="AE204" s="4611">
        <v>0</v>
      </c>
      <c r="AF204" s="4611">
        <v>0</v>
      </c>
      <c r="AG204" s="4611">
        <v>0</v>
      </c>
      <c r="AH204" s="4611">
        <v>0</v>
      </c>
      <c r="AI204" s="4611">
        <v>0</v>
      </c>
      <c r="AJ204" s="4611">
        <v>0</v>
      </c>
      <c r="AK204" s="4611">
        <v>0</v>
      </c>
      <c r="AL204" s="4612"/>
      <c r="AM204" s="4611">
        <v>0</v>
      </c>
      <c r="AN204" s="876">
        <f t="shared" si="6"/>
        <v>41.718000000000004</v>
      </c>
      <c r="AO204" s="877">
        <v>41.750999999999998</v>
      </c>
      <c r="AP204" s="878">
        <f t="shared" si="7"/>
        <v>-3.3000000000000002E-2</v>
      </c>
    </row>
    <row r="205" spans="1:42" ht="13.8">
      <c r="A205" s="873">
        <v>413</v>
      </c>
      <c r="B205" s="874">
        <v>20</v>
      </c>
      <c r="C205" s="875">
        <v>19.332999999999998</v>
      </c>
      <c r="D205" s="875">
        <v>0</v>
      </c>
      <c r="E205" s="875">
        <v>4.0030000000000001</v>
      </c>
      <c r="F205" s="875">
        <v>0</v>
      </c>
      <c r="G205" s="875">
        <v>0</v>
      </c>
      <c r="H205" s="875">
        <v>13.685</v>
      </c>
      <c r="I205" s="875">
        <v>0</v>
      </c>
      <c r="J205" s="875">
        <v>0</v>
      </c>
      <c r="K205" s="875">
        <v>0</v>
      </c>
      <c r="L205" s="875">
        <v>0</v>
      </c>
      <c r="M205" s="875">
        <v>0</v>
      </c>
      <c r="N205" s="875">
        <v>0</v>
      </c>
      <c r="O205" s="875">
        <v>0</v>
      </c>
      <c r="P205" s="875">
        <v>5</v>
      </c>
      <c r="Q205" s="875">
        <v>1.0009999999999999</v>
      </c>
      <c r="R205" s="875">
        <v>0</v>
      </c>
      <c r="S205" s="875"/>
      <c r="T205" s="875">
        <v>0</v>
      </c>
      <c r="U205" s="4611">
        <v>20</v>
      </c>
      <c r="V205" s="4608">
        <v>15.499000000000001</v>
      </c>
      <c r="W205" s="4608">
        <v>0</v>
      </c>
      <c r="X205" s="4611">
        <v>7.9969999999999999</v>
      </c>
      <c r="Y205" s="4611">
        <v>0</v>
      </c>
      <c r="Z205" s="4611">
        <v>0</v>
      </c>
      <c r="AA205" s="4611">
        <v>13.51</v>
      </c>
      <c r="AB205" s="4611">
        <v>0</v>
      </c>
      <c r="AC205" s="4611">
        <v>0</v>
      </c>
      <c r="AD205" s="4611">
        <v>0</v>
      </c>
      <c r="AE205" s="4611">
        <v>0</v>
      </c>
      <c r="AF205" s="4611">
        <v>0</v>
      </c>
      <c r="AG205" s="4611">
        <v>0</v>
      </c>
      <c r="AH205" s="4611">
        <v>0</v>
      </c>
      <c r="AI205" s="4611">
        <v>4.9980000000000002</v>
      </c>
      <c r="AJ205" s="4611">
        <v>1</v>
      </c>
      <c r="AK205" s="4611">
        <v>0</v>
      </c>
      <c r="AL205" s="4612"/>
      <c r="AM205" s="4611">
        <v>0</v>
      </c>
      <c r="AN205" s="876">
        <f t="shared" si="6"/>
        <v>63.003999999999998</v>
      </c>
      <c r="AO205" s="877">
        <v>63.021999999999998</v>
      </c>
      <c r="AP205" s="878">
        <f t="shared" si="7"/>
        <v>-1.7999999999999999E-2</v>
      </c>
    </row>
    <row r="206" spans="1:42" ht="13.8">
      <c r="A206" s="873">
        <v>415</v>
      </c>
      <c r="B206" s="874">
        <v>20</v>
      </c>
      <c r="C206" s="875">
        <v>16.741</v>
      </c>
      <c r="D206" s="875">
        <v>0</v>
      </c>
      <c r="E206" s="875">
        <v>6</v>
      </c>
      <c r="F206" s="875">
        <v>0</v>
      </c>
      <c r="G206" s="875">
        <v>0</v>
      </c>
      <c r="H206" s="875">
        <v>6.734</v>
      </c>
      <c r="I206" s="875">
        <v>0</v>
      </c>
      <c r="J206" s="875">
        <v>0</v>
      </c>
      <c r="K206" s="875">
        <v>0</v>
      </c>
      <c r="L206" s="875">
        <v>0</v>
      </c>
      <c r="M206" s="875">
        <v>0</v>
      </c>
      <c r="N206" s="875">
        <v>0</v>
      </c>
      <c r="O206" s="875">
        <v>0</v>
      </c>
      <c r="P206" s="875">
        <v>0</v>
      </c>
      <c r="Q206" s="875">
        <v>0</v>
      </c>
      <c r="R206" s="875">
        <v>0</v>
      </c>
      <c r="S206" s="875"/>
      <c r="T206" s="875">
        <v>0</v>
      </c>
      <c r="U206" s="4611">
        <v>20</v>
      </c>
      <c r="V206" s="4608">
        <v>15.856</v>
      </c>
      <c r="W206" s="4608">
        <v>0</v>
      </c>
      <c r="X206" s="4611">
        <v>6</v>
      </c>
      <c r="Y206" s="4611">
        <v>0</v>
      </c>
      <c r="Z206" s="4611">
        <v>0</v>
      </c>
      <c r="AA206" s="4611">
        <v>6.31</v>
      </c>
      <c r="AB206" s="4611">
        <v>0</v>
      </c>
      <c r="AC206" s="4611">
        <v>0</v>
      </c>
      <c r="AD206" s="4611">
        <v>0</v>
      </c>
      <c r="AE206" s="4611">
        <v>0</v>
      </c>
      <c r="AF206" s="4611">
        <v>0</v>
      </c>
      <c r="AG206" s="4611">
        <v>0</v>
      </c>
      <c r="AH206" s="4611">
        <v>0</v>
      </c>
      <c r="AI206" s="4611">
        <v>0</v>
      </c>
      <c r="AJ206" s="4611">
        <v>0</v>
      </c>
      <c r="AK206" s="4611">
        <v>0</v>
      </c>
      <c r="AL206" s="4612"/>
      <c r="AM206" s="4611">
        <v>0</v>
      </c>
      <c r="AN206" s="876">
        <f t="shared" si="6"/>
        <v>48.165999999999997</v>
      </c>
      <c r="AO206" s="877">
        <v>49.475000000000001</v>
      </c>
      <c r="AP206" s="878">
        <f t="shared" si="7"/>
        <v>-1.3089999999999999</v>
      </c>
    </row>
    <row r="207" spans="1:42" ht="13.8">
      <c r="A207" s="873">
        <v>416</v>
      </c>
      <c r="B207" s="874">
        <v>20</v>
      </c>
      <c r="C207" s="875">
        <v>13.49</v>
      </c>
      <c r="D207" s="875">
        <v>0</v>
      </c>
      <c r="E207" s="875">
        <v>8</v>
      </c>
      <c r="F207" s="875">
        <v>0</v>
      </c>
      <c r="G207" s="875">
        <v>0</v>
      </c>
      <c r="H207" s="875">
        <v>21.532</v>
      </c>
      <c r="I207" s="875">
        <v>0</v>
      </c>
      <c r="J207" s="875">
        <v>0</v>
      </c>
      <c r="K207" s="875">
        <v>0</v>
      </c>
      <c r="L207" s="875">
        <v>0</v>
      </c>
      <c r="M207" s="875">
        <v>0</v>
      </c>
      <c r="N207" s="875">
        <v>0</v>
      </c>
      <c r="O207" s="875">
        <v>0</v>
      </c>
      <c r="P207" s="875">
        <v>1</v>
      </c>
      <c r="Q207" s="875">
        <v>0</v>
      </c>
      <c r="R207" s="875">
        <v>0</v>
      </c>
      <c r="S207" s="875"/>
      <c r="T207" s="875">
        <v>1.825</v>
      </c>
      <c r="U207" s="4611">
        <v>20</v>
      </c>
      <c r="V207" s="4608">
        <v>13.343999999999999</v>
      </c>
      <c r="W207" s="4608">
        <v>0</v>
      </c>
      <c r="X207" s="4611">
        <v>8</v>
      </c>
      <c r="Y207" s="4611">
        <v>0</v>
      </c>
      <c r="Z207" s="4611">
        <v>0</v>
      </c>
      <c r="AA207" s="4611">
        <v>2.0019999999999998</v>
      </c>
      <c r="AB207" s="4611">
        <v>0</v>
      </c>
      <c r="AC207" s="4611">
        <v>0</v>
      </c>
      <c r="AD207" s="4611">
        <v>0</v>
      </c>
      <c r="AE207" s="4611">
        <v>0</v>
      </c>
      <c r="AF207" s="4611">
        <v>0</v>
      </c>
      <c r="AG207" s="4611">
        <v>0</v>
      </c>
      <c r="AH207" s="4611">
        <v>0</v>
      </c>
      <c r="AI207" s="4611">
        <v>1</v>
      </c>
      <c r="AJ207" s="4611">
        <v>0</v>
      </c>
      <c r="AK207" s="4611">
        <v>0</v>
      </c>
      <c r="AL207" s="4612"/>
      <c r="AM207" s="4611">
        <v>2.14</v>
      </c>
      <c r="AN207" s="876">
        <f t="shared" si="6"/>
        <v>46.485999999999997</v>
      </c>
      <c r="AO207" s="877">
        <v>65.846999999999994</v>
      </c>
      <c r="AP207" s="878">
        <f t="shared" si="7"/>
        <v>-19.361000000000001</v>
      </c>
    </row>
    <row r="208" spans="1:42" ht="13.8">
      <c r="A208" s="873">
        <v>417</v>
      </c>
      <c r="B208" s="874">
        <v>20</v>
      </c>
      <c r="C208" s="875">
        <v>20.408000000000001</v>
      </c>
      <c r="D208" s="875">
        <v>0</v>
      </c>
      <c r="E208" s="875">
        <v>8</v>
      </c>
      <c r="F208" s="875">
        <v>0</v>
      </c>
      <c r="G208" s="875">
        <v>0</v>
      </c>
      <c r="H208" s="875">
        <v>10.195</v>
      </c>
      <c r="I208" s="875">
        <v>0</v>
      </c>
      <c r="J208" s="875">
        <v>0</v>
      </c>
      <c r="K208" s="875">
        <v>0</v>
      </c>
      <c r="L208" s="875">
        <v>0</v>
      </c>
      <c r="M208" s="875">
        <v>0</v>
      </c>
      <c r="N208" s="875">
        <v>0</v>
      </c>
      <c r="O208" s="875">
        <v>0</v>
      </c>
      <c r="P208" s="875">
        <v>0</v>
      </c>
      <c r="Q208" s="875">
        <v>0</v>
      </c>
      <c r="R208" s="875">
        <v>0</v>
      </c>
      <c r="S208" s="875"/>
      <c r="T208" s="875">
        <v>0</v>
      </c>
      <c r="U208" s="4611">
        <v>20</v>
      </c>
      <c r="V208" s="4608">
        <v>19.033000000000001</v>
      </c>
      <c r="W208" s="4608">
        <v>0</v>
      </c>
      <c r="X208" s="4611">
        <v>8</v>
      </c>
      <c r="Y208" s="4611">
        <v>0</v>
      </c>
      <c r="Z208" s="4611">
        <v>0</v>
      </c>
      <c r="AA208" s="4611">
        <v>11.58</v>
      </c>
      <c r="AB208" s="4611">
        <v>0</v>
      </c>
      <c r="AC208" s="4611">
        <v>0</v>
      </c>
      <c r="AD208" s="4611">
        <v>0</v>
      </c>
      <c r="AE208" s="4611">
        <v>0</v>
      </c>
      <c r="AF208" s="4611">
        <v>0</v>
      </c>
      <c r="AG208" s="4611">
        <v>0</v>
      </c>
      <c r="AH208" s="4611">
        <v>0</v>
      </c>
      <c r="AI208" s="4611">
        <v>0</v>
      </c>
      <c r="AJ208" s="4611">
        <v>0</v>
      </c>
      <c r="AK208" s="4611">
        <v>0</v>
      </c>
      <c r="AL208" s="4612"/>
      <c r="AM208" s="4611">
        <v>0</v>
      </c>
      <c r="AN208" s="876">
        <f t="shared" si="6"/>
        <v>58.613</v>
      </c>
      <c r="AO208" s="877">
        <v>58.603000000000002</v>
      </c>
      <c r="AP208" s="878">
        <f t="shared" si="7"/>
        <v>0.01</v>
      </c>
    </row>
    <row r="209" spans="1:42" ht="13.8">
      <c r="A209" s="873">
        <v>418</v>
      </c>
      <c r="B209" s="874">
        <v>20</v>
      </c>
      <c r="C209" s="875">
        <v>15.207000000000001</v>
      </c>
      <c r="D209" s="875">
        <v>0</v>
      </c>
      <c r="E209" s="875">
        <v>8</v>
      </c>
      <c r="F209" s="875">
        <v>0</v>
      </c>
      <c r="G209" s="875">
        <v>0</v>
      </c>
      <c r="H209" s="875">
        <v>7.0170000000000003</v>
      </c>
      <c r="I209" s="875">
        <v>0</v>
      </c>
      <c r="J209" s="875">
        <v>0</v>
      </c>
      <c r="K209" s="875">
        <v>0</v>
      </c>
      <c r="L209" s="875">
        <v>0</v>
      </c>
      <c r="M209" s="875">
        <v>0</v>
      </c>
      <c r="N209" s="875">
        <v>0</v>
      </c>
      <c r="O209" s="875">
        <v>0</v>
      </c>
      <c r="P209" s="875">
        <v>6.032</v>
      </c>
      <c r="Q209" s="875">
        <v>0</v>
      </c>
      <c r="R209" s="875">
        <v>0</v>
      </c>
      <c r="S209" s="875"/>
      <c r="T209" s="875">
        <v>0</v>
      </c>
      <c r="U209" s="4611">
        <v>20</v>
      </c>
      <c r="V209" s="4608">
        <v>14.276</v>
      </c>
      <c r="W209" s="4608">
        <v>0</v>
      </c>
      <c r="X209" s="4611">
        <v>7.9880000000000004</v>
      </c>
      <c r="Y209" s="4611">
        <v>0</v>
      </c>
      <c r="Z209" s="4611">
        <v>0</v>
      </c>
      <c r="AA209" s="4611">
        <v>8.0839999999999996</v>
      </c>
      <c r="AB209" s="4611">
        <v>0</v>
      </c>
      <c r="AC209" s="4611">
        <v>0</v>
      </c>
      <c r="AD209" s="4611">
        <v>0</v>
      </c>
      <c r="AE209" s="4611">
        <v>0</v>
      </c>
      <c r="AF209" s="4611">
        <v>0</v>
      </c>
      <c r="AG209" s="4611">
        <v>0</v>
      </c>
      <c r="AH209" s="4611">
        <v>0</v>
      </c>
      <c r="AI209" s="4611">
        <v>6</v>
      </c>
      <c r="AJ209" s="4611">
        <v>0</v>
      </c>
      <c r="AK209" s="4611">
        <v>0</v>
      </c>
      <c r="AL209" s="4612"/>
      <c r="AM209" s="4611">
        <v>0</v>
      </c>
      <c r="AN209" s="876">
        <f t="shared" si="6"/>
        <v>56.347999999999999</v>
      </c>
      <c r="AO209" s="877">
        <v>56.256</v>
      </c>
      <c r="AP209" s="878">
        <f t="shared" si="7"/>
        <v>9.1999999999999998E-2</v>
      </c>
    </row>
    <row r="210" spans="1:42" ht="13.8">
      <c r="A210" s="873">
        <v>419</v>
      </c>
      <c r="B210" s="874">
        <v>20</v>
      </c>
      <c r="C210" s="875">
        <v>20.440999999999999</v>
      </c>
      <c r="D210" s="875">
        <v>0</v>
      </c>
      <c r="E210" s="875">
        <v>7.7530000000000001</v>
      </c>
      <c r="F210" s="875">
        <v>0</v>
      </c>
      <c r="G210" s="875">
        <v>0</v>
      </c>
      <c r="H210" s="875">
        <v>15.917</v>
      </c>
      <c r="I210" s="875">
        <v>0</v>
      </c>
      <c r="J210" s="875">
        <v>0</v>
      </c>
      <c r="K210" s="875">
        <v>0</v>
      </c>
      <c r="L210" s="875">
        <v>0</v>
      </c>
      <c r="M210" s="875">
        <v>0</v>
      </c>
      <c r="N210" s="875">
        <v>0</v>
      </c>
      <c r="O210" s="875">
        <v>0</v>
      </c>
      <c r="P210" s="875">
        <v>0</v>
      </c>
      <c r="Q210" s="875">
        <v>0</v>
      </c>
      <c r="R210" s="875">
        <v>0</v>
      </c>
      <c r="S210" s="875"/>
      <c r="T210" s="875">
        <v>0</v>
      </c>
      <c r="U210" s="4611">
        <v>20</v>
      </c>
      <c r="V210" s="4608">
        <v>20.678000000000001</v>
      </c>
      <c r="W210" s="4608">
        <v>0</v>
      </c>
      <c r="X210" s="4611">
        <v>8</v>
      </c>
      <c r="Y210" s="4611">
        <v>0</v>
      </c>
      <c r="Z210" s="4611">
        <v>0</v>
      </c>
      <c r="AA210" s="4611">
        <v>15.257999999999999</v>
      </c>
      <c r="AB210" s="4611">
        <v>0</v>
      </c>
      <c r="AC210" s="4611">
        <v>0</v>
      </c>
      <c r="AD210" s="4611">
        <v>0</v>
      </c>
      <c r="AE210" s="4611">
        <v>0</v>
      </c>
      <c r="AF210" s="4611">
        <v>0</v>
      </c>
      <c r="AG210" s="4611">
        <v>0</v>
      </c>
      <c r="AH210" s="4611">
        <v>0</v>
      </c>
      <c r="AI210" s="4611">
        <v>0</v>
      </c>
      <c r="AJ210" s="4611">
        <v>0</v>
      </c>
      <c r="AK210" s="4611">
        <v>0</v>
      </c>
      <c r="AL210" s="4612"/>
      <c r="AM210" s="4611">
        <v>0</v>
      </c>
      <c r="AN210" s="876">
        <f t="shared" si="6"/>
        <v>63.936</v>
      </c>
      <c r="AO210" s="877">
        <v>64.111000000000004</v>
      </c>
      <c r="AP210" s="878">
        <f t="shared" si="7"/>
        <v>-0.17499999999999999</v>
      </c>
    </row>
    <row r="211" spans="1:42" ht="13.8">
      <c r="A211" s="873">
        <v>420</v>
      </c>
      <c r="B211" s="874">
        <v>20</v>
      </c>
      <c r="C211" s="875">
        <v>17.404</v>
      </c>
      <c r="D211" s="875">
        <v>0</v>
      </c>
      <c r="E211" s="875">
        <v>5.0110000000000001</v>
      </c>
      <c r="F211" s="875">
        <v>0</v>
      </c>
      <c r="G211" s="875">
        <v>0</v>
      </c>
      <c r="H211" s="875">
        <v>10.589</v>
      </c>
      <c r="I211" s="875">
        <v>0</v>
      </c>
      <c r="J211" s="875">
        <v>0</v>
      </c>
      <c r="K211" s="875">
        <v>0</v>
      </c>
      <c r="L211" s="875">
        <v>0</v>
      </c>
      <c r="M211" s="875">
        <v>0</v>
      </c>
      <c r="N211" s="875">
        <v>0</v>
      </c>
      <c r="O211" s="875">
        <v>0</v>
      </c>
      <c r="P211" s="875">
        <v>0</v>
      </c>
      <c r="Q211" s="875">
        <v>0</v>
      </c>
      <c r="R211" s="875">
        <v>0</v>
      </c>
      <c r="S211" s="875"/>
      <c r="T211" s="875">
        <v>0</v>
      </c>
      <c r="U211" s="4611">
        <v>20</v>
      </c>
      <c r="V211" s="4608">
        <v>14.662000000000001</v>
      </c>
      <c r="W211" s="4608">
        <v>0</v>
      </c>
      <c r="X211" s="4611">
        <v>6</v>
      </c>
      <c r="Y211" s="4611">
        <v>0</v>
      </c>
      <c r="Z211" s="4611">
        <v>0</v>
      </c>
      <c r="AA211" s="4611">
        <v>10.766999999999999</v>
      </c>
      <c r="AB211" s="4611">
        <v>0</v>
      </c>
      <c r="AC211" s="4611">
        <v>0</v>
      </c>
      <c r="AD211" s="4611">
        <v>0</v>
      </c>
      <c r="AE211" s="4611">
        <v>0</v>
      </c>
      <c r="AF211" s="4611">
        <v>0</v>
      </c>
      <c r="AG211" s="4611">
        <v>0</v>
      </c>
      <c r="AH211" s="4611">
        <v>0</v>
      </c>
      <c r="AI211" s="4611">
        <v>0</v>
      </c>
      <c r="AJ211" s="4611">
        <v>0</v>
      </c>
      <c r="AK211" s="4611">
        <v>0</v>
      </c>
      <c r="AL211" s="4612"/>
      <c r="AM211" s="4611">
        <v>0</v>
      </c>
      <c r="AN211" s="876">
        <f t="shared" si="6"/>
        <v>51.429000000000002</v>
      </c>
      <c r="AO211" s="877">
        <v>53.003999999999998</v>
      </c>
      <c r="AP211" s="878">
        <f t="shared" si="7"/>
        <v>-1.575</v>
      </c>
    </row>
    <row r="212" spans="1:42" ht="13.8">
      <c r="A212" s="873">
        <v>421</v>
      </c>
      <c r="B212" s="874">
        <v>20</v>
      </c>
      <c r="C212" s="875">
        <v>15.195</v>
      </c>
      <c r="D212" s="875">
        <v>0</v>
      </c>
      <c r="E212" s="875">
        <v>8</v>
      </c>
      <c r="F212" s="875">
        <v>0</v>
      </c>
      <c r="G212" s="875">
        <v>0</v>
      </c>
      <c r="H212" s="875">
        <v>0</v>
      </c>
      <c r="I212" s="875">
        <v>0</v>
      </c>
      <c r="J212" s="875">
        <v>0</v>
      </c>
      <c r="K212" s="875">
        <v>0</v>
      </c>
      <c r="L212" s="875">
        <v>0</v>
      </c>
      <c r="M212" s="875">
        <v>0</v>
      </c>
      <c r="N212" s="875">
        <v>0</v>
      </c>
      <c r="O212" s="875">
        <v>0</v>
      </c>
      <c r="P212" s="875">
        <v>2</v>
      </c>
      <c r="Q212" s="875">
        <v>0</v>
      </c>
      <c r="R212" s="875">
        <v>0</v>
      </c>
      <c r="S212" s="875"/>
      <c r="T212" s="875">
        <v>0</v>
      </c>
      <c r="U212" s="4611">
        <v>20</v>
      </c>
      <c r="V212" s="4608">
        <v>16.667000000000002</v>
      </c>
      <c r="W212" s="4608">
        <v>0</v>
      </c>
      <c r="X212" s="4611">
        <v>7.984</v>
      </c>
      <c r="Y212" s="4611">
        <v>0</v>
      </c>
      <c r="Z212" s="4611">
        <v>0</v>
      </c>
      <c r="AA212" s="4611">
        <v>0</v>
      </c>
      <c r="AB212" s="4611">
        <v>0</v>
      </c>
      <c r="AC212" s="4611">
        <v>0</v>
      </c>
      <c r="AD212" s="4611">
        <v>0</v>
      </c>
      <c r="AE212" s="4611">
        <v>0</v>
      </c>
      <c r="AF212" s="4611">
        <v>0</v>
      </c>
      <c r="AG212" s="4611">
        <v>0</v>
      </c>
      <c r="AH212" s="4611">
        <v>0</v>
      </c>
      <c r="AI212" s="4611">
        <v>1.996</v>
      </c>
      <c r="AJ212" s="4611">
        <v>0</v>
      </c>
      <c r="AK212" s="4611">
        <v>0</v>
      </c>
      <c r="AL212" s="4612"/>
      <c r="AM212" s="4611">
        <v>0</v>
      </c>
      <c r="AN212" s="876">
        <f t="shared" si="6"/>
        <v>46.646999999999998</v>
      </c>
      <c r="AO212" s="877">
        <v>45.195</v>
      </c>
      <c r="AP212" s="878">
        <f t="shared" si="7"/>
        <v>1.452</v>
      </c>
    </row>
    <row r="213" spans="1:42" ht="13.8">
      <c r="A213" s="873">
        <v>422</v>
      </c>
      <c r="B213" s="874">
        <v>20</v>
      </c>
      <c r="C213" s="875">
        <v>10.760999999999999</v>
      </c>
      <c r="D213" s="875">
        <v>0</v>
      </c>
      <c r="E213" s="875">
        <v>7.3860000000000001</v>
      </c>
      <c r="F213" s="875">
        <v>0</v>
      </c>
      <c r="G213" s="875">
        <v>0</v>
      </c>
      <c r="H213" s="875">
        <v>0</v>
      </c>
      <c r="I213" s="875">
        <v>0</v>
      </c>
      <c r="J213" s="875">
        <v>0</v>
      </c>
      <c r="K213" s="875">
        <v>0</v>
      </c>
      <c r="L213" s="875">
        <v>0</v>
      </c>
      <c r="M213" s="875">
        <v>0</v>
      </c>
      <c r="N213" s="875">
        <v>0</v>
      </c>
      <c r="O213" s="875">
        <v>0</v>
      </c>
      <c r="P213" s="875">
        <v>2</v>
      </c>
      <c r="Q213" s="875">
        <v>2</v>
      </c>
      <c r="R213" s="875">
        <v>0</v>
      </c>
      <c r="S213" s="875"/>
      <c r="T213" s="875">
        <v>0</v>
      </c>
      <c r="U213" s="4611">
        <v>20</v>
      </c>
      <c r="V213" s="4608">
        <v>10.97</v>
      </c>
      <c r="W213" s="4608">
        <v>0</v>
      </c>
      <c r="X213" s="4611">
        <v>8</v>
      </c>
      <c r="Y213" s="4611">
        <v>0</v>
      </c>
      <c r="Z213" s="4611">
        <v>0</v>
      </c>
      <c r="AA213" s="4611">
        <v>0</v>
      </c>
      <c r="AB213" s="4611">
        <v>0</v>
      </c>
      <c r="AC213" s="4611">
        <v>0</v>
      </c>
      <c r="AD213" s="4611">
        <v>0</v>
      </c>
      <c r="AE213" s="4611">
        <v>0</v>
      </c>
      <c r="AF213" s="4611">
        <v>0</v>
      </c>
      <c r="AG213" s="4611">
        <v>0</v>
      </c>
      <c r="AH213" s="4611">
        <v>0</v>
      </c>
      <c r="AI213" s="4611">
        <v>2</v>
      </c>
      <c r="AJ213" s="4611">
        <v>2</v>
      </c>
      <c r="AK213" s="4611">
        <v>0</v>
      </c>
      <c r="AL213" s="4612"/>
      <c r="AM213" s="4611">
        <v>0</v>
      </c>
      <c r="AN213" s="876">
        <f t="shared" si="6"/>
        <v>42.97</v>
      </c>
      <c r="AO213" s="877">
        <v>42.146999999999998</v>
      </c>
      <c r="AP213" s="878">
        <f t="shared" si="7"/>
        <v>0.82299999999999995</v>
      </c>
    </row>
    <row r="214" spans="1:42" ht="13.8">
      <c r="A214" s="873">
        <v>423</v>
      </c>
      <c r="B214" s="874">
        <v>20</v>
      </c>
      <c r="C214" s="875">
        <v>19.538</v>
      </c>
      <c r="D214" s="875">
        <v>0</v>
      </c>
      <c r="E214" s="875">
        <v>8</v>
      </c>
      <c r="F214" s="875">
        <v>0</v>
      </c>
      <c r="G214" s="875">
        <v>0</v>
      </c>
      <c r="H214" s="875">
        <v>19.103000000000002</v>
      </c>
      <c r="I214" s="875">
        <v>0</v>
      </c>
      <c r="J214" s="875">
        <v>0</v>
      </c>
      <c r="K214" s="875">
        <v>0</v>
      </c>
      <c r="L214" s="875">
        <v>0</v>
      </c>
      <c r="M214" s="875">
        <v>0</v>
      </c>
      <c r="N214" s="875">
        <v>0</v>
      </c>
      <c r="O214" s="875">
        <v>0</v>
      </c>
      <c r="P214" s="875">
        <v>2</v>
      </c>
      <c r="Q214" s="875">
        <v>0</v>
      </c>
      <c r="R214" s="875">
        <v>0</v>
      </c>
      <c r="S214" s="875"/>
      <c r="T214" s="875">
        <v>0</v>
      </c>
      <c r="U214" s="4611">
        <v>20</v>
      </c>
      <c r="V214" s="4608">
        <v>20.097999999999999</v>
      </c>
      <c r="W214" s="4608">
        <v>0</v>
      </c>
      <c r="X214" s="4611">
        <v>8</v>
      </c>
      <c r="Y214" s="4611">
        <v>0</v>
      </c>
      <c r="Z214" s="4611">
        <v>0</v>
      </c>
      <c r="AA214" s="4611">
        <v>18.91</v>
      </c>
      <c r="AB214" s="4611">
        <v>0</v>
      </c>
      <c r="AC214" s="4611">
        <v>0</v>
      </c>
      <c r="AD214" s="4611">
        <v>0</v>
      </c>
      <c r="AE214" s="4611">
        <v>0</v>
      </c>
      <c r="AF214" s="4611">
        <v>0</v>
      </c>
      <c r="AG214" s="4611">
        <v>0</v>
      </c>
      <c r="AH214" s="4611">
        <v>0</v>
      </c>
      <c r="AI214" s="4611">
        <v>2</v>
      </c>
      <c r="AJ214" s="4611">
        <v>0</v>
      </c>
      <c r="AK214" s="4611">
        <v>0</v>
      </c>
      <c r="AL214" s="4612"/>
      <c r="AM214" s="4611">
        <v>0</v>
      </c>
      <c r="AN214" s="876">
        <f t="shared" si="6"/>
        <v>69.007999999999996</v>
      </c>
      <c r="AO214" s="877">
        <v>68.641000000000005</v>
      </c>
      <c r="AP214" s="878">
        <f t="shared" si="7"/>
        <v>0.36699999999999999</v>
      </c>
    </row>
    <row r="215" spans="1:42" ht="13.8">
      <c r="A215" s="873">
        <v>426</v>
      </c>
      <c r="B215" s="874">
        <v>20</v>
      </c>
      <c r="C215" s="875">
        <v>19.297000000000001</v>
      </c>
      <c r="D215" s="875">
        <v>0</v>
      </c>
      <c r="E215" s="875">
        <v>7.9950000000000001</v>
      </c>
      <c r="F215" s="875">
        <v>0</v>
      </c>
      <c r="G215" s="875">
        <v>0</v>
      </c>
      <c r="H215" s="875">
        <v>0</v>
      </c>
      <c r="I215" s="875">
        <v>0</v>
      </c>
      <c r="J215" s="875">
        <v>0</v>
      </c>
      <c r="K215" s="875">
        <v>0</v>
      </c>
      <c r="L215" s="875">
        <v>0</v>
      </c>
      <c r="M215" s="875">
        <v>0</v>
      </c>
      <c r="N215" s="875">
        <v>0</v>
      </c>
      <c r="O215" s="875">
        <v>0</v>
      </c>
      <c r="P215" s="875">
        <v>0</v>
      </c>
      <c r="Q215" s="875">
        <v>0</v>
      </c>
      <c r="R215" s="875">
        <v>0</v>
      </c>
      <c r="S215" s="875"/>
      <c r="T215" s="875">
        <v>0</v>
      </c>
      <c r="U215" s="4611">
        <v>20</v>
      </c>
      <c r="V215" s="4608">
        <v>19.632000000000001</v>
      </c>
      <c r="W215" s="4608">
        <v>0</v>
      </c>
      <c r="X215" s="4611">
        <v>7.9980000000000002</v>
      </c>
      <c r="Y215" s="4611">
        <v>0</v>
      </c>
      <c r="Z215" s="4611">
        <v>0</v>
      </c>
      <c r="AA215" s="4611">
        <v>0</v>
      </c>
      <c r="AB215" s="4611">
        <v>0</v>
      </c>
      <c r="AC215" s="4611">
        <v>0</v>
      </c>
      <c r="AD215" s="4611">
        <v>0</v>
      </c>
      <c r="AE215" s="4611">
        <v>0</v>
      </c>
      <c r="AF215" s="4611">
        <v>0</v>
      </c>
      <c r="AG215" s="4611">
        <v>0</v>
      </c>
      <c r="AH215" s="4611">
        <v>0</v>
      </c>
      <c r="AI215" s="4611">
        <v>0</v>
      </c>
      <c r="AJ215" s="4611">
        <v>0</v>
      </c>
      <c r="AK215" s="4611">
        <v>0</v>
      </c>
      <c r="AL215" s="4612"/>
      <c r="AM215" s="4611">
        <v>0</v>
      </c>
      <c r="AN215" s="876">
        <f t="shared" si="6"/>
        <v>47.63</v>
      </c>
      <c r="AO215" s="877">
        <v>47.292000000000002</v>
      </c>
      <c r="AP215" s="878">
        <f t="shared" si="7"/>
        <v>0.33800000000000002</v>
      </c>
    </row>
    <row r="216" spans="1:42" ht="13.8">
      <c r="A216" s="873">
        <v>428</v>
      </c>
      <c r="B216" s="874">
        <v>20</v>
      </c>
      <c r="C216" s="875">
        <v>13.904999999999999</v>
      </c>
      <c r="D216" s="875">
        <v>0</v>
      </c>
      <c r="E216" s="875">
        <v>7.5540000000000003</v>
      </c>
      <c r="F216" s="875">
        <v>0</v>
      </c>
      <c r="G216" s="875">
        <v>0</v>
      </c>
      <c r="H216" s="875">
        <v>0</v>
      </c>
      <c r="I216" s="875">
        <v>0</v>
      </c>
      <c r="J216" s="875">
        <v>0</v>
      </c>
      <c r="K216" s="875">
        <v>0</v>
      </c>
      <c r="L216" s="875">
        <v>0</v>
      </c>
      <c r="M216" s="875">
        <v>0</v>
      </c>
      <c r="N216" s="875">
        <v>0</v>
      </c>
      <c r="O216" s="875">
        <v>0</v>
      </c>
      <c r="P216" s="875">
        <v>7</v>
      </c>
      <c r="Q216" s="875">
        <v>1.5</v>
      </c>
      <c r="R216" s="875">
        <v>0</v>
      </c>
      <c r="S216" s="875"/>
      <c r="T216" s="875">
        <v>0</v>
      </c>
      <c r="U216" s="4611">
        <v>20</v>
      </c>
      <c r="V216" s="4608">
        <v>15.012</v>
      </c>
      <c r="W216" s="4608">
        <v>0</v>
      </c>
      <c r="X216" s="4611">
        <v>6.532</v>
      </c>
      <c r="Y216" s="4611">
        <v>0</v>
      </c>
      <c r="Z216" s="4611">
        <v>0</v>
      </c>
      <c r="AA216" s="4611">
        <v>0</v>
      </c>
      <c r="AB216" s="4611">
        <v>0</v>
      </c>
      <c r="AC216" s="4611">
        <v>0</v>
      </c>
      <c r="AD216" s="4611">
        <v>0</v>
      </c>
      <c r="AE216" s="4611">
        <v>0</v>
      </c>
      <c r="AF216" s="4611">
        <v>0</v>
      </c>
      <c r="AG216" s="4611">
        <v>0</v>
      </c>
      <c r="AH216" s="4611">
        <v>0</v>
      </c>
      <c r="AI216" s="4611">
        <v>7</v>
      </c>
      <c r="AJ216" s="4611">
        <v>1.5</v>
      </c>
      <c r="AK216" s="4611">
        <v>0</v>
      </c>
      <c r="AL216" s="4612"/>
      <c r="AM216" s="4611">
        <v>0</v>
      </c>
      <c r="AN216" s="876">
        <f t="shared" si="6"/>
        <v>50.043999999999997</v>
      </c>
      <c r="AO216" s="877">
        <v>49.959000000000003</v>
      </c>
      <c r="AP216" s="878">
        <f t="shared" si="7"/>
        <v>8.5000000000000006E-2</v>
      </c>
    </row>
    <row r="217" spans="1:42" ht="13.8">
      <c r="A217" s="873">
        <v>429</v>
      </c>
      <c r="B217" s="874">
        <v>20</v>
      </c>
      <c r="C217" s="875">
        <v>17.029</v>
      </c>
      <c r="D217" s="875">
        <v>0</v>
      </c>
      <c r="E217" s="875">
        <v>0</v>
      </c>
      <c r="F217" s="875">
        <v>0</v>
      </c>
      <c r="G217" s="875">
        <v>0</v>
      </c>
      <c r="H217" s="875">
        <v>0</v>
      </c>
      <c r="I217" s="875">
        <v>0</v>
      </c>
      <c r="J217" s="875">
        <v>0</v>
      </c>
      <c r="K217" s="875">
        <v>0</v>
      </c>
      <c r="L217" s="875">
        <v>0</v>
      </c>
      <c r="M217" s="875">
        <v>0</v>
      </c>
      <c r="N217" s="875">
        <v>0</v>
      </c>
      <c r="O217" s="875">
        <v>0</v>
      </c>
      <c r="P217" s="875">
        <v>2</v>
      </c>
      <c r="Q217" s="875">
        <v>0</v>
      </c>
      <c r="R217" s="875">
        <v>0</v>
      </c>
      <c r="S217" s="875"/>
      <c r="T217" s="875">
        <v>0</v>
      </c>
      <c r="U217" s="4611">
        <v>20</v>
      </c>
      <c r="V217" s="4608">
        <v>16.295999999999999</v>
      </c>
      <c r="W217" s="4608">
        <v>0</v>
      </c>
      <c r="X217" s="4611">
        <v>0</v>
      </c>
      <c r="Y217" s="4611">
        <v>0</v>
      </c>
      <c r="Z217" s="4611">
        <v>0</v>
      </c>
      <c r="AA217" s="4611">
        <v>0</v>
      </c>
      <c r="AB217" s="4611">
        <v>0</v>
      </c>
      <c r="AC217" s="4611">
        <v>0</v>
      </c>
      <c r="AD217" s="4611">
        <v>0</v>
      </c>
      <c r="AE217" s="4611">
        <v>0</v>
      </c>
      <c r="AF217" s="4611">
        <v>0</v>
      </c>
      <c r="AG217" s="4611">
        <v>0</v>
      </c>
      <c r="AH217" s="4611">
        <v>0</v>
      </c>
      <c r="AI217" s="4611">
        <v>3</v>
      </c>
      <c r="AJ217" s="4611">
        <v>0</v>
      </c>
      <c r="AK217" s="4611">
        <v>0</v>
      </c>
      <c r="AL217" s="4612"/>
      <c r="AM217" s="4611">
        <v>0</v>
      </c>
      <c r="AN217" s="876">
        <f t="shared" si="6"/>
        <v>39.295999999999999</v>
      </c>
      <c r="AO217" s="877">
        <v>39.029000000000003</v>
      </c>
      <c r="AP217" s="878">
        <f t="shared" si="7"/>
        <v>0.26700000000000002</v>
      </c>
    </row>
    <row r="218" spans="1:42" ht="13.8">
      <c r="A218" s="873">
        <v>430</v>
      </c>
      <c r="B218" s="874">
        <v>20</v>
      </c>
      <c r="C218" s="875">
        <v>19.050999999999998</v>
      </c>
      <c r="D218" s="875">
        <v>0</v>
      </c>
      <c r="E218" s="875">
        <v>3</v>
      </c>
      <c r="F218" s="875">
        <v>0</v>
      </c>
      <c r="G218" s="875">
        <v>0</v>
      </c>
      <c r="H218" s="875">
        <v>0</v>
      </c>
      <c r="I218" s="875">
        <v>0</v>
      </c>
      <c r="J218" s="875">
        <v>0</v>
      </c>
      <c r="K218" s="875">
        <v>0</v>
      </c>
      <c r="L218" s="875">
        <v>0</v>
      </c>
      <c r="M218" s="875">
        <v>0</v>
      </c>
      <c r="N218" s="875">
        <v>0</v>
      </c>
      <c r="O218" s="875">
        <v>0</v>
      </c>
      <c r="P218" s="875">
        <v>0</v>
      </c>
      <c r="Q218" s="875">
        <v>0</v>
      </c>
      <c r="R218" s="875">
        <v>0</v>
      </c>
      <c r="S218" s="875"/>
      <c r="T218" s="875">
        <v>0</v>
      </c>
      <c r="U218" s="4611">
        <v>20</v>
      </c>
      <c r="V218" s="4608">
        <v>19.052</v>
      </c>
      <c r="W218" s="4608">
        <v>0</v>
      </c>
      <c r="X218" s="4611">
        <v>3</v>
      </c>
      <c r="Y218" s="4611">
        <v>0</v>
      </c>
      <c r="Z218" s="4611">
        <v>0</v>
      </c>
      <c r="AA218" s="4611">
        <v>0</v>
      </c>
      <c r="AB218" s="4611">
        <v>0</v>
      </c>
      <c r="AC218" s="4611">
        <v>0</v>
      </c>
      <c r="AD218" s="4611">
        <v>0</v>
      </c>
      <c r="AE218" s="4611">
        <v>0</v>
      </c>
      <c r="AF218" s="4611">
        <v>0</v>
      </c>
      <c r="AG218" s="4611">
        <v>0</v>
      </c>
      <c r="AH218" s="4611">
        <v>0</v>
      </c>
      <c r="AI218" s="4611">
        <v>0</v>
      </c>
      <c r="AJ218" s="4611">
        <v>0</v>
      </c>
      <c r="AK218" s="4611">
        <v>0</v>
      </c>
      <c r="AL218" s="4612"/>
      <c r="AM218" s="4611">
        <v>0</v>
      </c>
      <c r="AN218" s="876">
        <f t="shared" si="6"/>
        <v>42.052</v>
      </c>
      <c r="AO218" s="877">
        <v>42.051000000000002</v>
      </c>
      <c r="AP218" s="878">
        <f t="shared" si="7"/>
        <v>1E-3</v>
      </c>
    </row>
    <row r="219" spans="1:42" ht="13.8">
      <c r="A219" s="873">
        <v>431</v>
      </c>
      <c r="B219" s="874">
        <v>20</v>
      </c>
      <c r="C219" s="875">
        <v>13.906000000000001</v>
      </c>
      <c r="D219" s="875">
        <v>0</v>
      </c>
      <c r="E219" s="875">
        <v>6.0149999999999997</v>
      </c>
      <c r="F219" s="875">
        <v>0</v>
      </c>
      <c r="G219" s="875">
        <v>0</v>
      </c>
      <c r="H219" s="875">
        <v>13.826000000000001</v>
      </c>
      <c r="I219" s="875">
        <v>0</v>
      </c>
      <c r="J219" s="875">
        <v>0</v>
      </c>
      <c r="K219" s="875">
        <v>0</v>
      </c>
      <c r="L219" s="875">
        <v>0</v>
      </c>
      <c r="M219" s="875">
        <v>0</v>
      </c>
      <c r="N219" s="875">
        <v>0</v>
      </c>
      <c r="O219" s="875">
        <v>0</v>
      </c>
      <c r="P219" s="875">
        <v>4</v>
      </c>
      <c r="Q219" s="875">
        <v>0.5</v>
      </c>
      <c r="R219" s="875">
        <v>0</v>
      </c>
      <c r="S219" s="875"/>
      <c r="T219" s="875">
        <v>0</v>
      </c>
      <c r="U219" s="4611">
        <v>20</v>
      </c>
      <c r="V219" s="4608">
        <v>17.98</v>
      </c>
      <c r="W219" s="4608">
        <v>0</v>
      </c>
      <c r="X219" s="4611">
        <v>6.0069999999999997</v>
      </c>
      <c r="Y219" s="4611">
        <v>0</v>
      </c>
      <c r="Z219" s="4611">
        <v>0</v>
      </c>
      <c r="AA219" s="4611">
        <v>9.7880000000000003</v>
      </c>
      <c r="AB219" s="4611">
        <v>0</v>
      </c>
      <c r="AC219" s="4611">
        <v>0</v>
      </c>
      <c r="AD219" s="4611">
        <v>0</v>
      </c>
      <c r="AE219" s="4611">
        <v>0</v>
      </c>
      <c r="AF219" s="4611">
        <v>0</v>
      </c>
      <c r="AG219" s="4611">
        <v>0</v>
      </c>
      <c r="AH219" s="4611">
        <v>0</v>
      </c>
      <c r="AI219" s="4611">
        <v>4</v>
      </c>
      <c r="AJ219" s="4611">
        <v>0.497</v>
      </c>
      <c r="AK219" s="4611">
        <v>0</v>
      </c>
      <c r="AL219" s="4612"/>
      <c r="AM219" s="4611">
        <v>0</v>
      </c>
      <c r="AN219" s="876">
        <f t="shared" si="6"/>
        <v>58.271999999999998</v>
      </c>
      <c r="AO219" s="877">
        <v>58.247</v>
      </c>
      <c r="AP219" s="878">
        <f t="shared" si="7"/>
        <v>2.5000000000000001E-2</v>
      </c>
    </row>
    <row r="220" spans="1:42" ht="13.8">
      <c r="A220" s="873">
        <v>432</v>
      </c>
      <c r="B220" s="874">
        <v>20</v>
      </c>
      <c r="C220" s="875">
        <v>17.225000000000001</v>
      </c>
      <c r="D220" s="875">
        <v>0</v>
      </c>
      <c r="E220" s="875">
        <v>8</v>
      </c>
      <c r="F220" s="875">
        <v>0</v>
      </c>
      <c r="G220" s="875">
        <v>0</v>
      </c>
      <c r="H220" s="875">
        <v>0</v>
      </c>
      <c r="I220" s="875">
        <v>0</v>
      </c>
      <c r="J220" s="875">
        <v>0</v>
      </c>
      <c r="K220" s="875">
        <v>0</v>
      </c>
      <c r="L220" s="875">
        <v>0</v>
      </c>
      <c r="M220" s="875">
        <v>0</v>
      </c>
      <c r="N220" s="875">
        <v>0</v>
      </c>
      <c r="O220" s="875">
        <v>0</v>
      </c>
      <c r="P220" s="875">
        <v>1</v>
      </c>
      <c r="Q220" s="875">
        <v>0</v>
      </c>
      <c r="R220" s="875">
        <v>0</v>
      </c>
      <c r="S220" s="875"/>
      <c r="T220" s="875">
        <v>0</v>
      </c>
      <c r="U220" s="4611">
        <v>20</v>
      </c>
      <c r="V220" s="4608">
        <v>22.2</v>
      </c>
      <c r="W220" s="4608">
        <v>0</v>
      </c>
      <c r="X220" s="4611">
        <v>8</v>
      </c>
      <c r="Y220" s="4611">
        <v>0</v>
      </c>
      <c r="Z220" s="4611">
        <v>0</v>
      </c>
      <c r="AA220" s="4611">
        <v>0</v>
      </c>
      <c r="AB220" s="4611">
        <v>0</v>
      </c>
      <c r="AC220" s="4611">
        <v>0</v>
      </c>
      <c r="AD220" s="4611">
        <v>0</v>
      </c>
      <c r="AE220" s="4611">
        <v>0</v>
      </c>
      <c r="AF220" s="4611">
        <v>0</v>
      </c>
      <c r="AG220" s="4611">
        <v>0</v>
      </c>
      <c r="AH220" s="4611">
        <v>0</v>
      </c>
      <c r="AI220" s="4611">
        <v>1</v>
      </c>
      <c r="AJ220" s="4611">
        <v>0</v>
      </c>
      <c r="AK220" s="4611">
        <v>0</v>
      </c>
      <c r="AL220" s="4612"/>
      <c r="AM220" s="4611">
        <v>0</v>
      </c>
      <c r="AN220" s="876">
        <f t="shared" si="6"/>
        <v>51.2</v>
      </c>
      <c r="AO220" s="877">
        <v>46.225000000000001</v>
      </c>
      <c r="AP220" s="878">
        <f t="shared" si="7"/>
        <v>4.9749999999999996</v>
      </c>
    </row>
    <row r="221" spans="1:42" ht="13.8">
      <c r="A221" s="873">
        <v>434</v>
      </c>
      <c r="B221" s="874">
        <v>20</v>
      </c>
      <c r="C221" s="875">
        <v>20.977</v>
      </c>
      <c r="D221" s="875">
        <v>0</v>
      </c>
      <c r="E221" s="875">
        <v>5.9930000000000003</v>
      </c>
      <c r="F221" s="875">
        <v>0</v>
      </c>
      <c r="G221" s="875">
        <v>0</v>
      </c>
      <c r="H221" s="875">
        <v>2.7829999999999999</v>
      </c>
      <c r="I221" s="875">
        <v>0</v>
      </c>
      <c r="J221" s="875">
        <v>0</v>
      </c>
      <c r="K221" s="875">
        <v>0</v>
      </c>
      <c r="L221" s="875">
        <v>0</v>
      </c>
      <c r="M221" s="875">
        <v>0</v>
      </c>
      <c r="N221" s="875">
        <v>0</v>
      </c>
      <c r="O221" s="875">
        <v>0</v>
      </c>
      <c r="P221" s="875">
        <v>0</v>
      </c>
      <c r="Q221" s="875">
        <v>0</v>
      </c>
      <c r="R221" s="875">
        <v>0</v>
      </c>
      <c r="S221" s="875"/>
      <c r="T221" s="875">
        <v>0</v>
      </c>
      <c r="U221" s="4611">
        <v>20</v>
      </c>
      <c r="V221" s="4608">
        <v>15.257</v>
      </c>
      <c r="W221" s="4608">
        <v>0</v>
      </c>
      <c r="X221" s="4611">
        <v>8</v>
      </c>
      <c r="Y221" s="4611">
        <v>0</v>
      </c>
      <c r="Z221" s="4611">
        <v>0</v>
      </c>
      <c r="AA221" s="4611">
        <v>5.1760000000000002</v>
      </c>
      <c r="AB221" s="4611">
        <v>0</v>
      </c>
      <c r="AC221" s="4611">
        <v>0</v>
      </c>
      <c r="AD221" s="4611">
        <v>0</v>
      </c>
      <c r="AE221" s="4611">
        <v>0</v>
      </c>
      <c r="AF221" s="4611">
        <v>0</v>
      </c>
      <c r="AG221" s="4611">
        <v>0</v>
      </c>
      <c r="AH221" s="4611">
        <v>0</v>
      </c>
      <c r="AI221" s="4611">
        <v>0</v>
      </c>
      <c r="AJ221" s="4611">
        <v>0</v>
      </c>
      <c r="AK221" s="4611">
        <v>0</v>
      </c>
      <c r="AL221" s="4612"/>
      <c r="AM221" s="4611">
        <v>0</v>
      </c>
      <c r="AN221" s="876">
        <f t="shared" si="6"/>
        <v>48.433</v>
      </c>
      <c r="AO221" s="877">
        <v>49.753</v>
      </c>
      <c r="AP221" s="878">
        <f t="shared" si="7"/>
        <v>-1.32</v>
      </c>
    </row>
    <row r="222" spans="1:42" ht="13.8">
      <c r="A222" s="873">
        <v>435</v>
      </c>
      <c r="B222" s="874">
        <v>20</v>
      </c>
      <c r="C222" s="875">
        <v>14.742000000000001</v>
      </c>
      <c r="D222" s="875">
        <v>0</v>
      </c>
      <c r="E222" s="875">
        <v>7.9989999999999997</v>
      </c>
      <c r="F222" s="875">
        <v>0</v>
      </c>
      <c r="G222" s="875">
        <v>0</v>
      </c>
      <c r="H222" s="875">
        <v>9.5229999999999997</v>
      </c>
      <c r="I222" s="875">
        <v>0</v>
      </c>
      <c r="J222" s="875">
        <v>0</v>
      </c>
      <c r="K222" s="875">
        <v>0</v>
      </c>
      <c r="L222" s="875">
        <v>0</v>
      </c>
      <c r="M222" s="875">
        <v>0</v>
      </c>
      <c r="N222" s="875">
        <v>0</v>
      </c>
      <c r="O222" s="875">
        <v>0</v>
      </c>
      <c r="P222" s="875">
        <v>2.8889999999999998</v>
      </c>
      <c r="Q222" s="875">
        <v>0.63</v>
      </c>
      <c r="R222" s="875">
        <v>0</v>
      </c>
      <c r="S222" s="875"/>
      <c r="T222" s="875">
        <v>0</v>
      </c>
      <c r="U222" s="4611">
        <v>20</v>
      </c>
      <c r="V222" s="4608">
        <v>14.162000000000001</v>
      </c>
      <c r="W222" s="4608">
        <v>0</v>
      </c>
      <c r="X222" s="4611">
        <v>7.9989999999999997</v>
      </c>
      <c r="Y222" s="4611">
        <v>0</v>
      </c>
      <c r="Z222" s="4611">
        <v>0</v>
      </c>
      <c r="AA222" s="4611">
        <v>9.7279999999999998</v>
      </c>
      <c r="AB222" s="4611">
        <v>0</v>
      </c>
      <c r="AC222" s="4611">
        <v>0</v>
      </c>
      <c r="AD222" s="4611">
        <v>0</v>
      </c>
      <c r="AE222" s="4611">
        <v>0</v>
      </c>
      <c r="AF222" s="4611">
        <v>0</v>
      </c>
      <c r="AG222" s="4611">
        <v>0</v>
      </c>
      <c r="AH222" s="4611">
        <v>0</v>
      </c>
      <c r="AI222" s="4611">
        <v>2.87</v>
      </c>
      <c r="AJ222" s="4611">
        <v>0.58199999999999996</v>
      </c>
      <c r="AK222" s="4611">
        <v>0</v>
      </c>
      <c r="AL222" s="4612"/>
      <c r="AM222" s="4611">
        <v>0</v>
      </c>
      <c r="AN222" s="876">
        <f t="shared" si="6"/>
        <v>55.341000000000001</v>
      </c>
      <c r="AO222" s="877">
        <v>55.783000000000001</v>
      </c>
      <c r="AP222" s="878">
        <f t="shared" si="7"/>
        <v>-0.442</v>
      </c>
    </row>
    <row r="223" spans="1:42" ht="13.8">
      <c r="A223" s="873">
        <v>436</v>
      </c>
      <c r="B223" s="874">
        <v>20</v>
      </c>
      <c r="C223" s="875">
        <v>17.059999999999999</v>
      </c>
      <c r="D223" s="875">
        <v>0</v>
      </c>
      <c r="E223" s="875">
        <v>7.9720000000000004</v>
      </c>
      <c r="F223" s="875">
        <v>0</v>
      </c>
      <c r="G223" s="875">
        <v>0</v>
      </c>
      <c r="H223" s="875">
        <v>7.7190000000000003</v>
      </c>
      <c r="I223" s="875">
        <v>0</v>
      </c>
      <c r="J223" s="875">
        <v>0</v>
      </c>
      <c r="K223" s="875">
        <v>0</v>
      </c>
      <c r="L223" s="875">
        <v>0</v>
      </c>
      <c r="M223" s="875">
        <v>0</v>
      </c>
      <c r="N223" s="875">
        <v>0</v>
      </c>
      <c r="O223" s="875">
        <v>0</v>
      </c>
      <c r="P223" s="875">
        <v>2.6179999999999999</v>
      </c>
      <c r="Q223" s="875">
        <v>0.372</v>
      </c>
      <c r="R223" s="875">
        <v>0</v>
      </c>
      <c r="S223" s="875"/>
      <c r="T223" s="875">
        <v>0</v>
      </c>
      <c r="U223" s="4611">
        <v>20</v>
      </c>
      <c r="V223" s="4608">
        <v>18.029</v>
      </c>
      <c r="W223" s="4608">
        <v>0</v>
      </c>
      <c r="X223" s="4611">
        <v>7.9980000000000002</v>
      </c>
      <c r="Y223" s="4611">
        <v>0</v>
      </c>
      <c r="Z223" s="4611">
        <v>0</v>
      </c>
      <c r="AA223" s="4611">
        <v>7.69</v>
      </c>
      <c r="AB223" s="4611">
        <v>0</v>
      </c>
      <c r="AC223" s="4611">
        <v>0</v>
      </c>
      <c r="AD223" s="4611">
        <v>0</v>
      </c>
      <c r="AE223" s="4611">
        <v>0</v>
      </c>
      <c r="AF223" s="4611">
        <v>0</v>
      </c>
      <c r="AG223" s="4611">
        <v>0</v>
      </c>
      <c r="AH223" s="4611">
        <v>0</v>
      </c>
      <c r="AI223" s="4611">
        <v>2.669</v>
      </c>
      <c r="AJ223" s="4611">
        <v>0.32600000000000001</v>
      </c>
      <c r="AK223" s="4611">
        <v>0</v>
      </c>
      <c r="AL223" s="4612"/>
      <c r="AM223" s="4611">
        <v>0</v>
      </c>
      <c r="AN223" s="876">
        <f t="shared" si="6"/>
        <v>56.712000000000003</v>
      </c>
      <c r="AO223" s="877">
        <v>55.741</v>
      </c>
      <c r="AP223" s="878">
        <f t="shared" si="7"/>
        <v>0.97099999999999997</v>
      </c>
    </row>
    <row r="224" spans="1:42" ht="13.8">
      <c r="A224" s="873">
        <v>437</v>
      </c>
      <c r="B224" s="874">
        <v>20</v>
      </c>
      <c r="C224" s="875">
        <v>13.759</v>
      </c>
      <c r="D224" s="875">
        <v>0</v>
      </c>
      <c r="E224" s="875">
        <v>7.976</v>
      </c>
      <c r="F224" s="875">
        <v>0</v>
      </c>
      <c r="G224" s="875">
        <v>0</v>
      </c>
      <c r="H224" s="875">
        <v>8.4039999999999999</v>
      </c>
      <c r="I224" s="875">
        <v>0</v>
      </c>
      <c r="J224" s="875">
        <v>0</v>
      </c>
      <c r="K224" s="875">
        <v>0</v>
      </c>
      <c r="L224" s="875">
        <v>0</v>
      </c>
      <c r="M224" s="875">
        <v>0</v>
      </c>
      <c r="N224" s="875">
        <v>0</v>
      </c>
      <c r="O224" s="875">
        <v>0</v>
      </c>
      <c r="P224" s="875">
        <v>0</v>
      </c>
      <c r="Q224" s="875">
        <v>0</v>
      </c>
      <c r="R224" s="875">
        <v>0</v>
      </c>
      <c r="S224" s="875"/>
      <c r="T224" s="875">
        <v>0</v>
      </c>
      <c r="U224" s="4611">
        <v>20</v>
      </c>
      <c r="V224" s="4608">
        <v>14.226000000000001</v>
      </c>
      <c r="W224" s="4608">
        <v>0</v>
      </c>
      <c r="X224" s="4611">
        <v>7.952</v>
      </c>
      <c r="Y224" s="4611">
        <v>0</v>
      </c>
      <c r="Z224" s="4611">
        <v>0</v>
      </c>
      <c r="AA224" s="4611">
        <v>7.8220000000000001</v>
      </c>
      <c r="AB224" s="4611">
        <v>0</v>
      </c>
      <c r="AC224" s="4611">
        <v>0</v>
      </c>
      <c r="AD224" s="4611">
        <v>0</v>
      </c>
      <c r="AE224" s="4611">
        <v>0</v>
      </c>
      <c r="AF224" s="4611">
        <v>0</v>
      </c>
      <c r="AG224" s="4611">
        <v>0</v>
      </c>
      <c r="AH224" s="4611">
        <v>0</v>
      </c>
      <c r="AI224" s="4611">
        <v>0</v>
      </c>
      <c r="AJ224" s="4611">
        <v>0</v>
      </c>
      <c r="AK224" s="4611">
        <v>0</v>
      </c>
      <c r="AL224" s="4612"/>
      <c r="AM224" s="4611">
        <v>0</v>
      </c>
      <c r="AN224" s="876">
        <f t="shared" si="6"/>
        <v>50</v>
      </c>
      <c r="AO224" s="877">
        <v>50.139000000000003</v>
      </c>
      <c r="AP224" s="878">
        <f t="shared" si="7"/>
        <v>-0.13900000000000001</v>
      </c>
    </row>
    <row r="225" spans="1:42" ht="13.8">
      <c r="A225" s="873">
        <v>438</v>
      </c>
      <c r="B225" s="874">
        <v>20</v>
      </c>
      <c r="C225" s="875">
        <v>18.71</v>
      </c>
      <c r="D225" s="875">
        <v>0</v>
      </c>
      <c r="E225" s="875">
        <v>8</v>
      </c>
      <c r="F225" s="875">
        <v>0</v>
      </c>
      <c r="G225" s="875">
        <v>0</v>
      </c>
      <c r="H225" s="875">
        <v>0</v>
      </c>
      <c r="I225" s="875">
        <v>0</v>
      </c>
      <c r="J225" s="875">
        <v>0</v>
      </c>
      <c r="K225" s="875">
        <v>0</v>
      </c>
      <c r="L225" s="875">
        <v>0</v>
      </c>
      <c r="M225" s="875">
        <v>0</v>
      </c>
      <c r="N225" s="875">
        <v>0</v>
      </c>
      <c r="O225" s="875">
        <v>0</v>
      </c>
      <c r="P225" s="875">
        <v>0</v>
      </c>
      <c r="Q225" s="875">
        <v>0</v>
      </c>
      <c r="R225" s="875">
        <v>0</v>
      </c>
      <c r="S225" s="875"/>
      <c r="T225" s="875">
        <v>0</v>
      </c>
      <c r="U225" s="4611">
        <v>20</v>
      </c>
      <c r="V225" s="4608">
        <v>18.707999999999998</v>
      </c>
      <c r="W225" s="4608">
        <v>0</v>
      </c>
      <c r="X225" s="4611">
        <v>7.7489999999999997</v>
      </c>
      <c r="Y225" s="4611">
        <v>0</v>
      </c>
      <c r="Z225" s="4611">
        <v>0</v>
      </c>
      <c r="AA225" s="4611">
        <v>0</v>
      </c>
      <c r="AB225" s="4611">
        <v>0</v>
      </c>
      <c r="AC225" s="4611">
        <v>0</v>
      </c>
      <c r="AD225" s="4611">
        <v>0</v>
      </c>
      <c r="AE225" s="4611">
        <v>0</v>
      </c>
      <c r="AF225" s="4611">
        <v>0</v>
      </c>
      <c r="AG225" s="4611">
        <v>0</v>
      </c>
      <c r="AH225" s="4611">
        <v>0</v>
      </c>
      <c r="AI225" s="4611">
        <v>0</v>
      </c>
      <c r="AJ225" s="4611">
        <v>0</v>
      </c>
      <c r="AK225" s="4611">
        <v>0</v>
      </c>
      <c r="AL225" s="4612"/>
      <c r="AM225" s="4611">
        <v>0</v>
      </c>
      <c r="AN225" s="876">
        <f t="shared" si="6"/>
        <v>46.457000000000001</v>
      </c>
      <c r="AO225" s="877">
        <v>46.71</v>
      </c>
      <c r="AP225" s="878">
        <f t="shared" si="7"/>
        <v>-0.253</v>
      </c>
    </row>
    <row r="226" spans="1:42" ht="13.8">
      <c r="A226" s="873">
        <v>439</v>
      </c>
      <c r="B226" s="874">
        <v>20</v>
      </c>
      <c r="C226" s="875">
        <v>15.226000000000001</v>
      </c>
      <c r="D226" s="875">
        <v>0</v>
      </c>
      <c r="E226" s="875">
        <v>5.7480000000000002</v>
      </c>
      <c r="F226" s="875">
        <v>0</v>
      </c>
      <c r="G226" s="875">
        <v>0</v>
      </c>
      <c r="H226" s="875">
        <v>0</v>
      </c>
      <c r="I226" s="875">
        <v>0</v>
      </c>
      <c r="J226" s="875">
        <v>0</v>
      </c>
      <c r="K226" s="875">
        <v>0</v>
      </c>
      <c r="L226" s="875">
        <v>0</v>
      </c>
      <c r="M226" s="875">
        <v>0</v>
      </c>
      <c r="N226" s="875">
        <v>0</v>
      </c>
      <c r="O226" s="875">
        <v>0</v>
      </c>
      <c r="P226" s="875">
        <v>1.9990000000000001</v>
      </c>
      <c r="Q226" s="875">
        <v>0</v>
      </c>
      <c r="R226" s="875">
        <v>0</v>
      </c>
      <c r="S226" s="875"/>
      <c r="T226" s="875">
        <v>0</v>
      </c>
      <c r="U226" s="4611">
        <v>20</v>
      </c>
      <c r="V226" s="4608">
        <v>15.172000000000001</v>
      </c>
      <c r="W226" s="4608">
        <v>0</v>
      </c>
      <c r="X226" s="4611">
        <v>8</v>
      </c>
      <c r="Y226" s="4611">
        <v>0</v>
      </c>
      <c r="Z226" s="4611">
        <v>0</v>
      </c>
      <c r="AA226" s="4611">
        <v>0</v>
      </c>
      <c r="AB226" s="4611">
        <v>0</v>
      </c>
      <c r="AC226" s="4611">
        <v>0</v>
      </c>
      <c r="AD226" s="4611">
        <v>0</v>
      </c>
      <c r="AE226" s="4611">
        <v>0</v>
      </c>
      <c r="AF226" s="4611">
        <v>0</v>
      </c>
      <c r="AG226" s="4611">
        <v>0</v>
      </c>
      <c r="AH226" s="4611">
        <v>0</v>
      </c>
      <c r="AI226" s="4611">
        <v>2</v>
      </c>
      <c r="AJ226" s="4611">
        <v>0</v>
      </c>
      <c r="AK226" s="4611">
        <v>0</v>
      </c>
      <c r="AL226" s="4612"/>
      <c r="AM226" s="4611">
        <v>0</v>
      </c>
      <c r="AN226" s="876">
        <f t="shared" si="6"/>
        <v>45.171999999999997</v>
      </c>
      <c r="AO226" s="877">
        <v>42.972999999999999</v>
      </c>
      <c r="AP226" s="878">
        <f t="shared" si="7"/>
        <v>2.1989999999999998</v>
      </c>
    </row>
    <row r="227" spans="1:42" ht="13.8">
      <c r="A227" s="873">
        <v>440</v>
      </c>
      <c r="B227" s="874">
        <v>20</v>
      </c>
      <c r="C227" s="875">
        <v>15.087999999999999</v>
      </c>
      <c r="D227" s="875">
        <v>0</v>
      </c>
      <c r="E227" s="875">
        <v>5.9649999999999999</v>
      </c>
      <c r="F227" s="875">
        <v>0</v>
      </c>
      <c r="G227" s="875">
        <v>0</v>
      </c>
      <c r="H227" s="875">
        <v>9.4760000000000009</v>
      </c>
      <c r="I227" s="875">
        <v>0</v>
      </c>
      <c r="J227" s="875">
        <v>0</v>
      </c>
      <c r="K227" s="875">
        <v>0</v>
      </c>
      <c r="L227" s="875">
        <v>0</v>
      </c>
      <c r="M227" s="875">
        <v>0</v>
      </c>
      <c r="N227" s="875">
        <v>0</v>
      </c>
      <c r="O227" s="875">
        <v>0</v>
      </c>
      <c r="P227" s="875">
        <v>0</v>
      </c>
      <c r="Q227" s="875">
        <v>0</v>
      </c>
      <c r="R227" s="875">
        <v>0</v>
      </c>
      <c r="S227" s="875"/>
      <c r="T227" s="875">
        <v>0</v>
      </c>
      <c r="U227" s="4611">
        <v>20</v>
      </c>
      <c r="V227" s="4608">
        <v>15.54</v>
      </c>
      <c r="W227" s="4608">
        <v>0</v>
      </c>
      <c r="X227" s="4611">
        <v>5.9729999999999999</v>
      </c>
      <c r="Y227" s="4611">
        <v>0</v>
      </c>
      <c r="Z227" s="4611">
        <v>0</v>
      </c>
      <c r="AA227" s="4611">
        <v>9.4339999999999993</v>
      </c>
      <c r="AB227" s="4611">
        <v>0</v>
      </c>
      <c r="AC227" s="4611">
        <v>0</v>
      </c>
      <c r="AD227" s="4611">
        <v>0</v>
      </c>
      <c r="AE227" s="4611">
        <v>0</v>
      </c>
      <c r="AF227" s="4611">
        <v>0</v>
      </c>
      <c r="AG227" s="4611">
        <v>0</v>
      </c>
      <c r="AH227" s="4611">
        <v>0</v>
      </c>
      <c r="AI227" s="4611">
        <v>0</v>
      </c>
      <c r="AJ227" s="4611">
        <v>0</v>
      </c>
      <c r="AK227" s="4611">
        <v>0</v>
      </c>
      <c r="AL227" s="4612"/>
      <c r="AM227" s="4611">
        <v>0</v>
      </c>
      <c r="AN227" s="876">
        <f t="shared" si="6"/>
        <v>50.947000000000003</v>
      </c>
      <c r="AO227" s="877">
        <v>50.529000000000003</v>
      </c>
      <c r="AP227" s="878">
        <f t="shared" si="7"/>
        <v>0.41799999999999998</v>
      </c>
    </row>
    <row r="228" spans="1:42" ht="13.8">
      <c r="A228" s="873">
        <v>443</v>
      </c>
      <c r="B228" s="874">
        <v>20</v>
      </c>
      <c r="C228" s="875">
        <v>18.811</v>
      </c>
      <c r="D228" s="875">
        <v>0</v>
      </c>
      <c r="E228" s="875">
        <v>8</v>
      </c>
      <c r="F228" s="875">
        <v>0</v>
      </c>
      <c r="G228" s="875">
        <v>0</v>
      </c>
      <c r="H228" s="875">
        <v>10.348000000000001</v>
      </c>
      <c r="I228" s="875">
        <v>0</v>
      </c>
      <c r="J228" s="875">
        <v>0</v>
      </c>
      <c r="K228" s="875">
        <v>0</v>
      </c>
      <c r="L228" s="875">
        <v>0</v>
      </c>
      <c r="M228" s="875">
        <v>0</v>
      </c>
      <c r="N228" s="875">
        <v>0</v>
      </c>
      <c r="O228" s="875">
        <v>0</v>
      </c>
      <c r="P228" s="875">
        <v>0</v>
      </c>
      <c r="Q228" s="875">
        <v>0</v>
      </c>
      <c r="R228" s="875">
        <v>0</v>
      </c>
      <c r="S228" s="875"/>
      <c r="T228" s="875">
        <v>0</v>
      </c>
      <c r="U228" s="4611">
        <v>20</v>
      </c>
      <c r="V228" s="4608">
        <v>19.960999999999999</v>
      </c>
      <c r="W228" s="4608">
        <v>0</v>
      </c>
      <c r="X228" s="4611">
        <v>7.8769999999999998</v>
      </c>
      <c r="Y228" s="4611">
        <v>0</v>
      </c>
      <c r="Z228" s="4611">
        <v>0</v>
      </c>
      <c r="AA228" s="4611">
        <v>9.218</v>
      </c>
      <c r="AB228" s="4611">
        <v>0</v>
      </c>
      <c r="AC228" s="4611">
        <v>0</v>
      </c>
      <c r="AD228" s="4611">
        <v>0</v>
      </c>
      <c r="AE228" s="4611">
        <v>0</v>
      </c>
      <c r="AF228" s="4611">
        <v>0</v>
      </c>
      <c r="AG228" s="4611">
        <v>0</v>
      </c>
      <c r="AH228" s="4611">
        <v>0</v>
      </c>
      <c r="AI228" s="4611">
        <v>0</v>
      </c>
      <c r="AJ228" s="4611">
        <v>0</v>
      </c>
      <c r="AK228" s="4611">
        <v>0</v>
      </c>
      <c r="AL228" s="4612"/>
      <c r="AM228" s="4611">
        <v>0</v>
      </c>
      <c r="AN228" s="876">
        <f t="shared" si="6"/>
        <v>57.055999999999997</v>
      </c>
      <c r="AO228" s="877">
        <v>57.158999999999999</v>
      </c>
      <c r="AP228" s="878">
        <f t="shared" si="7"/>
        <v>-0.10299999999999999</v>
      </c>
    </row>
    <row r="229" spans="1:42" ht="13.8">
      <c r="A229" s="873">
        <v>444</v>
      </c>
      <c r="B229" s="874">
        <v>20</v>
      </c>
      <c r="C229" s="875">
        <v>11.943</v>
      </c>
      <c r="D229" s="875">
        <v>0</v>
      </c>
      <c r="E229" s="875">
        <v>7.9969999999999999</v>
      </c>
      <c r="F229" s="875">
        <v>0</v>
      </c>
      <c r="G229" s="875">
        <v>0</v>
      </c>
      <c r="H229" s="875">
        <v>0</v>
      </c>
      <c r="I229" s="875">
        <v>0</v>
      </c>
      <c r="J229" s="875">
        <v>0</v>
      </c>
      <c r="K229" s="875">
        <v>0</v>
      </c>
      <c r="L229" s="875">
        <v>0</v>
      </c>
      <c r="M229" s="875">
        <v>0</v>
      </c>
      <c r="N229" s="875">
        <v>0</v>
      </c>
      <c r="O229" s="875">
        <v>0</v>
      </c>
      <c r="P229" s="875">
        <v>1</v>
      </c>
      <c r="Q229" s="875">
        <v>0</v>
      </c>
      <c r="R229" s="875">
        <v>0</v>
      </c>
      <c r="S229" s="875"/>
      <c r="T229" s="875">
        <v>0</v>
      </c>
      <c r="U229" s="4611">
        <v>20</v>
      </c>
      <c r="V229" s="4608">
        <v>11.831</v>
      </c>
      <c r="W229" s="4608">
        <v>0</v>
      </c>
      <c r="X229" s="4611">
        <v>8</v>
      </c>
      <c r="Y229" s="4611">
        <v>0</v>
      </c>
      <c r="Z229" s="4611">
        <v>0</v>
      </c>
      <c r="AA229" s="4611">
        <v>15.933999999999999</v>
      </c>
      <c r="AB229" s="4611">
        <v>0</v>
      </c>
      <c r="AC229" s="4611">
        <v>0</v>
      </c>
      <c r="AD229" s="4611">
        <v>0</v>
      </c>
      <c r="AE229" s="4611">
        <v>0</v>
      </c>
      <c r="AF229" s="4611">
        <v>0</v>
      </c>
      <c r="AG229" s="4611">
        <v>0</v>
      </c>
      <c r="AH229" s="4611">
        <v>0</v>
      </c>
      <c r="AI229" s="4611">
        <v>1</v>
      </c>
      <c r="AJ229" s="4611">
        <v>0</v>
      </c>
      <c r="AK229" s="4611">
        <v>0</v>
      </c>
      <c r="AL229" s="4612"/>
      <c r="AM229" s="4611">
        <v>0</v>
      </c>
      <c r="AN229" s="876">
        <f t="shared" si="6"/>
        <v>56.765000000000001</v>
      </c>
      <c r="AO229" s="877">
        <v>40.94</v>
      </c>
      <c r="AP229" s="878">
        <f t="shared" si="7"/>
        <v>15.824999999999999</v>
      </c>
    </row>
    <row r="230" spans="1:42" ht="13.8">
      <c r="A230" s="873">
        <v>445</v>
      </c>
      <c r="B230" s="874">
        <v>20</v>
      </c>
      <c r="C230" s="875">
        <v>13.422000000000001</v>
      </c>
      <c r="D230" s="875">
        <v>0</v>
      </c>
      <c r="E230" s="875">
        <v>4.9880000000000004</v>
      </c>
      <c r="F230" s="875">
        <v>0</v>
      </c>
      <c r="G230" s="875">
        <v>0</v>
      </c>
      <c r="H230" s="875">
        <v>5.0629999999999997</v>
      </c>
      <c r="I230" s="875">
        <v>0</v>
      </c>
      <c r="J230" s="875">
        <v>0</v>
      </c>
      <c r="K230" s="875">
        <v>0</v>
      </c>
      <c r="L230" s="875">
        <v>0</v>
      </c>
      <c r="M230" s="875">
        <v>0</v>
      </c>
      <c r="N230" s="875">
        <v>0</v>
      </c>
      <c r="O230" s="875">
        <v>0</v>
      </c>
      <c r="P230" s="875">
        <v>2.5449999999999999</v>
      </c>
      <c r="Q230" s="875">
        <v>0.746</v>
      </c>
      <c r="R230" s="875">
        <v>0</v>
      </c>
      <c r="S230" s="875"/>
      <c r="T230" s="875">
        <v>0</v>
      </c>
      <c r="U230" s="4611">
        <v>20</v>
      </c>
      <c r="V230" s="4608">
        <v>17.376999999999999</v>
      </c>
      <c r="W230" s="4608">
        <v>0</v>
      </c>
      <c r="X230" s="4611">
        <v>7.1040000000000001</v>
      </c>
      <c r="Y230" s="4611">
        <v>0</v>
      </c>
      <c r="Z230" s="4611">
        <v>0</v>
      </c>
      <c r="AA230" s="4611">
        <v>0</v>
      </c>
      <c r="AB230" s="4611">
        <v>0</v>
      </c>
      <c r="AC230" s="4611">
        <v>0</v>
      </c>
      <c r="AD230" s="4611">
        <v>0</v>
      </c>
      <c r="AE230" s="4611">
        <v>0</v>
      </c>
      <c r="AF230" s="4611">
        <v>0</v>
      </c>
      <c r="AG230" s="4611">
        <v>0</v>
      </c>
      <c r="AH230" s="4611">
        <v>0</v>
      </c>
      <c r="AI230" s="4611">
        <v>2.6110000000000002</v>
      </c>
      <c r="AJ230" s="4611">
        <v>0.76500000000000001</v>
      </c>
      <c r="AK230" s="4611">
        <v>0</v>
      </c>
      <c r="AL230" s="4612"/>
      <c r="AM230" s="4611">
        <v>0</v>
      </c>
      <c r="AN230" s="876">
        <f t="shared" si="6"/>
        <v>47.856999999999999</v>
      </c>
      <c r="AO230" s="877">
        <v>46.764000000000003</v>
      </c>
      <c r="AP230" s="878">
        <f t="shared" si="7"/>
        <v>1.093</v>
      </c>
    </row>
    <row r="231" spans="1:42" ht="13.8">
      <c r="A231" s="873">
        <v>446</v>
      </c>
      <c r="B231" s="874">
        <v>20</v>
      </c>
      <c r="C231" s="875">
        <v>15.74</v>
      </c>
      <c r="D231" s="875">
        <v>0</v>
      </c>
      <c r="E231" s="875">
        <v>4.3170000000000002</v>
      </c>
      <c r="F231" s="875">
        <v>0</v>
      </c>
      <c r="G231" s="875">
        <v>0</v>
      </c>
      <c r="H231" s="875">
        <v>4.4370000000000003</v>
      </c>
      <c r="I231" s="875">
        <v>0</v>
      </c>
      <c r="J231" s="875">
        <v>0</v>
      </c>
      <c r="K231" s="875">
        <v>0</v>
      </c>
      <c r="L231" s="875">
        <v>0</v>
      </c>
      <c r="M231" s="875">
        <v>0</v>
      </c>
      <c r="N231" s="875">
        <v>2.52</v>
      </c>
      <c r="O231" s="875">
        <v>0</v>
      </c>
      <c r="P231" s="875">
        <v>4.1109999999999998</v>
      </c>
      <c r="Q231" s="875">
        <v>1.028</v>
      </c>
      <c r="R231" s="875">
        <v>0</v>
      </c>
      <c r="S231" s="875"/>
      <c r="T231" s="875">
        <v>0</v>
      </c>
      <c r="U231" s="4611">
        <v>20</v>
      </c>
      <c r="V231" s="4608">
        <v>16.786999999999999</v>
      </c>
      <c r="W231" s="4608">
        <v>0</v>
      </c>
      <c r="X231" s="4611">
        <v>4.2990000000000004</v>
      </c>
      <c r="Y231" s="4611">
        <v>0</v>
      </c>
      <c r="Z231" s="4611">
        <v>0</v>
      </c>
      <c r="AA231" s="4611">
        <v>3.3959999999999999</v>
      </c>
      <c r="AB231" s="4611">
        <v>0</v>
      </c>
      <c r="AC231" s="4611">
        <v>0</v>
      </c>
      <c r="AD231" s="4611">
        <v>0</v>
      </c>
      <c r="AE231" s="4611">
        <v>0</v>
      </c>
      <c r="AF231" s="4611">
        <v>0</v>
      </c>
      <c r="AG231" s="4611">
        <v>2.4500000000000002</v>
      </c>
      <c r="AH231" s="4611">
        <v>0</v>
      </c>
      <c r="AI231" s="4611">
        <v>3.9990000000000001</v>
      </c>
      <c r="AJ231" s="4611">
        <v>1</v>
      </c>
      <c r="AK231" s="4611">
        <v>0</v>
      </c>
      <c r="AL231" s="4612"/>
      <c r="AM231" s="4611">
        <v>0</v>
      </c>
      <c r="AN231" s="876">
        <f t="shared" si="6"/>
        <v>51.930999999999997</v>
      </c>
      <c r="AO231" s="877">
        <v>52.152999999999999</v>
      </c>
      <c r="AP231" s="878">
        <f t="shared" si="7"/>
        <v>-0.222</v>
      </c>
    </row>
    <row r="232" spans="1:42" ht="13.8">
      <c r="A232" s="873">
        <v>447</v>
      </c>
      <c r="B232" s="874">
        <v>20</v>
      </c>
      <c r="C232" s="875">
        <v>19.006</v>
      </c>
      <c r="D232" s="875">
        <v>0</v>
      </c>
      <c r="E232" s="875">
        <v>7.9009999999999998</v>
      </c>
      <c r="F232" s="875">
        <v>0</v>
      </c>
      <c r="G232" s="875">
        <v>0</v>
      </c>
      <c r="H232" s="875">
        <v>0</v>
      </c>
      <c r="I232" s="875">
        <v>0</v>
      </c>
      <c r="J232" s="875">
        <v>0</v>
      </c>
      <c r="K232" s="875">
        <v>0</v>
      </c>
      <c r="L232" s="875">
        <v>0</v>
      </c>
      <c r="M232" s="875">
        <v>0</v>
      </c>
      <c r="N232" s="875">
        <v>0</v>
      </c>
      <c r="O232" s="875">
        <v>0</v>
      </c>
      <c r="P232" s="875">
        <v>2.9630000000000001</v>
      </c>
      <c r="Q232" s="875">
        <v>0</v>
      </c>
      <c r="R232" s="875">
        <v>0</v>
      </c>
      <c r="S232" s="875"/>
      <c r="T232" s="875">
        <v>0</v>
      </c>
      <c r="U232" s="4611">
        <v>20</v>
      </c>
      <c r="V232" s="4608">
        <v>19.152000000000001</v>
      </c>
      <c r="W232" s="4608">
        <v>0</v>
      </c>
      <c r="X232" s="4611">
        <v>7.9980000000000002</v>
      </c>
      <c r="Y232" s="4611">
        <v>0</v>
      </c>
      <c r="Z232" s="4611">
        <v>0</v>
      </c>
      <c r="AA232" s="4611">
        <v>0</v>
      </c>
      <c r="AB232" s="4611">
        <v>0</v>
      </c>
      <c r="AC232" s="4611">
        <v>0</v>
      </c>
      <c r="AD232" s="4611">
        <v>0</v>
      </c>
      <c r="AE232" s="4611">
        <v>0</v>
      </c>
      <c r="AF232" s="4611">
        <v>0</v>
      </c>
      <c r="AG232" s="4611">
        <v>0</v>
      </c>
      <c r="AH232" s="4611">
        <v>0</v>
      </c>
      <c r="AI232" s="4611">
        <v>2.9990000000000001</v>
      </c>
      <c r="AJ232" s="4611">
        <v>0</v>
      </c>
      <c r="AK232" s="4611">
        <v>0</v>
      </c>
      <c r="AL232" s="4612"/>
      <c r="AM232" s="4611">
        <v>0</v>
      </c>
      <c r="AN232" s="876">
        <f t="shared" si="6"/>
        <v>50.149000000000001</v>
      </c>
      <c r="AO232" s="877">
        <v>49.87</v>
      </c>
      <c r="AP232" s="878">
        <f t="shared" si="7"/>
        <v>0.27900000000000003</v>
      </c>
    </row>
    <row r="233" spans="1:42" ht="13.8">
      <c r="A233" s="873">
        <v>448</v>
      </c>
      <c r="B233" s="874">
        <v>20</v>
      </c>
      <c r="C233" s="875">
        <v>21.146999999999998</v>
      </c>
      <c r="D233" s="875">
        <v>0</v>
      </c>
      <c r="E233" s="875">
        <v>7.5030000000000001</v>
      </c>
      <c r="F233" s="875">
        <v>0</v>
      </c>
      <c r="G233" s="875">
        <v>0</v>
      </c>
      <c r="H233" s="875">
        <v>8.4570000000000007</v>
      </c>
      <c r="I233" s="875">
        <v>0</v>
      </c>
      <c r="J233" s="875">
        <v>0</v>
      </c>
      <c r="K233" s="875">
        <v>0</v>
      </c>
      <c r="L233" s="875">
        <v>0</v>
      </c>
      <c r="M233" s="875">
        <v>0</v>
      </c>
      <c r="N233" s="875">
        <v>0</v>
      </c>
      <c r="O233" s="875">
        <v>0</v>
      </c>
      <c r="P233" s="875">
        <v>0.61</v>
      </c>
      <c r="Q233" s="875">
        <v>0</v>
      </c>
      <c r="R233" s="875">
        <v>0</v>
      </c>
      <c r="S233" s="875"/>
      <c r="T233" s="875">
        <v>0</v>
      </c>
      <c r="U233" s="4611">
        <v>20</v>
      </c>
      <c r="V233" s="4608">
        <v>19.803999999999998</v>
      </c>
      <c r="W233" s="4608">
        <v>0</v>
      </c>
      <c r="X233" s="4611">
        <v>8</v>
      </c>
      <c r="Y233" s="4611">
        <v>0</v>
      </c>
      <c r="Z233" s="4611">
        <v>0</v>
      </c>
      <c r="AA233" s="4611">
        <v>9.0459999999999994</v>
      </c>
      <c r="AB233" s="4611">
        <v>0</v>
      </c>
      <c r="AC233" s="4611">
        <v>0</v>
      </c>
      <c r="AD233" s="4611">
        <v>0</v>
      </c>
      <c r="AE233" s="4611">
        <v>0</v>
      </c>
      <c r="AF233" s="4611">
        <v>0</v>
      </c>
      <c r="AG233" s="4611">
        <v>0</v>
      </c>
      <c r="AH233" s="4611">
        <v>0</v>
      </c>
      <c r="AI233" s="4611">
        <v>0.61599999999999999</v>
      </c>
      <c r="AJ233" s="4611">
        <v>0</v>
      </c>
      <c r="AK233" s="4611">
        <v>0</v>
      </c>
      <c r="AL233" s="4612"/>
      <c r="AM233" s="4611">
        <v>0</v>
      </c>
      <c r="AN233" s="876">
        <f t="shared" si="6"/>
        <v>57.466000000000001</v>
      </c>
      <c r="AO233" s="877">
        <v>57.716999999999999</v>
      </c>
      <c r="AP233" s="878">
        <f t="shared" si="7"/>
        <v>-0.251</v>
      </c>
    </row>
    <row r="234" spans="1:42" ht="13.8">
      <c r="A234" s="873">
        <v>449</v>
      </c>
      <c r="B234" s="874">
        <v>20</v>
      </c>
      <c r="C234" s="875">
        <v>16.126999999999999</v>
      </c>
      <c r="D234" s="875">
        <v>0</v>
      </c>
      <c r="E234" s="875">
        <v>8</v>
      </c>
      <c r="F234" s="875">
        <v>0</v>
      </c>
      <c r="G234" s="875">
        <v>0</v>
      </c>
      <c r="H234" s="875">
        <v>9.2170000000000005</v>
      </c>
      <c r="I234" s="875">
        <v>0</v>
      </c>
      <c r="J234" s="875">
        <v>0</v>
      </c>
      <c r="K234" s="875">
        <v>0</v>
      </c>
      <c r="L234" s="875">
        <v>0</v>
      </c>
      <c r="M234" s="875">
        <v>0</v>
      </c>
      <c r="N234" s="875">
        <v>0</v>
      </c>
      <c r="O234" s="875">
        <v>0</v>
      </c>
      <c r="P234" s="875">
        <v>0</v>
      </c>
      <c r="Q234" s="875">
        <v>0</v>
      </c>
      <c r="R234" s="875">
        <v>0</v>
      </c>
      <c r="S234" s="875"/>
      <c r="T234" s="875">
        <v>0</v>
      </c>
      <c r="U234" s="4611">
        <v>20</v>
      </c>
      <c r="V234" s="4608">
        <v>15.804</v>
      </c>
      <c r="W234" s="4608">
        <v>0</v>
      </c>
      <c r="X234" s="4611">
        <v>8</v>
      </c>
      <c r="Y234" s="4611">
        <v>0</v>
      </c>
      <c r="Z234" s="4611">
        <v>0</v>
      </c>
      <c r="AA234" s="4611">
        <v>9.5519999999999996</v>
      </c>
      <c r="AB234" s="4611">
        <v>0</v>
      </c>
      <c r="AC234" s="4611">
        <v>0</v>
      </c>
      <c r="AD234" s="4611">
        <v>0</v>
      </c>
      <c r="AE234" s="4611">
        <v>0</v>
      </c>
      <c r="AF234" s="4611">
        <v>0</v>
      </c>
      <c r="AG234" s="4611">
        <v>0</v>
      </c>
      <c r="AH234" s="4611">
        <v>0</v>
      </c>
      <c r="AI234" s="4611">
        <v>0</v>
      </c>
      <c r="AJ234" s="4611">
        <v>0</v>
      </c>
      <c r="AK234" s="4611">
        <v>0</v>
      </c>
      <c r="AL234" s="4612"/>
      <c r="AM234" s="4611">
        <v>0</v>
      </c>
      <c r="AN234" s="876">
        <f t="shared" si="6"/>
        <v>53.356000000000002</v>
      </c>
      <c r="AO234" s="877">
        <v>53.344000000000001</v>
      </c>
      <c r="AP234" s="878">
        <f t="shared" si="7"/>
        <v>1.2E-2</v>
      </c>
    </row>
    <row r="235" spans="1:42" ht="13.8">
      <c r="A235" s="873">
        <v>450</v>
      </c>
      <c r="B235" s="874">
        <v>20</v>
      </c>
      <c r="C235" s="875">
        <v>15.335000000000001</v>
      </c>
      <c r="D235" s="875">
        <v>0</v>
      </c>
      <c r="E235" s="875">
        <v>8</v>
      </c>
      <c r="F235" s="875">
        <v>0</v>
      </c>
      <c r="G235" s="875">
        <v>0</v>
      </c>
      <c r="H235" s="875">
        <v>9.2919999999999998</v>
      </c>
      <c r="I235" s="875">
        <v>0</v>
      </c>
      <c r="J235" s="875">
        <v>0</v>
      </c>
      <c r="K235" s="875">
        <v>0</v>
      </c>
      <c r="L235" s="875">
        <v>0</v>
      </c>
      <c r="M235" s="875">
        <v>0</v>
      </c>
      <c r="N235" s="875">
        <v>0</v>
      </c>
      <c r="O235" s="875">
        <v>0</v>
      </c>
      <c r="P235" s="875">
        <v>0</v>
      </c>
      <c r="Q235" s="875">
        <v>0</v>
      </c>
      <c r="R235" s="875">
        <v>0</v>
      </c>
      <c r="S235" s="875"/>
      <c r="T235" s="875">
        <v>0</v>
      </c>
      <c r="U235" s="4611">
        <v>20</v>
      </c>
      <c r="V235" s="4608">
        <v>16.079000000000001</v>
      </c>
      <c r="W235" s="4608">
        <v>0</v>
      </c>
      <c r="X235" s="4611">
        <v>7.6749999999999998</v>
      </c>
      <c r="Y235" s="4611">
        <v>0</v>
      </c>
      <c r="Z235" s="4611">
        <v>0</v>
      </c>
      <c r="AA235" s="4611">
        <v>8.0760000000000005</v>
      </c>
      <c r="AB235" s="4611">
        <v>0</v>
      </c>
      <c r="AC235" s="4611">
        <v>0</v>
      </c>
      <c r="AD235" s="4611">
        <v>0</v>
      </c>
      <c r="AE235" s="4611">
        <v>0</v>
      </c>
      <c r="AF235" s="4611">
        <v>0</v>
      </c>
      <c r="AG235" s="4611">
        <v>0</v>
      </c>
      <c r="AH235" s="4611">
        <v>0</v>
      </c>
      <c r="AI235" s="4611">
        <v>0</v>
      </c>
      <c r="AJ235" s="4611">
        <v>0</v>
      </c>
      <c r="AK235" s="4611">
        <v>0</v>
      </c>
      <c r="AL235" s="4612"/>
      <c r="AM235" s="4611">
        <v>0</v>
      </c>
      <c r="AN235" s="876">
        <f t="shared" si="6"/>
        <v>51.83</v>
      </c>
      <c r="AO235" s="877">
        <v>52.627000000000002</v>
      </c>
      <c r="AP235" s="878">
        <f t="shared" si="7"/>
        <v>-0.79700000000000004</v>
      </c>
    </row>
    <row r="236" spans="1:42" ht="13.8">
      <c r="A236" s="873">
        <v>452</v>
      </c>
      <c r="B236" s="874">
        <v>20</v>
      </c>
      <c r="C236" s="875">
        <v>21.123999999999999</v>
      </c>
      <c r="D236" s="875">
        <v>0</v>
      </c>
      <c r="E236" s="875">
        <v>4</v>
      </c>
      <c r="F236" s="875">
        <v>0</v>
      </c>
      <c r="G236" s="875">
        <v>0</v>
      </c>
      <c r="H236" s="875">
        <v>0</v>
      </c>
      <c r="I236" s="875">
        <v>0</v>
      </c>
      <c r="J236" s="875">
        <v>0</v>
      </c>
      <c r="K236" s="875">
        <v>0</v>
      </c>
      <c r="L236" s="875">
        <v>0</v>
      </c>
      <c r="M236" s="875">
        <v>0</v>
      </c>
      <c r="N236" s="875">
        <v>0</v>
      </c>
      <c r="O236" s="875">
        <v>0</v>
      </c>
      <c r="P236" s="875">
        <v>3.4990000000000001</v>
      </c>
      <c r="Q236" s="875">
        <v>0.29099999999999998</v>
      </c>
      <c r="R236" s="875">
        <v>0</v>
      </c>
      <c r="S236" s="875"/>
      <c r="T236" s="875">
        <v>0</v>
      </c>
      <c r="U236" s="4611">
        <v>20</v>
      </c>
      <c r="V236" s="4608">
        <v>21.152000000000001</v>
      </c>
      <c r="W236" s="4608">
        <v>0</v>
      </c>
      <c r="X236" s="4611">
        <v>4</v>
      </c>
      <c r="Y236" s="4611">
        <v>0</v>
      </c>
      <c r="Z236" s="4611">
        <v>0</v>
      </c>
      <c r="AA236" s="4611">
        <v>0</v>
      </c>
      <c r="AB236" s="4611">
        <v>0</v>
      </c>
      <c r="AC236" s="4611">
        <v>0</v>
      </c>
      <c r="AD236" s="4611">
        <v>0</v>
      </c>
      <c r="AE236" s="4611">
        <v>0</v>
      </c>
      <c r="AF236" s="4611">
        <v>0</v>
      </c>
      <c r="AG236" s="4611">
        <v>0</v>
      </c>
      <c r="AH236" s="4611">
        <v>0</v>
      </c>
      <c r="AI236" s="4611">
        <v>3.5</v>
      </c>
      <c r="AJ236" s="4611">
        <v>1.21</v>
      </c>
      <c r="AK236" s="4611">
        <v>0</v>
      </c>
      <c r="AL236" s="4612"/>
      <c r="AM236" s="4611">
        <v>0</v>
      </c>
      <c r="AN236" s="876">
        <f t="shared" si="6"/>
        <v>49.862000000000002</v>
      </c>
      <c r="AO236" s="877">
        <v>48.914000000000001</v>
      </c>
      <c r="AP236" s="878">
        <f t="shared" si="7"/>
        <v>0.94799999999999995</v>
      </c>
    </row>
    <row r="237" spans="1:42" ht="13.8">
      <c r="A237" s="873">
        <v>453</v>
      </c>
      <c r="B237" s="874">
        <v>20</v>
      </c>
      <c r="C237" s="875">
        <v>13.211</v>
      </c>
      <c r="D237" s="875">
        <v>0</v>
      </c>
      <c r="E237" s="875">
        <v>8</v>
      </c>
      <c r="F237" s="875">
        <v>0</v>
      </c>
      <c r="G237" s="875">
        <v>0</v>
      </c>
      <c r="H237" s="875">
        <v>17.033999999999999</v>
      </c>
      <c r="I237" s="875">
        <v>0</v>
      </c>
      <c r="J237" s="875">
        <v>0</v>
      </c>
      <c r="K237" s="875">
        <v>0</v>
      </c>
      <c r="L237" s="875">
        <v>0</v>
      </c>
      <c r="M237" s="875">
        <v>0</v>
      </c>
      <c r="N237" s="875">
        <v>0</v>
      </c>
      <c r="O237" s="875">
        <v>0</v>
      </c>
      <c r="P237" s="875">
        <v>0</v>
      </c>
      <c r="Q237" s="875">
        <v>0</v>
      </c>
      <c r="R237" s="875">
        <v>0</v>
      </c>
      <c r="S237" s="875"/>
      <c r="T237" s="875">
        <v>0</v>
      </c>
      <c r="U237" s="4611">
        <v>20</v>
      </c>
      <c r="V237" s="4608">
        <v>12.3</v>
      </c>
      <c r="W237" s="4608">
        <v>0</v>
      </c>
      <c r="X237" s="4611">
        <v>8</v>
      </c>
      <c r="Y237" s="4611">
        <v>0</v>
      </c>
      <c r="Z237" s="4611">
        <v>0</v>
      </c>
      <c r="AA237" s="4611">
        <v>17.029</v>
      </c>
      <c r="AB237" s="4611">
        <v>0</v>
      </c>
      <c r="AC237" s="4611">
        <v>0</v>
      </c>
      <c r="AD237" s="4611">
        <v>0</v>
      </c>
      <c r="AE237" s="4611">
        <v>0</v>
      </c>
      <c r="AF237" s="4611">
        <v>0</v>
      </c>
      <c r="AG237" s="4611">
        <v>0</v>
      </c>
      <c r="AH237" s="4611">
        <v>0</v>
      </c>
      <c r="AI237" s="4611">
        <v>0</v>
      </c>
      <c r="AJ237" s="4611">
        <v>0</v>
      </c>
      <c r="AK237" s="4611">
        <v>0</v>
      </c>
      <c r="AL237" s="4612"/>
      <c r="AM237" s="4611">
        <v>0</v>
      </c>
      <c r="AN237" s="876">
        <f t="shared" si="6"/>
        <v>57.329000000000001</v>
      </c>
      <c r="AO237" s="877">
        <v>58.244999999999997</v>
      </c>
      <c r="AP237" s="878">
        <f t="shared" si="7"/>
        <v>-0.91600000000000004</v>
      </c>
    </row>
    <row r="238" spans="1:42" ht="13.8">
      <c r="A238" s="873">
        <v>454</v>
      </c>
      <c r="B238" s="874">
        <v>20</v>
      </c>
      <c r="C238" s="875">
        <v>18.280999999999999</v>
      </c>
      <c r="D238" s="875">
        <v>0</v>
      </c>
      <c r="E238" s="875">
        <v>4.0149999999999997</v>
      </c>
      <c r="F238" s="875">
        <v>0</v>
      </c>
      <c r="G238" s="875">
        <v>0</v>
      </c>
      <c r="H238" s="875">
        <v>0</v>
      </c>
      <c r="I238" s="875">
        <v>0</v>
      </c>
      <c r="J238" s="875">
        <v>0</v>
      </c>
      <c r="K238" s="875">
        <v>0</v>
      </c>
      <c r="L238" s="875">
        <v>0</v>
      </c>
      <c r="M238" s="875">
        <v>0</v>
      </c>
      <c r="N238" s="875">
        <v>0</v>
      </c>
      <c r="O238" s="875">
        <v>0</v>
      </c>
      <c r="P238" s="875">
        <v>2</v>
      </c>
      <c r="Q238" s="875">
        <v>0</v>
      </c>
      <c r="R238" s="875">
        <v>0</v>
      </c>
      <c r="S238" s="875"/>
      <c r="T238" s="875">
        <v>0</v>
      </c>
      <c r="U238" s="4611">
        <v>20</v>
      </c>
      <c r="V238" s="4608">
        <v>16.036999999999999</v>
      </c>
      <c r="W238" s="4608">
        <v>0</v>
      </c>
      <c r="X238" s="4611">
        <v>4</v>
      </c>
      <c r="Y238" s="4611">
        <v>0</v>
      </c>
      <c r="Z238" s="4611">
        <v>0</v>
      </c>
      <c r="AA238" s="4611">
        <v>0</v>
      </c>
      <c r="AB238" s="4611">
        <v>0</v>
      </c>
      <c r="AC238" s="4611">
        <v>0</v>
      </c>
      <c r="AD238" s="4611">
        <v>0</v>
      </c>
      <c r="AE238" s="4611">
        <v>0</v>
      </c>
      <c r="AF238" s="4611">
        <v>0</v>
      </c>
      <c r="AG238" s="4611">
        <v>0</v>
      </c>
      <c r="AH238" s="4611">
        <v>0</v>
      </c>
      <c r="AI238" s="4611">
        <v>2</v>
      </c>
      <c r="AJ238" s="4611">
        <v>0</v>
      </c>
      <c r="AK238" s="4611">
        <v>0</v>
      </c>
      <c r="AL238" s="4612"/>
      <c r="AM238" s="4611">
        <v>0</v>
      </c>
      <c r="AN238" s="876">
        <f t="shared" si="6"/>
        <v>42.036999999999999</v>
      </c>
      <c r="AO238" s="877">
        <v>44.295999999999999</v>
      </c>
      <c r="AP238" s="878">
        <f t="shared" si="7"/>
        <v>-2.2589999999999999</v>
      </c>
    </row>
    <row r="239" spans="1:42" ht="13.8">
      <c r="A239" s="873">
        <v>456</v>
      </c>
      <c r="B239" s="874">
        <v>20</v>
      </c>
      <c r="C239" s="875">
        <v>20.402999999999999</v>
      </c>
      <c r="D239" s="875">
        <v>0</v>
      </c>
      <c r="E239" s="875">
        <v>5.8310000000000004</v>
      </c>
      <c r="F239" s="875">
        <v>0</v>
      </c>
      <c r="G239" s="875">
        <v>0</v>
      </c>
      <c r="H239" s="875">
        <v>0</v>
      </c>
      <c r="I239" s="875">
        <v>0</v>
      </c>
      <c r="J239" s="875">
        <v>0</v>
      </c>
      <c r="K239" s="875">
        <v>0</v>
      </c>
      <c r="L239" s="875">
        <v>0</v>
      </c>
      <c r="M239" s="875">
        <v>0</v>
      </c>
      <c r="N239" s="875">
        <v>0</v>
      </c>
      <c r="O239" s="875">
        <v>0</v>
      </c>
      <c r="P239" s="875">
        <v>0.97199999999999998</v>
      </c>
      <c r="Q239" s="875">
        <v>0</v>
      </c>
      <c r="R239" s="875">
        <v>0</v>
      </c>
      <c r="S239" s="875"/>
      <c r="T239" s="875">
        <v>0</v>
      </c>
      <c r="U239" s="4611">
        <v>20</v>
      </c>
      <c r="V239" s="4608">
        <v>21.754000000000001</v>
      </c>
      <c r="W239" s="4608">
        <v>0</v>
      </c>
      <c r="X239" s="4611">
        <v>5.843</v>
      </c>
      <c r="Y239" s="4611">
        <v>0</v>
      </c>
      <c r="Z239" s="4611">
        <v>0</v>
      </c>
      <c r="AA239" s="4611">
        <v>0</v>
      </c>
      <c r="AB239" s="4611">
        <v>0</v>
      </c>
      <c r="AC239" s="4611">
        <v>0</v>
      </c>
      <c r="AD239" s="4611">
        <v>0</v>
      </c>
      <c r="AE239" s="4611">
        <v>0</v>
      </c>
      <c r="AF239" s="4611">
        <v>0</v>
      </c>
      <c r="AG239" s="4611">
        <v>0</v>
      </c>
      <c r="AH239" s="4611">
        <v>0</v>
      </c>
      <c r="AI239" s="4611">
        <v>0.97399999999999998</v>
      </c>
      <c r="AJ239" s="4611">
        <v>0</v>
      </c>
      <c r="AK239" s="4611">
        <v>0</v>
      </c>
      <c r="AL239" s="4612"/>
      <c r="AM239" s="4611">
        <v>0</v>
      </c>
      <c r="AN239" s="876">
        <f t="shared" si="6"/>
        <v>48.570999999999998</v>
      </c>
      <c r="AO239" s="877">
        <v>47.206000000000003</v>
      </c>
      <c r="AP239" s="878">
        <f t="shared" si="7"/>
        <v>1.365</v>
      </c>
    </row>
    <row r="240" spans="1:42" ht="13.8">
      <c r="A240" s="873">
        <v>457</v>
      </c>
      <c r="B240" s="874">
        <v>20</v>
      </c>
      <c r="C240" s="875">
        <v>14.691000000000001</v>
      </c>
      <c r="D240" s="875">
        <v>0</v>
      </c>
      <c r="E240" s="875">
        <v>7.7759999999999998</v>
      </c>
      <c r="F240" s="875">
        <v>0</v>
      </c>
      <c r="G240" s="875">
        <v>0</v>
      </c>
      <c r="H240" s="875">
        <v>6.2119999999999997</v>
      </c>
      <c r="I240" s="875">
        <v>0</v>
      </c>
      <c r="J240" s="875">
        <v>0</v>
      </c>
      <c r="K240" s="875">
        <v>0</v>
      </c>
      <c r="L240" s="875">
        <v>0</v>
      </c>
      <c r="M240" s="875">
        <v>0</v>
      </c>
      <c r="N240" s="875">
        <v>0</v>
      </c>
      <c r="O240" s="875">
        <v>0</v>
      </c>
      <c r="P240" s="875">
        <v>0</v>
      </c>
      <c r="Q240" s="875">
        <v>0</v>
      </c>
      <c r="R240" s="875">
        <v>0</v>
      </c>
      <c r="S240" s="875"/>
      <c r="T240" s="875">
        <v>0</v>
      </c>
      <c r="U240" s="4611">
        <v>20</v>
      </c>
      <c r="V240" s="4608">
        <v>13.486000000000001</v>
      </c>
      <c r="W240" s="4608">
        <v>0</v>
      </c>
      <c r="X240" s="4611">
        <v>7.734</v>
      </c>
      <c r="Y240" s="4611">
        <v>0</v>
      </c>
      <c r="Z240" s="4611">
        <v>0</v>
      </c>
      <c r="AA240" s="4611">
        <v>7.3129999999999997</v>
      </c>
      <c r="AB240" s="4611">
        <v>0</v>
      </c>
      <c r="AC240" s="4611">
        <v>0</v>
      </c>
      <c r="AD240" s="4611">
        <v>0</v>
      </c>
      <c r="AE240" s="4611">
        <v>0</v>
      </c>
      <c r="AF240" s="4611">
        <v>0</v>
      </c>
      <c r="AG240" s="4611">
        <v>0</v>
      </c>
      <c r="AH240" s="4611">
        <v>0</v>
      </c>
      <c r="AI240" s="4611">
        <v>0</v>
      </c>
      <c r="AJ240" s="4611">
        <v>0</v>
      </c>
      <c r="AK240" s="4611">
        <v>0</v>
      </c>
      <c r="AL240" s="4612"/>
      <c r="AM240" s="4611">
        <v>0</v>
      </c>
      <c r="AN240" s="876">
        <f t="shared" si="6"/>
        <v>48.533000000000001</v>
      </c>
      <c r="AO240" s="877">
        <v>48.679000000000002</v>
      </c>
      <c r="AP240" s="878">
        <f t="shared" si="7"/>
        <v>-0.14599999999999999</v>
      </c>
    </row>
    <row r="241" spans="1:42" ht="13.8">
      <c r="A241" s="873">
        <v>458</v>
      </c>
      <c r="B241" s="874">
        <v>20</v>
      </c>
      <c r="C241" s="875">
        <v>11.032999999999999</v>
      </c>
      <c r="D241" s="875">
        <v>0</v>
      </c>
      <c r="E241" s="875">
        <v>7.2160000000000002</v>
      </c>
      <c r="F241" s="875">
        <v>0</v>
      </c>
      <c r="G241" s="875">
        <v>0</v>
      </c>
      <c r="H241" s="875">
        <v>22.082999999999998</v>
      </c>
      <c r="I241" s="875">
        <v>0</v>
      </c>
      <c r="J241" s="875">
        <v>0</v>
      </c>
      <c r="K241" s="875">
        <v>9.0999999999999998E-2</v>
      </c>
      <c r="L241" s="875">
        <v>0</v>
      </c>
      <c r="M241" s="875">
        <v>0</v>
      </c>
      <c r="N241" s="875">
        <v>0</v>
      </c>
      <c r="O241" s="875">
        <v>0</v>
      </c>
      <c r="P241" s="875">
        <v>0</v>
      </c>
      <c r="Q241" s="875">
        <v>0</v>
      </c>
      <c r="R241" s="875">
        <v>0</v>
      </c>
      <c r="S241" s="875"/>
      <c r="T241" s="875">
        <v>0</v>
      </c>
      <c r="U241" s="4611">
        <v>20</v>
      </c>
      <c r="V241" s="4608">
        <v>11.45</v>
      </c>
      <c r="W241" s="4608">
        <v>0</v>
      </c>
      <c r="X241" s="4611">
        <v>7.0049999999999999</v>
      </c>
      <c r="Y241" s="4611">
        <v>0</v>
      </c>
      <c r="Z241" s="4611">
        <v>0</v>
      </c>
      <c r="AA241" s="4611">
        <v>22.003</v>
      </c>
      <c r="AB241" s="4611">
        <v>0</v>
      </c>
      <c r="AC241" s="4611">
        <v>0</v>
      </c>
      <c r="AD241" s="4611">
        <v>8.5999999999999993E-2</v>
      </c>
      <c r="AE241" s="4611">
        <v>0</v>
      </c>
      <c r="AF241" s="4611">
        <v>0</v>
      </c>
      <c r="AG241" s="4611">
        <v>0</v>
      </c>
      <c r="AH241" s="4611">
        <v>0</v>
      </c>
      <c r="AI241" s="4611">
        <v>0</v>
      </c>
      <c r="AJ241" s="4611">
        <v>0</v>
      </c>
      <c r="AK241" s="4611">
        <v>0</v>
      </c>
      <c r="AL241" s="4612"/>
      <c r="AM241" s="4611">
        <v>0</v>
      </c>
      <c r="AN241" s="876">
        <f t="shared" si="6"/>
        <v>60.543999999999997</v>
      </c>
      <c r="AO241" s="877">
        <v>60.423000000000002</v>
      </c>
      <c r="AP241" s="878">
        <f t="shared" si="7"/>
        <v>0.121</v>
      </c>
    </row>
    <row r="242" spans="1:42" ht="13.8">
      <c r="A242" s="873">
        <v>459</v>
      </c>
      <c r="B242" s="874">
        <v>20</v>
      </c>
      <c r="C242" s="875">
        <v>21.184000000000001</v>
      </c>
      <c r="D242" s="875">
        <v>0</v>
      </c>
      <c r="E242" s="875">
        <v>6</v>
      </c>
      <c r="F242" s="875">
        <v>0</v>
      </c>
      <c r="G242" s="875">
        <v>0</v>
      </c>
      <c r="H242" s="875">
        <v>0</v>
      </c>
      <c r="I242" s="875">
        <v>0</v>
      </c>
      <c r="J242" s="875">
        <v>0</v>
      </c>
      <c r="K242" s="875">
        <v>0</v>
      </c>
      <c r="L242" s="875">
        <v>0</v>
      </c>
      <c r="M242" s="875">
        <v>0</v>
      </c>
      <c r="N242" s="875">
        <v>0</v>
      </c>
      <c r="O242" s="875">
        <v>0</v>
      </c>
      <c r="P242" s="875">
        <v>1.7829999999999999</v>
      </c>
      <c r="Q242" s="875">
        <v>0</v>
      </c>
      <c r="R242" s="875">
        <v>0</v>
      </c>
      <c r="S242" s="875"/>
      <c r="T242" s="875">
        <v>0</v>
      </c>
      <c r="U242" s="4611">
        <v>20</v>
      </c>
      <c r="V242" s="4608">
        <v>21.603999999999999</v>
      </c>
      <c r="W242" s="4608">
        <v>0</v>
      </c>
      <c r="X242" s="4611">
        <v>6</v>
      </c>
      <c r="Y242" s="4611">
        <v>0</v>
      </c>
      <c r="Z242" s="4611">
        <v>0</v>
      </c>
      <c r="AA242" s="4611">
        <v>0</v>
      </c>
      <c r="AB242" s="4611">
        <v>0</v>
      </c>
      <c r="AC242" s="4611">
        <v>0</v>
      </c>
      <c r="AD242" s="4611">
        <v>0</v>
      </c>
      <c r="AE242" s="4611">
        <v>0</v>
      </c>
      <c r="AF242" s="4611">
        <v>0</v>
      </c>
      <c r="AG242" s="4611">
        <v>0</v>
      </c>
      <c r="AH242" s="4611">
        <v>0</v>
      </c>
      <c r="AI242" s="4611">
        <v>1.7789999999999999</v>
      </c>
      <c r="AJ242" s="4611">
        <v>0</v>
      </c>
      <c r="AK242" s="4611">
        <v>0</v>
      </c>
      <c r="AL242" s="4612"/>
      <c r="AM242" s="4611">
        <v>0</v>
      </c>
      <c r="AN242" s="876">
        <f t="shared" si="6"/>
        <v>49.383000000000003</v>
      </c>
      <c r="AO242" s="877">
        <v>48.966999999999999</v>
      </c>
      <c r="AP242" s="878">
        <f t="shared" si="7"/>
        <v>0.41599999999999998</v>
      </c>
    </row>
    <row r="243" spans="1:42" ht="13.8">
      <c r="A243" s="873">
        <v>460</v>
      </c>
      <c r="B243" s="874">
        <v>20</v>
      </c>
      <c r="C243" s="875">
        <v>15.673999999999999</v>
      </c>
      <c r="D243" s="875">
        <v>0</v>
      </c>
      <c r="E243" s="875">
        <v>7.984</v>
      </c>
      <c r="F243" s="875">
        <v>0</v>
      </c>
      <c r="G243" s="875">
        <v>0</v>
      </c>
      <c r="H243" s="875">
        <v>11.542</v>
      </c>
      <c r="I243" s="875">
        <v>0</v>
      </c>
      <c r="J243" s="875">
        <v>0</v>
      </c>
      <c r="K243" s="875">
        <v>0</v>
      </c>
      <c r="L243" s="875">
        <v>0</v>
      </c>
      <c r="M243" s="875">
        <v>0</v>
      </c>
      <c r="N243" s="875">
        <v>0</v>
      </c>
      <c r="O243" s="875">
        <v>0</v>
      </c>
      <c r="P243" s="875">
        <v>12.5</v>
      </c>
      <c r="Q243" s="875">
        <v>0.9</v>
      </c>
      <c r="R243" s="875">
        <v>0</v>
      </c>
      <c r="S243" s="875"/>
      <c r="T243" s="875">
        <v>0</v>
      </c>
      <c r="U243" s="4611">
        <v>20</v>
      </c>
      <c r="V243" s="4608">
        <v>16.463000000000001</v>
      </c>
      <c r="W243" s="4608">
        <v>0</v>
      </c>
      <c r="X243" s="4611">
        <v>8</v>
      </c>
      <c r="Y243" s="4611">
        <v>0</v>
      </c>
      <c r="Z243" s="4611">
        <v>0</v>
      </c>
      <c r="AA243" s="4611">
        <v>11.635999999999999</v>
      </c>
      <c r="AB243" s="4611">
        <v>0</v>
      </c>
      <c r="AC243" s="4611">
        <v>0</v>
      </c>
      <c r="AD243" s="4611">
        <v>0</v>
      </c>
      <c r="AE243" s="4611">
        <v>0</v>
      </c>
      <c r="AF243" s="4611">
        <v>0</v>
      </c>
      <c r="AG243" s="4611">
        <v>0</v>
      </c>
      <c r="AH243" s="4611">
        <v>0</v>
      </c>
      <c r="AI243" s="4611">
        <v>12.499000000000001</v>
      </c>
      <c r="AJ243" s="4611">
        <v>0.90100000000000002</v>
      </c>
      <c r="AK243" s="4611">
        <v>0</v>
      </c>
      <c r="AL243" s="4612"/>
      <c r="AM243" s="4611">
        <v>0</v>
      </c>
      <c r="AN243" s="876">
        <f t="shared" si="6"/>
        <v>69.498999999999995</v>
      </c>
      <c r="AO243" s="877">
        <v>68.599999999999994</v>
      </c>
      <c r="AP243" s="878">
        <f t="shared" si="7"/>
        <v>0.89900000000000002</v>
      </c>
    </row>
    <row r="244" spans="1:42" ht="13.8">
      <c r="A244" s="873">
        <v>461</v>
      </c>
      <c r="B244" s="874">
        <v>20</v>
      </c>
      <c r="C244" s="875">
        <v>21.61</v>
      </c>
      <c r="D244" s="875">
        <v>0</v>
      </c>
      <c r="E244" s="875">
        <v>7</v>
      </c>
      <c r="F244" s="875">
        <v>0</v>
      </c>
      <c r="G244" s="875">
        <v>0</v>
      </c>
      <c r="H244" s="875">
        <v>7.7539999999999996</v>
      </c>
      <c r="I244" s="875">
        <v>0</v>
      </c>
      <c r="J244" s="875">
        <v>0</v>
      </c>
      <c r="K244" s="875">
        <v>0</v>
      </c>
      <c r="L244" s="875">
        <v>0</v>
      </c>
      <c r="M244" s="875">
        <v>0</v>
      </c>
      <c r="N244" s="875">
        <v>0</v>
      </c>
      <c r="O244" s="875">
        <v>0</v>
      </c>
      <c r="P244" s="875">
        <v>3.5</v>
      </c>
      <c r="Q244" s="875">
        <v>0</v>
      </c>
      <c r="R244" s="875">
        <v>0</v>
      </c>
      <c r="S244" s="875"/>
      <c r="T244" s="875">
        <v>0</v>
      </c>
      <c r="U244" s="4611">
        <v>20</v>
      </c>
      <c r="V244" s="4608">
        <v>19.957999999999998</v>
      </c>
      <c r="W244" s="4608">
        <v>0</v>
      </c>
      <c r="X244" s="4611">
        <v>8</v>
      </c>
      <c r="Y244" s="4611">
        <v>0</v>
      </c>
      <c r="Z244" s="4611">
        <v>0</v>
      </c>
      <c r="AA244" s="4611">
        <v>7.718</v>
      </c>
      <c r="AB244" s="4611">
        <v>0</v>
      </c>
      <c r="AC244" s="4611">
        <v>0</v>
      </c>
      <c r="AD244" s="4611">
        <v>0</v>
      </c>
      <c r="AE244" s="4611">
        <v>0</v>
      </c>
      <c r="AF244" s="4611">
        <v>0</v>
      </c>
      <c r="AG244" s="4611">
        <v>0</v>
      </c>
      <c r="AH244" s="4611">
        <v>0</v>
      </c>
      <c r="AI244" s="4611">
        <v>3.5</v>
      </c>
      <c r="AJ244" s="4611">
        <v>0</v>
      </c>
      <c r="AK244" s="4611">
        <v>0</v>
      </c>
      <c r="AL244" s="4612"/>
      <c r="AM244" s="4611">
        <v>0</v>
      </c>
      <c r="AN244" s="876">
        <f t="shared" si="6"/>
        <v>59.176000000000002</v>
      </c>
      <c r="AO244" s="877">
        <v>59.863999999999997</v>
      </c>
      <c r="AP244" s="878">
        <f t="shared" si="7"/>
        <v>-0.68799999999999994</v>
      </c>
    </row>
    <row r="245" spans="1:42" ht="13.8">
      <c r="A245" s="873">
        <v>462</v>
      </c>
      <c r="B245" s="874">
        <v>20</v>
      </c>
      <c r="C245" s="875">
        <v>17.806000000000001</v>
      </c>
      <c r="D245" s="875">
        <v>0</v>
      </c>
      <c r="E245" s="875">
        <v>8</v>
      </c>
      <c r="F245" s="875">
        <v>0</v>
      </c>
      <c r="G245" s="875">
        <v>0</v>
      </c>
      <c r="H245" s="875">
        <v>18.018999999999998</v>
      </c>
      <c r="I245" s="875">
        <v>0</v>
      </c>
      <c r="J245" s="875">
        <v>0</v>
      </c>
      <c r="K245" s="875">
        <v>0</v>
      </c>
      <c r="L245" s="875">
        <v>0</v>
      </c>
      <c r="M245" s="875">
        <v>0</v>
      </c>
      <c r="N245" s="875">
        <v>0</v>
      </c>
      <c r="O245" s="875">
        <v>0</v>
      </c>
      <c r="P245" s="875">
        <v>1.0009999999999999</v>
      </c>
      <c r="Q245" s="875">
        <v>0</v>
      </c>
      <c r="R245" s="875">
        <v>0</v>
      </c>
      <c r="S245" s="875"/>
      <c r="T245" s="875">
        <v>0</v>
      </c>
      <c r="U245" s="4611">
        <v>20</v>
      </c>
      <c r="V245" s="4608">
        <v>19.181999999999999</v>
      </c>
      <c r="W245" s="4608">
        <v>0</v>
      </c>
      <c r="X245" s="4611">
        <v>7.9820000000000002</v>
      </c>
      <c r="Y245" s="4611">
        <v>0</v>
      </c>
      <c r="Z245" s="4611">
        <v>0</v>
      </c>
      <c r="AA245" s="4611">
        <v>16.556999999999999</v>
      </c>
      <c r="AB245" s="4611">
        <v>0</v>
      </c>
      <c r="AC245" s="4611">
        <v>0</v>
      </c>
      <c r="AD245" s="4611">
        <v>0</v>
      </c>
      <c r="AE245" s="4611">
        <v>0</v>
      </c>
      <c r="AF245" s="4611">
        <v>0</v>
      </c>
      <c r="AG245" s="4611">
        <v>0</v>
      </c>
      <c r="AH245" s="4611">
        <v>0</v>
      </c>
      <c r="AI245" s="4611">
        <v>0.998</v>
      </c>
      <c r="AJ245" s="4611">
        <v>0</v>
      </c>
      <c r="AK245" s="4611">
        <v>0</v>
      </c>
      <c r="AL245" s="4612"/>
      <c r="AM245" s="4611">
        <v>0</v>
      </c>
      <c r="AN245" s="876">
        <f t="shared" si="6"/>
        <v>64.718999999999994</v>
      </c>
      <c r="AO245" s="877">
        <v>64.825999999999993</v>
      </c>
      <c r="AP245" s="878">
        <f t="shared" si="7"/>
        <v>-0.107</v>
      </c>
    </row>
    <row r="246" spans="1:42" ht="13.8">
      <c r="A246" s="873">
        <v>463</v>
      </c>
      <c r="B246" s="874">
        <v>20</v>
      </c>
      <c r="C246" s="875">
        <v>18.265999999999998</v>
      </c>
      <c r="D246" s="875">
        <v>0</v>
      </c>
      <c r="E246" s="875">
        <v>5.9859999999999998</v>
      </c>
      <c r="F246" s="875">
        <v>0</v>
      </c>
      <c r="G246" s="875">
        <v>0</v>
      </c>
      <c r="H246" s="875">
        <v>10.709</v>
      </c>
      <c r="I246" s="875">
        <v>0</v>
      </c>
      <c r="J246" s="875">
        <v>0</v>
      </c>
      <c r="K246" s="875">
        <v>0</v>
      </c>
      <c r="L246" s="875">
        <v>0</v>
      </c>
      <c r="M246" s="875">
        <v>0</v>
      </c>
      <c r="N246" s="875">
        <v>0</v>
      </c>
      <c r="O246" s="875">
        <v>0</v>
      </c>
      <c r="P246" s="875">
        <v>1.9950000000000001</v>
      </c>
      <c r="Q246" s="875">
        <v>0</v>
      </c>
      <c r="R246" s="875">
        <v>0</v>
      </c>
      <c r="S246" s="875"/>
      <c r="T246" s="875">
        <v>0</v>
      </c>
      <c r="U246" s="4611">
        <v>20</v>
      </c>
      <c r="V246" s="4608">
        <v>17.960999999999999</v>
      </c>
      <c r="W246" s="4608">
        <v>0</v>
      </c>
      <c r="X246" s="4611">
        <v>5.99</v>
      </c>
      <c r="Y246" s="4611">
        <v>0</v>
      </c>
      <c r="Z246" s="4611">
        <v>0</v>
      </c>
      <c r="AA246" s="4611">
        <v>10.962</v>
      </c>
      <c r="AB246" s="4611">
        <v>0</v>
      </c>
      <c r="AC246" s="4611">
        <v>0</v>
      </c>
      <c r="AD246" s="4611">
        <v>0</v>
      </c>
      <c r="AE246" s="4611">
        <v>0</v>
      </c>
      <c r="AF246" s="4611">
        <v>0</v>
      </c>
      <c r="AG246" s="4611">
        <v>0</v>
      </c>
      <c r="AH246" s="4611">
        <v>0</v>
      </c>
      <c r="AI246" s="4611">
        <v>1.996</v>
      </c>
      <c r="AJ246" s="4611">
        <v>0</v>
      </c>
      <c r="AK246" s="4611">
        <v>0</v>
      </c>
      <c r="AL246" s="4612"/>
      <c r="AM246" s="4611">
        <v>0</v>
      </c>
      <c r="AN246" s="876">
        <f t="shared" si="6"/>
        <v>56.908999999999999</v>
      </c>
      <c r="AO246" s="877">
        <v>56.956000000000003</v>
      </c>
      <c r="AP246" s="878">
        <f t="shared" si="7"/>
        <v>-4.7E-2</v>
      </c>
    </row>
    <row r="247" spans="1:42" ht="13.8">
      <c r="A247" s="873">
        <v>464</v>
      </c>
      <c r="B247" s="874">
        <v>20</v>
      </c>
      <c r="C247" s="875">
        <v>12.17</v>
      </c>
      <c r="D247" s="875">
        <v>0</v>
      </c>
      <c r="E247" s="875">
        <v>7.9989999999999997</v>
      </c>
      <c r="F247" s="875">
        <v>0</v>
      </c>
      <c r="G247" s="875">
        <v>0</v>
      </c>
      <c r="H247" s="875">
        <v>20.166</v>
      </c>
      <c r="I247" s="875">
        <v>0</v>
      </c>
      <c r="J247" s="875">
        <v>0</v>
      </c>
      <c r="K247" s="875">
        <v>0</v>
      </c>
      <c r="L247" s="875">
        <v>0</v>
      </c>
      <c r="M247" s="875">
        <v>0</v>
      </c>
      <c r="N247" s="875">
        <v>0</v>
      </c>
      <c r="O247" s="875">
        <v>0</v>
      </c>
      <c r="P247" s="875">
        <v>4.4989999999999997</v>
      </c>
      <c r="Q247" s="875">
        <v>0.5</v>
      </c>
      <c r="R247" s="875">
        <v>0</v>
      </c>
      <c r="S247" s="875"/>
      <c r="T247" s="875">
        <v>0</v>
      </c>
      <c r="U247" s="4611">
        <v>20</v>
      </c>
      <c r="V247" s="4608">
        <v>11.452</v>
      </c>
      <c r="W247" s="4608">
        <v>0</v>
      </c>
      <c r="X247" s="4611">
        <v>7.9969999999999999</v>
      </c>
      <c r="Y247" s="4611">
        <v>0</v>
      </c>
      <c r="Z247" s="4611">
        <v>0</v>
      </c>
      <c r="AA247" s="4611">
        <v>23.132999999999999</v>
      </c>
      <c r="AB247" s="4611">
        <v>0</v>
      </c>
      <c r="AC247" s="4611">
        <v>0</v>
      </c>
      <c r="AD247" s="4611">
        <v>0</v>
      </c>
      <c r="AE247" s="4611">
        <v>0</v>
      </c>
      <c r="AF247" s="4611">
        <v>0</v>
      </c>
      <c r="AG247" s="4611">
        <v>0</v>
      </c>
      <c r="AH247" s="4611">
        <v>0</v>
      </c>
      <c r="AI247" s="4611">
        <v>4.4989999999999997</v>
      </c>
      <c r="AJ247" s="4611">
        <v>0.5</v>
      </c>
      <c r="AK247" s="4611">
        <v>0</v>
      </c>
      <c r="AL247" s="4612"/>
      <c r="AM247" s="4611">
        <v>0</v>
      </c>
      <c r="AN247" s="876">
        <f t="shared" si="6"/>
        <v>67.581000000000003</v>
      </c>
      <c r="AO247" s="877">
        <v>65.334000000000003</v>
      </c>
      <c r="AP247" s="878">
        <f t="shared" si="7"/>
        <v>2.2469999999999999</v>
      </c>
    </row>
    <row r="248" spans="1:42" ht="13.8">
      <c r="A248" s="873">
        <v>465</v>
      </c>
      <c r="B248" s="874">
        <v>20</v>
      </c>
      <c r="C248" s="875">
        <v>17.312999999999999</v>
      </c>
      <c r="D248" s="875">
        <v>0</v>
      </c>
      <c r="E248" s="875">
        <v>7.1609999999999996</v>
      </c>
      <c r="F248" s="875">
        <v>0</v>
      </c>
      <c r="G248" s="875">
        <v>0</v>
      </c>
      <c r="H248" s="875">
        <v>6.4770000000000003</v>
      </c>
      <c r="I248" s="875">
        <v>0</v>
      </c>
      <c r="J248" s="875">
        <v>0</v>
      </c>
      <c r="K248" s="875">
        <v>0</v>
      </c>
      <c r="L248" s="875">
        <v>0</v>
      </c>
      <c r="M248" s="875">
        <v>0</v>
      </c>
      <c r="N248" s="875">
        <v>0</v>
      </c>
      <c r="O248" s="875">
        <v>0</v>
      </c>
      <c r="P248" s="875">
        <v>3.9969999999999999</v>
      </c>
      <c r="Q248" s="875">
        <v>0.68799999999999994</v>
      </c>
      <c r="R248" s="875">
        <v>0</v>
      </c>
      <c r="S248" s="875"/>
      <c r="T248" s="875">
        <v>0</v>
      </c>
      <c r="U248" s="4611">
        <v>20</v>
      </c>
      <c r="V248" s="4608">
        <v>16.771999999999998</v>
      </c>
      <c r="W248" s="4608">
        <v>0</v>
      </c>
      <c r="X248" s="4611">
        <v>7.84</v>
      </c>
      <c r="Y248" s="4611">
        <v>0</v>
      </c>
      <c r="Z248" s="4611">
        <v>0</v>
      </c>
      <c r="AA248" s="4611">
        <v>6.4409999999999998</v>
      </c>
      <c r="AB248" s="4611">
        <v>0</v>
      </c>
      <c r="AC248" s="4611">
        <v>0</v>
      </c>
      <c r="AD248" s="4611">
        <v>0</v>
      </c>
      <c r="AE248" s="4611">
        <v>0</v>
      </c>
      <c r="AF248" s="4611">
        <v>0</v>
      </c>
      <c r="AG248" s="4611">
        <v>0</v>
      </c>
      <c r="AH248" s="4611">
        <v>0</v>
      </c>
      <c r="AI248" s="4611">
        <v>4</v>
      </c>
      <c r="AJ248" s="4611">
        <v>0.68899999999999995</v>
      </c>
      <c r="AK248" s="4611">
        <v>0</v>
      </c>
      <c r="AL248" s="4612"/>
      <c r="AM248" s="4611">
        <v>0</v>
      </c>
      <c r="AN248" s="876">
        <f t="shared" si="6"/>
        <v>55.741999999999997</v>
      </c>
      <c r="AO248" s="877">
        <v>55.636000000000003</v>
      </c>
      <c r="AP248" s="878">
        <f t="shared" si="7"/>
        <v>0.106</v>
      </c>
    </row>
    <row r="249" spans="1:42" ht="13.8">
      <c r="A249" s="873">
        <v>466</v>
      </c>
      <c r="B249" s="874">
        <v>20</v>
      </c>
      <c r="C249" s="875">
        <v>14.945</v>
      </c>
      <c r="D249" s="875">
        <v>0</v>
      </c>
      <c r="E249" s="875">
        <v>8</v>
      </c>
      <c r="F249" s="875">
        <v>0</v>
      </c>
      <c r="G249" s="875">
        <v>0</v>
      </c>
      <c r="H249" s="875">
        <v>19.765999999999998</v>
      </c>
      <c r="I249" s="875">
        <v>0</v>
      </c>
      <c r="J249" s="875">
        <v>0</v>
      </c>
      <c r="K249" s="875">
        <v>0</v>
      </c>
      <c r="L249" s="875">
        <v>0</v>
      </c>
      <c r="M249" s="875">
        <v>0</v>
      </c>
      <c r="N249" s="875">
        <v>0</v>
      </c>
      <c r="O249" s="875">
        <v>0</v>
      </c>
      <c r="P249" s="875">
        <v>2</v>
      </c>
      <c r="Q249" s="875">
        <v>0.47099999999999997</v>
      </c>
      <c r="R249" s="875">
        <v>0</v>
      </c>
      <c r="S249" s="875"/>
      <c r="T249" s="875">
        <v>0</v>
      </c>
      <c r="U249" s="4611">
        <v>20</v>
      </c>
      <c r="V249" s="4608">
        <v>15.339</v>
      </c>
      <c r="W249" s="4608">
        <v>0</v>
      </c>
      <c r="X249" s="4611">
        <v>8</v>
      </c>
      <c r="Y249" s="4611">
        <v>0</v>
      </c>
      <c r="Z249" s="4611">
        <v>0</v>
      </c>
      <c r="AA249" s="4611">
        <v>19.484999999999999</v>
      </c>
      <c r="AB249" s="4611">
        <v>0</v>
      </c>
      <c r="AC249" s="4611">
        <v>0</v>
      </c>
      <c r="AD249" s="4611">
        <v>0</v>
      </c>
      <c r="AE249" s="4611">
        <v>0</v>
      </c>
      <c r="AF249" s="4611">
        <v>0</v>
      </c>
      <c r="AG249" s="4611">
        <v>0</v>
      </c>
      <c r="AH249" s="4611">
        <v>0</v>
      </c>
      <c r="AI249" s="4611">
        <v>1.972</v>
      </c>
      <c r="AJ249" s="4611">
        <v>0.218</v>
      </c>
      <c r="AK249" s="4611">
        <v>0</v>
      </c>
      <c r="AL249" s="4612"/>
      <c r="AM249" s="4611">
        <v>0</v>
      </c>
      <c r="AN249" s="876">
        <f t="shared" si="6"/>
        <v>65.013999999999996</v>
      </c>
      <c r="AO249" s="877">
        <v>65.182000000000002</v>
      </c>
      <c r="AP249" s="878">
        <f t="shared" si="7"/>
        <v>-0.16800000000000001</v>
      </c>
    </row>
    <row r="250" spans="1:42" ht="13.8">
      <c r="A250" s="873">
        <v>467</v>
      </c>
      <c r="B250" s="874">
        <v>20</v>
      </c>
      <c r="C250" s="875">
        <v>17.352</v>
      </c>
      <c r="D250" s="875">
        <v>0</v>
      </c>
      <c r="E250" s="875">
        <v>7.9939999999999998</v>
      </c>
      <c r="F250" s="875">
        <v>0</v>
      </c>
      <c r="G250" s="875">
        <v>0</v>
      </c>
      <c r="H250" s="875">
        <v>0</v>
      </c>
      <c r="I250" s="875">
        <v>6.3620000000000001</v>
      </c>
      <c r="J250" s="875">
        <v>0</v>
      </c>
      <c r="K250" s="875">
        <v>0</v>
      </c>
      <c r="L250" s="875">
        <v>0</v>
      </c>
      <c r="M250" s="875">
        <v>0</v>
      </c>
      <c r="N250" s="875">
        <v>0</v>
      </c>
      <c r="O250" s="875">
        <v>0</v>
      </c>
      <c r="P250" s="875">
        <v>0</v>
      </c>
      <c r="Q250" s="875">
        <v>0</v>
      </c>
      <c r="R250" s="875">
        <v>0</v>
      </c>
      <c r="S250" s="875"/>
      <c r="T250" s="875">
        <v>0</v>
      </c>
      <c r="U250" s="4611">
        <v>20</v>
      </c>
      <c r="V250" s="4608">
        <v>21.138999999999999</v>
      </c>
      <c r="W250" s="4608">
        <v>0</v>
      </c>
      <c r="X250" s="4611">
        <v>7.9820000000000002</v>
      </c>
      <c r="Y250" s="4611">
        <v>0</v>
      </c>
      <c r="Z250" s="4611">
        <v>0</v>
      </c>
      <c r="AA250" s="4611">
        <v>0</v>
      </c>
      <c r="AB250" s="4611">
        <v>5.6840000000000002</v>
      </c>
      <c r="AC250" s="4611">
        <v>0</v>
      </c>
      <c r="AD250" s="4611">
        <v>0</v>
      </c>
      <c r="AE250" s="4611">
        <v>0</v>
      </c>
      <c r="AF250" s="4611">
        <v>0</v>
      </c>
      <c r="AG250" s="4611">
        <v>0</v>
      </c>
      <c r="AH250" s="4611">
        <v>0</v>
      </c>
      <c r="AI250" s="4611">
        <v>0</v>
      </c>
      <c r="AJ250" s="4611">
        <v>0</v>
      </c>
      <c r="AK250" s="4611">
        <v>0</v>
      </c>
      <c r="AL250" s="4612"/>
      <c r="AM250" s="4611">
        <v>0</v>
      </c>
      <c r="AN250" s="876">
        <f t="shared" si="6"/>
        <v>54.805</v>
      </c>
      <c r="AO250" s="877">
        <v>51.707999999999998</v>
      </c>
      <c r="AP250" s="878">
        <f t="shared" si="7"/>
        <v>3.097</v>
      </c>
    </row>
    <row r="251" spans="1:42" ht="13.8">
      <c r="A251" s="873">
        <v>468</v>
      </c>
      <c r="B251" s="874">
        <v>20</v>
      </c>
      <c r="C251" s="875">
        <v>17.779</v>
      </c>
      <c r="D251" s="875">
        <v>0</v>
      </c>
      <c r="E251" s="875">
        <v>8</v>
      </c>
      <c r="F251" s="875">
        <v>0</v>
      </c>
      <c r="G251" s="875">
        <v>0</v>
      </c>
      <c r="H251" s="875">
        <v>0</v>
      </c>
      <c r="I251" s="875">
        <v>0</v>
      </c>
      <c r="J251" s="875">
        <v>0</v>
      </c>
      <c r="K251" s="875">
        <v>0</v>
      </c>
      <c r="L251" s="875">
        <v>0</v>
      </c>
      <c r="M251" s="875">
        <v>0</v>
      </c>
      <c r="N251" s="875">
        <v>0</v>
      </c>
      <c r="O251" s="875">
        <v>0</v>
      </c>
      <c r="P251" s="875">
        <v>1</v>
      </c>
      <c r="Q251" s="875">
        <v>0</v>
      </c>
      <c r="R251" s="875">
        <v>0</v>
      </c>
      <c r="S251" s="875"/>
      <c r="T251" s="875">
        <v>0</v>
      </c>
      <c r="U251" s="4611">
        <v>20</v>
      </c>
      <c r="V251" s="4608">
        <v>20.463999999999999</v>
      </c>
      <c r="W251" s="4608">
        <v>0</v>
      </c>
      <c r="X251" s="4611">
        <v>7.9980000000000002</v>
      </c>
      <c r="Y251" s="4611">
        <v>0</v>
      </c>
      <c r="Z251" s="4611">
        <v>0</v>
      </c>
      <c r="AA251" s="4611">
        <v>0</v>
      </c>
      <c r="AB251" s="4611">
        <v>0</v>
      </c>
      <c r="AC251" s="4611">
        <v>0</v>
      </c>
      <c r="AD251" s="4611">
        <v>0</v>
      </c>
      <c r="AE251" s="4611">
        <v>0</v>
      </c>
      <c r="AF251" s="4611">
        <v>0</v>
      </c>
      <c r="AG251" s="4611">
        <v>0</v>
      </c>
      <c r="AH251" s="4611">
        <v>0</v>
      </c>
      <c r="AI251" s="4611">
        <v>1</v>
      </c>
      <c r="AJ251" s="4611">
        <v>0</v>
      </c>
      <c r="AK251" s="4611">
        <v>0</v>
      </c>
      <c r="AL251" s="4612"/>
      <c r="AM251" s="4611">
        <v>0</v>
      </c>
      <c r="AN251" s="876">
        <f t="shared" si="6"/>
        <v>49.462000000000003</v>
      </c>
      <c r="AO251" s="877">
        <v>46.779000000000003</v>
      </c>
      <c r="AP251" s="878">
        <f t="shared" si="7"/>
        <v>2.6829999999999998</v>
      </c>
    </row>
    <row r="252" spans="1:42" ht="13.8">
      <c r="A252" s="873">
        <v>469</v>
      </c>
      <c r="B252" s="874">
        <v>20</v>
      </c>
      <c r="C252" s="875">
        <v>14.496</v>
      </c>
      <c r="D252" s="875">
        <v>0</v>
      </c>
      <c r="E252" s="875">
        <v>8</v>
      </c>
      <c r="F252" s="875">
        <v>0</v>
      </c>
      <c r="G252" s="875">
        <v>0</v>
      </c>
      <c r="H252" s="875">
        <v>15.35</v>
      </c>
      <c r="I252" s="875">
        <v>0</v>
      </c>
      <c r="J252" s="875">
        <v>0</v>
      </c>
      <c r="K252" s="875">
        <v>1.1000000000000001</v>
      </c>
      <c r="L252" s="875">
        <v>0</v>
      </c>
      <c r="M252" s="875">
        <v>0</v>
      </c>
      <c r="N252" s="875">
        <v>0</v>
      </c>
      <c r="O252" s="875">
        <v>0</v>
      </c>
      <c r="P252" s="875">
        <v>0</v>
      </c>
      <c r="Q252" s="875">
        <v>0</v>
      </c>
      <c r="R252" s="875">
        <v>0</v>
      </c>
      <c r="S252" s="875"/>
      <c r="T252" s="875">
        <v>0</v>
      </c>
      <c r="U252" s="4611">
        <v>20</v>
      </c>
      <c r="V252" s="4608">
        <v>13.618</v>
      </c>
      <c r="W252" s="4608">
        <v>0</v>
      </c>
      <c r="X252" s="4611">
        <v>8</v>
      </c>
      <c r="Y252" s="4611">
        <v>0</v>
      </c>
      <c r="Z252" s="4611">
        <v>0</v>
      </c>
      <c r="AA252" s="4611">
        <v>14.734999999999999</v>
      </c>
      <c r="AB252" s="4611">
        <v>0</v>
      </c>
      <c r="AC252" s="4611">
        <v>0</v>
      </c>
      <c r="AD252" s="4611">
        <v>1.022</v>
      </c>
      <c r="AE252" s="4611">
        <v>0</v>
      </c>
      <c r="AF252" s="4611">
        <v>0</v>
      </c>
      <c r="AG252" s="4611">
        <v>0</v>
      </c>
      <c r="AH252" s="4611">
        <v>0</v>
      </c>
      <c r="AI252" s="4611">
        <v>0</v>
      </c>
      <c r="AJ252" s="4611">
        <v>0</v>
      </c>
      <c r="AK252" s="4611">
        <v>0</v>
      </c>
      <c r="AL252" s="4612"/>
      <c r="AM252" s="4611">
        <v>0</v>
      </c>
      <c r="AN252" s="876">
        <f t="shared" si="6"/>
        <v>57.375</v>
      </c>
      <c r="AO252" s="877">
        <v>58.945999999999998</v>
      </c>
      <c r="AP252" s="878">
        <f t="shared" si="7"/>
        <v>-1.571</v>
      </c>
    </row>
    <row r="253" spans="1:42" ht="13.8">
      <c r="A253" s="873">
        <v>470</v>
      </c>
      <c r="B253" s="874">
        <v>20</v>
      </c>
      <c r="C253" s="875">
        <v>14.112</v>
      </c>
      <c r="D253" s="875">
        <v>0</v>
      </c>
      <c r="E253" s="875">
        <v>6.7350000000000003</v>
      </c>
      <c r="F253" s="875">
        <v>0</v>
      </c>
      <c r="G253" s="875">
        <v>0</v>
      </c>
      <c r="H253" s="875">
        <v>15.395</v>
      </c>
      <c r="I253" s="875">
        <v>0</v>
      </c>
      <c r="J253" s="875">
        <v>0</v>
      </c>
      <c r="K253" s="875">
        <v>0</v>
      </c>
      <c r="L253" s="875">
        <v>0</v>
      </c>
      <c r="M253" s="875">
        <v>0</v>
      </c>
      <c r="N253" s="875">
        <v>0</v>
      </c>
      <c r="O253" s="875">
        <v>0</v>
      </c>
      <c r="P253" s="875">
        <v>4.9930000000000003</v>
      </c>
      <c r="Q253" s="875">
        <v>1.514</v>
      </c>
      <c r="R253" s="875">
        <v>0</v>
      </c>
      <c r="S253" s="875"/>
      <c r="T253" s="875">
        <v>0</v>
      </c>
      <c r="U253" s="4611">
        <v>20</v>
      </c>
      <c r="V253" s="4608">
        <v>16.817</v>
      </c>
      <c r="W253" s="4608">
        <v>0</v>
      </c>
      <c r="X253" s="4611">
        <v>7.71</v>
      </c>
      <c r="Y253" s="4611">
        <v>0</v>
      </c>
      <c r="Z253" s="4611">
        <v>0</v>
      </c>
      <c r="AA253" s="4611">
        <v>11.861000000000001</v>
      </c>
      <c r="AB253" s="4611">
        <v>0</v>
      </c>
      <c r="AC253" s="4611">
        <v>0</v>
      </c>
      <c r="AD253" s="4611">
        <v>0</v>
      </c>
      <c r="AE253" s="4611">
        <v>0</v>
      </c>
      <c r="AF253" s="4611">
        <v>0</v>
      </c>
      <c r="AG253" s="4611">
        <v>0</v>
      </c>
      <c r="AH253" s="4611">
        <v>0</v>
      </c>
      <c r="AI253" s="4611">
        <v>5</v>
      </c>
      <c r="AJ253" s="4611">
        <v>1.5409999999999999</v>
      </c>
      <c r="AK253" s="4611">
        <v>0</v>
      </c>
      <c r="AL253" s="4612"/>
      <c r="AM253" s="4611">
        <v>0</v>
      </c>
      <c r="AN253" s="876">
        <f t="shared" si="6"/>
        <v>62.929000000000002</v>
      </c>
      <c r="AO253" s="877">
        <v>62.749000000000002</v>
      </c>
      <c r="AP253" s="878">
        <f t="shared" si="7"/>
        <v>0.18</v>
      </c>
    </row>
    <row r="254" spans="1:42" ht="13.8">
      <c r="A254" s="873">
        <v>471</v>
      </c>
      <c r="B254" s="874">
        <v>20</v>
      </c>
      <c r="C254" s="875">
        <v>24.818999999999999</v>
      </c>
      <c r="D254" s="875">
        <v>0</v>
      </c>
      <c r="E254" s="875">
        <v>7.9960000000000004</v>
      </c>
      <c r="F254" s="875">
        <v>0</v>
      </c>
      <c r="G254" s="875">
        <v>0</v>
      </c>
      <c r="H254" s="875">
        <v>0</v>
      </c>
      <c r="I254" s="875">
        <v>0</v>
      </c>
      <c r="J254" s="875">
        <v>0</v>
      </c>
      <c r="K254" s="875">
        <v>0</v>
      </c>
      <c r="L254" s="875">
        <v>0</v>
      </c>
      <c r="M254" s="875">
        <v>0</v>
      </c>
      <c r="N254" s="875">
        <v>0</v>
      </c>
      <c r="O254" s="875">
        <v>0</v>
      </c>
      <c r="P254" s="875">
        <v>2.9990000000000001</v>
      </c>
      <c r="Q254" s="875">
        <v>0</v>
      </c>
      <c r="R254" s="875">
        <v>0</v>
      </c>
      <c r="S254" s="875"/>
      <c r="T254" s="875">
        <v>0</v>
      </c>
      <c r="U254" s="4611">
        <v>20</v>
      </c>
      <c r="V254" s="4608">
        <v>23.734000000000002</v>
      </c>
      <c r="W254" s="4608">
        <v>0</v>
      </c>
      <c r="X254" s="4611">
        <v>8</v>
      </c>
      <c r="Y254" s="4611">
        <v>0</v>
      </c>
      <c r="Z254" s="4611">
        <v>0</v>
      </c>
      <c r="AA254" s="4611">
        <v>15.753</v>
      </c>
      <c r="AB254" s="4611">
        <v>0</v>
      </c>
      <c r="AC254" s="4611">
        <v>0</v>
      </c>
      <c r="AD254" s="4611">
        <v>0</v>
      </c>
      <c r="AE254" s="4611">
        <v>0</v>
      </c>
      <c r="AF254" s="4611">
        <v>0</v>
      </c>
      <c r="AG254" s="4611">
        <v>0</v>
      </c>
      <c r="AH254" s="4611">
        <v>0</v>
      </c>
      <c r="AI254" s="4611">
        <v>3</v>
      </c>
      <c r="AJ254" s="4611">
        <v>0</v>
      </c>
      <c r="AK254" s="4611">
        <v>0</v>
      </c>
      <c r="AL254" s="4612"/>
      <c r="AM254" s="4611">
        <v>0</v>
      </c>
      <c r="AN254" s="876">
        <f t="shared" si="6"/>
        <v>70.486999999999995</v>
      </c>
      <c r="AO254" s="877">
        <v>55.814</v>
      </c>
      <c r="AP254" s="878">
        <f t="shared" si="7"/>
        <v>14.673</v>
      </c>
    </row>
    <row r="255" spans="1:42" ht="13.8">
      <c r="A255" s="873">
        <v>473</v>
      </c>
      <c r="B255" s="874">
        <v>20</v>
      </c>
      <c r="C255" s="875">
        <v>14.999000000000001</v>
      </c>
      <c r="D255" s="875">
        <v>0</v>
      </c>
      <c r="E255" s="875">
        <v>8</v>
      </c>
      <c r="F255" s="875">
        <v>0</v>
      </c>
      <c r="G255" s="875">
        <v>0</v>
      </c>
      <c r="H255" s="875">
        <v>5.5010000000000003</v>
      </c>
      <c r="I255" s="875">
        <v>0</v>
      </c>
      <c r="J255" s="875">
        <v>0</v>
      </c>
      <c r="K255" s="875">
        <v>0</v>
      </c>
      <c r="L255" s="875">
        <v>0</v>
      </c>
      <c r="M255" s="875">
        <v>0</v>
      </c>
      <c r="N255" s="875">
        <v>0</v>
      </c>
      <c r="O255" s="875">
        <v>0</v>
      </c>
      <c r="P255" s="875">
        <v>0</v>
      </c>
      <c r="Q255" s="875">
        <v>0</v>
      </c>
      <c r="R255" s="875">
        <v>0</v>
      </c>
      <c r="S255" s="875"/>
      <c r="T255" s="875">
        <v>0</v>
      </c>
      <c r="U255" s="4611">
        <v>20</v>
      </c>
      <c r="V255" s="4608">
        <v>15.272</v>
      </c>
      <c r="W255" s="4608">
        <v>0</v>
      </c>
      <c r="X255" s="4611">
        <v>7.9909999999999997</v>
      </c>
      <c r="Y255" s="4611">
        <v>0</v>
      </c>
      <c r="Z255" s="4611">
        <v>0</v>
      </c>
      <c r="AA255" s="4611">
        <v>5.218</v>
      </c>
      <c r="AB255" s="4611">
        <v>0</v>
      </c>
      <c r="AC255" s="4611">
        <v>0</v>
      </c>
      <c r="AD255" s="4611">
        <v>0</v>
      </c>
      <c r="AE255" s="4611">
        <v>0</v>
      </c>
      <c r="AF255" s="4611">
        <v>0</v>
      </c>
      <c r="AG255" s="4611">
        <v>0</v>
      </c>
      <c r="AH255" s="4611">
        <v>0</v>
      </c>
      <c r="AI255" s="4611">
        <v>0</v>
      </c>
      <c r="AJ255" s="4611">
        <v>0</v>
      </c>
      <c r="AK255" s="4611">
        <v>0</v>
      </c>
      <c r="AL255" s="4612"/>
      <c r="AM255" s="4611">
        <v>0</v>
      </c>
      <c r="AN255" s="876">
        <f t="shared" si="6"/>
        <v>48.481000000000002</v>
      </c>
      <c r="AO255" s="877">
        <v>48.5</v>
      </c>
      <c r="AP255" s="878">
        <f t="shared" si="7"/>
        <v>-1.9E-2</v>
      </c>
    </row>
    <row r="256" spans="1:42" ht="13.8">
      <c r="A256" s="873">
        <v>474</v>
      </c>
      <c r="B256" s="874">
        <v>20</v>
      </c>
      <c r="C256" s="875">
        <v>18.649999999999999</v>
      </c>
      <c r="D256" s="875">
        <v>0</v>
      </c>
      <c r="E256" s="875">
        <v>8</v>
      </c>
      <c r="F256" s="875">
        <v>0</v>
      </c>
      <c r="G256" s="875">
        <v>0</v>
      </c>
      <c r="H256" s="875">
        <v>0</v>
      </c>
      <c r="I256" s="875">
        <v>0</v>
      </c>
      <c r="J256" s="875">
        <v>0</v>
      </c>
      <c r="K256" s="875">
        <v>0</v>
      </c>
      <c r="L256" s="875">
        <v>0</v>
      </c>
      <c r="M256" s="875">
        <v>0</v>
      </c>
      <c r="N256" s="875">
        <v>0</v>
      </c>
      <c r="O256" s="875">
        <v>0</v>
      </c>
      <c r="P256" s="875">
        <v>2</v>
      </c>
      <c r="Q256" s="875">
        <v>0</v>
      </c>
      <c r="R256" s="875">
        <v>0</v>
      </c>
      <c r="S256" s="875"/>
      <c r="T256" s="875">
        <v>0</v>
      </c>
      <c r="U256" s="4611">
        <v>20</v>
      </c>
      <c r="V256" s="4608">
        <v>19.64</v>
      </c>
      <c r="W256" s="4608">
        <v>0</v>
      </c>
      <c r="X256" s="4611">
        <v>8</v>
      </c>
      <c r="Y256" s="4611">
        <v>0</v>
      </c>
      <c r="Z256" s="4611">
        <v>0</v>
      </c>
      <c r="AA256" s="4611">
        <v>0</v>
      </c>
      <c r="AB256" s="4611">
        <v>0</v>
      </c>
      <c r="AC256" s="4611">
        <v>0</v>
      </c>
      <c r="AD256" s="4611">
        <v>0</v>
      </c>
      <c r="AE256" s="4611">
        <v>0</v>
      </c>
      <c r="AF256" s="4611">
        <v>0</v>
      </c>
      <c r="AG256" s="4611">
        <v>0</v>
      </c>
      <c r="AH256" s="4611">
        <v>0</v>
      </c>
      <c r="AI256" s="4611">
        <v>2</v>
      </c>
      <c r="AJ256" s="4611">
        <v>0</v>
      </c>
      <c r="AK256" s="4611">
        <v>0</v>
      </c>
      <c r="AL256" s="4612"/>
      <c r="AM256" s="4611">
        <v>0</v>
      </c>
      <c r="AN256" s="876">
        <f t="shared" si="6"/>
        <v>49.64</v>
      </c>
      <c r="AO256" s="877">
        <v>48.65</v>
      </c>
      <c r="AP256" s="878">
        <f t="shared" si="7"/>
        <v>0.99</v>
      </c>
    </row>
    <row r="257" spans="1:42" ht="13.8">
      <c r="A257" s="873">
        <v>475</v>
      </c>
      <c r="B257" s="874">
        <v>20</v>
      </c>
      <c r="C257" s="875">
        <v>14.097</v>
      </c>
      <c r="D257" s="875">
        <v>0</v>
      </c>
      <c r="E257" s="875">
        <v>5.4820000000000002</v>
      </c>
      <c r="F257" s="875">
        <v>0</v>
      </c>
      <c r="G257" s="875">
        <v>0</v>
      </c>
      <c r="H257" s="875">
        <v>4.0049999999999999</v>
      </c>
      <c r="I257" s="875">
        <v>0</v>
      </c>
      <c r="J257" s="875">
        <v>0</v>
      </c>
      <c r="K257" s="875">
        <v>0</v>
      </c>
      <c r="L257" s="875">
        <v>0</v>
      </c>
      <c r="M257" s="875">
        <v>0</v>
      </c>
      <c r="N257" s="875">
        <v>0</v>
      </c>
      <c r="O257" s="875">
        <v>0</v>
      </c>
      <c r="P257" s="875">
        <v>0</v>
      </c>
      <c r="Q257" s="875">
        <v>0</v>
      </c>
      <c r="R257" s="875">
        <v>0</v>
      </c>
      <c r="S257" s="875"/>
      <c r="T257" s="875">
        <v>0</v>
      </c>
      <c r="U257" s="4611">
        <v>20</v>
      </c>
      <c r="V257" s="4608">
        <v>14.840999999999999</v>
      </c>
      <c r="W257" s="4608">
        <v>0</v>
      </c>
      <c r="X257" s="4611">
        <v>4.6920000000000002</v>
      </c>
      <c r="Y257" s="4611">
        <v>0</v>
      </c>
      <c r="Z257" s="4611">
        <v>0</v>
      </c>
      <c r="AA257" s="4611">
        <v>3.9910000000000001</v>
      </c>
      <c r="AB257" s="4611">
        <v>0</v>
      </c>
      <c r="AC257" s="4611">
        <v>0</v>
      </c>
      <c r="AD257" s="4611">
        <v>0</v>
      </c>
      <c r="AE257" s="4611">
        <v>0</v>
      </c>
      <c r="AF257" s="4611">
        <v>0</v>
      </c>
      <c r="AG257" s="4611">
        <v>0</v>
      </c>
      <c r="AH257" s="4611">
        <v>0</v>
      </c>
      <c r="AI257" s="4611">
        <v>0</v>
      </c>
      <c r="AJ257" s="4611">
        <v>0</v>
      </c>
      <c r="AK257" s="4611">
        <v>0</v>
      </c>
      <c r="AL257" s="4612"/>
      <c r="AM257" s="4611">
        <v>0</v>
      </c>
      <c r="AN257" s="876">
        <f t="shared" si="6"/>
        <v>43.524000000000001</v>
      </c>
      <c r="AO257" s="877">
        <v>43.584000000000003</v>
      </c>
      <c r="AP257" s="878">
        <f t="shared" si="7"/>
        <v>-0.06</v>
      </c>
    </row>
    <row r="258" spans="1:42" ht="13.8">
      <c r="A258" s="873">
        <v>476</v>
      </c>
      <c r="B258" s="874">
        <v>20</v>
      </c>
      <c r="C258" s="875">
        <v>16.010000000000002</v>
      </c>
      <c r="D258" s="875">
        <v>0</v>
      </c>
      <c r="E258" s="875">
        <v>2.9969999999999999</v>
      </c>
      <c r="F258" s="875">
        <v>0</v>
      </c>
      <c r="G258" s="875">
        <v>0</v>
      </c>
      <c r="H258" s="875">
        <v>18.123000000000001</v>
      </c>
      <c r="I258" s="875">
        <v>0</v>
      </c>
      <c r="J258" s="875">
        <v>0</v>
      </c>
      <c r="K258" s="875">
        <v>0</v>
      </c>
      <c r="L258" s="875">
        <v>0</v>
      </c>
      <c r="M258" s="875">
        <v>0</v>
      </c>
      <c r="N258" s="875">
        <v>0</v>
      </c>
      <c r="O258" s="875">
        <v>0</v>
      </c>
      <c r="P258" s="875">
        <v>3.206</v>
      </c>
      <c r="Q258" s="875">
        <v>0</v>
      </c>
      <c r="R258" s="875">
        <v>0</v>
      </c>
      <c r="S258" s="875"/>
      <c r="T258" s="875">
        <v>0</v>
      </c>
      <c r="U258" s="4611">
        <v>20</v>
      </c>
      <c r="V258" s="4608">
        <v>16.588999999999999</v>
      </c>
      <c r="W258" s="4608">
        <v>0</v>
      </c>
      <c r="X258" s="4611">
        <v>4.9980000000000002</v>
      </c>
      <c r="Y258" s="4611">
        <v>0</v>
      </c>
      <c r="Z258" s="4611">
        <v>0</v>
      </c>
      <c r="AA258" s="4611">
        <v>16.125</v>
      </c>
      <c r="AB258" s="4611">
        <v>0</v>
      </c>
      <c r="AC258" s="4611">
        <v>0</v>
      </c>
      <c r="AD258" s="4611">
        <v>0</v>
      </c>
      <c r="AE258" s="4611">
        <v>0</v>
      </c>
      <c r="AF258" s="4611">
        <v>0</v>
      </c>
      <c r="AG258" s="4611">
        <v>0</v>
      </c>
      <c r="AH258" s="4611">
        <v>0</v>
      </c>
      <c r="AI258" s="4611">
        <v>3.2090000000000001</v>
      </c>
      <c r="AJ258" s="4611">
        <v>0</v>
      </c>
      <c r="AK258" s="4611">
        <v>0</v>
      </c>
      <c r="AL258" s="4612"/>
      <c r="AM258" s="4611">
        <v>0</v>
      </c>
      <c r="AN258" s="876">
        <f t="shared" si="6"/>
        <v>60.920999999999999</v>
      </c>
      <c r="AO258" s="877">
        <v>60.335999999999999</v>
      </c>
      <c r="AP258" s="878">
        <f t="shared" si="7"/>
        <v>0.58499999999999996</v>
      </c>
    </row>
    <row r="259" spans="1:42" ht="13.8">
      <c r="A259" s="873">
        <v>477</v>
      </c>
      <c r="B259" s="874">
        <v>20</v>
      </c>
      <c r="C259" s="875">
        <v>23.116</v>
      </c>
      <c r="D259" s="875">
        <v>0</v>
      </c>
      <c r="E259" s="875">
        <v>7.9960000000000004</v>
      </c>
      <c r="F259" s="875">
        <v>0</v>
      </c>
      <c r="G259" s="875">
        <v>0</v>
      </c>
      <c r="H259" s="875">
        <v>5.5970000000000004</v>
      </c>
      <c r="I259" s="875">
        <v>0</v>
      </c>
      <c r="J259" s="875">
        <v>0</v>
      </c>
      <c r="K259" s="875">
        <v>0</v>
      </c>
      <c r="L259" s="875">
        <v>0</v>
      </c>
      <c r="M259" s="875">
        <v>0</v>
      </c>
      <c r="N259" s="875">
        <v>0</v>
      </c>
      <c r="O259" s="875">
        <v>0</v>
      </c>
      <c r="P259" s="875">
        <v>2.496</v>
      </c>
      <c r="Q259" s="875">
        <v>0.37</v>
      </c>
      <c r="R259" s="875">
        <v>0</v>
      </c>
      <c r="S259" s="875"/>
      <c r="T259" s="875">
        <v>0</v>
      </c>
      <c r="U259" s="4611">
        <v>20</v>
      </c>
      <c r="V259" s="4608">
        <v>23.091999999999999</v>
      </c>
      <c r="W259" s="4608">
        <v>0</v>
      </c>
      <c r="X259" s="4611">
        <v>7.9980000000000002</v>
      </c>
      <c r="Y259" s="4611">
        <v>0</v>
      </c>
      <c r="Z259" s="4611">
        <v>0</v>
      </c>
      <c r="AA259" s="4611">
        <v>5.601</v>
      </c>
      <c r="AB259" s="4611">
        <v>0</v>
      </c>
      <c r="AC259" s="4611">
        <v>0</v>
      </c>
      <c r="AD259" s="4611">
        <v>0</v>
      </c>
      <c r="AE259" s="4611">
        <v>0</v>
      </c>
      <c r="AF259" s="4611">
        <v>0</v>
      </c>
      <c r="AG259" s="4611">
        <v>0</v>
      </c>
      <c r="AH259" s="4611">
        <v>0</v>
      </c>
      <c r="AI259" s="4611">
        <v>2.5</v>
      </c>
      <c r="AJ259" s="4611">
        <v>0.377</v>
      </c>
      <c r="AK259" s="4611">
        <v>0</v>
      </c>
      <c r="AL259" s="4612"/>
      <c r="AM259" s="4611">
        <v>0</v>
      </c>
      <c r="AN259" s="876">
        <f t="shared" si="6"/>
        <v>59.567999999999998</v>
      </c>
      <c r="AO259" s="877">
        <v>59.575000000000003</v>
      </c>
      <c r="AP259" s="878">
        <f t="shared" si="7"/>
        <v>-7.0000000000000001E-3</v>
      </c>
    </row>
    <row r="260" spans="1:42" ht="13.8">
      <c r="A260" s="873">
        <v>479</v>
      </c>
      <c r="B260" s="874">
        <v>20</v>
      </c>
      <c r="C260" s="875">
        <v>16.039000000000001</v>
      </c>
      <c r="D260" s="875">
        <v>0</v>
      </c>
      <c r="E260" s="875">
        <v>0</v>
      </c>
      <c r="F260" s="875">
        <v>0</v>
      </c>
      <c r="G260" s="875">
        <v>0</v>
      </c>
      <c r="H260" s="875">
        <v>0</v>
      </c>
      <c r="I260" s="875">
        <v>0</v>
      </c>
      <c r="J260" s="875">
        <v>0</v>
      </c>
      <c r="K260" s="875">
        <v>0</v>
      </c>
      <c r="L260" s="875">
        <v>0</v>
      </c>
      <c r="M260" s="875">
        <v>0</v>
      </c>
      <c r="N260" s="875">
        <v>0</v>
      </c>
      <c r="O260" s="875">
        <v>0</v>
      </c>
      <c r="P260" s="875">
        <v>0</v>
      </c>
      <c r="Q260" s="875">
        <v>0</v>
      </c>
      <c r="R260" s="875">
        <v>0</v>
      </c>
      <c r="S260" s="875"/>
      <c r="T260" s="875">
        <v>0</v>
      </c>
      <c r="U260" s="4611">
        <v>20</v>
      </c>
      <c r="V260" s="4608">
        <v>16.042999999999999</v>
      </c>
      <c r="W260" s="4608">
        <v>0</v>
      </c>
      <c r="X260" s="4611">
        <v>0</v>
      </c>
      <c r="Y260" s="4611">
        <v>0</v>
      </c>
      <c r="Z260" s="4611">
        <v>0</v>
      </c>
      <c r="AA260" s="4611">
        <v>0</v>
      </c>
      <c r="AB260" s="4611">
        <v>0</v>
      </c>
      <c r="AC260" s="4611">
        <v>0</v>
      </c>
      <c r="AD260" s="4611">
        <v>0</v>
      </c>
      <c r="AE260" s="4611">
        <v>0</v>
      </c>
      <c r="AF260" s="4611">
        <v>0</v>
      </c>
      <c r="AG260" s="4611">
        <v>0</v>
      </c>
      <c r="AH260" s="4611">
        <v>0</v>
      </c>
      <c r="AI260" s="4611">
        <v>0</v>
      </c>
      <c r="AJ260" s="4611">
        <v>0</v>
      </c>
      <c r="AK260" s="4611">
        <v>0</v>
      </c>
      <c r="AL260" s="4612"/>
      <c r="AM260" s="4611">
        <v>0</v>
      </c>
      <c r="AN260" s="876">
        <f t="shared" si="6"/>
        <v>36.042999999999999</v>
      </c>
      <c r="AO260" s="877">
        <v>36.039000000000001</v>
      </c>
      <c r="AP260" s="878">
        <f t="shared" si="7"/>
        <v>4.0000000000000001E-3</v>
      </c>
    </row>
    <row r="261" spans="1:42" ht="13.8">
      <c r="A261" s="873">
        <v>480</v>
      </c>
      <c r="B261" s="874">
        <v>20</v>
      </c>
      <c r="C261" s="875">
        <v>18.338000000000001</v>
      </c>
      <c r="D261" s="875">
        <v>0</v>
      </c>
      <c r="E261" s="875">
        <v>0</v>
      </c>
      <c r="F261" s="875">
        <v>0</v>
      </c>
      <c r="G261" s="875">
        <v>0</v>
      </c>
      <c r="H261" s="875">
        <v>13.086</v>
      </c>
      <c r="I261" s="875">
        <v>0</v>
      </c>
      <c r="J261" s="875">
        <v>0</v>
      </c>
      <c r="K261" s="875">
        <v>0</v>
      </c>
      <c r="L261" s="875">
        <v>0</v>
      </c>
      <c r="M261" s="875">
        <v>0</v>
      </c>
      <c r="N261" s="875">
        <v>0</v>
      </c>
      <c r="O261" s="875">
        <v>0</v>
      </c>
      <c r="P261" s="875">
        <v>0</v>
      </c>
      <c r="Q261" s="875">
        <v>0</v>
      </c>
      <c r="R261" s="875">
        <v>0</v>
      </c>
      <c r="S261" s="875"/>
      <c r="T261" s="875">
        <v>0</v>
      </c>
      <c r="U261" s="4611">
        <v>20</v>
      </c>
      <c r="V261" s="4608">
        <v>17.96</v>
      </c>
      <c r="W261" s="4608">
        <v>0</v>
      </c>
      <c r="X261" s="4611">
        <v>0</v>
      </c>
      <c r="Y261" s="4611">
        <v>0</v>
      </c>
      <c r="Z261" s="4611">
        <v>0</v>
      </c>
      <c r="AA261" s="4611">
        <v>13.44</v>
      </c>
      <c r="AB261" s="4611">
        <v>0</v>
      </c>
      <c r="AC261" s="4611">
        <v>0</v>
      </c>
      <c r="AD261" s="4611">
        <v>0</v>
      </c>
      <c r="AE261" s="4611">
        <v>0</v>
      </c>
      <c r="AF261" s="4611">
        <v>0</v>
      </c>
      <c r="AG261" s="4611">
        <v>0</v>
      </c>
      <c r="AH261" s="4611">
        <v>0</v>
      </c>
      <c r="AI261" s="4611">
        <v>0</v>
      </c>
      <c r="AJ261" s="4611">
        <v>0</v>
      </c>
      <c r="AK261" s="4611">
        <v>0</v>
      </c>
      <c r="AL261" s="4612"/>
      <c r="AM261" s="4611">
        <v>0</v>
      </c>
      <c r="AN261" s="876">
        <f t="shared" ref="AN261:AN289" si="8">SUM(U261:AM261)</f>
        <v>51.4</v>
      </c>
      <c r="AO261" s="877">
        <v>51.423999999999999</v>
      </c>
      <c r="AP261" s="878">
        <f t="shared" ref="AP261:AP289" si="9">AN261-AO261</f>
        <v>-2.4E-2</v>
      </c>
    </row>
    <row r="262" spans="1:42" ht="13.8">
      <c r="A262" s="873">
        <v>481</v>
      </c>
      <c r="B262" s="874">
        <v>20</v>
      </c>
      <c r="C262" s="875">
        <v>23.565999999999999</v>
      </c>
      <c r="D262" s="875">
        <v>0</v>
      </c>
      <c r="E262" s="875">
        <v>8</v>
      </c>
      <c r="F262" s="875">
        <v>0</v>
      </c>
      <c r="G262" s="875">
        <v>0</v>
      </c>
      <c r="H262" s="875">
        <v>0</v>
      </c>
      <c r="I262" s="875">
        <v>0</v>
      </c>
      <c r="J262" s="875">
        <v>0</v>
      </c>
      <c r="K262" s="875">
        <v>0</v>
      </c>
      <c r="L262" s="875">
        <v>0</v>
      </c>
      <c r="M262" s="875">
        <v>0</v>
      </c>
      <c r="N262" s="875">
        <v>0</v>
      </c>
      <c r="O262" s="875">
        <v>0</v>
      </c>
      <c r="P262" s="875">
        <v>0</v>
      </c>
      <c r="Q262" s="875">
        <v>0</v>
      </c>
      <c r="R262" s="875">
        <v>0</v>
      </c>
      <c r="S262" s="875"/>
      <c r="T262" s="875">
        <v>0</v>
      </c>
      <c r="U262" s="4611">
        <v>20</v>
      </c>
      <c r="V262" s="4608">
        <v>21.454999999999998</v>
      </c>
      <c r="W262" s="4608">
        <v>0</v>
      </c>
      <c r="X262" s="4611">
        <v>8</v>
      </c>
      <c r="Y262" s="4611">
        <v>0</v>
      </c>
      <c r="Z262" s="4611">
        <v>0</v>
      </c>
      <c r="AA262" s="4611">
        <v>0</v>
      </c>
      <c r="AB262" s="4611">
        <v>0</v>
      </c>
      <c r="AC262" s="4611">
        <v>0</v>
      </c>
      <c r="AD262" s="4611">
        <v>0</v>
      </c>
      <c r="AE262" s="4611">
        <v>0</v>
      </c>
      <c r="AF262" s="4611">
        <v>0</v>
      </c>
      <c r="AG262" s="4611">
        <v>0</v>
      </c>
      <c r="AH262" s="4611">
        <v>0</v>
      </c>
      <c r="AI262" s="4611">
        <v>0</v>
      </c>
      <c r="AJ262" s="4611">
        <v>0</v>
      </c>
      <c r="AK262" s="4611">
        <v>0</v>
      </c>
      <c r="AL262" s="4612"/>
      <c r="AM262" s="4611">
        <v>0</v>
      </c>
      <c r="AN262" s="876">
        <f t="shared" si="8"/>
        <v>49.454999999999998</v>
      </c>
      <c r="AO262" s="877">
        <v>51.566000000000003</v>
      </c>
      <c r="AP262" s="878">
        <f t="shared" si="9"/>
        <v>-2.1110000000000002</v>
      </c>
    </row>
    <row r="263" spans="1:42" ht="13.8">
      <c r="A263" s="873">
        <v>482</v>
      </c>
      <c r="B263" s="874">
        <v>20</v>
      </c>
      <c r="C263" s="875">
        <v>15.95</v>
      </c>
      <c r="D263" s="875">
        <v>0</v>
      </c>
      <c r="E263" s="875">
        <v>7.9889999999999999</v>
      </c>
      <c r="F263" s="875">
        <v>0</v>
      </c>
      <c r="G263" s="875">
        <v>0</v>
      </c>
      <c r="H263" s="875">
        <v>19.974</v>
      </c>
      <c r="I263" s="875">
        <v>0</v>
      </c>
      <c r="J263" s="875">
        <v>0</v>
      </c>
      <c r="K263" s="875">
        <v>0</v>
      </c>
      <c r="L263" s="875">
        <v>0</v>
      </c>
      <c r="M263" s="875">
        <v>0</v>
      </c>
      <c r="N263" s="875">
        <v>0</v>
      </c>
      <c r="O263" s="875">
        <v>0</v>
      </c>
      <c r="P263" s="875">
        <v>0.999</v>
      </c>
      <c r="Q263" s="875">
        <v>0</v>
      </c>
      <c r="R263" s="875">
        <v>0</v>
      </c>
      <c r="S263" s="875"/>
      <c r="T263" s="875">
        <v>0</v>
      </c>
      <c r="U263" s="4611">
        <v>20</v>
      </c>
      <c r="V263" s="4608">
        <v>15.186999999999999</v>
      </c>
      <c r="W263" s="4608">
        <v>0</v>
      </c>
      <c r="X263" s="4611">
        <v>7.9939999999999998</v>
      </c>
      <c r="Y263" s="4611">
        <v>0</v>
      </c>
      <c r="Z263" s="4611">
        <v>0</v>
      </c>
      <c r="AA263" s="4611">
        <v>22.495999999999999</v>
      </c>
      <c r="AB263" s="4611">
        <v>0</v>
      </c>
      <c r="AC263" s="4611">
        <v>0</v>
      </c>
      <c r="AD263" s="4611">
        <v>0</v>
      </c>
      <c r="AE263" s="4611">
        <v>0</v>
      </c>
      <c r="AF263" s="4611">
        <v>0</v>
      </c>
      <c r="AG263" s="4611">
        <v>0</v>
      </c>
      <c r="AH263" s="4611">
        <v>0</v>
      </c>
      <c r="AI263" s="4611">
        <v>0.999</v>
      </c>
      <c r="AJ263" s="4611">
        <v>0</v>
      </c>
      <c r="AK263" s="4611">
        <v>0</v>
      </c>
      <c r="AL263" s="4612"/>
      <c r="AM263" s="4611">
        <v>0</v>
      </c>
      <c r="AN263" s="876">
        <f t="shared" si="8"/>
        <v>66.676000000000002</v>
      </c>
      <c r="AO263" s="877">
        <v>64.912000000000006</v>
      </c>
      <c r="AP263" s="878">
        <f t="shared" si="9"/>
        <v>1.764</v>
      </c>
    </row>
    <row r="264" spans="1:42" ht="13.8">
      <c r="A264" s="873">
        <v>483</v>
      </c>
      <c r="B264" s="874">
        <v>20</v>
      </c>
      <c r="C264" s="875">
        <v>16.058</v>
      </c>
      <c r="D264" s="875">
        <v>0</v>
      </c>
      <c r="E264" s="875">
        <v>0.7</v>
      </c>
      <c r="F264" s="875">
        <v>0</v>
      </c>
      <c r="G264" s="875">
        <v>0</v>
      </c>
      <c r="H264" s="875">
        <v>0</v>
      </c>
      <c r="I264" s="875">
        <v>0</v>
      </c>
      <c r="J264" s="875">
        <v>0</v>
      </c>
      <c r="K264" s="875">
        <v>0</v>
      </c>
      <c r="L264" s="875">
        <v>0</v>
      </c>
      <c r="M264" s="875">
        <v>0</v>
      </c>
      <c r="N264" s="875">
        <v>0</v>
      </c>
      <c r="O264" s="875">
        <v>0</v>
      </c>
      <c r="P264" s="875">
        <v>2</v>
      </c>
      <c r="Q264" s="875">
        <v>0</v>
      </c>
      <c r="R264" s="875">
        <v>0</v>
      </c>
      <c r="S264" s="875"/>
      <c r="T264" s="875">
        <v>0</v>
      </c>
      <c r="U264" s="4611">
        <v>20</v>
      </c>
      <c r="V264" s="4608">
        <v>15.053000000000001</v>
      </c>
      <c r="W264" s="4608">
        <v>0</v>
      </c>
      <c r="X264" s="4611">
        <v>7</v>
      </c>
      <c r="Y264" s="4611">
        <v>0</v>
      </c>
      <c r="Z264" s="4611">
        <v>0</v>
      </c>
      <c r="AA264" s="4611">
        <v>2E-3</v>
      </c>
      <c r="AB264" s="4611">
        <v>0</v>
      </c>
      <c r="AC264" s="4611">
        <v>0</v>
      </c>
      <c r="AD264" s="4611">
        <v>0</v>
      </c>
      <c r="AE264" s="4611">
        <v>0</v>
      </c>
      <c r="AF264" s="4611">
        <v>0</v>
      </c>
      <c r="AG264" s="4611">
        <v>0</v>
      </c>
      <c r="AH264" s="4611">
        <v>0</v>
      </c>
      <c r="AI264" s="4611">
        <v>1.57</v>
      </c>
      <c r="AJ264" s="4611">
        <v>0</v>
      </c>
      <c r="AK264" s="4611">
        <v>0</v>
      </c>
      <c r="AL264" s="4612"/>
      <c r="AM264" s="4611">
        <v>0</v>
      </c>
      <c r="AN264" s="876">
        <f t="shared" si="8"/>
        <v>43.625</v>
      </c>
      <c r="AO264" s="877">
        <v>38.758000000000003</v>
      </c>
      <c r="AP264" s="878">
        <f t="shared" si="9"/>
        <v>4.867</v>
      </c>
    </row>
    <row r="265" spans="1:42" ht="13.8">
      <c r="A265" s="873">
        <v>484</v>
      </c>
      <c r="B265" s="874">
        <v>20</v>
      </c>
      <c r="C265" s="875">
        <v>17.257000000000001</v>
      </c>
      <c r="D265" s="875">
        <v>0</v>
      </c>
      <c r="E265" s="875">
        <v>6.5</v>
      </c>
      <c r="F265" s="875">
        <v>0</v>
      </c>
      <c r="G265" s="875">
        <v>0</v>
      </c>
      <c r="H265" s="875">
        <v>4.3289999999999997</v>
      </c>
      <c r="I265" s="875">
        <v>0</v>
      </c>
      <c r="J265" s="875">
        <v>0</v>
      </c>
      <c r="K265" s="875">
        <v>0</v>
      </c>
      <c r="L265" s="875">
        <v>0</v>
      </c>
      <c r="M265" s="875">
        <v>0</v>
      </c>
      <c r="N265" s="875">
        <v>0</v>
      </c>
      <c r="O265" s="875">
        <v>0</v>
      </c>
      <c r="P265" s="875">
        <v>1.5</v>
      </c>
      <c r="Q265" s="875">
        <v>0</v>
      </c>
      <c r="R265" s="875">
        <v>0</v>
      </c>
      <c r="S265" s="875"/>
      <c r="T265" s="875">
        <v>0</v>
      </c>
      <c r="U265" s="4611">
        <v>20</v>
      </c>
      <c r="V265" s="4608">
        <v>16.925999999999998</v>
      </c>
      <c r="W265" s="4608">
        <v>0</v>
      </c>
      <c r="X265" s="4611">
        <v>7</v>
      </c>
      <c r="Y265" s="4611">
        <v>0</v>
      </c>
      <c r="Z265" s="4611">
        <v>0</v>
      </c>
      <c r="AA265" s="4611">
        <v>4.1289999999999996</v>
      </c>
      <c r="AB265" s="4611">
        <v>0</v>
      </c>
      <c r="AC265" s="4611">
        <v>0</v>
      </c>
      <c r="AD265" s="4611">
        <v>0</v>
      </c>
      <c r="AE265" s="4611">
        <v>0</v>
      </c>
      <c r="AF265" s="4611">
        <v>0</v>
      </c>
      <c r="AG265" s="4611">
        <v>0</v>
      </c>
      <c r="AH265" s="4611">
        <v>0</v>
      </c>
      <c r="AI265" s="4611">
        <v>1.5</v>
      </c>
      <c r="AJ265" s="4611">
        <v>0</v>
      </c>
      <c r="AK265" s="4611">
        <v>0</v>
      </c>
      <c r="AL265" s="4612"/>
      <c r="AM265" s="4611">
        <v>0</v>
      </c>
      <c r="AN265" s="876">
        <f t="shared" si="8"/>
        <v>49.555</v>
      </c>
      <c r="AO265" s="877">
        <v>49.585999999999999</v>
      </c>
      <c r="AP265" s="878">
        <f t="shared" si="9"/>
        <v>-3.1E-2</v>
      </c>
    </row>
    <row r="266" spans="1:42" ht="13.8">
      <c r="A266" s="873">
        <v>487</v>
      </c>
      <c r="B266" s="874">
        <v>20</v>
      </c>
      <c r="C266" s="875">
        <v>18.308</v>
      </c>
      <c r="D266" s="875">
        <v>0</v>
      </c>
      <c r="E266" s="875">
        <v>7.9989999999999997</v>
      </c>
      <c r="F266" s="875">
        <v>0</v>
      </c>
      <c r="G266" s="875">
        <v>0</v>
      </c>
      <c r="H266" s="875">
        <v>20.459</v>
      </c>
      <c r="I266" s="875">
        <v>0</v>
      </c>
      <c r="J266" s="875">
        <v>0</v>
      </c>
      <c r="K266" s="875">
        <v>0</v>
      </c>
      <c r="L266" s="875">
        <v>0</v>
      </c>
      <c r="M266" s="875">
        <v>0</v>
      </c>
      <c r="N266" s="875">
        <v>0</v>
      </c>
      <c r="O266" s="875">
        <v>0</v>
      </c>
      <c r="P266" s="875">
        <v>3.4350000000000001</v>
      </c>
      <c r="Q266" s="875">
        <v>0</v>
      </c>
      <c r="R266" s="875">
        <v>0</v>
      </c>
      <c r="S266" s="875"/>
      <c r="T266" s="875">
        <v>0</v>
      </c>
      <c r="U266" s="4611">
        <v>20</v>
      </c>
      <c r="V266" s="4608">
        <v>18.128</v>
      </c>
      <c r="W266" s="4608">
        <v>0</v>
      </c>
      <c r="X266" s="4611">
        <v>7.9969999999999999</v>
      </c>
      <c r="Y266" s="4611">
        <v>0</v>
      </c>
      <c r="Z266" s="4611">
        <v>0</v>
      </c>
      <c r="AA266" s="4611">
        <v>20.521999999999998</v>
      </c>
      <c r="AB266" s="4611">
        <v>0</v>
      </c>
      <c r="AC266" s="4611">
        <v>0</v>
      </c>
      <c r="AD266" s="4611">
        <v>0</v>
      </c>
      <c r="AE266" s="4611">
        <v>0</v>
      </c>
      <c r="AF266" s="4611">
        <v>0</v>
      </c>
      <c r="AG266" s="4611">
        <v>0</v>
      </c>
      <c r="AH266" s="4611">
        <v>0</v>
      </c>
      <c r="AI266" s="4611">
        <v>3.23</v>
      </c>
      <c r="AJ266" s="4611">
        <v>0</v>
      </c>
      <c r="AK266" s="4611">
        <v>0</v>
      </c>
      <c r="AL266" s="4612"/>
      <c r="AM266" s="4611">
        <v>0</v>
      </c>
      <c r="AN266" s="876">
        <f t="shared" si="8"/>
        <v>69.876999999999995</v>
      </c>
      <c r="AO266" s="877">
        <v>70.200999999999993</v>
      </c>
      <c r="AP266" s="878">
        <f t="shared" si="9"/>
        <v>-0.32400000000000001</v>
      </c>
    </row>
    <row r="267" spans="1:42" ht="13.8">
      <c r="A267" s="873">
        <v>489</v>
      </c>
      <c r="B267" s="874">
        <v>20</v>
      </c>
      <c r="C267" s="875">
        <v>14.145</v>
      </c>
      <c r="D267" s="875">
        <v>0</v>
      </c>
      <c r="E267" s="875">
        <v>8</v>
      </c>
      <c r="F267" s="875">
        <v>0</v>
      </c>
      <c r="G267" s="875">
        <v>0</v>
      </c>
      <c r="H267" s="875">
        <v>0</v>
      </c>
      <c r="I267" s="875">
        <v>0</v>
      </c>
      <c r="J267" s="875">
        <v>0</v>
      </c>
      <c r="K267" s="875">
        <v>0</v>
      </c>
      <c r="L267" s="875">
        <v>0</v>
      </c>
      <c r="M267" s="875">
        <v>0</v>
      </c>
      <c r="N267" s="875">
        <v>0</v>
      </c>
      <c r="O267" s="875">
        <v>0</v>
      </c>
      <c r="P267" s="875">
        <v>3</v>
      </c>
      <c r="Q267" s="875">
        <v>1.421</v>
      </c>
      <c r="R267" s="875">
        <v>0</v>
      </c>
      <c r="S267" s="875"/>
      <c r="T267" s="875">
        <v>0</v>
      </c>
      <c r="U267" s="4611">
        <v>20</v>
      </c>
      <c r="V267" s="4608">
        <v>13.241</v>
      </c>
      <c r="W267" s="4608">
        <v>0</v>
      </c>
      <c r="X267" s="4611">
        <v>8</v>
      </c>
      <c r="Y267" s="4611">
        <v>0</v>
      </c>
      <c r="Z267" s="4611">
        <v>0</v>
      </c>
      <c r="AA267" s="4611">
        <v>0</v>
      </c>
      <c r="AB267" s="4611">
        <v>0</v>
      </c>
      <c r="AC267" s="4611">
        <v>0</v>
      </c>
      <c r="AD267" s="4611">
        <v>0</v>
      </c>
      <c r="AE267" s="4611">
        <v>0</v>
      </c>
      <c r="AF267" s="4611">
        <v>0</v>
      </c>
      <c r="AG267" s="4611">
        <v>0</v>
      </c>
      <c r="AH267" s="4611">
        <v>0</v>
      </c>
      <c r="AI267" s="4611">
        <v>3</v>
      </c>
      <c r="AJ267" s="4611">
        <v>0.60399999999999998</v>
      </c>
      <c r="AK267" s="4611">
        <v>0</v>
      </c>
      <c r="AL267" s="4612"/>
      <c r="AM267" s="4611">
        <v>0</v>
      </c>
      <c r="AN267" s="876">
        <f t="shared" si="8"/>
        <v>44.844999999999999</v>
      </c>
      <c r="AO267" s="877">
        <v>46.566000000000003</v>
      </c>
      <c r="AP267" s="878">
        <f t="shared" si="9"/>
        <v>-1.7210000000000001</v>
      </c>
    </row>
    <row r="268" spans="1:42" ht="13.8">
      <c r="A268" s="873">
        <v>490</v>
      </c>
      <c r="B268" s="874">
        <v>20</v>
      </c>
      <c r="C268" s="875">
        <v>17.242000000000001</v>
      </c>
      <c r="D268" s="875">
        <v>0</v>
      </c>
      <c r="E268" s="875">
        <v>3</v>
      </c>
      <c r="F268" s="875">
        <v>0</v>
      </c>
      <c r="G268" s="875">
        <v>0</v>
      </c>
      <c r="H268" s="875">
        <v>25.481999999999999</v>
      </c>
      <c r="I268" s="875">
        <v>0</v>
      </c>
      <c r="J268" s="875">
        <v>0</v>
      </c>
      <c r="K268" s="875">
        <v>0</v>
      </c>
      <c r="L268" s="875">
        <v>0</v>
      </c>
      <c r="M268" s="875">
        <v>0</v>
      </c>
      <c r="N268" s="875">
        <v>0</v>
      </c>
      <c r="O268" s="875">
        <v>0</v>
      </c>
      <c r="P268" s="875">
        <v>0</v>
      </c>
      <c r="Q268" s="875">
        <v>0</v>
      </c>
      <c r="R268" s="875">
        <v>0</v>
      </c>
      <c r="S268" s="875"/>
      <c r="T268" s="875">
        <v>0</v>
      </c>
      <c r="U268" s="4611">
        <v>20</v>
      </c>
      <c r="V268" s="4608">
        <v>15.818</v>
      </c>
      <c r="W268" s="4608">
        <v>0</v>
      </c>
      <c r="X268" s="4611">
        <v>6.0069999999999997</v>
      </c>
      <c r="Y268" s="4611">
        <v>0</v>
      </c>
      <c r="Z268" s="4611">
        <v>0</v>
      </c>
      <c r="AA268" s="4611">
        <v>23.189</v>
      </c>
      <c r="AB268" s="4611">
        <v>0</v>
      </c>
      <c r="AC268" s="4611">
        <v>0</v>
      </c>
      <c r="AD268" s="4611">
        <v>0</v>
      </c>
      <c r="AE268" s="4611">
        <v>0</v>
      </c>
      <c r="AF268" s="4611">
        <v>0</v>
      </c>
      <c r="AG268" s="4611">
        <v>0</v>
      </c>
      <c r="AH268" s="4611">
        <v>0</v>
      </c>
      <c r="AI268" s="4611">
        <v>0</v>
      </c>
      <c r="AJ268" s="4611">
        <v>0</v>
      </c>
      <c r="AK268" s="4611">
        <v>0</v>
      </c>
      <c r="AL268" s="4612"/>
      <c r="AM268" s="4611">
        <v>0</v>
      </c>
      <c r="AN268" s="876">
        <f t="shared" si="8"/>
        <v>65.013999999999996</v>
      </c>
      <c r="AO268" s="877">
        <v>65.724000000000004</v>
      </c>
      <c r="AP268" s="878">
        <f t="shared" si="9"/>
        <v>-0.71</v>
      </c>
    </row>
    <row r="269" spans="1:42" ht="13.8">
      <c r="A269" s="873">
        <v>491</v>
      </c>
      <c r="B269" s="874">
        <v>20</v>
      </c>
      <c r="C269" s="875">
        <v>13.638999999999999</v>
      </c>
      <c r="D269" s="875">
        <v>0</v>
      </c>
      <c r="E269" s="875">
        <v>8</v>
      </c>
      <c r="F269" s="875">
        <v>0</v>
      </c>
      <c r="G269" s="875">
        <v>0</v>
      </c>
      <c r="H269" s="875">
        <v>29.03</v>
      </c>
      <c r="I269" s="875">
        <v>0</v>
      </c>
      <c r="J269" s="875">
        <v>0</v>
      </c>
      <c r="K269" s="875">
        <v>0</v>
      </c>
      <c r="L269" s="875">
        <v>0</v>
      </c>
      <c r="M269" s="875">
        <v>0</v>
      </c>
      <c r="N269" s="875">
        <v>0</v>
      </c>
      <c r="O269" s="875">
        <v>0</v>
      </c>
      <c r="P269" s="875">
        <v>0</v>
      </c>
      <c r="Q269" s="875">
        <v>0</v>
      </c>
      <c r="R269" s="875">
        <v>0</v>
      </c>
      <c r="S269" s="875"/>
      <c r="T269" s="875">
        <v>0</v>
      </c>
      <c r="U269" s="4611">
        <v>20</v>
      </c>
      <c r="V269" s="4608">
        <v>13.016999999999999</v>
      </c>
      <c r="W269" s="4608">
        <v>0</v>
      </c>
      <c r="X269" s="4611">
        <v>7.9950000000000001</v>
      </c>
      <c r="Y269" s="4611">
        <v>0</v>
      </c>
      <c r="Z269" s="4611">
        <v>0</v>
      </c>
      <c r="AA269" s="4611">
        <v>27.96</v>
      </c>
      <c r="AB269" s="4611">
        <v>0</v>
      </c>
      <c r="AC269" s="4611">
        <v>0</v>
      </c>
      <c r="AD269" s="4611">
        <v>0</v>
      </c>
      <c r="AE269" s="4611">
        <v>0</v>
      </c>
      <c r="AF269" s="4611">
        <v>0</v>
      </c>
      <c r="AG269" s="4611">
        <v>0</v>
      </c>
      <c r="AH269" s="4611">
        <v>0</v>
      </c>
      <c r="AI269" s="4611">
        <v>0</v>
      </c>
      <c r="AJ269" s="4611">
        <v>0</v>
      </c>
      <c r="AK269" s="4611">
        <v>0</v>
      </c>
      <c r="AL269" s="4612"/>
      <c r="AM269" s="4611">
        <v>0</v>
      </c>
      <c r="AN269" s="876">
        <f t="shared" si="8"/>
        <v>68.971999999999994</v>
      </c>
      <c r="AO269" s="877">
        <v>70.668999999999997</v>
      </c>
      <c r="AP269" s="878">
        <f t="shared" si="9"/>
        <v>-1.6970000000000001</v>
      </c>
    </row>
    <row r="270" spans="1:42" ht="13.8">
      <c r="A270" s="873">
        <v>492</v>
      </c>
      <c r="B270" s="874">
        <v>20</v>
      </c>
      <c r="C270" s="875">
        <v>20.875</v>
      </c>
      <c r="D270" s="875">
        <v>0</v>
      </c>
      <c r="E270" s="875">
        <v>7.9829999999999997</v>
      </c>
      <c r="F270" s="875">
        <v>0</v>
      </c>
      <c r="G270" s="875">
        <v>0</v>
      </c>
      <c r="H270" s="875">
        <v>8.9890000000000008</v>
      </c>
      <c r="I270" s="875">
        <v>0</v>
      </c>
      <c r="J270" s="875">
        <v>0</v>
      </c>
      <c r="K270" s="875">
        <v>0</v>
      </c>
      <c r="L270" s="875">
        <v>0</v>
      </c>
      <c r="M270" s="875">
        <v>0</v>
      </c>
      <c r="N270" s="875">
        <v>0</v>
      </c>
      <c r="O270" s="875">
        <v>0</v>
      </c>
      <c r="P270" s="875">
        <v>0</v>
      </c>
      <c r="Q270" s="875">
        <v>0</v>
      </c>
      <c r="R270" s="875">
        <v>0</v>
      </c>
      <c r="S270" s="875"/>
      <c r="T270" s="875">
        <v>0</v>
      </c>
      <c r="U270" s="4611">
        <v>20</v>
      </c>
      <c r="V270" s="4608">
        <v>20.759</v>
      </c>
      <c r="W270" s="4608">
        <v>0</v>
      </c>
      <c r="X270" s="4611">
        <v>8</v>
      </c>
      <c r="Y270" s="4611">
        <v>0</v>
      </c>
      <c r="Z270" s="4611">
        <v>0</v>
      </c>
      <c r="AA270" s="4611">
        <v>9.0370000000000008</v>
      </c>
      <c r="AB270" s="4611">
        <v>0</v>
      </c>
      <c r="AC270" s="4611">
        <v>0</v>
      </c>
      <c r="AD270" s="4611">
        <v>0</v>
      </c>
      <c r="AE270" s="4611">
        <v>0</v>
      </c>
      <c r="AF270" s="4611">
        <v>0</v>
      </c>
      <c r="AG270" s="4611">
        <v>0</v>
      </c>
      <c r="AH270" s="4611">
        <v>0</v>
      </c>
      <c r="AI270" s="4611">
        <v>0</v>
      </c>
      <c r="AJ270" s="4611">
        <v>0</v>
      </c>
      <c r="AK270" s="4611">
        <v>0</v>
      </c>
      <c r="AL270" s="4612"/>
      <c r="AM270" s="4611">
        <v>0</v>
      </c>
      <c r="AN270" s="876">
        <f t="shared" si="8"/>
        <v>57.795999999999999</v>
      </c>
      <c r="AO270" s="877">
        <v>57.847000000000001</v>
      </c>
      <c r="AP270" s="878">
        <f t="shared" si="9"/>
        <v>-5.0999999999999997E-2</v>
      </c>
    </row>
    <row r="271" spans="1:42" ht="13.8">
      <c r="A271" s="873">
        <v>493</v>
      </c>
      <c r="B271" s="874">
        <v>20</v>
      </c>
      <c r="C271" s="875">
        <v>15.994999999999999</v>
      </c>
      <c r="D271" s="875">
        <v>0</v>
      </c>
      <c r="E271" s="875">
        <v>8</v>
      </c>
      <c r="F271" s="875">
        <v>0</v>
      </c>
      <c r="G271" s="875">
        <v>0</v>
      </c>
      <c r="H271" s="875">
        <v>0</v>
      </c>
      <c r="I271" s="875">
        <v>0</v>
      </c>
      <c r="J271" s="875">
        <v>0</v>
      </c>
      <c r="K271" s="875">
        <v>0</v>
      </c>
      <c r="L271" s="875">
        <v>0</v>
      </c>
      <c r="M271" s="875">
        <v>0</v>
      </c>
      <c r="N271" s="875">
        <v>0</v>
      </c>
      <c r="O271" s="875">
        <v>0</v>
      </c>
      <c r="P271" s="875">
        <v>0</v>
      </c>
      <c r="Q271" s="875">
        <v>0</v>
      </c>
      <c r="R271" s="875">
        <v>0</v>
      </c>
      <c r="S271" s="875"/>
      <c r="T271" s="875">
        <v>0</v>
      </c>
      <c r="U271" s="4611">
        <v>20</v>
      </c>
      <c r="V271" s="4608">
        <v>15.763999999999999</v>
      </c>
      <c r="W271" s="4608">
        <v>0</v>
      </c>
      <c r="X271" s="4611">
        <v>7.9950000000000001</v>
      </c>
      <c r="Y271" s="4611">
        <v>0</v>
      </c>
      <c r="Z271" s="4611">
        <v>0</v>
      </c>
      <c r="AA271" s="4611">
        <v>0</v>
      </c>
      <c r="AB271" s="4611">
        <v>0</v>
      </c>
      <c r="AC271" s="4611">
        <v>0</v>
      </c>
      <c r="AD271" s="4611">
        <v>0</v>
      </c>
      <c r="AE271" s="4611">
        <v>0</v>
      </c>
      <c r="AF271" s="4611">
        <v>0</v>
      </c>
      <c r="AG271" s="4611">
        <v>0</v>
      </c>
      <c r="AH271" s="4611">
        <v>0</v>
      </c>
      <c r="AI271" s="4611">
        <v>0</v>
      </c>
      <c r="AJ271" s="4611">
        <v>0</v>
      </c>
      <c r="AK271" s="4611">
        <v>0</v>
      </c>
      <c r="AL271" s="4612"/>
      <c r="AM271" s="4611">
        <v>0</v>
      </c>
      <c r="AN271" s="876">
        <f t="shared" si="8"/>
        <v>43.759</v>
      </c>
      <c r="AO271" s="877">
        <v>43.994999999999997</v>
      </c>
      <c r="AP271" s="878">
        <f t="shared" si="9"/>
        <v>-0.23599999999999999</v>
      </c>
    </row>
    <row r="272" spans="1:42" ht="13.8">
      <c r="A272" s="873">
        <v>494</v>
      </c>
      <c r="B272" s="874">
        <v>20</v>
      </c>
      <c r="C272" s="875">
        <v>19.998000000000001</v>
      </c>
      <c r="D272" s="875">
        <v>0</v>
      </c>
      <c r="E272" s="875">
        <v>7.9960000000000004</v>
      </c>
      <c r="F272" s="875">
        <v>0</v>
      </c>
      <c r="G272" s="875">
        <v>0</v>
      </c>
      <c r="H272" s="875">
        <v>15.862</v>
      </c>
      <c r="I272" s="875">
        <v>0</v>
      </c>
      <c r="J272" s="875">
        <v>0</v>
      </c>
      <c r="K272" s="875">
        <v>0</v>
      </c>
      <c r="L272" s="875">
        <v>0</v>
      </c>
      <c r="M272" s="875">
        <v>0</v>
      </c>
      <c r="N272" s="875">
        <v>0</v>
      </c>
      <c r="O272" s="875">
        <v>0</v>
      </c>
      <c r="P272" s="875">
        <v>0</v>
      </c>
      <c r="Q272" s="875">
        <v>0</v>
      </c>
      <c r="R272" s="875">
        <v>0</v>
      </c>
      <c r="S272" s="875"/>
      <c r="T272" s="875">
        <v>0</v>
      </c>
      <c r="U272" s="4611">
        <v>20</v>
      </c>
      <c r="V272" s="4608">
        <v>21.882000000000001</v>
      </c>
      <c r="W272" s="4608">
        <v>0</v>
      </c>
      <c r="X272" s="4611">
        <v>7.9939999999999998</v>
      </c>
      <c r="Y272" s="4611">
        <v>0</v>
      </c>
      <c r="Z272" s="4611">
        <v>0</v>
      </c>
      <c r="AA272" s="4611">
        <v>13.946999999999999</v>
      </c>
      <c r="AB272" s="4611">
        <v>0</v>
      </c>
      <c r="AC272" s="4611">
        <v>0</v>
      </c>
      <c r="AD272" s="4611">
        <v>0</v>
      </c>
      <c r="AE272" s="4611">
        <v>0</v>
      </c>
      <c r="AF272" s="4611">
        <v>0</v>
      </c>
      <c r="AG272" s="4611">
        <v>0</v>
      </c>
      <c r="AH272" s="4611">
        <v>0</v>
      </c>
      <c r="AI272" s="4611">
        <v>0</v>
      </c>
      <c r="AJ272" s="4611">
        <v>0</v>
      </c>
      <c r="AK272" s="4611">
        <v>0</v>
      </c>
      <c r="AL272" s="4612"/>
      <c r="AM272" s="4611">
        <v>0</v>
      </c>
      <c r="AN272" s="876">
        <f t="shared" si="8"/>
        <v>63.823</v>
      </c>
      <c r="AO272" s="877">
        <v>63.856000000000002</v>
      </c>
      <c r="AP272" s="878">
        <f t="shared" si="9"/>
        <v>-3.3000000000000002E-2</v>
      </c>
    </row>
    <row r="273" spans="1:42" ht="13.8">
      <c r="A273" s="873">
        <v>495</v>
      </c>
      <c r="B273" s="874">
        <v>20</v>
      </c>
      <c r="C273" s="875">
        <v>19.466000000000001</v>
      </c>
      <c r="D273" s="875">
        <v>0</v>
      </c>
      <c r="E273" s="875">
        <v>2.996</v>
      </c>
      <c r="F273" s="875">
        <v>0</v>
      </c>
      <c r="G273" s="875">
        <v>0</v>
      </c>
      <c r="H273" s="875">
        <v>15.879</v>
      </c>
      <c r="I273" s="875">
        <v>0</v>
      </c>
      <c r="J273" s="875">
        <v>0</v>
      </c>
      <c r="K273" s="875">
        <v>0</v>
      </c>
      <c r="L273" s="875">
        <v>0</v>
      </c>
      <c r="M273" s="875">
        <v>0</v>
      </c>
      <c r="N273" s="875">
        <v>0</v>
      </c>
      <c r="O273" s="875">
        <v>0</v>
      </c>
      <c r="P273" s="875">
        <v>3</v>
      </c>
      <c r="Q273" s="875">
        <v>0.65600000000000003</v>
      </c>
      <c r="R273" s="875">
        <v>0</v>
      </c>
      <c r="S273" s="875"/>
      <c r="T273" s="875">
        <v>0</v>
      </c>
      <c r="U273" s="4611">
        <v>20</v>
      </c>
      <c r="V273" s="4608">
        <v>19.949000000000002</v>
      </c>
      <c r="W273" s="4608">
        <v>0</v>
      </c>
      <c r="X273" s="4611">
        <v>3.399</v>
      </c>
      <c r="Y273" s="4611">
        <v>0</v>
      </c>
      <c r="Z273" s="4611">
        <v>0</v>
      </c>
      <c r="AA273" s="4611">
        <v>15.467000000000001</v>
      </c>
      <c r="AB273" s="4611">
        <v>0</v>
      </c>
      <c r="AC273" s="4611">
        <v>0</v>
      </c>
      <c r="AD273" s="4611">
        <v>0</v>
      </c>
      <c r="AE273" s="4611">
        <v>0</v>
      </c>
      <c r="AF273" s="4611">
        <v>0</v>
      </c>
      <c r="AG273" s="4611">
        <v>0</v>
      </c>
      <c r="AH273" s="4611">
        <v>0</v>
      </c>
      <c r="AI273" s="4611">
        <v>3.512</v>
      </c>
      <c r="AJ273" s="4611">
        <v>0.72299999999999998</v>
      </c>
      <c r="AK273" s="4611">
        <v>0</v>
      </c>
      <c r="AL273" s="4612"/>
      <c r="AM273" s="4611">
        <v>0</v>
      </c>
      <c r="AN273" s="876">
        <f t="shared" si="8"/>
        <v>63.05</v>
      </c>
      <c r="AO273" s="877">
        <v>61.997</v>
      </c>
      <c r="AP273" s="878">
        <f t="shared" si="9"/>
        <v>1.0529999999999999</v>
      </c>
    </row>
    <row r="274" spans="1:42" ht="13.8">
      <c r="A274" s="873">
        <v>496</v>
      </c>
      <c r="B274" s="874">
        <v>20</v>
      </c>
      <c r="C274" s="875">
        <v>28.201000000000001</v>
      </c>
      <c r="D274" s="875">
        <v>0</v>
      </c>
      <c r="E274" s="875">
        <v>0.25</v>
      </c>
      <c r="F274" s="875">
        <v>0</v>
      </c>
      <c r="G274" s="875">
        <v>0</v>
      </c>
      <c r="H274" s="875">
        <v>0</v>
      </c>
      <c r="I274" s="875">
        <v>0</v>
      </c>
      <c r="J274" s="875">
        <v>0</v>
      </c>
      <c r="K274" s="875">
        <v>0</v>
      </c>
      <c r="L274" s="875">
        <v>0</v>
      </c>
      <c r="M274" s="875">
        <v>0</v>
      </c>
      <c r="N274" s="875">
        <v>0</v>
      </c>
      <c r="O274" s="875">
        <v>0</v>
      </c>
      <c r="P274" s="875">
        <v>0</v>
      </c>
      <c r="Q274" s="875">
        <v>0</v>
      </c>
      <c r="R274" s="875">
        <v>0</v>
      </c>
      <c r="S274" s="875"/>
      <c r="T274" s="875">
        <v>0</v>
      </c>
      <c r="U274" s="4611">
        <v>20</v>
      </c>
      <c r="V274" s="4608">
        <v>26.699000000000002</v>
      </c>
      <c r="W274" s="4608">
        <v>0</v>
      </c>
      <c r="X274" s="4611">
        <v>2.25</v>
      </c>
      <c r="Y274" s="4611">
        <v>0</v>
      </c>
      <c r="Z274" s="4611">
        <v>0</v>
      </c>
      <c r="AA274" s="4611">
        <v>0</v>
      </c>
      <c r="AB274" s="4611">
        <v>0</v>
      </c>
      <c r="AC274" s="4611">
        <v>0</v>
      </c>
      <c r="AD274" s="4611">
        <v>0</v>
      </c>
      <c r="AE274" s="4611">
        <v>0</v>
      </c>
      <c r="AF274" s="4611">
        <v>0</v>
      </c>
      <c r="AG274" s="4611">
        <v>0</v>
      </c>
      <c r="AH274" s="4611">
        <v>0</v>
      </c>
      <c r="AI274" s="4611">
        <v>0</v>
      </c>
      <c r="AJ274" s="4611">
        <v>0</v>
      </c>
      <c r="AK274" s="4611">
        <v>0</v>
      </c>
      <c r="AL274" s="4612"/>
      <c r="AM274" s="4611">
        <v>0</v>
      </c>
      <c r="AN274" s="876">
        <f t="shared" si="8"/>
        <v>48.948999999999998</v>
      </c>
      <c r="AO274" s="877">
        <v>48.451000000000001</v>
      </c>
      <c r="AP274" s="878">
        <f t="shared" si="9"/>
        <v>0.498</v>
      </c>
    </row>
    <row r="275" spans="1:42" ht="13.8">
      <c r="A275" s="873">
        <v>497</v>
      </c>
      <c r="B275" s="874">
        <v>20</v>
      </c>
      <c r="C275" s="875">
        <v>14.095000000000001</v>
      </c>
      <c r="D275" s="875">
        <v>0.245</v>
      </c>
      <c r="E275" s="875">
        <v>7.8339999999999996</v>
      </c>
      <c r="F275" s="875">
        <v>0</v>
      </c>
      <c r="G275" s="875">
        <v>0</v>
      </c>
      <c r="H275" s="875">
        <v>9.9260000000000002</v>
      </c>
      <c r="I275" s="875">
        <v>0</v>
      </c>
      <c r="J275" s="875">
        <v>0</v>
      </c>
      <c r="K275" s="875">
        <v>0</v>
      </c>
      <c r="L275" s="875">
        <v>0</v>
      </c>
      <c r="M275" s="875">
        <v>0</v>
      </c>
      <c r="N275" s="875">
        <v>0</v>
      </c>
      <c r="O275" s="875">
        <v>0</v>
      </c>
      <c r="P275" s="875">
        <v>0</v>
      </c>
      <c r="Q275" s="875">
        <v>0</v>
      </c>
      <c r="R275" s="875">
        <v>0</v>
      </c>
      <c r="S275" s="875"/>
      <c r="T275" s="875">
        <v>0.88400000000000001</v>
      </c>
      <c r="U275" s="4611">
        <v>20</v>
      </c>
      <c r="V275" s="4608">
        <v>14.27</v>
      </c>
      <c r="W275" s="4608">
        <v>0.29699999999999999</v>
      </c>
      <c r="X275" s="4611">
        <v>7.9009999999999998</v>
      </c>
      <c r="Y275" s="4611">
        <v>0</v>
      </c>
      <c r="Z275" s="4611">
        <v>0</v>
      </c>
      <c r="AA275" s="4611">
        <v>9.8249999999999993</v>
      </c>
      <c r="AB275" s="4611">
        <v>0</v>
      </c>
      <c r="AC275" s="4611">
        <v>0</v>
      </c>
      <c r="AD275" s="4611">
        <v>0</v>
      </c>
      <c r="AE275" s="4611">
        <v>0</v>
      </c>
      <c r="AF275" s="4611">
        <v>0</v>
      </c>
      <c r="AG275" s="4611">
        <v>0</v>
      </c>
      <c r="AH275" s="4611">
        <v>0</v>
      </c>
      <c r="AI275" s="4611">
        <v>0</v>
      </c>
      <c r="AJ275" s="4611">
        <v>0</v>
      </c>
      <c r="AK275" s="4611">
        <v>0</v>
      </c>
      <c r="AL275" s="4612"/>
      <c r="AM275" s="4611">
        <v>0.82899999999999996</v>
      </c>
      <c r="AN275" s="876">
        <f t="shared" si="8"/>
        <v>53.122</v>
      </c>
      <c r="AO275" s="877">
        <v>52.984000000000002</v>
      </c>
      <c r="AP275" s="878">
        <f t="shared" si="9"/>
        <v>0.13800000000000001</v>
      </c>
    </row>
    <row r="276" spans="1:42" ht="13.8">
      <c r="A276" s="873">
        <v>498</v>
      </c>
      <c r="B276" s="874">
        <v>20</v>
      </c>
      <c r="C276" s="875">
        <v>19.71</v>
      </c>
      <c r="D276" s="875">
        <v>0</v>
      </c>
      <c r="E276" s="875">
        <v>7.9950000000000001</v>
      </c>
      <c r="F276" s="875">
        <v>0</v>
      </c>
      <c r="G276" s="875">
        <v>0</v>
      </c>
      <c r="H276" s="875">
        <v>4.74</v>
      </c>
      <c r="I276" s="875">
        <v>0</v>
      </c>
      <c r="J276" s="875">
        <v>0</v>
      </c>
      <c r="K276" s="875">
        <v>0</v>
      </c>
      <c r="L276" s="875">
        <v>0</v>
      </c>
      <c r="M276" s="875">
        <v>0</v>
      </c>
      <c r="N276" s="875">
        <v>0</v>
      </c>
      <c r="O276" s="875">
        <v>0</v>
      </c>
      <c r="P276" s="875">
        <v>0</v>
      </c>
      <c r="Q276" s="875">
        <v>0</v>
      </c>
      <c r="R276" s="875">
        <v>0</v>
      </c>
      <c r="S276" s="875"/>
      <c r="T276" s="875">
        <v>0</v>
      </c>
      <c r="U276" s="4611">
        <v>20</v>
      </c>
      <c r="V276" s="4608">
        <v>20.132000000000001</v>
      </c>
      <c r="W276" s="4608">
        <v>0</v>
      </c>
      <c r="X276" s="4611">
        <v>7.9960000000000004</v>
      </c>
      <c r="Y276" s="4611">
        <v>0</v>
      </c>
      <c r="Z276" s="4611">
        <v>0</v>
      </c>
      <c r="AA276" s="4611">
        <v>4.226</v>
      </c>
      <c r="AB276" s="4611">
        <v>0</v>
      </c>
      <c r="AC276" s="4611">
        <v>0</v>
      </c>
      <c r="AD276" s="4611">
        <v>0</v>
      </c>
      <c r="AE276" s="4611">
        <v>0</v>
      </c>
      <c r="AF276" s="4611">
        <v>0</v>
      </c>
      <c r="AG276" s="4611">
        <v>0</v>
      </c>
      <c r="AH276" s="4611">
        <v>0</v>
      </c>
      <c r="AI276" s="4611">
        <v>0</v>
      </c>
      <c r="AJ276" s="4611">
        <v>0</v>
      </c>
      <c r="AK276" s="4611">
        <v>0</v>
      </c>
      <c r="AL276" s="4612"/>
      <c r="AM276" s="4611">
        <v>0</v>
      </c>
      <c r="AN276" s="876">
        <f t="shared" si="8"/>
        <v>52.353999999999999</v>
      </c>
      <c r="AO276" s="877">
        <v>52.445</v>
      </c>
      <c r="AP276" s="878">
        <f t="shared" si="9"/>
        <v>-9.0999999999999998E-2</v>
      </c>
    </row>
    <row r="277" spans="1:42" ht="13.8">
      <c r="A277" s="873">
        <v>499</v>
      </c>
      <c r="B277" s="874">
        <v>20</v>
      </c>
      <c r="C277" s="875">
        <v>16.687000000000001</v>
      </c>
      <c r="D277" s="875">
        <v>0</v>
      </c>
      <c r="E277" s="875">
        <v>7.5149999999999997</v>
      </c>
      <c r="F277" s="875">
        <v>0</v>
      </c>
      <c r="G277" s="875">
        <v>0</v>
      </c>
      <c r="H277" s="875">
        <v>9.2240000000000002</v>
      </c>
      <c r="I277" s="875">
        <v>0</v>
      </c>
      <c r="J277" s="875">
        <v>0</v>
      </c>
      <c r="K277" s="875">
        <v>0</v>
      </c>
      <c r="L277" s="875">
        <v>0</v>
      </c>
      <c r="M277" s="875">
        <v>1.002</v>
      </c>
      <c r="N277" s="875">
        <v>0</v>
      </c>
      <c r="O277" s="875">
        <v>0</v>
      </c>
      <c r="P277" s="875">
        <v>0</v>
      </c>
      <c r="Q277" s="875">
        <v>0</v>
      </c>
      <c r="R277" s="875">
        <v>0</v>
      </c>
      <c r="S277" s="875"/>
      <c r="T277" s="875">
        <v>0</v>
      </c>
      <c r="U277" s="4611">
        <v>20</v>
      </c>
      <c r="V277" s="4608">
        <v>15.683</v>
      </c>
      <c r="W277" s="4608">
        <v>0</v>
      </c>
      <c r="X277" s="4611">
        <v>8</v>
      </c>
      <c r="Y277" s="4611">
        <v>0</v>
      </c>
      <c r="Z277" s="4611">
        <v>0</v>
      </c>
      <c r="AA277" s="4611">
        <v>9.5890000000000004</v>
      </c>
      <c r="AB277" s="4611">
        <v>0</v>
      </c>
      <c r="AC277" s="4611">
        <v>0</v>
      </c>
      <c r="AD277" s="4611">
        <v>0</v>
      </c>
      <c r="AE277" s="4611">
        <v>0</v>
      </c>
      <c r="AF277" s="4611">
        <v>1.0009999999999999</v>
      </c>
      <c r="AG277" s="4611">
        <v>0</v>
      </c>
      <c r="AH277" s="4611">
        <v>0</v>
      </c>
      <c r="AI277" s="4611">
        <v>0</v>
      </c>
      <c r="AJ277" s="4611">
        <v>0</v>
      </c>
      <c r="AK277" s="4611">
        <v>0</v>
      </c>
      <c r="AL277" s="4612"/>
      <c r="AM277" s="4611">
        <v>0</v>
      </c>
      <c r="AN277" s="876">
        <f t="shared" si="8"/>
        <v>54.273000000000003</v>
      </c>
      <c r="AO277" s="877">
        <v>54.427999999999997</v>
      </c>
      <c r="AP277" s="878">
        <f t="shared" si="9"/>
        <v>-0.155</v>
      </c>
    </row>
    <row r="278" spans="1:42" ht="13.8">
      <c r="A278" s="873">
        <v>500</v>
      </c>
      <c r="B278" s="874">
        <v>20</v>
      </c>
      <c r="C278" s="875">
        <v>9.1029999999999998</v>
      </c>
      <c r="D278" s="875">
        <v>0</v>
      </c>
      <c r="E278" s="875">
        <v>8</v>
      </c>
      <c r="F278" s="875">
        <v>0</v>
      </c>
      <c r="G278" s="875">
        <v>0</v>
      </c>
      <c r="H278" s="875">
        <v>12.502000000000001</v>
      </c>
      <c r="I278" s="875">
        <v>0</v>
      </c>
      <c r="J278" s="875">
        <v>0</v>
      </c>
      <c r="K278" s="875">
        <v>0</v>
      </c>
      <c r="L278" s="875">
        <v>0</v>
      </c>
      <c r="M278" s="875">
        <v>0</v>
      </c>
      <c r="N278" s="875">
        <v>9.8089999999999993</v>
      </c>
      <c r="O278" s="875">
        <v>1.3360000000000001</v>
      </c>
      <c r="P278" s="875">
        <v>0</v>
      </c>
      <c r="Q278" s="875">
        <v>0</v>
      </c>
      <c r="R278" s="875">
        <v>0</v>
      </c>
      <c r="S278" s="875"/>
      <c r="T278" s="875">
        <v>0</v>
      </c>
      <c r="U278" s="4611">
        <v>20</v>
      </c>
      <c r="V278" s="4608">
        <v>11.468999999999999</v>
      </c>
      <c r="W278" s="4608">
        <v>0</v>
      </c>
      <c r="X278" s="4611">
        <v>8</v>
      </c>
      <c r="Y278" s="4611">
        <v>0</v>
      </c>
      <c r="Z278" s="4611">
        <v>0</v>
      </c>
      <c r="AA278" s="4611">
        <v>10.180999999999999</v>
      </c>
      <c r="AB278" s="4611">
        <v>0</v>
      </c>
      <c r="AC278" s="4611">
        <v>0</v>
      </c>
      <c r="AD278" s="4611">
        <v>0</v>
      </c>
      <c r="AE278" s="4611">
        <v>0</v>
      </c>
      <c r="AF278" s="4611">
        <v>0</v>
      </c>
      <c r="AG278" s="4611">
        <v>9.83</v>
      </c>
      <c r="AH278" s="4611">
        <v>1.3380000000000001</v>
      </c>
      <c r="AI278" s="4611">
        <v>0</v>
      </c>
      <c r="AJ278" s="4611">
        <v>0</v>
      </c>
      <c r="AK278" s="4611">
        <v>0</v>
      </c>
      <c r="AL278" s="4612"/>
      <c r="AM278" s="4611">
        <v>0</v>
      </c>
      <c r="AN278" s="876">
        <f t="shared" si="8"/>
        <v>60.817999999999998</v>
      </c>
      <c r="AO278" s="877">
        <v>60.75</v>
      </c>
      <c r="AP278" s="878">
        <f t="shared" si="9"/>
        <v>6.8000000000000005E-2</v>
      </c>
    </row>
    <row r="279" spans="1:42" ht="13.8">
      <c r="A279" s="873">
        <v>501</v>
      </c>
      <c r="B279" s="874">
        <v>20</v>
      </c>
      <c r="C279" s="875">
        <v>19.97</v>
      </c>
      <c r="D279" s="875">
        <v>0</v>
      </c>
      <c r="E279" s="875">
        <v>5.7960000000000003</v>
      </c>
      <c r="F279" s="875">
        <v>0.17699999999999999</v>
      </c>
      <c r="G279" s="875">
        <v>0</v>
      </c>
      <c r="H279" s="875">
        <v>4.62</v>
      </c>
      <c r="I279" s="875">
        <v>0</v>
      </c>
      <c r="J279" s="875">
        <v>0</v>
      </c>
      <c r="K279" s="875">
        <v>0</v>
      </c>
      <c r="L279" s="875">
        <v>0</v>
      </c>
      <c r="M279" s="875">
        <v>0</v>
      </c>
      <c r="N279" s="875">
        <v>0</v>
      </c>
      <c r="O279" s="875">
        <v>0</v>
      </c>
      <c r="P279" s="875">
        <v>0</v>
      </c>
      <c r="Q279" s="875">
        <v>0</v>
      </c>
      <c r="R279" s="875">
        <v>0</v>
      </c>
      <c r="S279" s="875"/>
      <c r="T279" s="875">
        <v>0</v>
      </c>
      <c r="U279" s="4611">
        <v>20</v>
      </c>
      <c r="V279" s="4608">
        <v>16.643999999999998</v>
      </c>
      <c r="W279" s="4608">
        <v>0</v>
      </c>
      <c r="X279" s="4611">
        <v>7.7160000000000002</v>
      </c>
      <c r="Y279" s="4611">
        <v>1.264</v>
      </c>
      <c r="Z279" s="4611">
        <v>0</v>
      </c>
      <c r="AA279" s="4611">
        <v>4.0919999999999996</v>
      </c>
      <c r="AB279" s="4611">
        <v>0</v>
      </c>
      <c r="AC279" s="4611">
        <v>0</v>
      </c>
      <c r="AD279" s="4611">
        <v>0</v>
      </c>
      <c r="AE279" s="4611">
        <v>0</v>
      </c>
      <c r="AF279" s="4611">
        <v>0</v>
      </c>
      <c r="AG279" s="4611">
        <v>0</v>
      </c>
      <c r="AH279" s="4611">
        <v>0</v>
      </c>
      <c r="AI279" s="4611">
        <v>0</v>
      </c>
      <c r="AJ279" s="4611">
        <v>0</v>
      </c>
      <c r="AK279" s="4611">
        <v>0</v>
      </c>
      <c r="AL279" s="4612"/>
      <c r="AM279" s="4611">
        <v>0</v>
      </c>
      <c r="AN279" s="876">
        <f t="shared" si="8"/>
        <v>49.716000000000001</v>
      </c>
      <c r="AO279" s="877">
        <v>50.563000000000002</v>
      </c>
      <c r="AP279" s="878">
        <f t="shared" si="9"/>
        <v>-0.84699999999999998</v>
      </c>
    </row>
    <row r="280" spans="1:42" ht="13.8">
      <c r="A280" s="873">
        <v>502</v>
      </c>
      <c r="B280" s="874">
        <v>20</v>
      </c>
      <c r="C280" s="875">
        <v>11.335000000000001</v>
      </c>
      <c r="D280" s="875">
        <v>0</v>
      </c>
      <c r="E280" s="875">
        <v>1.9910000000000001</v>
      </c>
      <c r="F280" s="875">
        <v>0</v>
      </c>
      <c r="G280" s="875">
        <v>0</v>
      </c>
      <c r="H280" s="875">
        <v>0</v>
      </c>
      <c r="I280" s="875">
        <v>0</v>
      </c>
      <c r="J280" s="875">
        <v>0</v>
      </c>
      <c r="K280" s="875">
        <v>0</v>
      </c>
      <c r="L280" s="875">
        <v>0</v>
      </c>
      <c r="M280" s="875">
        <v>0</v>
      </c>
      <c r="N280" s="875">
        <v>0</v>
      </c>
      <c r="O280" s="875">
        <v>0</v>
      </c>
      <c r="P280" s="875">
        <v>0</v>
      </c>
      <c r="Q280" s="875">
        <v>0</v>
      </c>
      <c r="R280" s="875">
        <v>0</v>
      </c>
      <c r="S280" s="875"/>
      <c r="T280" s="875">
        <v>0</v>
      </c>
      <c r="U280" s="4611">
        <v>20</v>
      </c>
      <c r="V280" s="4608">
        <v>11.157</v>
      </c>
      <c r="W280" s="4608">
        <v>0</v>
      </c>
      <c r="X280" s="4611">
        <v>2</v>
      </c>
      <c r="Y280" s="4611">
        <v>0</v>
      </c>
      <c r="Z280" s="4611">
        <v>0</v>
      </c>
      <c r="AA280" s="4611">
        <v>0</v>
      </c>
      <c r="AB280" s="4611">
        <v>0</v>
      </c>
      <c r="AC280" s="4611">
        <v>0</v>
      </c>
      <c r="AD280" s="4611">
        <v>0</v>
      </c>
      <c r="AE280" s="4611">
        <v>0</v>
      </c>
      <c r="AF280" s="4611">
        <v>0</v>
      </c>
      <c r="AG280" s="4611">
        <v>0</v>
      </c>
      <c r="AH280" s="4611">
        <v>0</v>
      </c>
      <c r="AI280" s="4611">
        <v>0</v>
      </c>
      <c r="AJ280" s="4611">
        <v>0</v>
      </c>
      <c r="AK280" s="4611">
        <v>0</v>
      </c>
      <c r="AL280" s="4612"/>
      <c r="AM280" s="4611">
        <v>0</v>
      </c>
      <c r="AN280" s="876">
        <f t="shared" si="8"/>
        <v>33.156999999999996</v>
      </c>
      <c r="AO280" s="877">
        <v>33.326000000000001</v>
      </c>
      <c r="AP280" s="878">
        <f t="shared" si="9"/>
        <v>-0.16900000000000001</v>
      </c>
    </row>
    <row r="281" spans="1:42" ht="13.8">
      <c r="A281" s="873">
        <v>503</v>
      </c>
      <c r="B281" s="874">
        <v>20</v>
      </c>
      <c r="C281" s="875">
        <v>17.869</v>
      </c>
      <c r="D281" s="875">
        <v>0</v>
      </c>
      <c r="E281" s="875">
        <v>3.9980000000000002</v>
      </c>
      <c r="F281" s="875">
        <v>0</v>
      </c>
      <c r="G281" s="875">
        <v>0</v>
      </c>
      <c r="H281" s="875">
        <v>5.673</v>
      </c>
      <c r="I281" s="875">
        <v>0</v>
      </c>
      <c r="J281" s="875">
        <v>0</v>
      </c>
      <c r="K281" s="875">
        <v>0</v>
      </c>
      <c r="L281" s="875">
        <v>0</v>
      </c>
      <c r="M281" s="875">
        <v>0</v>
      </c>
      <c r="N281" s="875">
        <v>0</v>
      </c>
      <c r="O281" s="875">
        <v>0</v>
      </c>
      <c r="P281" s="875">
        <v>5.4969999999999999</v>
      </c>
      <c r="Q281" s="875">
        <v>1</v>
      </c>
      <c r="R281" s="875">
        <v>0</v>
      </c>
      <c r="S281" s="875"/>
      <c r="T281" s="875">
        <v>0</v>
      </c>
      <c r="U281" s="4611">
        <v>20</v>
      </c>
      <c r="V281" s="4608">
        <v>16.440999999999999</v>
      </c>
      <c r="W281" s="4608">
        <v>0</v>
      </c>
      <c r="X281" s="4611">
        <v>8</v>
      </c>
      <c r="Y281" s="4611">
        <v>0</v>
      </c>
      <c r="Z281" s="4611">
        <v>0</v>
      </c>
      <c r="AA281" s="4611">
        <v>0</v>
      </c>
      <c r="AB281" s="4611">
        <v>0</v>
      </c>
      <c r="AC281" s="4611">
        <v>0</v>
      </c>
      <c r="AD281" s="4611">
        <v>0</v>
      </c>
      <c r="AE281" s="4611">
        <v>0</v>
      </c>
      <c r="AF281" s="4611">
        <v>0</v>
      </c>
      <c r="AG281" s="4611">
        <v>0</v>
      </c>
      <c r="AH281" s="4611">
        <v>0</v>
      </c>
      <c r="AI281" s="4611">
        <v>6.5</v>
      </c>
      <c r="AJ281" s="4611">
        <v>1</v>
      </c>
      <c r="AK281" s="4611">
        <v>0</v>
      </c>
      <c r="AL281" s="4612"/>
      <c r="AM281" s="4611">
        <v>0</v>
      </c>
      <c r="AN281" s="876">
        <f t="shared" si="8"/>
        <v>51.941000000000003</v>
      </c>
      <c r="AO281" s="877">
        <v>54.036999999999999</v>
      </c>
      <c r="AP281" s="878">
        <f t="shared" si="9"/>
        <v>-2.0960000000000001</v>
      </c>
    </row>
    <row r="282" spans="1:42" ht="13.8">
      <c r="A282" s="873">
        <v>504</v>
      </c>
      <c r="B282" s="874">
        <v>20</v>
      </c>
      <c r="C282" s="875">
        <v>18.215</v>
      </c>
      <c r="D282" s="875">
        <v>0</v>
      </c>
      <c r="E282" s="875">
        <v>8</v>
      </c>
      <c r="F282" s="875">
        <v>0</v>
      </c>
      <c r="G282" s="875">
        <v>0</v>
      </c>
      <c r="H282" s="875">
        <v>5.1420000000000003</v>
      </c>
      <c r="I282" s="875">
        <v>0</v>
      </c>
      <c r="J282" s="875">
        <v>0</v>
      </c>
      <c r="K282" s="875">
        <v>0</v>
      </c>
      <c r="L282" s="875">
        <v>0</v>
      </c>
      <c r="M282" s="875">
        <v>0</v>
      </c>
      <c r="N282" s="875">
        <v>0</v>
      </c>
      <c r="O282" s="875">
        <v>0</v>
      </c>
      <c r="P282" s="875">
        <v>2</v>
      </c>
      <c r="Q282" s="875">
        <v>0</v>
      </c>
      <c r="R282" s="875">
        <v>0</v>
      </c>
      <c r="S282" s="875"/>
      <c r="T282" s="875">
        <v>0</v>
      </c>
      <c r="U282" s="4611">
        <v>20</v>
      </c>
      <c r="V282" s="4608">
        <v>18.045999999999999</v>
      </c>
      <c r="W282" s="4608">
        <v>0</v>
      </c>
      <c r="X282" s="4611">
        <v>8</v>
      </c>
      <c r="Y282" s="4611">
        <v>0</v>
      </c>
      <c r="Z282" s="4611">
        <v>0</v>
      </c>
      <c r="AA282" s="4611">
        <v>5.1150000000000002</v>
      </c>
      <c r="AB282" s="4611">
        <v>0</v>
      </c>
      <c r="AC282" s="4611">
        <v>0</v>
      </c>
      <c r="AD282" s="4611">
        <v>0</v>
      </c>
      <c r="AE282" s="4611">
        <v>0</v>
      </c>
      <c r="AF282" s="4611">
        <v>0</v>
      </c>
      <c r="AG282" s="4611">
        <v>0</v>
      </c>
      <c r="AH282" s="4611">
        <v>0</v>
      </c>
      <c r="AI282" s="4611">
        <v>2</v>
      </c>
      <c r="AJ282" s="4611">
        <v>0</v>
      </c>
      <c r="AK282" s="4611">
        <v>0</v>
      </c>
      <c r="AL282" s="4612"/>
      <c r="AM282" s="4611">
        <v>0</v>
      </c>
      <c r="AN282" s="876">
        <f t="shared" si="8"/>
        <v>53.161000000000001</v>
      </c>
      <c r="AO282" s="877">
        <v>53.356999999999999</v>
      </c>
      <c r="AP282" s="878">
        <f t="shared" si="9"/>
        <v>-0.19600000000000001</v>
      </c>
    </row>
    <row r="283" spans="1:42" ht="13.8">
      <c r="A283" s="873">
        <v>505</v>
      </c>
      <c r="B283" s="874">
        <v>20</v>
      </c>
      <c r="C283" s="875">
        <v>22.318999999999999</v>
      </c>
      <c r="D283" s="875">
        <v>0</v>
      </c>
      <c r="E283" s="875">
        <v>7.9649999999999999</v>
      </c>
      <c r="F283" s="875">
        <v>0</v>
      </c>
      <c r="G283" s="875">
        <v>0</v>
      </c>
      <c r="H283" s="875">
        <v>7.6890000000000001</v>
      </c>
      <c r="I283" s="875">
        <v>0</v>
      </c>
      <c r="J283" s="875">
        <v>0</v>
      </c>
      <c r="K283" s="875">
        <v>0</v>
      </c>
      <c r="L283" s="875">
        <v>0</v>
      </c>
      <c r="M283" s="875">
        <v>0</v>
      </c>
      <c r="N283" s="875">
        <v>0</v>
      </c>
      <c r="O283" s="875">
        <v>0</v>
      </c>
      <c r="P283" s="875">
        <v>0.996</v>
      </c>
      <c r="Q283" s="875">
        <v>0</v>
      </c>
      <c r="R283" s="875">
        <v>0</v>
      </c>
      <c r="S283" s="875"/>
      <c r="T283" s="875">
        <v>0</v>
      </c>
      <c r="U283" s="4611">
        <v>20</v>
      </c>
      <c r="V283" s="4608">
        <v>18.937000000000001</v>
      </c>
      <c r="W283" s="4608">
        <v>0</v>
      </c>
      <c r="X283" s="4611">
        <v>8</v>
      </c>
      <c r="Y283" s="4611">
        <v>0</v>
      </c>
      <c r="Z283" s="4611">
        <v>0</v>
      </c>
      <c r="AA283" s="4611">
        <v>9.5169999999999995</v>
      </c>
      <c r="AB283" s="4611">
        <v>0</v>
      </c>
      <c r="AC283" s="4611">
        <v>0</v>
      </c>
      <c r="AD283" s="4611">
        <v>0</v>
      </c>
      <c r="AE283" s="4611">
        <v>0</v>
      </c>
      <c r="AF283" s="4611">
        <v>0</v>
      </c>
      <c r="AG283" s="4611">
        <v>0</v>
      </c>
      <c r="AH283" s="4611">
        <v>0</v>
      </c>
      <c r="AI283" s="4611">
        <v>1</v>
      </c>
      <c r="AJ283" s="4611">
        <v>0</v>
      </c>
      <c r="AK283" s="4611">
        <v>0</v>
      </c>
      <c r="AL283" s="4612"/>
      <c r="AM283" s="4611">
        <v>0</v>
      </c>
      <c r="AN283" s="876">
        <f t="shared" si="8"/>
        <v>57.454000000000001</v>
      </c>
      <c r="AO283" s="877">
        <v>58.969000000000001</v>
      </c>
      <c r="AP283" s="878">
        <f t="shared" si="9"/>
        <v>-1.5149999999999999</v>
      </c>
    </row>
    <row r="284" spans="1:42" ht="13.8">
      <c r="A284" s="873">
        <v>506</v>
      </c>
      <c r="B284" s="874">
        <v>20</v>
      </c>
      <c r="C284" s="875">
        <v>14.733000000000001</v>
      </c>
      <c r="D284" s="875">
        <v>0</v>
      </c>
      <c r="E284" s="875">
        <v>7.9850000000000003</v>
      </c>
      <c r="F284" s="875">
        <v>0</v>
      </c>
      <c r="G284" s="875">
        <v>0</v>
      </c>
      <c r="H284" s="875">
        <v>6.7729999999999997</v>
      </c>
      <c r="I284" s="875">
        <v>0</v>
      </c>
      <c r="J284" s="875">
        <v>0</v>
      </c>
      <c r="K284" s="875">
        <v>0</v>
      </c>
      <c r="L284" s="875">
        <v>0</v>
      </c>
      <c r="M284" s="875">
        <v>0</v>
      </c>
      <c r="N284" s="875">
        <v>0</v>
      </c>
      <c r="O284" s="875">
        <v>0</v>
      </c>
      <c r="P284" s="875">
        <v>0</v>
      </c>
      <c r="Q284" s="875">
        <v>0</v>
      </c>
      <c r="R284" s="875">
        <v>0</v>
      </c>
      <c r="S284" s="875"/>
      <c r="T284" s="875">
        <v>0</v>
      </c>
      <c r="U284" s="4611">
        <v>20</v>
      </c>
      <c r="V284" s="4608">
        <v>13.471</v>
      </c>
      <c r="W284" s="4608">
        <v>0</v>
      </c>
      <c r="X284" s="4611">
        <v>7.9980000000000002</v>
      </c>
      <c r="Y284" s="4611">
        <v>0</v>
      </c>
      <c r="Z284" s="4611">
        <v>0</v>
      </c>
      <c r="AA284" s="4611">
        <v>6.9889999999999999</v>
      </c>
      <c r="AB284" s="4611">
        <v>0</v>
      </c>
      <c r="AC284" s="4611">
        <v>0</v>
      </c>
      <c r="AD284" s="4611">
        <v>0</v>
      </c>
      <c r="AE284" s="4611">
        <v>0</v>
      </c>
      <c r="AF284" s="4611">
        <v>0</v>
      </c>
      <c r="AG284" s="4611">
        <v>0</v>
      </c>
      <c r="AH284" s="4611">
        <v>0</v>
      </c>
      <c r="AI284" s="4611">
        <v>0</v>
      </c>
      <c r="AJ284" s="4611">
        <v>0</v>
      </c>
      <c r="AK284" s="4611">
        <v>0</v>
      </c>
      <c r="AL284" s="4612"/>
      <c r="AM284" s="4611">
        <v>0</v>
      </c>
      <c r="AN284" s="876">
        <f t="shared" si="8"/>
        <v>48.457999999999998</v>
      </c>
      <c r="AO284" s="877">
        <v>49.491</v>
      </c>
      <c r="AP284" s="878">
        <f t="shared" si="9"/>
        <v>-1.0329999999999999</v>
      </c>
    </row>
    <row r="285" spans="1:42" ht="13.8">
      <c r="A285" s="873">
        <v>507</v>
      </c>
      <c r="B285" s="874">
        <v>20</v>
      </c>
      <c r="C285" s="875">
        <v>12.195</v>
      </c>
      <c r="D285" s="875">
        <v>0</v>
      </c>
      <c r="E285" s="875">
        <v>7.9359999999999999</v>
      </c>
      <c r="F285" s="875">
        <v>0</v>
      </c>
      <c r="G285" s="875">
        <v>0</v>
      </c>
      <c r="H285" s="875">
        <v>0</v>
      </c>
      <c r="I285" s="875">
        <v>0</v>
      </c>
      <c r="J285" s="875">
        <v>0</v>
      </c>
      <c r="K285" s="875">
        <v>0</v>
      </c>
      <c r="L285" s="875">
        <v>0</v>
      </c>
      <c r="M285" s="875">
        <v>0</v>
      </c>
      <c r="N285" s="875">
        <v>0</v>
      </c>
      <c r="O285" s="875">
        <v>0</v>
      </c>
      <c r="P285" s="875">
        <v>1.984</v>
      </c>
      <c r="Q285" s="875">
        <v>0</v>
      </c>
      <c r="R285" s="875">
        <v>0</v>
      </c>
      <c r="S285" s="875"/>
      <c r="T285" s="875">
        <v>0</v>
      </c>
      <c r="U285" s="4611">
        <v>20</v>
      </c>
      <c r="V285" s="4608">
        <v>24.887</v>
      </c>
      <c r="W285" s="4608">
        <v>0</v>
      </c>
      <c r="X285" s="4611">
        <v>7.915</v>
      </c>
      <c r="Y285" s="4611">
        <v>0</v>
      </c>
      <c r="Z285" s="4611">
        <v>0</v>
      </c>
      <c r="AA285" s="4611">
        <v>0</v>
      </c>
      <c r="AB285" s="4611">
        <v>0</v>
      </c>
      <c r="AC285" s="4611">
        <v>0</v>
      </c>
      <c r="AD285" s="4611">
        <v>0</v>
      </c>
      <c r="AE285" s="4611">
        <v>0</v>
      </c>
      <c r="AF285" s="4611">
        <v>0</v>
      </c>
      <c r="AG285" s="4611">
        <v>0</v>
      </c>
      <c r="AH285" s="4611">
        <v>0</v>
      </c>
      <c r="AI285" s="4611">
        <v>1.98</v>
      </c>
      <c r="AJ285" s="4611">
        <v>0</v>
      </c>
      <c r="AK285" s="4611">
        <v>0</v>
      </c>
      <c r="AL285" s="4612"/>
      <c r="AM285" s="4611">
        <v>0</v>
      </c>
      <c r="AN285" s="876">
        <f t="shared" si="8"/>
        <v>54.781999999999996</v>
      </c>
      <c r="AO285" s="877">
        <v>42.115000000000002</v>
      </c>
      <c r="AP285" s="878">
        <f t="shared" si="9"/>
        <v>12.667</v>
      </c>
    </row>
    <row r="286" spans="1:42" ht="13.8">
      <c r="A286" s="873">
        <v>508</v>
      </c>
      <c r="B286" s="874">
        <v>20</v>
      </c>
      <c r="C286" s="875">
        <v>17.001999999999999</v>
      </c>
      <c r="D286" s="875">
        <v>0</v>
      </c>
      <c r="E286" s="875">
        <v>7.9729999999999999</v>
      </c>
      <c r="F286" s="875">
        <v>0</v>
      </c>
      <c r="G286" s="875">
        <v>0</v>
      </c>
      <c r="H286" s="875">
        <v>7.0250000000000004</v>
      </c>
      <c r="I286" s="875">
        <v>0</v>
      </c>
      <c r="J286" s="875">
        <v>0</v>
      </c>
      <c r="K286" s="875">
        <v>0</v>
      </c>
      <c r="L286" s="875">
        <v>0</v>
      </c>
      <c r="M286" s="875">
        <v>0</v>
      </c>
      <c r="N286" s="875">
        <v>0</v>
      </c>
      <c r="O286" s="875">
        <v>0</v>
      </c>
      <c r="P286" s="875">
        <v>0</v>
      </c>
      <c r="Q286" s="875">
        <v>0</v>
      </c>
      <c r="R286" s="875">
        <v>0</v>
      </c>
      <c r="S286" s="875"/>
      <c r="T286" s="875">
        <v>0</v>
      </c>
      <c r="U286" s="4611">
        <v>20</v>
      </c>
      <c r="V286" s="4608">
        <v>13.193</v>
      </c>
      <c r="W286" s="4608">
        <v>0</v>
      </c>
      <c r="X286" s="4611">
        <v>7.5919999999999996</v>
      </c>
      <c r="Y286" s="4611">
        <v>0</v>
      </c>
      <c r="Z286" s="4611">
        <v>0</v>
      </c>
      <c r="AA286" s="4611">
        <v>9.8219999999999992</v>
      </c>
      <c r="AB286" s="4611">
        <v>0</v>
      </c>
      <c r="AC286" s="4611">
        <v>0</v>
      </c>
      <c r="AD286" s="4611">
        <v>0</v>
      </c>
      <c r="AE286" s="4611">
        <v>0</v>
      </c>
      <c r="AF286" s="4611">
        <v>0</v>
      </c>
      <c r="AG286" s="4611">
        <v>0</v>
      </c>
      <c r="AH286" s="4611">
        <v>0</v>
      </c>
      <c r="AI286" s="4611">
        <v>0</v>
      </c>
      <c r="AJ286" s="4611">
        <v>0</v>
      </c>
      <c r="AK286" s="4611">
        <v>0</v>
      </c>
      <c r="AL286" s="4612"/>
      <c r="AM286" s="4611">
        <v>0</v>
      </c>
      <c r="AN286" s="876">
        <f t="shared" si="8"/>
        <v>50.606999999999999</v>
      </c>
      <c r="AO286" s="877">
        <v>52</v>
      </c>
      <c r="AP286" s="878">
        <f t="shared" si="9"/>
        <v>-1.393</v>
      </c>
    </row>
    <row r="287" spans="1:42" ht="13.8">
      <c r="A287" s="873">
        <v>509</v>
      </c>
      <c r="B287" s="874">
        <v>20</v>
      </c>
      <c r="C287" s="875">
        <v>23.527999999999999</v>
      </c>
      <c r="D287" s="875">
        <v>0</v>
      </c>
      <c r="E287" s="875">
        <v>7.9889999999999999</v>
      </c>
      <c r="F287" s="875">
        <v>0</v>
      </c>
      <c r="G287" s="875">
        <v>0</v>
      </c>
      <c r="H287" s="875">
        <v>0</v>
      </c>
      <c r="I287" s="875">
        <v>0</v>
      </c>
      <c r="J287" s="875">
        <v>0</v>
      </c>
      <c r="K287" s="875">
        <v>0</v>
      </c>
      <c r="L287" s="875">
        <v>0</v>
      </c>
      <c r="M287" s="875">
        <v>0</v>
      </c>
      <c r="N287" s="875">
        <v>0</v>
      </c>
      <c r="O287" s="875">
        <v>0</v>
      </c>
      <c r="P287" s="875">
        <v>0</v>
      </c>
      <c r="Q287" s="875">
        <v>0</v>
      </c>
      <c r="R287" s="875">
        <v>0</v>
      </c>
      <c r="S287" s="875"/>
      <c r="T287" s="875">
        <v>0</v>
      </c>
      <c r="U287" s="4611">
        <v>20</v>
      </c>
      <c r="V287" s="4608">
        <v>27.164000000000001</v>
      </c>
      <c r="W287" s="4608">
        <v>0</v>
      </c>
      <c r="X287" s="4611">
        <v>7.9939999999999998</v>
      </c>
      <c r="Y287" s="4611">
        <v>0</v>
      </c>
      <c r="Z287" s="4611">
        <v>0</v>
      </c>
      <c r="AA287" s="4611">
        <v>0</v>
      </c>
      <c r="AB287" s="4611">
        <v>0</v>
      </c>
      <c r="AC287" s="4611">
        <v>0</v>
      </c>
      <c r="AD287" s="4611">
        <v>0</v>
      </c>
      <c r="AE287" s="4611">
        <v>0</v>
      </c>
      <c r="AF287" s="4611">
        <v>0</v>
      </c>
      <c r="AG287" s="4611">
        <v>0</v>
      </c>
      <c r="AH287" s="4611">
        <v>0</v>
      </c>
      <c r="AI287" s="4611">
        <v>0</v>
      </c>
      <c r="AJ287" s="4611">
        <v>0</v>
      </c>
      <c r="AK287" s="4611">
        <v>0</v>
      </c>
      <c r="AL287" s="4612"/>
      <c r="AM287" s="4611">
        <v>0</v>
      </c>
      <c r="AN287" s="876">
        <f t="shared" si="8"/>
        <v>55.158000000000001</v>
      </c>
      <c r="AO287" s="877">
        <v>51.517000000000003</v>
      </c>
      <c r="AP287" s="878">
        <f t="shared" si="9"/>
        <v>3.641</v>
      </c>
    </row>
    <row r="288" spans="1:42" ht="13.8">
      <c r="A288" s="873">
        <v>511</v>
      </c>
      <c r="B288" s="874">
        <v>20</v>
      </c>
      <c r="C288" s="875">
        <v>23.24</v>
      </c>
      <c r="D288" s="875">
        <v>0</v>
      </c>
      <c r="E288" s="875">
        <v>7.9279999999999999</v>
      </c>
      <c r="F288" s="875">
        <v>0</v>
      </c>
      <c r="G288" s="875">
        <v>0</v>
      </c>
      <c r="H288" s="875">
        <v>0</v>
      </c>
      <c r="I288" s="875">
        <v>0</v>
      </c>
      <c r="J288" s="875">
        <v>0</v>
      </c>
      <c r="K288" s="875">
        <v>0</v>
      </c>
      <c r="L288" s="875">
        <v>0</v>
      </c>
      <c r="M288" s="875">
        <v>0</v>
      </c>
      <c r="N288" s="875">
        <v>0</v>
      </c>
      <c r="O288" s="875">
        <v>0</v>
      </c>
      <c r="P288" s="875">
        <v>0</v>
      </c>
      <c r="Q288" s="875">
        <v>0</v>
      </c>
      <c r="R288" s="875">
        <v>0</v>
      </c>
      <c r="S288" s="875"/>
      <c r="T288" s="875">
        <v>0</v>
      </c>
      <c r="U288" s="4611">
        <v>20</v>
      </c>
      <c r="V288" s="4608">
        <v>22.085000000000001</v>
      </c>
      <c r="W288" s="4608">
        <v>0</v>
      </c>
      <c r="X288" s="4611">
        <v>7.8339999999999996</v>
      </c>
      <c r="Y288" s="4611">
        <v>0</v>
      </c>
      <c r="Z288" s="4611">
        <v>0</v>
      </c>
      <c r="AA288" s="4611">
        <v>0</v>
      </c>
      <c r="AB288" s="4611">
        <v>0</v>
      </c>
      <c r="AC288" s="4611">
        <v>0</v>
      </c>
      <c r="AD288" s="4611">
        <v>0</v>
      </c>
      <c r="AE288" s="4611">
        <v>0</v>
      </c>
      <c r="AF288" s="4611">
        <v>0</v>
      </c>
      <c r="AG288" s="4611">
        <v>0</v>
      </c>
      <c r="AH288" s="4611">
        <v>0</v>
      </c>
      <c r="AI288" s="4611">
        <v>0</v>
      </c>
      <c r="AJ288" s="4611">
        <v>0</v>
      </c>
      <c r="AK288" s="4611">
        <v>0</v>
      </c>
      <c r="AL288" s="4612"/>
      <c r="AM288" s="4611">
        <v>0</v>
      </c>
      <c r="AN288" s="876">
        <f t="shared" si="8"/>
        <v>49.918999999999997</v>
      </c>
      <c r="AO288" s="877">
        <v>51.167999999999999</v>
      </c>
      <c r="AP288" s="878">
        <f t="shared" si="9"/>
        <v>-1.2490000000000001</v>
      </c>
    </row>
    <row r="289" spans="1:42" ht="13.8">
      <c r="A289" s="873">
        <v>512</v>
      </c>
      <c r="B289" s="874">
        <v>20</v>
      </c>
      <c r="C289" s="4613">
        <v>14.492000000000001</v>
      </c>
      <c r="D289" s="4614">
        <v>0</v>
      </c>
      <c r="E289" s="4614">
        <v>8</v>
      </c>
      <c r="F289" s="4614">
        <v>0.16</v>
      </c>
      <c r="G289" s="875">
        <v>0</v>
      </c>
      <c r="H289" s="875">
        <v>7.4359999999999999</v>
      </c>
      <c r="I289" s="875">
        <v>0</v>
      </c>
      <c r="J289" s="875">
        <v>0</v>
      </c>
      <c r="K289" s="875">
        <v>8.8999999999999996E-2</v>
      </c>
      <c r="L289" s="875">
        <v>0</v>
      </c>
      <c r="M289" s="875">
        <v>0</v>
      </c>
      <c r="N289" s="875">
        <v>0</v>
      </c>
      <c r="O289" s="875">
        <v>0</v>
      </c>
      <c r="P289" s="875">
        <v>0</v>
      </c>
      <c r="Q289" s="875">
        <v>0</v>
      </c>
      <c r="R289" s="875">
        <v>0</v>
      </c>
      <c r="S289" s="875"/>
      <c r="T289" s="4613">
        <v>1.944</v>
      </c>
      <c r="U289" s="4611">
        <v>20</v>
      </c>
      <c r="V289" s="4608">
        <v>14.603</v>
      </c>
      <c r="W289" s="4608">
        <v>0</v>
      </c>
      <c r="X289" s="4611">
        <v>8</v>
      </c>
      <c r="Y289" s="4611">
        <v>0.14699999999999999</v>
      </c>
      <c r="Z289" s="4611">
        <v>0</v>
      </c>
      <c r="AA289" s="4611">
        <v>7.4370000000000003</v>
      </c>
      <c r="AB289" s="4611">
        <v>0</v>
      </c>
      <c r="AC289" s="4611">
        <v>0</v>
      </c>
      <c r="AD289" s="4611">
        <v>0.13100000000000001</v>
      </c>
      <c r="AE289" s="4611">
        <v>0</v>
      </c>
      <c r="AF289" s="4611">
        <v>0</v>
      </c>
      <c r="AG289" s="4611">
        <v>0</v>
      </c>
      <c r="AH289" s="4611">
        <v>0</v>
      </c>
      <c r="AI289" s="4611">
        <v>0</v>
      </c>
      <c r="AJ289" s="4611">
        <v>0</v>
      </c>
      <c r="AK289" s="4611">
        <v>0</v>
      </c>
      <c r="AL289" s="4614"/>
      <c r="AM289" s="4611">
        <v>2.0329999999999999</v>
      </c>
      <c r="AN289" s="876">
        <f t="shared" si="8"/>
        <v>52.350999999999999</v>
      </c>
      <c r="AO289" s="877">
        <v>52.121000000000002</v>
      </c>
      <c r="AP289" s="878">
        <f t="shared" si="9"/>
        <v>0.23</v>
      </c>
    </row>
    <row r="290" spans="1:42">
      <c r="C290" s="317"/>
      <c r="D290" s="317"/>
      <c r="E290" s="317"/>
      <c r="F290" s="317"/>
      <c r="G290" s="317"/>
      <c r="H290" s="317"/>
      <c r="I290" s="317"/>
      <c r="J290" s="317"/>
      <c r="K290" s="317"/>
      <c r="L290" s="317"/>
      <c r="M290" s="317"/>
      <c r="N290" s="317"/>
      <c r="O290" s="317"/>
      <c r="P290" s="317"/>
      <c r="Q290" s="317"/>
      <c r="R290" s="317"/>
      <c r="S290" s="317"/>
      <c r="T290" s="317"/>
      <c r="U290" s="317"/>
      <c r="V290" s="317"/>
      <c r="W290" s="317"/>
      <c r="X290" s="317"/>
      <c r="Y290" s="317"/>
      <c r="Z290" s="317"/>
      <c r="AA290" s="317"/>
      <c r="AB290" s="317"/>
      <c r="AC290" s="317"/>
      <c r="AD290" s="317"/>
      <c r="AE290" s="317"/>
      <c r="AF290" s="317"/>
      <c r="AG290" s="317"/>
      <c r="AH290" s="317"/>
      <c r="AI290" s="317"/>
      <c r="AJ290" s="317"/>
      <c r="AK290" s="317"/>
      <c r="AL290" s="317"/>
      <c r="AM290" s="317"/>
    </row>
    <row r="291" spans="1:42">
      <c r="C291" s="317"/>
      <c r="D291" s="317"/>
      <c r="E291" s="317"/>
      <c r="F291" s="317"/>
      <c r="G291" s="317"/>
      <c r="H291" s="317"/>
      <c r="I291" s="317"/>
      <c r="J291" s="317"/>
      <c r="K291" s="317"/>
      <c r="L291" s="317"/>
      <c r="M291" s="317"/>
      <c r="N291" s="317"/>
      <c r="O291" s="317"/>
      <c r="P291" s="317"/>
      <c r="Q291" s="317"/>
      <c r="R291" s="317"/>
      <c r="S291" s="317"/>
      <c r="T291" s="317"/>
      <c r="U291" s="317"/>
      <c r="V291" s="317"/>
      <c r="W291" s="317"/>
      <c r="X291" s="317"/>
      <c r="Y291" s="317"/>
      <c r="Z291" s="317"/>
      <c r="AA291" s="317"/>
      <c r="AB291" s="317"/>
      <c r="AC291" s="317"/>
      <c r="AD291" s="317"/>
      <c r="AE291" s="317"/>
      <c r="AF291" s="317"/>
      <c r="AG291" s="317"/>
      <c r="AH291" s="317"/>
      <c r="AI291" s="317"/>
      <c r="AJ291" s="317"/>
      <c r="AK291" s="317"/>
      <c r="AL291" s="317"/>
      <c r="AM291" s="317"/>
    </row>
    <row r="292" spans="1:42">
      <c r="C292" s="317"/>
      <c r="D292" s="317"/>
      <c r="E292" s="317"/>
      <c r="F292" s="317"/>
      <c r="G292" s="317"/>
      <c r="H292" s="317"/>
      <c r="I292" s="317"/>
      <c r="J292" s="317"/>
      <c r="K292" s="317"/>
      <c r="L292" s="317"/>
      <c r="M292" s="317"/>
      <c r="N292" s="317"/>
      <c r="O292" s="317"/>
      <c r="P292" s="317"/>
      <c r="Q292" s="317"/>
      <c r="R292" s="317"/>
      <c r="S292" s="317"/>
      <c r="T292" s="317"/>
      <c r="U292" s="317"/>
      <c r="V292" s="317"/>
      <c r="W292" s="317"/>
      <c r="X292" s="317"/>
      <c r="Y292" s="317"/>
      <c r="Z292" s="317"/>
      <c r="AA292" s="317"/>
      <c r="AB292" s="317"/>
      <c r="AC292" s="317"/>
      <c r="AD292" s="317"/>
      <c r="AE292" s="317"/>
      <c r="AF292" s="317"/>
      <c r="AG292" s="317"/>
      <c r="AH292" s="317"/>
      <c r="AI292" s="317"/>
      <c r="AJ292" s="317"/>
      <c r="AK292" s="317"/>
      <c r="AL292" s="317"/>
      <c r="AM292" s="317"/>
    </row>
    <row r="293" spans="1:42">
      <c r="C293" s="317"/>
      <c r="D293" s="317"/>
      <c r="E293" s="317"/>
      <c r="F293" s="317"/>
      <c r="G293" s="317"/>
      <c r="H293" s="317"/>
      <c r="I293" s="317"/>
      <c r="J293" s="317"/>
      <c r="K293" s="317"/>
      <c r="L293" s="317"/>
      <c r="M293" s="317"/>
      <c r="N293" s="317"/>
      <c r="O293" s="317"/>
      <c r="P293" s="317"/>
      <c r="Q293" s="317"/>
      <c r="R293" s="317"/>
      <c r="S293" s="317"/>
      <c r="T293" s="317"/>
      <c r="U293" s="317"/>
      <c r="V293" s="317"/>
      <c r="W293" s="317"/>
      <c r="X293" s="317"/>
      <c r="Y293" s="317"/>
      <c r="Z293" s="317"/>
      <c r="AA293" s="317"/>
      <c r="AB293" s="317"/>
      <c r="AC293" s="317"/>
      <c r="AD293" s="317"/>
      <c r="AE293" s="317"/>
      <c r="AF293" s="317"/>
      <c r="AG293" s="317"/>
      <c r="AH293" s="317"/>
      <c r="AI293" s="317"/>
      <c r="AJ293" s="317"/>
      <c r="AK293" s="317"/>
      <c r="AL293" s="317"/>
      <c r="AM293" s="317"/>
    </row>
    <row r="294" spans="1:42">
      <c r="C294" s="317"/>
      <c r="D294" s="317"/>
      <c r="E294" s="317"/>
      <c r="F294" s="317"/>
      <c r="G294" s="317"/>
      <c r="H294" s="317"/>
      <c r="I294" s="317"/>
      <c r="J294" s="317"/>
      <c r="K294" s="317"/>
      <c r="L294" s="317"/>
      <c r="M294" s="317"/>
      <c r="N294" s="317"/>
      <c r="O294" s="317"/>
      <c r="P294" s="317"/>
      <c r="Q294" s="317"/>
      <c r="R294" s="317"/>
      <c r="S294" s="317"/>
      <c r="T294" s="317"/>
      <c r="U294" s="317"/>
      <c r="V294" s="317"/>
      <c r="W294" s="317"/>
      <c r="X294" s="317"/>
      <c r="Y294" s="317"/>
      <c r="Z294" s="317"/>
      <c r="AA294" s="317"/>
      <c r="AB294" s="317"/>
      <c r="AC294" s="317"/>
      <c r="AD294" s="317"/>
      <c r="AE294" s="317"/>
      <c r="AF294" s="317"/>
      <c r="AG294" s="317"/>
      <c r="AH294" s="317"/>
      <c r="AI294" s="317"/>
      <c r="AJ294" s="317"/>
      <c r="AK294" s="317"/>
      <c r="AL294" s="317"/>
      <c r="AM294" s="317"/>
    </row>
    <row r="295" spans="1:42">
      <c r="C295" s="317"/>
      <c r="D295" s="317"/>
      <c r="E295" s="317"/>
      <c r="F295" s="317"/>
      <c r="G295" s="317"/>
      <c r="H295" s="317"/>
      <c r="I295" s="317"/>
      <c r="J295" s="317"/>
      <c r="K295" s="317"/>
      <c r="L295" s="317"/>
      <c r="M295" s="317"/>
      <c r="N295" s="317"/>
      <c r="O295" s="317"/>
      <c r="P295" s="317"/>
      <c r="Q295" s="317"/>
      <c r="R295" s="317"/>
      <c r="S295" s="317"/>
      <c r="T295" s="317"/>
      <c r="U295" s="317"/>
      <c r="V295" s="317"/>
      <c r="W295" s="317"/>
      <c r="X295" s="317"/>
      <c r="Y295" s="317"/>
      <c r="Z295" s="317"/>
      <c r="AA295" s="317"/>
      <c r="AB295" s="317"/>
      <c r="AC295" s="317"/>
      <c r="AD295" s="317"/>
      <c r="AE295" s="317"/>
      <c r="AF295" s="317"/>
      <c r="AG295" s="317"/>
      <c r="AH295" s="317"/>
      <c r="AI295" s="317"/>
      <c r="AJ295" s="317"/>
      <c r="AK295" s="317"/>
      <c r="AL295" s="317"/>
      <c r="AM295" s="317"/>
    </row>
    <row r="296" spans="1:42">
      <c r="C296" s="317"/>
      <c r="D296" s="317"/>
      <c r="E296" s="317"/>
      <c r="F296" s="317"/>
      <c r="G296" s="317"/>
      <c r="H296" s="317"/>
      <c r="I296" s="317"/>
      <c r="J296" s="317"/>
      <c r="K296" s="317"/>
      <c r="L296" s="317"/>
      <c r="M296" s="317"/>
      <c r="N296" s="317"/>
      <c r="O296" s="317"/>
      <c r="P296" s="317"/>
      <c r="Q296" s="317"/>
      <c r="R296" s="317"/>
      <c r="S296" s="317"/>
      <c r="T296" s="317"/>
      <c r="U296" s="317"/>
      <c r="V296" s="317"/>
      <c r="W296" s="317"/>
      <c r="X296" s="317"/>
      <c r="Y296" s="317"/>
      <c r="Z296" s="317"/>
      <c r="AA296" s="317"/>
      <c r="AB296" s="317"/>
      <c r="AC296" s="317"/>
      <c r="AD296" s="317"/>
      <c r="AE296" s="317"/>
      <c r="AF296" s="317"/>
      <c r="AG296" s="317"/>
      <c r="AH296" s="317"/>
      <c r="AI296" s="317"/>
      <c r="AJ296" s="317"/>
      <c r="AK296" s="317"/>
      <c r="AL296" s="317"/>
      <c r="AM296" s="317"/>
    </row>
    <row r="297" spans="1:42">
      <c r="C297" s="317"/>
      <c r="D297" s="317"/>
      <c r="E297" s="317"/>
      <c r="F297" s="317"/>
      <c r="G297" s="317"/>
      <c r="H297" s="317"/>
      <c r="I297" s="317"/>
      <c r="J297" s="317"/>
      <c r="K297" s="317"/>
      <c r="L297" s="317"/>
      <c r="M297" s="317"/>
      <c r="N297" s="317"/>
      <c r="O297" s="317"/>
      <c r="P297" s="317"/>
      <c r="Q297" s="317"/>
      <c r="R297" s="317"/>
      <c r="S297" s="317"/>
      <c r="T297" s="317"/>
      <c r="U297" s="317"/>
      <c r="V297" s="317"/>
      <c r="W297" s="317"/>
      <c r="X297" s="317"/>
      <c r="Y297" s="317"/>
      <c r="Z297" s="317"/>
      <c r="AA297" s="317"/>
      <c r="AB297" s="317"/>
      <c r="AC297" s="317"/>
      <c r="AD297" s="317"/>
      <c r="AE297" s="317"/>
      <c r="AF297" s="317"/>
      <c r="AG297" s="317"/>
      <c r="AH297" s="317"/>
      <c r="AI297" s="317"/>
      <c r="AJ297" s="317"/>
      <c r="AK297" s="317"/>
      <c r="AL297" s="317"/>
      <c r="AM297" s="317"/>
    </row>
    <row r="298" spans="1:42">
      <c r="C298" s="317"/>
      <c r="D298" s="317"/>
      <c r="E298" s="317"/>
      <c r="F298" s="317"/>
      <c r="G298" s="317"/>
      <c r="H298" s="317"/>
      <c r="I298" s="317"/>
      <c r="J298" s="317"/>
      <c r="K298" s="317"/>
      <c r="L298" s="317"/>
      <c r="M298" s="317"/>
      <c r="N298" s="317"/>
      <c r="O298" s="317"/>
      <c r="P298" s="317"/>
      <c r="Q298" s="317"/>
      <c r="R298" s="317"/>
      <c r="S298" s="317"/>
      <c r="T298" s="317"/>
      <c r="U298" s="317"/>
      <c r="V298" s="317"/>
      <c r="W298" s="317"/>
      <c r="X298" s="317"/>
      <c r="Y298" s="317"/>
      <c r="Z298" s="317"/>
      <c r="AA298" s="317"/>
      <c r="AB298" s="317"/>
      <c r="AC298" s="317"/>
      <c r="AD298" s="317"/>
      <c r="AE298" s="317"/>
      <c r="AF298" s="317"/>
      <c r="AG298" s="317"/>
      <c r="AH298" s="317"/>
      <c r="AI298" s="317"/>
      <c r="AJ298" s="317"/>
      <c r="AK298" s="317"/>
      <c r="AL298" s="317"/>
      <c r="AM298" s="317"/>
    </row>
    <row r="299" spans="1:42">
      <c r="C299" s="317"/>
      <c r="D299" s="317"/>
      <c r="E299" s="317"/>
      <c r="F299" s="317"/>
      <c r="G299" s="317"/>
      <c r="H299" s="317"/>
      <c r="I299" s="317"/>
      <c r="J299" s="317"/>
      <c r="K299" s="317"/>
      <c r="L299" s="317"/>
      <c r="M299" s="317"/>
      <c r="N299" s="317"/>
      <c r="O299" s="317"/>
      <c r="P299" s="317"/>
      <c r="Q299" s="317"/>
      <c r="R299" s="317"/>
      <c r="S299" s="317"/>
      <c r="T299" s="317"/>
      <c r="U299" s="317"/>
      <c r="V299" s="317"/>
      <c r="W299" s="317"/>
      <c r="X299" s="317"/>
      <c r="Y299" s="317"/>
      <c r="Z299" s="317"/>
      <c r="AA299" s="317"/>
      <c r="AB299" s="317"/>
      <c r="AC299" s="317"/>
      <c r="AD299" s="317"/>
      <c r="AE299" s="317"/>
      <c r="AF299" s="317"/>
      <c r="AG299" s="317"/>
      <c r="AH299" s="317"/>
      <c r="AI299" s="317"/>
      <c r="AJ299" s="317"/>
      <c r="AK299" s="317"/>
      <c r="AL299" s="317"/>
      <c r="AM299" s="317"/>
    </row>
    <row r="300" spans="1:42">
      <c r="C300" s="317"/>
      <c r="D300" s="317"/>
      <c r="E300" s="317"/>
      <c r="F300" s="317"/>
      <c r="G300" s="317"/>
      <c r="H300" s="317"/>
      <c r="I300" s="317"/>
      <c r="J300" s="317"/>
      <c r="K300" s="317"/>
      <c r="L300" s="317"/>
      <c r="M300" s="317"/>
      <c r="N300" s="317"/>
      <c r="O300" s="317"/>
      <c r="P300" s="317"/>
      <c r="Q300" s="317"/>
      <c r="R300" s="317"/>
      <c r="S300" s="317"/>
      <c r="T300" s="317"/>
      <c r="U300" s="317"/>
      <c r="V300" s="317"/>
      <c r="W300" s="317"/>
      <c r="X300" s="317"/>
      <c r="Y300" s="317"/>
      <c r="Z300" s="317"/>
      <c r="AA300" s="317"/>
      <c r="AB300" s="317"/>
      <c r="AC300" s="317"/>
      <c r="AD300" s="317"/>
      <c r="AE300" s="317"/>
      <c r="AF300" s="317"/>
      <c r="AG300" s="317"/>
      <c r="AH300" s="317"/>
      <c r="AI300" s="317"/>
      <c r="AJ300" s="317"/>
      <c r="AK300" s="317"/>
      <c r="AL300" s="317"/>
      <c r="AM300" s="317"/>
    </row>
    <row r="301" spans="1:42">
      <c r="C301" s="317"/>
      <c r="D301" s="317"/>
      <c r="E301" s="317"/>
      <c r="F301" s="317"/>
      <c r="G301" s="317"/>
      <c r="H301" s="317"/>
      <c r="I301" s="317"/>
      <c r="J301" s="317"/>
      <c r="K301" s="317"/>
      <c r="L301" s="317"/>
      <c r="M301" s="317"/>
      <c r="N301" s="317"/>
      <c r="O301" s="317"/>
      <c r="P301" s="317"/>
      <c r="Q301" s="317"/>
      <c r="R301" s="317"/>
      <c r="S301" s="317"/>
      <c r="T301" s="317"/>
      <c r="U301" s="317"/>
      <c r="V301" s="317"/>
      <c r="W301" s="317"/>
      <c r="X301" s="317"/>
      <c r="Y301" s="317"/>
      <c r="Z301" s="317"/>
      <c r="AA301" s="317"/>
      <c r="AB301" s="317"/>
      <c r="AC301" s="317"/>
      <c r="AD301" s="317"/>
      <c r="AE301" s="317"/>
      <c r="AF301" s="317"/>
      <c r="AG301" s="317"/>
      <c r="AH301" s="317"/>
      <c r="AI301" s="317"/>
      <c r="AJ301" s="317"/>
      <c r="AK301" s="317"/>
      <c r="AL301" s="317"/>
      <c r="AM301" s="317"/>
    </row>
    <row r="302" spans="1:42">
      <c r="C302" s="317"/>
      <c r="D302" s="317"/>
      <c r="E302" s="317"/>
      <c r="F302" s="317"/>
      <c r="G302" s="317"/>
      <c r="H302" s="317"/>
      <c r="I302" s="317"/>
      <c r="J302" s="317"/>
      <c r="K302" s="317"/>
      <c r="L302" s="317"/>
      <c r="M302" s="317"/>
      <c r="N302" s="317"/>
      <c r="O302" s="317"/>
      <c r="P302" s="317"/>
      <c r="Q302" s="317"/>
      <c r="R302" s="317"/>
      <c r="S302" s="317"/>
      <c r="T302" s="317"/>
      <c r="U302" s="317"/>
      <c r="V302" s="317"/>
      <c r="W302" s="317"/>
      <c r="X302" s="317"/>
      <c r="Y302" s="317"/>
      <c r="Z302" s="317"/>
      <c r="AA302" s="317"/>
      <c r="AB302" s="317"/>
      <c r="AC302" s="317"/>
      <c r="AD302" s="317"/>
      <c r="AE302" s="317"/>
      <c r="AF302" s="317"/>
      <c r="AG302" s="317"/>
      <c r="AH302" s="317"/>
      <c r="AI302" s="317"/>
      <c r="AJ302" s="317"/>
      <c r="AK302" s="317"/>
      <c r="AL302" s="317"/>
      <c r="AM302" s="317"/>
    </row>
    <row r="303" spans="1:42">
      <c r="C303" s="317"/>
      <c r="D303" s="317"/>
      <c r="E303" s="317"/>
      <c r="F303" s="317"/>
      <c r="G303" s="317"/>
      <c r="H303" s="317"/>
      <c r="I303" s="317"/>
      <c r="J303" s="317"/>
      <c r="K303" s="317"/>
      <c r="L303" s="317"/>
      <c r="M303" s="317"/>
      <c r="N303" s="317"/>
      <c r="O303" s="317"/>
      <c r="P303" s="317"/>
      <c r="Q303" s="317"/>
      <c r="R303" s="317"/>
      <c r="S303" s="317"/>
      <c r="T303" s="317"/>
      <c r="U303" s="317"/>
      <c r="V303" s="317"/>
      <c r="W303" s="317"/>
      <c r="X303" s="317"/>
      <c r="Y303" s="317"/>
      <c r="Z303" s="317"/>
      <c r="AA303" s="317"/>
      <c r="AB303" s="317"/>
      <c r="AC303" s="317"/>
      <c r="AD303" s="317"/>
      <c r="AE303" s="317"/>
      <c r="AF303" s="317"/>
      <c r="AG303" s="317"/>
      <c r="AH303" s="317"/>
      <c r="AI303" s="317"/>
      <c r="AJ303" s="317"/>
      <c r="AK303" s="317"/>
      <c r="AL303" s="317"/>
      <c r="AM303" s="317"/>
    </row>
    <row r="304" spans="1:42">
      <c r="C304" s="317"/>
      <c r="D304" s="317"/>
      <c r="E304" s="317"/>
      <c r="F304" s="317"/>
      <c r="G304" s="317"/>
      <c r="H304" s="317"/>
      <c r="I304" s="317"/>
      <c r="J304" s="317"/>
      <c r="K304" s="317"/>
      <c r="L304" s="317"/>
      <c r="M304" s="317"/>
      <c r="N304" s="317"/>
      <c r="O304" s="317"/>
      <c r="P304" s="317"/>
      <c r="Q304" s="317"/>
      <c r="R304" s="317"/>
      <c r="S304" s="317"/>
      <c r="T304" s="317"/>
      <c r="U304" s="317"/>
      <c r="V304" s="317"/>
      <c r="W304" s="317"/>
      <c r="X304" s="317"/>
      <c r="Y304" s="317"/>
      <c r="Z304" s="317"/>
      <c r="AA304" s="317"/>
      <c r="AB304" s="317"/>
      <c r="AC304" s="317"/>
      <c r="AD304" s="317"/>
      <c r="AE304" s="317"/>
      <c r="AF304" s="317"/>
      <c r="AG304" s="317"/>
      <c r="AH304" s="317"/>
      <c r="AI304" s="317"/>
      <c r="AJ304" s="317"/>
      <c r="AK304" s="317"/>
      <c r="AL304" s="317"/>
      <c r="AM304" s="317"/>
    </row>
    <row r="305" spans="3:39">
      <c r="C305" s="317"/>
      <c r="D305" s="317"/>
      <c r="E305" s="317"/>
      <c r="F305" s="317"/>
      <c r="G305" s="317"/>
      <c r="H305" s="317"/>
      <c r="I305" s="317"/>
      <c r="J305" s="317"/>
      <c r="K305" s="317"/>
      <c r="L305" s="317"/>
      <c r="M305" s="317"/>
      <c r="N305" s="317"/>
      <c r="O305" s="317"/>
      <c r="P305" s="317"/>
      <c r="Q305" s="317"/>
      <c r="R305" s="317"/>
      <c r="S305" s="317"/>
      <c r="T305" s="317"/>
      <c r="U305" s="317"/>
      <c r="V305" s="317"/>
      <c r="W305" s="317"/>
      <c r="X305" s="317"/>
      <c r="Y305" s="317"/>
      <c r="Z305" s="317"/>
      <c r="AA305" s="317"/>
      <c r="AB305" s="317"/>
      <c r="AC305" s="317"/>
      <c r="AD305" s="317"/>
      <c r="AE305" s="317"/>
      <c r="AF305" s="317"/>
      <c r="AG305" s="317"/>
      <c r="AH305" s="317"/>
      <c r="AI305" s="317"/>
      <c r="AJ305" s="317"/>
      <c r="AK305" s="317"/>
      <c r="AL305" s="317"/>
      <c r="AM305" s="317"/>
    </row>
    <row r="306" spans="3:39">
      <c r="C306" s="317"/>
      <c r="D306" s="317"/>
      <c r="E306" s="317"/>
      <c r="F306" s="317"/>
      <c r="G306" s="317"/>
      <c r="H306" s="317"/>
      <c r="I306" s="317"/>
      <c r="J306" s="317"/>
      <c r="K306" s="317"/>
      <c r="L306" s="317"/>
      <c r="M306" s="317"/>
      <c r="N306" s="317"/>
      <c r="O306" s="317"/>
      <c r="P306" s="317"/>
      <c r="Q306" s="317"/>
      <c r="R306" s="317"/>
      <c r="S306" s="317"/>
      <c r="T306" s="317"/>
      <c r="U306" s="317"/>
      <c r="V306" s="317"/>
      <c r="W306" s="317"/>
      <c r="X306" s="317"/>
      <c r="Y306" s="317"/>
      <c r="Z306" s="317"/>
      <c r="AA306" s="317"/>
      <c r="AB306" s="317"/>
      <c r="AC306" s="317"/>
      <c r="AD306" s="317"/>
      <c r="AE306" s="317"/>
      <c r="AF306" s="317"/>
      <c r="AG306" s="317"/>
      <c r="AH306" s="317"/>
      <c r="AI306" s="317"/>
      <c r="AJ306" s="317"/>
      <c r="AK306" s="317"/>
      <c r="AL306" s="317"/>
      <c r="AM306" s="317"/>
    </row>
    <row r="307" spans="3:39">
      <c r="C307" s="317"/>
      <c r="D307" s="317"/>
      <c r="E307" s="317"/>
      <c r="F307" s="317"/>
      <c r="G307" s="317"/>
      <c r="H307" s="317"/>
      <c r="I307" s="317"/>
      <c r="J307" s="317"/>
      <c r="K307" s="317"/>
      <c r="L307" s="317"/>
      <c r="M307" s="317"/>
      <c r="N307" s="317"/>
      <c r="O307" s="317"/>
      <c r="P307" s="317"/>
      <c r="Q307" s="317"/>
      <c r="R307" s="317"/>
      <c r="S307" s="317"/>
      <c r="T307" s="317"/>
      <c r="U307" s="317"/>
      <c r="V307" s="317"/>
      <c r="W307" s="317"/>
      <c r="X307" s="317"/>
      <c r="Y307" s="317"/>
      <c r="Z307" s="317"/>
      <c r="AA307" s="317"/>
      <c r="AB307" s="317"/>
      <c r="AC307" s="317"/>
      <c r="AD307" s="317"/>
      <c r="AE307" s="317"/>
      <c r="AF307" s="317"/>
      <c r="AG307" s="317"/>
      <c r="AH307" s="317"/>
      <c r="AI307" s="317"/>
      <c r="AJ307" s="317"/>
      <c r="AK307" s="317"/>
      <c r="AL307" s="317"/>
      <c r="AM307" s="317"/>
    </row>
    <row r="308" spans="3:39">
      <c r="C308" s="317"/>
      <c r="D308" s="317"/>
      <c r="E308" s="317"/>
      <c r="F308" s="317"/>
      <c r="G308" s="317"/>
      <c r="H308" s="317"/>
      <c r="I308" s="317"/>
      <c r="J308" s="317"/>
      <c r="K308" s="317"/>
      <c r="L308" s="317"/>
      <c r="M308" s="317"/>
      <c r="N308" s="317"/>
      <c r="O308" s="317"/>
      <c r="P308" s="317"/>
      <c r="Q308" s="317"/>
      <c r="R308" s="317"/>
      <c r="S308" s="317"/>
      <c r="T308" s="317"/>
      <c r="U308" s="317"/>
      <c r="V308" s="317"/>
      <c r="W308" s="317"/>
      <c r="X308" s="317"/>
      <c r="Y308" s="317"/>
      <c r="Z308" s="317"/>
      <c r="AA308" s="317"/>
      <c r="AB308" s="317"/>
      <c r="AC308" s="317"/>
      <c r="AD308" s="317"/>
      <c r="AE308" s="317"/>
      <c r="AF308" s="317"/>
      <c r="AG308" s="317"/>
      <c r="AH308" s="317"/>
      <c r="AI308" s="317"/>
      <c r="AJ308" s="317"/>
      <c r="AK308" s="317"/>
      <c r="AL308" s="317"/>
      <c r="AM308" s="317"/>
    </row>
    <row r="309" spans="3:39">
      <c r="C309" s="317"/>
      <c r="D309" s="317"/>
      <c r="E309" s="317"/>
      <c r="F309" s="317"/>
      <c r="G309" s="317"/>
      <c r="H309" s="317"/>
      <c r="I309" s="317"/>
      <c r="J309" s="317"/>
      <c r="K309" s="317"/>
      <c r="L309" s="317"/>
      <c r="M309" s="317"/>
      <c r="N309" s="317"/>
      <c r="O309" s="317"/>
      <c r="P309" s="317"/>
      <c r="Q309" s="317"/>
      <c r="R309" s="317"/>
      <c r="S309" s="317"/>
      <c r="T309" s="317"/>
      <c r="U309" s="317"/>
      <c r="V309" s="317"/>
      <c r="W309" s="317"/>
      <c r="X309" s="317"/>
      <c r="Y309" s="317"/>
      <c r="Z309" s="317"/>
      <c r="AA309" s="317"/>
      <c r="AB309" s="317"/>
      <c r="AC309" s="317"/>
      <c r="AD309" s="317"/>
      <c r="AE309" s="317"/>
      <c r="AF309" s="317"/>
      <c r="AG309" s="317"/>
      <c r="AH309" s="317"/>
      <c r="AI309" s="317"/>
      <c r="AJ309" s="317"/>
      <c r="AK309" s="317"/>
      <c r="AL309" s="317"/>
      <c r="AM309" s="317"/>
    </row>
    <row r="310" spans="3:39">
      <c r="C310" s="317"/>
      <c r="D310" s="317"/>
      <c r="E310" s="317"/>
      <c r="F310" s="317"/>
      <c r="G310" s="317"/>
      <c r="H310" s="317"/>
      <c r="I310" s="317"/>
      <c r="J310" s="317"/>
      <c r="K310" s="317"/>
      <c r="L310" s="317"/>
      <c r="M310" s="317"/>
      <c r="N310" s="317"/>
      <c r="O310" s="317"/>
      <c r="P310" s="317"/>
      <c r="Q310" s="317"/>
      <c r="R310" s="317"/>
      <c r="S310" s="317"/>
      <c r="T310" s="317"/>
      <c r="U310" s="317"/>
      <c r="V310" s="317"/>
      <c r="W310" s="317"/>
      <c r="X310" s="317"/>
      <c r="Y310" s="317"/>
      <c r="Z310" s="317"/>
      <c r="AA310" s="317"/>
      <c r="AB310" s="317"/>
      <c r="AC310" s="317"/>
      <c r="AD310" s="317"/>
      <c r="AE310" s="317"/>
      <c r="AF310" s="317"/>
      <c r="AG310" s="317"/>
      <c r="AH310" s="317"/>
      <c r="AI310" s="317"/>
      <c r="AJ310" s="317"/>
      <c r="AK310" s="317"/>
      <c r="AL310" s="317"/>
      <c r="AM310" s="317"/>
    </row>
    <row r="311" spans="3:39">
      <c r="C311" s="317"/>
      <c r="D311" s="317"/>
      <c r="E311" s="317"/>
      <c r="F311" s="317"/>
      <c r="G311" s="317"/>
      <c r="H311" s="317"/>
      <c r="I311" s="317"/>
      <c r="J311" s="317"/>
      <c r="K311" s="317"/>
      <c r="L311" s="317"/>
      <c r="M311" s="317"/>
      <c r="N311" s="317"/>
      <c r="O311" s="317"/>
      <c r="P311" s="317"/>
      <c r="Q311" s="317"/>
      <c r="R311" s="317"/>
      <c r="S311" s="317"/>
      <c r="T311" s="317"/>
      <c r="U311" s="317"/>
      <c r="V311" s="317"/>
      <c r="W311" s="317"/>
      <c r="X311" s="317"/>
      <c r="Y311" s="317"/>
      <c r="Z311" s="317"/>
      <c r="AA311" s="317"/>
      <c r="AB311" s="317"/>
      <c r="AC311" s="317"/>
      <c r="AD311" s="317"/>
      <c r="AE311" s="317"/>
      <c r="AF311" s="317"/>
      <c r="AG311" s="317"/>
      <c r="AH311" s="317"/>
      <c r="AI311" s="317"/>
      <c r="AJ311" s="317"/>
      <c r="AK311" s="317"/>
      <c r="AL311" s="317"/>
      <c r="AM311" s="317"/>
    </row>
    <row r="312" spans="3:39">
      <c r="C312" s="317"/>
      <c r="D312" s="317"/>
      <c r="E312" s="317"/>
      <c r="F312" s="317"/>
      <c r="G312" s="317"/>
      <c r="H312" s="317"/>
      <c r="I312" s="317"/>
      <c r="J312" s="317"/>
      <c r="K312" s="317"/>
      <c r="L312" s="317"/>
      <c r="M312" s="317"/>
      <c r="N312" s="317"/>
      <c r="O312" s="317"/>
      <c r="P312" s="317"/>
      <c r="Q312" s="317"/>
      <c r="R312" s="317"/>
      <c r="S312" s="317"/>
      <c r="T312" s="317"/>
      <c r="U312" s="317"/>
      <c r="V312" s="317"/>
      <c r="W312" s="317"/>
      <c r="X312" s="317"/>
      <c r="Y312" s="317"/>
      <c r="Z312" s="317"/>
      <c r="AA312" s="317"/>
      <c r="AB312" s="317"/>
      <c r="AC312" s="317"/>
      <c r="AD312" s="317"/>
      <c r="AE312" s="317"/>
      <c r="AF312" s="317"/>
      <c r="AG312" s="317"/>
      <c r="AH312" s="317"/>
      <c r="AI312" s="317"/>
      <c r="AJ312" s="317"/>
      <c r="AK312" s="317"/>
      <c r="AL312" s="317"/>
      <c r="AM312" s="317"/>
    </row>
    <row r="313" spans="3:39">
      <c r="C313" s="317"/>
      <c r="D313" s="317"/>
      <c r="E313" s="317"/>
      <c r="F313" s="317"/>
      <c r="G313" s="317"/>
      <c r="H313" s="317"/>
      <c r="I313" s="317"/>
      <c r="J313" s="317"/>
      <c r="K313" s="317"/>
      <c r="L313" s="317"/>
      <c r="M313" s="317"/>
      <c r="N313" s="317"/>
      <c r="O313" s="317"/>
      <c r="P313" s="317"/>
      <c r="Q313" s="317"/>
      <c r="R313" s="317"/>
      <c r="S313" s="317"/>
      <c r="T313" s="317"/>
      <c r="U313" s="317"/>
      <c r="V313" s="317"/>
      <c r="W313" s="317"/>
      <c r="X313" s="317"/>
      <c r="Y313" s="317"/>
      <c r="Z313" s="317"/>
      <c r="AA313" s="317"/>
      <c r="AB313" s="317"/>
      <c r="AC313" s="317"/>
      <c r="AD313" s="317"/>
      <c r="AE313" s="317"/>
      <c r="AF313" s="317"/>
      <c r="AG313" s="317"/>
      <c r="AH313" s="317"/>
      <c r="AI313" s="317"/>
      <c r="AJ313" s="317"/>
      <c r="AK313" s="317"/>
      <c r="AL313" s="317"/>
      <c r="AM313" s="317"/>
    </row>
    <row r="314" spans="3:39">
      <c r="C314" s="317"/>
      <c r="D314" s="317"/>
      <c r="E314" s="317"/>
      <c r="F314" s="317"/>
      <c r="G314" s="317"/>
      <c r="H314" s="317"/>
      <c r="I314" s="317"/>
      <c r="J314" s="317"/>
      <c r="K314" s="317"/>
      <c r="L314" s="317"/>
      <c r="M314" s="317"/>
      <c r="N314" s="317"/>
      <c r="O314" s="317"/>
      <c r="P314" s="317"/>
      <c r="Q314" s="317"/>
      <c r="R314" s="317"/>
      <c r="S314" s="317"/>
      <c r="T314" s="317"/>
      <c r="U314" s="317"/>
      <c r="V314" s="317"/>
      <c r="W314" s="317"/>
      <c r="X314" s="317"/>
      <c r="Y314" s="317"/>
      <c r="Z314" s="317"/>
      <c r="AA314" s="317"/>
      <c r="AB314" s="317"/>
      <c r="AC314" s="317"/>
      <c r="AD314" s="317"/>
      <c r="AE314" s="317"/>
      <c r="AF314" s="317"/>
      <c r="AG314" s="317"/>
      <c r="AH314" s="317"/>
      <c r="AI314" s="317"/>
      <c r="AJ314" s="317"/>
      <c r="AK314" s="317"/>
      <c r="AL314" s="317"/>
      <c r="AM314" s="317"/>
    </row>
    <row r="315" spans="3:39">
      <c r="C315" s="317"/>
      <c r="D315" s="317"/>
      <c r="E315" s="317"/>
      <c r="F315" s="317"/>
      <c r="G315" s="317"/>
      <c r="H315" s="317"/>
      <c r="I315" s="317"/>
      <c r="J315" s="317"/>
      <c r="K315" s="317"/>
      <c r="L315" s="317"/>
      <c r="M315" s="317"/>
      <c r="N315" s="317"/>
      <c r="O315" s="317"/>
      <c r="P315" s="317"/>
      <c r="Q315" s="317"/>
      <c r="R315" s="317"/>
      <c r="S315" s="317"/>
      <c r="T315" s="317"/>
      <c r="U315" s="317"/>
      <c r="V315" s="317"/>
      <c r="W315" s="317"/>
      <c r="X315" s="317"/>
      <c r="Y315" s="317"/>
      <c r="Z315" s="317"/>
      <c r="AA315" s="317"/>
      <c r="AB315" s="317"/>
      <c r="AC315" s="317"/>
      <c r="AD315" s="317"/>
      <c r="AE315" s="317"/>
      <c r="AF315" s="317"/>
      <c r="AG315" s="317"/>
      <c r="AH315" s="317"/>
      <c r="AI315" s="317"/>
      <c r="AJ315" s="317"/>
      <c r="AK315" s="317"/>
      <c r="AL315" s="317"/>
      <c r="AM315" s="317"/>
    </row>
    <row r="316" spans="3:39">
      <c r="C316" s="317"/>
      <c r="D316" s="317"/>
      <c r="E316" s="317"/>
      <c r="F316" s="317"/>
      <c r="G316" s="317"/>
      <c r="H316" s="317"/>
      <c r="I316" s="317"/>
      <c r="J316" s="317"/>
      <c r="K316" s="317"/>
      <c r="L316" s="317"/>
      <c r="M316" s="317"/>
      <c r="N316" s="317"/>
      <c r="O316" s="317"/>
      <c r="P316" s="317"/>
      <c r="Q316" s="317"/>
      <c r="R316" s="317"/>
      <c r="S316" s="317"/>
      <c r="T316" s="317"/>
      <c r="U316" s="317"/>
      <c r="V316" s="317"/>
      <c r="W316" s="317"/>
      <c r="X316" s="317"/>
      <c r="Y316" s="317"/>
      <c r="Z316" s="317"/>
      <c r="AA316" s="317"/>
      <c r="AB316" s="317"/>
      <c r="AC316" s="317"/>
      <c r="AD316" s="317"/>
      <c r="AE316" s="317"/>
      <c r="AF316" s="317"/>
      <c r="AG316" s="317"/>
      <c r="AH316" s="317"/>
      <c r="AI316" s="317"/>
      <c r="AJ316" s="317"/>
      <c r="AK316" s="317"/>
      <c r="AL316" s="317"/>
      <c r="AM316" s="317"/>
    </row>
    <row r="317" spans="3:39">
      <c r="C317" s="317"/>
      <c r="D317" s="317"/>
      <c r="E317" s="317"/>
      <c r="F317" s="317"/>
      <c r="G317" s="317"/>
      <c r="H317" s="317"/>
      <c r="I317" s="317"/>
      <c r="J317" s="317"/>
      <c r="K317" s="317"/>
      <c r="L317" s="317"/>
      <c r="M317" s="317"/>
      <c r="N317" s="317"/>
      <c r="O317" s="317"/>
      <c r="P317" s="317"/>
      <c r="Q317" s="317"/>
      <c r="R317" s="317"/>
      <c r="S317" s="317"/>
      <c r="T317" s="317"/>
      <c r="U317" s="317"/>
      <c r="V317" s="317"/>
      <c r="W317" s="317"/>
      <c r="X317" s="317"/>
      <c r="Y317" s="317"/>
      <c r="Z317" s="317"/>
      <c r="AA317" s="317"/>
      <c r="AB317" s="317"/>
      <c r="AC317" s="317"/>
      <c r="AD317" s="317"/>
      <c r="AE317" s="317"/>
      <c r="AF317" s="317"/>
      <c r="AG317" s="317"/>
      <c r="AH317" s="317"/>
      <c r="AI317" s="317"/>
      <c r="AJ317" s="317"/>
      <c r="AK317" s="317"/>
      <c r="AL317" s="317"/>
      <c r="AM317" s="317"/>
    </row>
    <row r="318" spans="3:39">
      <c r="C318" s="317"/>
      <c r="D318" s="317"/>
      <c r="E318" s="317"/>
      <c r="F318" s="317"/>
      <c r="G318" s="317"/>
      <c r="H318" s="317"/>
      <c r="I318" s="317"/>
      <c r="J318" s="317"/>
      <c r="K318" s="317"/>
      <c r="L318" s="317"/>
      <c r="M318" s="317"/>
      <c r="N318" s="317"/>
      <c r="O318" s="317"/>
      <c r="P318" s="317"/>
      <c r="Q318" s="317"/>
      <c r="R318" s="317"/>
      <c r="S318" s="317"/>
      <c r="T318" s="317"/>
      <c r="U318" s="317"/>
      <c r="V318" s="317"/>
      <c r="W318" s="317"/>
      <c r="X318" s="317"/>
      <c r="Y318" s="317"/>
      <c r="Z318" s="317"/>
      <c r="AA318" s="317"/>
      <c r="AB318" s="317"/>
      <c r="AC318" s="317"/>
      <c r="AD318" s="317"/>
      <c r="AE318" s="317"/>
      <c r="AF318" s="317"/>
      <c r="AG318" s="317"/>
      <c r="AH318" s="317"/>
      <c r="AI318" s="317"/>
      <c r="AJ318" s="317"/>
      <c r="AK318" s="317"/>
      <c r="AL318" s="317"/>
      <c r="AM318" s="317"/>
    </row>
    <row r="319" spans="3:39">
      <c r="C319" s="317"/>
      <c r="D319" s="317"/>
      <c r="E319" s="317"/>
      <c r="F319" s="317"/>
      <c r="G319" s="317"/>
      <c r="H319" s="317"/>
      <c r="I319" s="317"/>
      <c r="J319" s="317"/>
      <c r="K319" s="317"/>
      <c r="L319" s="317"/>
      <c r="M319" s="317"/>
      <c r="N319" s="317"/>
      <c r="O319" s="317"/>
      <c r="P319" s="317"/>
      <c r="Q319" s="317"/>
      <c r="R319" s="317"/>
      <c r="S319" s="317"/>
      <c r="T319" s="317"/>
      <c r="U319" s="317"/>
      <c r="V319" s="317"/>
      <c r="W319" s="317"/>
      <c r="X319" s="317"/>
      <c r="Y319" s="317"/>
      <c r="Z319" s="317"/>
      <c r="AA319" s="317"/>
      <c r="AB319" s="317"/>
      <c r="AC319" s="317"/>
      <c r="AD319" s="317"/>
      <c r="AE319" s="317"/>
      <c r="AF319" s="317"/>
      <c r="AG319" s="317"/>
      <c r="AH319" s="317"/>
      <c r="AI319" s="317"/>
      <c r="AJ319" s="317"/>
      <c r="AK319" s="317"/>
      <c r="AL319" s="317"/>
      <c r="AM319" s="317"/>
    </row>
    <row r="320" spans="3:39">
      <c r="C320" s="317"/>
      <c r="D320" s="317"/>
      <c r="E320" s="317"/>
      <c r="F320" s="317"/>
      <c r="G320" s="317"/>
      <c r="H320" s="317"/>
      <c r="I320" s="317"/>
      <c r="J320" s="317"/>
      <c r="K320" s="317"/>
      <c r="L320" s="317"/>
      <c r="M320" s="317"/>
      <c r="N320" s="317"/>
      <c r="O320" s="317"/>
      <c r="P320" s="317"/>
      <c r="Q320" s="317"/>
      <c r="R320" s="317"/>
      <c r="S320" s="317"/>
      <c r="T320" s="317"/>
      <c r="U320" s="317"/>
      <c r="V320" s="317"/>
      <c r="W320" s="317"/>
      <c r="X320" s="317"/>
      <c r="Y320" s="317"/>
      <c r="Z320" s="317"/>
      <c r="AA320" s="317"/>
      <c r="AB320" s="317"/>
      <c r="AC320" s="317"/>
      <c r="AD320" s="317"/>
      <c r="AE320" s="317"/>
      <c r="AF320" s="317"/>
      <c r="AG320" s="317"/>
      <c r="AH320" s="317"/>
      <c r="AI320" s="317"/>
      <c r="AJ320" s="317"/>
      <c r="AK320" s="317"/>
      <c r="AL320" s="317"/>
      <c r="AM320" s="317"/>
    </row>
    <row r="321" spans="3:39">
      <c r="C321" s="317"/>
      <c r="D321" s="317"/>
      <c r="E321" s="317"/>
      <c r="F321" s="317"/>
      <c r="G321" s="317"/>
      <c r="H321" s="317"/>
      <c r="I321" s="317"/>
      <c r="J321" s="317"/>
      <c r="K321" s="317"/>
      <c r="L321" s="317"/>
      <c r="M321" s="317"/>
      <c r="N321" s="317"/>
      <c r="O321" s="317"/>
      <c r="P321" s="317"/>
      <c r="Q321" s="317"/>
      <c r="R321" s="317"/>
      <c r="S321" s="317"/>
      <c r="T321" s="317"/>
      <c r="U321" s="317"/>
      <c r="V321" s="317"/>
      <c r="W321" s="317"/>
      <c r="X321" s="317"/>
      <c r="Y321" s="317"/>
      <c r="Z321" s="317"/>
      <c r="AA321" s="317"/>
      <c r="AB321" s="317"/>
      <c r="AC321" s="317"/>
      <c r="AD321" s="317"/>
      <c r="AE321" s="317"/>
      <c r="AF321" s="317"/>
      <c r="AG321" s="317"/>
      <c r="AH321" s="317"/>
      <c r="AI321" s="317"/>
      <c r="AJ321" s="317"/>
      <c r="AK321" s="317"/>
      <c r="AL321" s="317"/>
      <c r="AM321" s="317"/>
    </row>
    <row r="322" spans="3:39">
      <c r="C322" s="317"/>
      <c r="D322" s="317"/>
      <c r="E322" s="317"/>
      <c r="F322" s="317"/>
      <c r="G322" s="317"/>
      <c r="H322" s="317"/>
      <c r="I322" s="317"/>
      <c r="J322" s="317"/>
      <c r="K322" s="317"/>
      <c r="L322" s="317"/>
      <c r="M322" s="317"/>
      <c r="N322" s="317"/>
      <c r="O322" s="317"/>
      <c r="P322" s="317"/>
      <c r="Q322" s="317"/>
      <c r="R322" s="317"/>
      <c r="S322" s="317"/>
      <c r="T322" s="317"/>
      <c r="U322" s="317"/>
      <c r="V322" s="317"/>
      <c r="W322" s="317"/>
      <c r="X322" s="317"/>
      <c r="Y322" s="317"/>
      <c r="Z322" s="317"/>
      <c r="AA322" s="317"/>
      <c r="AB322" s="317"/>
      <c r="AC322" s="317"/>
      <c r="AD322" s="317"/>
      <c r="AE322" s="317"/>
      <c r="AF322" s="317"/>
      <c r="AG322" s="317"/>
      <c r="AH322" s="317"/>
      <c r="AI322" s="317"/>
      <c r="AJ322" s="317"/>
      <c r="AK322" s="317"/>
      <c r="AL322" s="317"/>
      <c r="AM322" s="317"/>
    </row>
    <row r="323" spans="3:39">
      <c r="C323" s="317"/>
      <c r="D323" s="317"/>
      <c r="E323" s="317"/>
      <c r="F323" s="317"/>
      <c r="G323" s="317"/>
      <c r="H323" s="317"/>
      <c r="I323" s="317"/>
      <c r="J323" s="317"/>
      <c r="K323" s="317"/>
      <c r="L323" s="317"/>
      <c r="M323" s="317"/>
      <c r="N323" s="317"/>
      <c r="O323" s="317"/>
      <c r="P323" s="317"/>
      <c r="Q323" s="317"/>
      <c r="R323" s="317"/>
      <c r="S323" s="317"/>
      <c r="T323" s="317"/>
      <c r="U323" s="317"/>
      <c r="V323" s="317"/>
      <c r="W323" s="317"/>
      <c r="X323" s="317"/>
      <c r="Y323" s="317"/>
      <c r="Z323" s="317"/>
      <c r="AA323" s="317"/>
      <c r="AB323" s="317"/>
      <c r="AC323" s="317"/>
      <c r="AD323" s="317"/>
      <c r="AE323" s="317"/>
      <c r="AF323" s="317"/>
      <c r="AG323" s="317"/>
      <c r="AH323" s="317"/>
      <c r="AI323" s="317"/>
      <c r="AJ323" s="317"/>
      <c r="AK323" s="317"/>
      <c r="AL323" s="317"/>
      <c r="AM323" s="317"/>
    </row>
    <row r="324" spans="3:39">
      <c r="C324" s="317"/>
      <c r="D324" s="317"/>
      <c r="E324" s="317"/>
      <c r="F324" s="317"/>
      <c r="G324" s="317"/>
      <c r="H324" s="317"/>
      <c r="I324" s="317"/>
      <c r="J324" s="317"/>
      <c r="K324" s="317"/>
      <c r="L324" s="317"/>
      <c r="M324" s="317"/>
      <c r="N324" s="317"/>
      <c r="O324" s="317"/>
      <c r="P324" s="317"/>
      <c r="Q324" s="317"/>
      <c r="R324" s="317"/>
      <c r="S324" s="317"/>
      <c r="T324" s="317"/>
      <c r="U324" s="317"/>
      <c r="V324" s="317"/>
      <c r="W324" s="317"/>
      <c r="X324" s="317"/>
      <c r="Y324" s="317"/>
      <c r="Z324" s="317"/>
      <c r="AA324" s="317"/>
      <c r="AB324" s="317"/>
      <c r="AC324" s="317"/>
      <c r="AD324" s="317"/>
      <c r="AE324" s="317"/>
      <c r="AF324" s="317"/>
      <c r="AG324" s="317"/>
      <c r="AH324" s="317"/>
      <c r="AI324" s="317"/>
      <c r="AJ324" s="317"/>
      <c r="AK324" s="317"/>
      <c r="AL324" s="317"/>
      <c r="AM324" s="317"/>
    </row>
    <row r="325" spans="3:39">
      <c r="C325" s="317"/>
      <c r="D325" s="317"/>
      <c r="E325" s="317"/>
      <c r="F325" s="317"/>
      <c r="G325" s="317"/>
      <c r="H325" s="317"/>
      <c r="I325" s="317"/>
      <c r="J325" s="317"/>
      <c r="K325" s="317"/>
      <c r="L325" s="317"/>
      <c r="M325" s="317"/>
      <c r="N325" s="317"/>
      <c r="O325" s="317"/>
      <c r="P325" s="317"/>
      <c r="Q325" s="317"/>
      <c r="R325" s="317"/>
      <c r="S325" s="317"/>
      <c r="T325" s="317"/>
      <c r="U325" s="317"/>
      <c r="V325" s="317"/>
      <c r="W325" s="317"/>
      <c r="X325" s="317"/>
      <c r="Y325" s="317"/>
      <c r="Z325" s="317"/>
      <c r="AA325" s="317"/>
      <c r="AB325" s="317"/>
      <c r="AC325" s="317"/>
      <c r="AD325" s="317"/>
      <c r="AE325" s="317"/>
      <c r="AF325" s="317"/>
      <c r="AG325" s="317"/>
      <c r="AH325" s="317"/>
      <c r="AI325" s="317"/>
      <c r="AJ325" s="317"/>
      <c r="AK325" s="317"/>
      <c r="AL325" s="317"/>
      <c r="AM325" s="317"/>
    </row>
    <row r="326" spans="3:39">
      <c r="C326" s="317"/>
      <c r="D326" s="317"/>
      <c r="E326" s="317"/>
      <c r="F326" s="317"/>
      <c r="G326" s="317"/>
      <c r="H326" s="317"/>
      <c r="I326" s="317"/>
      <c r="J326" s="317"/>
      <c r="K326" s="317"/>
      <c r="L326" s="317"/>
      <c r="M326" s="317"/>
      <c r="N326" s="317"/>
      <c r="O326" s="317"/>
      <c r="P326" s="317"/>
      <c r="Q326" s="317"/>
      <c r="R326" s="317"/>
      <c r="S326" s="317"/>
      <c r="T326" s="317"/>
      <c r="U326" s="317"/>
      <c r="V326" s="317"/>
      <c r="W326" s="317"/>
      <c r="X326" s="317"/>
      <c r="Y326" s="317"/>
      <c r="Z326" s="317"/>
      <c r="AA326" s="317"/>
      <c r="AB326" s="317"/>
      <c r="AC326" s="317"/>
      <c r="AD326" s="317"/>
      <c r="AE326" s="317"/>
      <c r="AF326" s="317"/>
      <c r="AG326" s="317"/>
      <c r="AH326" s="317"/>
      <c r="AI326" s="317"/>
      <c r="AJ326" s="317"/>
      <c r="AK326" s="317"/>
      <c r="AL326" s="317"/>
      <c r="AM326" s="317"/>
    </row>
    <row r="327" spans="3:39">
      <c r="C327" s="317"/>
      <c r="D327" s="317"/>
      <c r="E327" s="317"/>
      <c r="F327" s="317"/>
      <c r="G327" s="317"/>
      <c r="H327" s="317"/>
      <c r="I327" s="317"/>
      <c r="J327" s="317"/>
      <c r="K327" s="317"/>
      <c r="L327" s="317"/>
      <c r="M327" s="317"/>
      <c r="N327" s="317"/>
      <c r="O327" s="317"/>
      <c r="P327" s="317"/>
      <c r="Q327" s="317"/>
      <c r="R327" s="317"/>
      <c r="S327" s="317"/>
      <c r="T327" s="317"/>
      <c r="U327" s="317"/>
      <c r="V327" s="317"/>
      <c r="W327" s="317"/>
      <c r="X327" s="317"/>
      <c r="Y327" s="317"/>
      <c r="Z327" s="317"/>
      <c r="AA327" s="317"/>
      <c r="AB327" s="317"/>
      <c r="AC327" s="317"/>
      <c r="AD327" s="317"/>
      <c r="AE327" s="317"/>
      <c r="AF327" s="317"/>
      <c r="AG327" s="317"/>
      <c r="AH327" s="317"/>
      <c r="AI327" s="317"/>
      <c r="AJ327" s="317"/>
      <c r="AK327" s="317"/>
      <c r="AL327" s="317"/>
      <c r="AM327" s="317"/>
    </row>
    <row r="328" spans="3:39">
      <c r="C328" s="317"/>
      <c r="D328" s="317"/>
      <c r="E328" s="317"/>
      <c r="F328" s="317"/>
      <c r="G328" s="317"/>
      <c r="H328" s="317"/>
      <c r="I328" s="317"/>
      <c r="J328" s="317"/>
      <c r="K328" s="317"/>
      <c r="L328" s="317"/>
      <c r="M328" s="317"/>
      <c r="N328" s="317"/>
      <c r="O328" s="317"/>
      <c r="P328" s="317"/>
      <c r="Q328" s="317"/>
      <c r="R328" s="317"/>
      <c r="S328" s="317"/>
      <c r="T328" s="317"/>
      <c r="U328" s="317"/>
      <c r="V328" s="317"/>
      <c r="W328" s="317"/>
      <c r="X328" s="317"/>
      <c r="Y328" s="317"/>
      <c r="Z328" s="317"/>
      <c r="AA328" s="317"/>
      <c r="AB328" s="317"/>
      <c r="AC328" s="317"/>
      <c r="AD328" s="317"/>
      <c r="AE328" s="317"/>
      <c r="AF328" s="317"/>
      <c r="AG328" s="317"/>
      <c r="AH328" s="317"/>
      <c r="AI328" s="317"/>
      <c r="AJ328" s="317"/>
      <c r="AK328" s="317"/>
      <c r="AL328" s="317"/>
      <c r="AM328" s="317"/>
    </row>
    <row r="329" spans="3:39">
      <c r="C329" s="317"/>
      <c r="D329" s="317"/>
      <c r="E329" s="317"/>
      <c r="F329" s="317"/>
      <c r="G329" s="317"/>
      <c r="H329" s="317"/>
      <c r="I329" s="317"/>
      <c r="J329" s="317"/>
      <c r="K329" s="317"/>
      <c r="L329" s="317"/>
      <c r="M329" s="317"/>
      <c r="N329" s="317"/>
      <c r="O329" s="317"/>
      <c r="P329" s="317"/>
      <c r="Q329" s="317"/>
      <c r="R329" s="317"/>
      <c r="S329" s="317"/>
      <c r="T329" s="317"/>
      <c r="U329" s="317"/>
      <c r="V329" s="317"/>
      <c r="W329" s="317"/>
      <c r="X329" s="317"/>
      <c r="Y329" s="317"/>
      <c r="Z329" s="317"/>
      <c r="AA329" s="317"/>
      <c r="AB329" s="317"/>
      <c r="AC329" s="317"/>
      <c r="AD329" s="317"/>
      <c r="AE329" s="317"/>
      <c r="AF329" s="317"/>
      <c r="AG329" s="317"/>
      <c r="AH329" s="317"/>
      <c r="AI329" s="317"/>
      <c r="AJ329" s="317"/>
      <c r="AK329" s="317"/>
      <c r="AL329" s="317"/>
      <c r="AM329" s="317"/>
    </row>
    <row r="330" spans="3:39">
      <c r="C330" s="317"/>
      <c r="D330" s="317"/>
      <c r="E330" s="317"/>
      <c r="F330" s="317"/>
      <c r="G330" s="317"/>
      <c r="H330" s="317"/>
      <c r="I330" s="317"/>
      <c r="J330" s="317"/>
      <c r="K330" s="317"/>
      <c r="L330" s="317"/>
      <c r="M330" s="317"/>
      <c r="N330" s="317"/>
      <c r="O330" s="317"/>
      <c r="P330" s="317"/>
      <c r="Q330" s="317"/>
      <c r="R330" s="317"/>
      <c r="S330" s="317"/>
      <c r="T330" s="317"/>
      <c r="U330" s="317"/>
      <c r="V330" s="317"/>
      <c r="W330" s="317"/>
      <c r="X330" s="317"/>
      <c r="Y330" s="317"/>
      <c r="Z330" s="317"/>
      <c r="AA330" s="317"/>
      <c r="AB330" s="317"/>
      <c r="AC330" s="317"/>
      <c r="AD330" s="317"/>
      <c r="AE330" s="317"/>
      <c r="AF330" s="317"/>
      <c r="AG330" s="317"/>
      <c r="AH330" s="317"/>
      <c r="AI330" s="317"/>
      <c r="AJ330" s="317"/>
      <c r="AK330" s="317"/>
      <c r="AL330" s="317"/>
      <c r="AM330" s="317"/>
    </row>
    <row r="331" spans="3:39">
      <c r="C331" s="317"/>
      <c r="D331" s="317"/>
      <c r="E331" s="317"/>
      <c r="F331" s="317"/>
      <c r="G331" s="317"/>
      <c r="H331" s="317"/>
      <c r="I331" s="317"/>
      <c r="J331" s="317"/>
      <c r="K331" s="317"/>
      <c r="L331" s="317"/>
      <c r="M331" s="317"/>
      <c r="N331" s="317"/>
      <c r="O331" s="317"/>
      <c r="P331" s="317"/>
      <c r="Q331" s="317"/>
      <c r="R331" s="317"/>
      <c r="S331" s="317"/>
      <c r="T331" s="317"/>
      <c r="U331" s="317"/>
      <c r="V331" s="317"/>
      <c r="W331" s="317"/>
      <c r="X331" s="317"/>
      <c r="Y331" s="317"/>
      <c r="Z331" s="317"/>
      <c r="AA331" s="317"/>
      <c r="AB331" s="317"/>
      <c r="AC331" s="317"/>
      <c r="AD331" s="317"/>
      <c r="AE331" s="317"/>
      <c r="AF331" s="317"/>
      <c r="AG331" s="317"/>
      <c r="AH331" s="317"/>
      <c r="AI331" s="317"/>
      <c r="AJ331" s="317"/>
      <c r="AK331" s="317"/>
      <c r="AL331" s="317"/>
      <c r="AM331" s="317"/>
    </row>
    <row r="332" spans="3:39">
      <c r="C332" s="317"/>
      <c r="D332" s="317"/>
      <c r="E332" s="317"/>
      <c r="F332" s="317"/>
      <c r="G332" s="317"/>
      <c r="H332" s="317"/>
      <c r="I332" s="317"/>
      <c r="J332" s="317"/>
      <c r="K332" s="317"/>
      <c r="L332" s="317"/>
      <c r="M332" s="317"/>
      <c r="N332" s="317"/>
      <c r="O332" s="317"/>
      <c r="P332" s="317"/>
      <c r="Q332" s="317"/>
      <c r="R332" s="317"/>
      <c r="S332" s="317"/>
      <c r="T332" s="317"/>
      <c r="U332" s="317"/>
      <c r="V332" s="317"/>
      <c r="W332" s="317"/>
      <c r="X332" s="317"/>
      <c r="Y332" s="317"/>
      <c r="Z332" s="317"/>
      <c r="AA332" s="317"/>
      <c r="AB332" s="317"/>
      <c r="AC332" s="317"/>
      <c r="AD332" s="317"/>
      <c r="AE332" s="317"/>
      <c r="AF332" s="317"/>
      <c r="AG332" s="317"/>
      <c r="AH332" s="317"/>
      <c r="AI332" s="317"/>
      <c r="AJ332" s="317"/>
      <c r="AK332" s="317"/>
      <c r="AL332" s="317"/>
      <c r="AM332" s="317"/>
    </row>
    <row r="333" spans="3:39">
      <c r="C333" s="317"/>
      <c r="D333" s="317"/>
      <c r="E333" s="317"/>
      <c r="F333" s="317"/>
      <c r="G333" s="317"/>
      <c r="H333" s="317"/>
      <c r="I333" s="317"/>
      <c r="J333" s="317"/>
      <c r="K333" s="317"/>
      <c r="L333" s="317"/>
      <c r="M333" s="317"/>
      <c r="N333" s="317"/>
      <c r="O333" s="317"/>
      <c r="P333" s="317"/>
      <c r="Q333" s="317"/>
      <c r="R333" s="317"/>
      <c r="S333" s="317"/>
      <c r="T333" s="317"/>
      <c r="U333" s="317"/>
      <c r="V333" s="317"/>
      <c r="W333" s="317"/>
      <c r="X333" s="317"/>
      <c r="Y333" s="317"/>
      <c r="Z333" s="317"/>
      <c r="AA333" s="317"/>
      <c r="AB333" s="317"/>
      <c r="AC333" s="317"/>
      <c r="AD333" s="317"/>
      <c r="AE333" s="317"/>
      <c r="AF333" s="317"/>
      <c r="AG333" s="317"/>
      <c r="AH333" s="317"/>
      <c r="AI333" s="317"/>
      <c r="AJ333" s="317"/>
      <c r="AK333" s="317"/>
      <c r="AL333" s="317"/>
      <c r="AM333" s="317"/>
    </row>
    <row r="334" spans="3:39">
      <c r="C334" s="317"/>
      <c r="D334" s="317"/>
      <c r="E334" s="317"/>
      <c r="F334" s="317"/>
      <c r="G334" s="317"/>
      <c r="H334" s="317"/>
      <c r="I334" s="317"/>
      <c r="J334" s="317"/>
      <c r="K334" s="317"/>
      <c r="L334" s="317"/>
      <c r="M334" s="317"/>
      <c r="N334" s="317"/>
      <c r="O334" s="317"/>
      <c r="P334" s="317"/>
      <c r="Q334" s="317"/>
      <c r="R334" s="317"/>
      <c r="S334" s="317"/>
      <c r="T334" s="317"/>
      <c r="U334" s="317"/>
      <c r="V334" s="317"/>
      <c r="W334" s="317"/>
      <c r="X334" s="317"/>
      <c r="Y334" s="317"/>
      <c r="Z334" s="317"/>
      <c r="AA334" s="317"/>
      <c r="AB334" s="317"/>
      <c r="AC334" s="317"/>
      <c r="AD334" s="317"/>
      <c r="AE334" s="317"/>
      <c r="AF334" s="317"/>
      <c r="AG334" s="317"/>
      <c r="AH334" s="317"/>
      <c r="AI334" s="317"/>
      <c r="AJ334" s="317"/>
      <c r="AK334" s="317"/>
      <c r="AL334" s="317"/>
      <c r="AM334" s="317"/>
    </row>
    <row r="335" spans="3:39">
      <c r="C335" s="317"/>
      <c r="D335" s="317"/>
      <c r="E335" s="317"/>
      <c r="F335" s="317"/>
      <c r="G335" s="317"/>
      <c r="H335" s="317"/>
      <c r="I335" s="317"/>
      <c r="J335" s="317"/>
      <c r="K335" s="317"/>
      <c r="L335" s="317"/>
      <c r="M335" s="317"/>
      <c r="N335" s="317"/>
      <c r="O335" s="317"/>
      <c r="P335" s="317"/>
      <c r="Q335" s="317"/>
      <c r="R335" s="317"/>
      <c r="S335" s="317"/>
      <c r="T335" s="317"/>
      <c r="U335" s="317"/>
      <c r="V335" s="317"/>
      <c r="W335" s="317"/>
      <c r="X335" s="317"/>
      <c r="Y335" s="317"/>
      <c r="Z335" s="317"/>
      <c r="AA335" s="317"/>
      <c r="AB335" s="317"/>
      <c r="AC335" s="317"/>
      <c r="AD335" s="317"/>
      <c r="AE335" s="317"/>
      <c r="AF335" s="317"/>
      <c r="AG335" s="317"/>
      <c r="AH335" s="317"/>
      <c r="AI335" s="317"/>
      <c r="AJ335" s="317"/>
      <c r="AK335" s="317"/>
      <c r="AL335" s="317"/>
      <c r="AM335" s="317"/>
    </row>
    <row r="336" spans="3:39">
      <c r="C336" s="317"/>
      <c r="D336" s="317"/>
      <c r="E336" s="317"/>
      <c r="F336" s="317"/>
      <c r="G336" s="317"/>
      <c r="H336" s="317"/>
      <c r="I336" s="317"/>
      <c r="J336" s="317"/>
      <c r="K336" s="317"/>
      <c r="L336" s="317"/>
      <c r="M336" s="317"/>
      <c r="N336" s="317"/>
      <c r="O336" s="317"/>
      <c r="P336" s="317"/>
      <c r="Q336" s="317"/>
      <c r="R336" s="317"/>
      <c r="S336" s="317"/>
      <c r="T336" s="317"/>
      <c r="U336" s="317"/>
      <c r="V336" s="317"/>
      <c r="W336" s="317"/>
      <c r="X336" s="317"/>
      <c r="Y336" s="317"/>
      <c r="Z336" s="317"/>
      <c r="AA336" s="317"/>
      <c r="AB336" s="317"/>
      <c r="AC336" s="317"/>
      <c r="AD336" s="317"/>
      <c r="AE336" s="317"/>
      <c r="AF336" s="317"/>
      <c r="AG336" s="317"/>
      <c r="AH336" s="317"/>
      <c r="AI336" s="317"/>
      <c r="AJ336" s="317"/>
      <c r="AK336" s="317"/>
      <c r="AL336" s="317"/>
      <c r="AM336" s="317"/>
    </row>
    <row r="337" spans="3:39">
      <c r="C337" s="317"/>
      <c r="D337" s="317"/>
      <c r="E337" s="317"/>
      <c r="F337" s="317"/>
      <c r="G337" s="317"/>
      <c r="H337" s="317"/>
      <c r="I337" s="317"/>
      <c r="J337" s="317"/>
      <c r="K337" s="317"/>
      <c r="L337" s="317"/>
      <c r="M337" s="317"/>
      <c r="N337" s="317"/>
      <c r="O337" s="317"/>
      <c r="P337" s="317"/>
      <c r="Q337" s="317"/>
      <c r="R337" s="317"/>
      <c r="S337" s="317"/>
      <c r="T337" s="317"/>
      <c r="U337" s="317"/>
      <c r="V337" s="317"/>
      <c r="W337" s="317"/>
      <c r="X337" s="317"/>
      <c r="Y337" s="317"/>
      <c r="Z337" s="317"/>
      <c r="AA337" s="317"/>
      <c r="AB337" s="317"/>
      <c r="AC337" s="317"/>
      <c r="AD337" s="317"/>
      <c r="AE337" s="317"/>
      <c r="AF337" s="317"/>
      <c r="AG337" s="317"/>
      <c r="AH337" s="317"/>
      <c r="AI337" s="317"/>
      <c r="AJ337" s="317"/>
      <c r="AK337" s="317"/>
      <c r="AL337" s="317"/>
      <c r="AM337" s="317"/>
    </row>
    <row r="338" spans="3:39">
      <c r="C338" s="317"/>
      <c r="D338" s="317"/>
      <c r="E338" s="317"/>
      <c r="F338" s="317"/>
      <c r="G338" s="317"/>
      <c r="H338" s="317"/>
      <c r="I338" s="317"/>
      <c r="J338" s="317"/>
      <c r="K338" s="317"/>
      <c r="L338" s="317"/>
      <c r="M338" s="317"/>
      <c r="N338" s="317"/>
      <c r="O338" s="317"/>
      <c r="P338" s="317"/>
      <c r="Q338" s="317"/>
      <c r="R338" s="317"/>
      <c r="S338" s="317"/>
      <c r="T338" s="317"/>
      <c r="U338" s="317"/>
      <c r="V338" s="317"/>
      <c r="W338" s="317"/>
      <c r="X338" s="317"/>
      <c r="Y338" s="317"/>
      <c r="Z338" s="317"/>
      <c r="AA338" s="317"/>
      <c r="AB338" s="317"/>
      <c r="AC338" s="317"/>
      <c r="AD338" s="317"/>
      <c r="AE338" s="317"/>
      <c r="AF338" s="317"/>
      <c r="AG338" s="317"/>
      <c r="AH338" s="317"/>
      <c r="AI338" s="317"/>
      <c r="AJ338" s="317"/>
      <c r="AK338" s="317"/>
      <c r="AL338" s="317"/>
      <c r="AM338" s="317"/>
    </row>
    <row r="339" spans="3:39">
      <c r="C339" s="317"/>
      <c r="D339" s="317"/>
      <c r="E339" s="317"/>
      <c r="F339" s="317"/>
      <c r="G339" s="317"/>
      <c r="H339" s="317"/>
      <c r="I339" s="317"/>
      <c r="J339" s="317"/>
      <c r="K339" s="317"/>
      <c r="L339" s="317"/>
      <c r="M339" s="317"/>
      <c r="N339" s="317"/>
      <c r="O339" s="317"/>
      <c r="P339" s="317"/>
      <c r="Q339" s="317"/>
      <c r="R339" s="317"/>
      <c r="S339" s="317"/>
      <c r="T339" s="317"/>
      <c r="U339" s="317"/>
      <c r="V339" s="317"/>
      <c r="W339" s="317"/>
      <c r="X339" s="317"/>
      <c r="Y339" s="317"/>
      <c r="Z339" s="317"/>
      <c r="AA339" s="317"/>
      <c r="AB339" s="317"/>
      <c r="AC339" s="317"/>
      <c r="AD339" s="317"/>
      <c r="AE339" s="317"/>
      <c r="AF339" s="317"/>
      <c r="AG339" s="317"/>
      <c r="AH339" s="317"/>
      <c r="AI339" s="317"/>
      <c r="AJ339" s="317"/>
      <c r="AK339" s="317"/>
      <c r="AL339" s="317"/>
      <c r="AM339" s="317"/>
    </row>
    <row r="340" spans="3:39">
      <c r="C340" s="317"/>
      <c r="D340" s="317"/>
      <c r="E340" s="317"/>
      <c r="F340" s="317"/>
      <c r="G340" s="317"/>
      <c r="H340" s="317"/>
      <c r="I340" s="317"/>
      <c r="J340" s="317"/>
      <c r="K340" s="317"/>
      <c r="L340" s="317"/>
      <c r="M340" s="317"/>
      <c r="N340" s="317"/>
      <c r="O340" s="317"/>
      <c r="P340" s="317"/>
      <c r="Q340" s="317"/>
      <c r="R340" s="317"/>
      <c r="S340" s="317"/>
      <c r="T340" s="317"/>
      <c r="U340" s="317"/>
      <c r="V340" s="317"/>
      <c r="W340" s="317"/>
      <c r="X340" s="317"/>
      <c r="Y340" s="317"/>
      <c r="Z340" s="317"/>
      <c r="AA340" s="317"/>
      <c r="AB340" s="317"/>
      <c r="AC340" s="317"/>
      <c r="AD340" s="317"/>
      <c r="AE340" s="317"/>
      <c r="AF340" s="317"/>
      <c r="AG340" s="317"/>
      <c r="AH340" s="317"/>
      <c r="AI340" s="317"/>
      <c r="AJ340" s="317"/>
      <c r="AK340" s="317"/>
      <c r="AL340" s="317"/>
      <c r="AM340" s="317"/>
    </row>
    <row r="341" spans="3:39">
      <c r="C341" s="317"/>
      <c r="D341" s="317"/>
      <c r="E341" s="317"/>
      <c r="F341" s="317"/>
      <c r="G341" s="317"/>
      <c r="H341" s="317"/>
      <c r="I341" s="317"/>
      <c r="J341" s="317"/>
      <c r="K341" s="317"/>
      <c r="L341" s="317"/>
      <c r="M341" s="317"/>
      <c r="N341" s="317"/>
      <c r="O341" s="317"/>
      <c r="P341" s="317"/>
      <c r="Q341" s="317"/>
      <c r="R341" s="317"/>
      <c r="S341" s="317"/>
      <c r="T341" s="317"/>
      <c r="U341" s="317"/>
      <c r="V341" s="317"/>
      <c r="W341" s="317"/>
      <c r="X341" s="317"/>
      <c r="Y341" s="317"/>
      <c r="Z341" s="317"/>
      <c r="AA341" s="317"/>
      <c r="AB341" s="317"/>
      <c r="AC341" s="317"/>
      <c r="AD341" s="317"/>
      <c r="AE341" s="317"/>
      <c r="AF341" s="317"/>
      <c r="AG341" s="317"/>
      <c r="AH341" s="317"/>
      <c r="AI341" s="317"/>
      <c r="AJ341" s="317"/>
      <c r="AK341" s="317"/>
      <c r="AL341" s="317"/>
      <c r="AM341" s="317"/>
    </row>
    <row r="342" spans="3:39">
      <c r="C342" s="317"/>
      <c r="D342" s="317"/>
      <c r="E342" s="317"/>
      <c r="F342" s="317"/>
      <c r="G342" s="317"/>
      <c r="H342" s="317"/>
      <c r="I342" s="317"/>
      <c r="J342" s="317"/>
      <c r="K342" s="317"/>
      <c r="L342" s="317"/>
      <c r="M342" s="317"/>
      <c r="N342" s="317"/>
      <c r="O342" s="317"/>
      <c r="P342" s="317"/>
      <c r="Q342" s="317"/>
      <c r="R342" s="317"/>
      <c r="S342" s="317"/>
      <c r="T342" s="317"/>
      <c r="U342" s="317"/>
    </row>
  </sheetData>
  <sheetProtection algorithmName="SHA-512" hashValue="xmkz6lN9dbeg5BoOsByofcq79GcVzGFEGnNOcjnZ4McOmRWifb2ku9eYAm0FcIPj2bm3u0WEysBC5hX9PqKMjg==" saltValue="YhAmN1h8nzJptL3jWHCMzA==" spinCount="100000" sheet="1" objects="1" scenarios="1"/>
  <printOptions horizontalCentered="1"/>
  <pageMargins left="0.75" right="0.75" top="0.5" bottom="0.5" header="0.3" footer="0.3"/>
  <pageSetup orientation="portrait" r:id="rId1"/>
  <headerFooter alignWithMargins="0">
    <oddHeader>&amp;CBUDGET CONTENTS - FUNDS</oddHeader>
    <oddFooter>&amp;L&amp;F(&amp;A)</oddFooter>
  </headerFooter>
  <drawing r:id="rId2"/>
  <legacy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DY3"/>
  <sheetViews>
    <sheetView workbookViewId="0"/>
  </sheetViews>
  <sheetFormatPr defaultColWidth="8.88671875" defaultRowHeight="13.2"/>
  <cols>
    <col min="1" max="129" width="9.109375" style="282"/>
  </cols>
  <sheetData>
    <row r="1" spans="1:76">
      <c r="A1" s="282" t="s">
        <v>1197</v>
      </c>
    </row>
    <row r="2" spans="1:76">
      <c r="A2" s="865" t="s">
        <v>834</v>
      </c>
      <c r="B2" s="865" t="s">
        <v>1156</v>
      </c>
      <c r="C2" s="865" t="s">
        <v>1198</v>
      </c>
      <c r="D2" s="865" t="s">
        <v>1199</v>
      </c>
      <c r="E2" s="865" t="s">
        <v>1157</v>
      </c>
      <c r="F2" s="865" t="s">
        <v>1200</v>
      </c>
      <c r="G2" s="865" t="s">
        <v>1201</v>
      </c>
      <c r="H2" s="865" t="s">
        <v>1158</v>
      </c>
      <c r="I2" s="865" t="s">
        <v>1202</v>
      </c>
      <c r="J2" s="865" t="s">
        <v>1203</v>
      </c>
      <c r="K2" s="865" t="s">
        <v>1159</v>
      </c>
      <c r="L2" s="865" t="s">
        <v>1204</v>
      </c>
      <c r="M2" s="865" t="s">
        <v>1205</v>
      </c>
      <c r="N2" s="865" t="s">
        <v>1160</v>
      </c>
      <c r="O2" s="865" t="s">
        <v>1206</v>
      </c>
      <c r="P2" s="865" t="s">
        <v>1207</v>
      </c>
      <c r="Q2" s="865" t="s">
        <v>1161</v>
      </c>
      <c r="R2" s="865" t="s">
        <v>1208</v>
      </c>
      <c r="S2" s="865" t="s">
        <v>1209</v>
      </c>
      <c r="T2" s="865" t="s">
        <v>1162</v>
      </c>
      <c r="U2" s="865" t="s">
        <v>1210</v>
      </c>
      <c r="V2" s="865" t="s">
        <v>1211</v>
      </c>
      <c r="W2" s="865" t="s">
        <v>1163</v>
      </c>
      <c r="X2" s="865" t="s">
        <v>1212</v>
      </c>
      <c r="Y2" s="865" t="s">
        <v>1213</v>
      </c>
      <c r="Z2" s="865" t="s">
        <v>1164</v>
      </c>
      <c r="AA2" s="865" t="s">
        <v>1214</v>
      </c>
      <c r="AB2" s="865" t="s">
        <v>1215</v>
      </c>
      <c r="AC2" s="865" t="s">
        <v>1165</v>
      </c>
      <c r="AD2" s="865" t="s">
        <v>1216</v>
      </c>
      <c r="AE2" s="865" t="s">
        <v>1217</v>
      </c>
      <c r="AF2" s="865" t="s">
        <v>1166</v>
      </c>
      <c r="AG2" s="865" t="s">
        <v>1218</v>
      </c>
      <c r="AH2" s="865" t="s">
        <v>1219</v>
      </c>
      <c r="AI2" s="865" t="s">
        <v>1167</v>
      </c>
      <c r="AJ2" s="865" t="s">
        <v>1168</v>
      </c>
      <c r="AK2" s="865" t="s">
        <v>1220</v>
      </c>
      <c r="AL2" s="865" t="s">
        <v>1221</v>
      </c>
      <c r="AM2" s="865" t="s">
        <v>1169</v>
      </c>
      <c r="AN2" s="865" t="s">
        <v>1170</v>
      </c>
      <c r="AO2" s="865" t="s">
        <v>1171</v>
      </c>
      <c r="AP2" s="865" t="s">
        <v>1172</v>
      </c>
      <c r="AQ2" s="865" t="s">
        <v>1222</v>
      </c>
      <c r="AR2" s="865" t="s">
        <v>1223</v>
      </c>
      <c r="AS2" s="865" t="s">
        <v>1173</v>
      </c>
      <c r="AT2" s="865" t="s">
        <v>1224</v>
      </c>
      <c r="AU2" s="865" t="s">
        <v>1225</v>
      </c>
      <c r="AV2" s="865" t="s">
        <v>1174</v>
      </c>
      <c r="AW2" s="865" t="s">
        <v>1175</v>
      </c>
      <c r="AX2" s="865" t="s">
        <v>1226</v>
      </c>
      <c r="AY2" s="865" t="s">
        <v>1227</v>
      </c>
      <c r="AZ2" s="865" t="s">
        <v>1176</v>
      </c>
      <c r="BA2" s="865" t="s">
        <v>1228</v>
      </c>
      <c r="BB2" s="865" t="s">
        <v>1229</v>
      </c>
      <c r="BC2" s="865" t="s">
        <v>1177</v>
      </c>
      <c r="BD2" s="865" t="s">
        <v>1178</v>
      </c>
      <c r="BE2" s="865" t="s">
        <v>1179</v>
      </c>
      <c r="BF2" s="865" t="s">
        <v>1180</v>
      </c>
      <c r="BG2" s="865" t="s">
        <v>1181</v>
      </c>
      <c r="BH2" s="865" t="s">
        <v>1182</v>
      </c>
      <c r="BI2" s="865" t="s">
        <v>1230</v>
      </c>
      <c r="BJ2" s="865" t="s">
        <v>1183</v>
      </c>
      <c r="BK2" s="865" t="s">
        <v>1184</v>
      </c>
      <c r="BL2" s="865" t="s">
        <v>1186</v>
      </c>
      <c r="BM2" s="865" t="s">
        <v>1187</v>
      </c>
      <c r="BN2" s="865" t="s">
        <v>1188</v>
      </c>
      <c r="BO2" s="865" t="s">
        <v>1189</v>
      </c>
      <c r="BP2" s="865" t="s">
        <v>1190</v>
      </c>
      <c r="BQ2" s="865" t="s">
        <v>1191</v>
      </c>
      <c r="BR2" s="865" t="s">
        <v>1231</v>
      </c>
      <c r="BS2" s="865" t="s">
        <v>1232</v>
      </c>
      <c r="BT2" s="865" t="s">
        <v>1192</v>
      </c>
      <c r="BU2" s="865" t="s">
        <v>1193</v>
      </c>
      <c r="BV2" s="865" t="s">
        <v>1194</v>
      </c>
      <c r="BW2" s="865" t="s">
        <v>1195</v>
      </c>
      <c r="BX2" s="865" t="s">
        <v>1196</v>
      </c>
    </row>
    <row r="3" spans="1:76">
      <c r="A3" s="282">
        <f>OPEN!$B$4</f>
        <v>237</v>
      </c>
      <c r="B3" s="379">
        <f>COUNTIF('C06'!$C$48:$C$94,"&lt;0")+COUNTIF('C06'!$C$96:$C$143,"&lt;0")+COUNTIF('C06'!$C$144:$C$195,"&lt;0")+COUNTIF('C06'!$C$199:$C$247,"&lt;0")+COUNTIF('C06'!$C$250:$C$283,"&lt;0")</f>
        <v>0</v>
      </c>
      <c r="C3" s="379">
        <f>COUNTIF('C06'!$D$48:$D$94,"&lt;0")+COUNTIF('C06'!$D$96:$D$143,"&lt;0")+COUNTIF('C06'!$D$144:$D$195,"&lt;0")+COUNTIF('C06'!$D$199:$D$247,"&lt;0")+COUNTIF('C06'!$D$250:$D$283,"&lt;0")</f>
        <v>0</v>
      </c>
      <c r="D3" s="379">
        <f>COUNTIF('C06'!$E$48:$E$94,"&lt;0")+COUNTIF('C06'!$E$96:$E$143,"&lt;0")+COUNTIF('C06'!$E$144:$E$195,"&lt;0")+COUNTIF('C06'!$E$199:$E$247,"&lt;0")+COUNTIF('C06'!$E$250:$E$283,"&lt;0")</f>
        <v>0</v>
      </c>
      <c r="E3" s="379">
        <f>COUNTIF('C07'!$C$41:$C$66,"&lt;0")+COUNTIF('C07'!$C$68:$C$117,"&lt;0")+COUNTIF('C07'!$C$118:$C$168,"&lt;0")+COUNTIF('C07'!$C$172:$C$218,"&lt;0")</f>
        <v>0</v>
      </c>
      <c r="F3" s="379">
        <f>COUNTIF('C07'!$D$41:$D$66,"&lt;0")+COUNTIF('C07'!$D$68:$D$117,"&lt;0")+COUNTIF('C07'!$D$118:$D$168,"&lt;0")+COUNTIF('C07'!$D$172:$D$218,"&lt;0")</f>
        <v>0</v>
      </c>
      <c r="G3" s="379">
        <f>COUNTIF('C07'!$E$41:$E$66,"&lt;0")+COUNTIF('C07'!$E$68:$E$117,"&lt;0")+COUNTIF('C07'!$E$118:$E$168,"&lt;0")+COUNTIF('C07'!$E$172:$E$218,"&lt;0")</f>
        <v>0</v>
      </c>
      <c r="H3" s="379">
        <f>COUNTIF('C08'!$C$53:$C$73,"&lt;0")+COUNTIF('C08'!$C$77:$C$122,"&lt;0")+COUNTIF('C08'!$C$125:$C$180,"&lt;0")+COUNTIF('C08'!$C$183:$C$239,"&lt;0")+COUNTIF('C08'!$C$242:$C$287,"&lt;0")</f>
        <v>0</v>
      </c>
      <c r="I3" s="379">
        <f>COUNTIF('C08'!$D$53:$D$73,"&lt;0")+COUNTIF('C08'!$D$77:$D$122,"&lt;0")+COUNTIF('C08'!$D$125:$D$180,"&lt;0")+COUNTIF('C08'!$D$183:$D$239,"&lt;0")+COUNTIF('C08'!$D$242:$D$287,"&lt;0")</f>
        <v>0</v>
      </c>
      <c r="J3" s="379">
        <f>COUNTIF('C08'!$E$53:$E$73,"&lt;0")+COUNTIF('C08'!$E$77:$E$122,"&lt;0")+COUNTIF('C08'!$E$125:$E$180,"&lt;0")+COUNTIF('C08'!$E$183:$E$239,"&lt;0")+COUNTIF('C08'!$E$242:$E$287,"&lt;0")</f>
        <v>0</v>
      </c>
      <c r="K3" s="379">
        <f>COUNTIF('C010'!$C$68:$C$117,"&lt;0")+COUNTIF('C010'!$C$120:$C$151,"&lt;0")</f>
        <v>0</v>
      </c>
      <c r="L3" s="379">
        <f>COUNTIF('C010'!$D$68:$D$117,"&lt;0")+COUNTIF('C010'!$D$120:$D$151,"&lt;0")</f>
        <v>0</v>
      </c>
      <c r="M3" s="379">
        <f>COUNTIF('C010'!$E$68:$E$117,"&lt;0")+COUNTIF('C010'!$E$120:$E$151,"&lt;0")</f>
        <v>0</v>
      </c>
      <c r="N3" s="379">
        <f>COUNTIF('C011'!$C$44:$C$68,"&lt;0")+COUNTIF('C011'!$C$70:$C$122,"&lt;0")+COUNTIF('C011'!$C$125:$C$165,"&lt;0")</f>
        <v>0</v>
      </c>
      <c r="O3" s="379">
        <f>COUNTIF('C011'!$D$44:$D$68,"&lt;0")+COUNTIF('C011'!$D$70:$D$122,"&lt;0")+COUNTIF('C011'!$D$125:$D$165,"&lt;0")</f>
        <v>0</v>
      </c>
      <c r="P3" s="379">
        <f>COUNTIF('C011'!$E$44:$E$68,"&lt;0")+COUNTIF('C011'!$E$70:$E$122,"&lt;0")+COUNTIF('C011'!$E$125:$E$165,"&lt;0")</f>
        <v>0</v>
      </c>
      <c r="Q3" s="379">
        <f>COUNTIF('C012'!$C$40:$C$71,"&lt;0")+COUNTIF('C012'!$C$72:$C$120,"&lt;0")</f>
        <v>0</v>
      </c>
      <c r="R3" s="379">
        <f>COUNTIF('C012'!$D$40:$D$71,"&lt;0")+COUNTIF('C012'!$D$72:$D$120,"&lt;0")</f>
        <v>0</v>
      </c>
      <c r="S3" s="379">
        <f>COUNTIF('C012'!$E$40:$E$71,"&lt;0")+COUNTIF('C012'!$E$72:$E$120,"&lt;0")</f>
        <v>0</v>
      </c>
      <c r="T3" s="379">
        <f>COUNTIF('C013'!$C$44:$C$68,"&lt;0")+COUNTIF('C013'!$C$70:$C$122,"&lt;0")+COUNTIF('C013'!$C$125:$C$165,"&lt;0")</f>
        <v>0</v>
      </c>
      <c r="U3" s="379">
        <f>COUNTIF('C013'!$D$44:$D$68,"&lt;0")+COUNTIF('C013'!$D$70:$D$122,"&lt;0")+COUNTIF('C013'!$D$125:$D$165,"&lt;0")</f>
        <v>0</v>
      </c>
      <c r="V3" s="379">
        <f>COUNTIF('C013'!$E$44:$E$68,"&lt;0")+COUNTIF('C013'!$E$70:$E$122,"&lt;0")+COUNTIF('C013'!$E$125:$E$165,"&lt;0")</f>
        <v>0</v>
      </c>
      <c r="W3" s="430">
        <f>COUNTIF('C014'!$C$39:$C$68,"&lt;0")+COUNTIF('C014'!$C$69:$C$126,"&lt;0")+COUNTIF('C014'!$C$128:$C$161,"&lt;0")</f>
        <v>0</v>
      </c>
      <c r="X3" s="379">
        <f>COUNTIF('C014'!$D$39:$D$68,"&lt;0")+COUNTIF('C014'!$D$69:$D$126,"&lt;0")+COUNTIF('C014'!$D$128:$D$161,"&lt;0")</f>
        <v>0</v>
      </c>
      <c r="Y3" s="379">
        <f>COUNTIF('C014'!$E$39:$E$68,"&lt;0")+COUNTIF('C014'!$E$69:$E$126,"&lt;0")+COUNTIF('C014'!$E$128:$E$161,"&lt;0")</f>
        <v>0</v>
      </c>
      <c r="Z3" s="379">
        <f>COUNTIF('C015'!$C$40:$C$59,"&lt;0")+COUNTIF('C015'!$C$63:$C$108,"&lt;0")+COUNTIF('C015'!$C$110:$C$157,"&lt;0")</f>
        <v>0</v>
      </c>
      <c r="AA3" s="379">
        <f>COUNTIF('C015'!$D$40:$D$59,"&lt;0")+COUNTIF('C015'!$D$63:$D$108,"&lt;0")+COUNTIF('C015'!$D$110:$D$157,"&lt;0")</f>
        <v>0</v>
      </c>
      <c r="AB3" s="379">
        <f>COUNTIF('C015'!$E$40:$E$59,"&lt;0")+COUNTIF('C015'!$E$63:$E$108,"&lt;0")+COUNTIF('C015'!$E$110:$E$157,"&lt;0")</f>
        <v>0</v>
      </c>
      <c r="AC3" s="379">
        <f>COUNTIF('C016'!$C$60:$C$106,"&lt;0")+COUNTIF('C016'!$C$109:$C$143,"&lt;0")</f>
        <v>0</v>
      </c>
      <c r="AD3" s="379">
        <f>COUNTIF('C016'!$D$60:$D$106,"&lt;0")+COUNTIF('C016'!$C$109:$C$143,"&lt;0")</f>
        <v>0</v>
      </c>
      <c r="AE3" s="379">
        <f>COUNTIF('C016'!$E$60:$E$106,"&lt;0")+COUNTIF('C016'!$C$109:$C$143,"&lt;0")</f>
        <v>0</v>
      </c>
      <c r="AF3" s="379">
        <f>COUNTIF('C018'!$C$40:$C$68,"&lt;0")+COUNTIF('C018'!$C$69:$C$118,"&lt;0")+COUNTIF('C018'!$C$121:$C$165,"&lt;0")</f>
        <v>0</v>
      </c>
      <c r="AG3" s="379">
        <f>COUNTIF('C018'!$D$40:$D$68,"&lt;0")+COUNTIF('C018'!$D$69:$D$118,"&lt;0")+COUNTIF('C018'!$D$121:$D$165,"&lt;0")</f>
        <v>0</v>
      </c>
      <c r="AH3" s="379">
        <f>COUNTIF('C018'!$E$40:$E$68,"&lt;0")+COUNTIF('C018'!$E$69:$E$118,"&lt;0")+COUNTIF('C018'!$E$121:$E$165,"&lt;0")</f>
        <v>0</v>
      </c>
      <c r="AI3" s="282">
        <f>COUNTIF('C019'!$C$32:$E$32,"&lt;0")</f>
        <v>0</v>
      </c>
      <c r="AJ3" s="379">
        <f>COUNTIF('C022'!$C$39:$C$70,"&lt;0")+COUNTIF('C022'!$C$71:$C$126,"&lt;0")+COUNTIF('C022'!$C$128:$C$157,"&lt;0")</f>
        <v>0</v>
      </c>
      <c r="AK3" s="379">
        <f>COUNTIF('C022'!$D$39:$D$70,"&lt;0")+COUNTIF('C022'!$D$71:$D$126,"&lt;0")+COUNTIF('C022'!$D$128:$D$157,"&lt;0")</f>
        <v>0</v>
      </c>
      <c r="AL3" s="379">
        <f>COUNTIF('C022'!$E$39:$E$70,"&lt;0")+COUNTIF('C022'!$E$71:$E$126,"&lt;0")+COUNTIF('C022'!$E$128:$E$157,"&lt;0")</f>
        <v>0</v>
      </c>
      <c r="AM3" s="379">
        <f>COUNTIF('C024'!$C$48:$C$84,"&lt;0")+COUNTIF('C024'!$D$48:$D$84,"&lt;0")+COUNTIF('C024'!$E$48:$E$84,"&lt;0")</f>
        <v>0</v>
      </c>
      <c r="AN3" s="379">
        <f>COUNTIF('C026'!$C$39:$C$76,"&lt;0")+COUNTIF('C026'!$C$77:$C$81,"&lt;0")+COUNTIF('C026'!$D$39:$D$76,"&lt;0")+COUNTIF('C026'!$D$77:$D$81,"&lt;0")+COUNTIF('C026'!$E$39:$E$76,"&lt;0")+COUNTIF('C026'!$E$77:$E$81,"&lt;0")</f>
        <v>0</v>
      </c>
      <c r="AO3" s="379">
        <f>COUNTIF('C028'!$C$42:$C$59,"&lt;0")+COUNTIF('C028'!$C$62:$C$101,"&lt;0")+COUNTIF('C028'!$D$42:$D$59,"&lt;0")+COUNTIF('C028'!$D$62:$D$101,"&lt;0")+COUNTIF('C028'!$E$42:$E$59,"&lt;0")+COUNTIF('C028'!$E$62:$E$101,"&lt;0")</f>
        <v>0</v>
      </c>
      <c r="AP3" s="379">
        <f>COUNTIF('C029'!$C$43:$C$72,"&lt;0")+COUNTIF('C029'!$C$73:$C$118,"&lt;0")+COUNTIF('C029'!$C$119:$C$168,"&lt;0")</f>
        <v>0</v>
      </c>
      <c r="AQ3" s="379">
        <f>COUNTIF('C029'!$D$43:$D$72,"&lt;0")+COUNTIF('C029'!$D$73:$D$118,"&lt;0")+COUNTIF('C029'!$D$119:$D$168,"&lt;0")</f>
        <v>0</v>
      </c>
      <c r="AR3" s="379">
        <f>COUNTIF('C029'!$E$43:$E$72,"&lt;0")+COUNTIF('C029'!$E$73:$E$118,"&lt;0")+COUNTIF('C029'!$E$119:$E$168,"&lt;0")</f>
        <v>0</v>
      </c>
      <c r="AS3" s="379">
        <f>COUNTIF('C030'!$C$47:$C$68,"&lt;0")+COUNTIF('C030'!$C$72:$C$125,"&lt;0")+COUNTIF('C030'!$C$126:$C$182,"&lt;0")+COUNTIF('C030'!$C$184:$C$238,"&lt;0")</f>
        <v>0</v>
      </c>
      <c r="AT3" s="379">
        <f>COUNTIF('C030'!$D$47:$D$68,"&lt;0")+COUNTIF('C030'!$D$72:$D$125,"&lt;0")+COUNTIF('C030'!$D$126:$D$182,"&lt;0")+COUNTIF('C030'!$D$184:$D$238,"&lt;0")</f>
        <v>0</v>
      </c>
      <c r="AU3" s="379">
        <f>COUNTIF('C030'!$E$47:$E$68,"&lt;0")+COUNTIF('C030'!$E$72:$E$125,"&lt;0")+COUNTIF('C030'!$E$126:$E$182,"&lt;0")+COUNTIF('C030'!$E$184:$E$238,"&lt;0")</f>
        <v>0</v>
      </c>
      <c r="AV3" s="282">
        <f>COUNTIF('C033'!$C$30:$E$30,"&lt;0")</f>
        <v>0</v>
      </c>
      <c r="AW3" s="379">
        <f>COUNTIF('C034'!$C$51:$C$70,"&lt;0")+COUNTIF('C034'!$C$73:$C$128,"&lt;0")+COUNTIF('C034'!$C$131:$C$172,"&lt;0")</f>
        <v>0</v>
      </c>
      <c r="AX3" s="379">
        <f>COUNTIF('C034'!$D$51:$D$70,"&lt;0")+COUNTIF('C034'!$D$73:$D$128,"&lt;0")+COUNTIF('C034'!$D$131:$D$172,"&lt;0")</f>
        <v>0</v>
      </c>
      <c r="AY3" s="379">
        <f>COUNTIF('C034'!$E$51:$E$70,"&lt;0")+COUNTIF('C034'!$E$73:$E$128,"&lt;0")+COUNTIF('C034'!$E$131:$E$172,"&lt;0")</f>
        <v>0</v>
      </c>
      <c r="AZ3" s="379">
        <f>COUNTIF('C035'!$C$52:$C$65,"&lt;0")+COUNTIF('C035'!$C$67:$C$121,"&lt;0")+COUNTIF('C035'!$C$124:$C$176,"&lt;0")+COUNTIF('C035'!$C$177:$C$229,"&lt;0")+COUNTIF('C035'!$C$232:$C$238,"&lt;0")</f>
        <v>0</v>
      </c>
      <c r="BA3" s="379">
        <f>COUNTIF('C035'!$D$52:$D$65,"&lt;0")+COUNTIF('C035'!$D$67:$D$121,"&lt;0")+COUNTIF('C035'!$D$124:$D$176,"&lt;0")+COUNTIF('C035'!$D$177:$D$229,"&lt;0")+COUNTIF('C035'!$C$232:$C$238,"&lt;0")</f>
        <v>0</v>
      </c>
      <c r="BB3" s="379">
        <f>COUNTIF('C035'!$E$52:$E$65,"&lt;0")+COUNTIF('C035'!$E$67:$E$121,"&lt;0")+COUNTIF('C035'!$E$124:$E$176,"&lt;0")+COUNTIF('C035'!$E$177:$E$229,"&lt;0")+COUNTIF('C035'!$C$232:$C$238,"&lt;0")</f>
        <v>0</v>
      </c>
      <c r="BC3" s="379">
        <f>COUNTIF('C042'!$C$43:$C$47,"&lt;0")+COUNTIF('C042'!$D$43:$D$47,"&lt;0")+COUNTIF('C042'!$E$43:$E$47,"&lt;0")</f>
        <v>0</v>
      </c>
      <c r="BD3" s="282">
        <f>COUNTIF('C044'!$C$35:$E$35,"&lt;0")</f>
        <v>0</v>
      </c>
      <c r="BE3" s="282">
        <f>COUNTIF('C045'!$C$30:$E$30,"&lt;0")</f>
        <v>0</v>
      </c>
      <c r="BF3" s="379">
        <f>COUNTIF('C047'!$C$41:$C$45,"&lt;0")+COUNTIF('C047'!$D$41:$D$45,"&lt;0")</f>
        <v>0</v>
      </c>
      <c r="BG3" s="379">
        <f>COUNTIF('C051'!$C$19:$C$37,"&lt;0")+COUNTIF('C051'!$D$19:$D$37,"&lt;0")+COUNTIF('C051'!$E$19:$E$37,"&lt;0")</f>
        <v>0</v>
      </c>
      <c r="BH3" s="379">
        <f>COUNTIF('C053'!$C$31:$C$66,"&lt;0")+COUNTIF('C053'!$C$69:$C$111,"&lt;0")+COUNTIF('C053'!$C$113:$C$159,"&lt;0")+COUNTIF('C053'!$C$163:$C$211,"&lt;0")+COUNTIF('C053'!$C$214:$C$244,"&lt;0")</f>
        <v>0</v>
      </c>
      <c r="BI3" s="379">
        <f>COUNTIF('C053'!$D$31:$D$66,"&lt;0")+COUNTIF('C053'!$D$69:$D$111,"&lt;0")+COUNTIF('C053'!$D$113:$D$159,"&lt;0")+COUNTIF('C053'!$D$163:$D$211,"&lt;0")+COUNTIF('C053'!$D$214:$D$244,"&lt;0")</f>
        <v>0</v>
      </c>
      <c r="BJ3" s="379">
        <f>COUNTIF('C055'!$C$29:$C$40,"&lt;0")+COUNTIF('C055'!$D$29:$D$40,"&lt;0")</f>
        <v>0</v>
      </c>
      <c r="BK3" s="379">
        <f>COUNTIF('C056'!$C$36:$C$55,"&lt;0")+COUNTIF('C056'!$D$36:$D$55,"&lt;0")</f>
        <v>0</v>
      </c>
      <c r="BL3" s="379">
        <f>COUNTIF('C062'!$C$46:$C$48,"&lt;0")+COUNTIF('C062'!$D$46:$D$48,"&lt;0")+COUNTIF('C062'!$E$46:$E$48,"&lt;0")+COUNTIF('C062'!$F$50:$F$53,"&lt;0")</f>
        <v>0</v>
      </c>
      <c r="BM3" s="379">
        <f>COUNTIF('C063'!$C$46:$C$48,"&lt;0")+COUNTIF('C063'!$D$46:$D$48,"&lt;0")+COUNTIF('C063'!$E$46:$E$48,"&lt;0")+COUNTIF('C063'!$F$50:$F$53,"&lt;0")</f>
        <v>0</v>
      </c>
      <c r="BN3" s="379">
        <f>COUNTIF('C066'!$C$34:$C$35,"&lt;0")+COUNTIF('C066'!$D$34:$D$35,"&lt;0")+COUNTIF('C066'!$E$34:$E$35,"&lt;0")+COUNTIF('C066'!$F$37:$F$38,"&lt;0")</f>
        <v>0</v>
      </c>
      <c r="BO3" s="379">
        <f>COUNTIF('C067'!$C$34:$E$34,"&lt;0")+COUNTIF('C067'!$F$36,"&lt;0")</f>
        <v>0</v>
      </c>
      <c r="BP3" s="379">
        <f>COUNTIF('C068'!$C$35:$E$36,"&lt;0")+COUNTIF('C068'!$F$38:$F$39,"&lt;0")</f>
        <v>0</v>
      </c>
      <c r="BQ3" s="379">
        <f>COUNTIF('C078'!$C$40:$C$71,"&lt;0")+COUNTIF('C078'!$C$72:$C$119,"&lt;0")+COUNTIF('C078'!$C$122:$C$177,"&lt;0")+COUNTIF('C078'!$C$179:$C$229,"&lt;0")</f>
        <v>0</v>
      </c>
      <c r="BR3" s="379">
        <f>COUNTIF('C078'!$D$40:$D$71,"&lt;0")+COUNTIF('C078'!$D$72:$D$119,"&lt;0")+COUNTIF('C078'!$D$122:$D$177,"&lt;0")+COUNTIF('C078'!$D$179:$D$229,"&lt;0")</f>
        <v>0</v>
      </c>
      <c r="BS3" s="379">
        <f>COUNTIF('C078'!$E$40:$E$71,"&lt;0")+COUNTIF('C078'!$E$72:$E$119,"&lt;0")+COUNTIF('C078'!$E$122:$E$177,"&lt;0")+COUNTIF('C078'!$E$179:$E$229,"&lt;0")</f>
        <v>0</v>
      </c>
      <c r="BT3" s="379">
        <f>COUNTIF('C080'!$C$34:$E$34,"&lt;0")+COUNTIF('C080'!$F$36,"&lt;0")</f>
        <v>0</v>
      </c>
      <c r="BU3" s="379">
        <f>COUNTIF('C082'!$C$34:$E$34,"&lt;0")+COUNTIF('C082'!$F$36,"&lt;0")</f>
        <v>0</v>
      </c>
      <c r="BV3" s="379">
        <f>COUNTIF('C083'!$C$34:$E$34,"&lt;0")+COUNTIF('C083'!$F$36,"&lt;0")</f>
        <v>0</v>
      </c>
      <c r="BW3" s="379">
        <f>COUNTIF('C084'!$C$34:$E$34,"&lt;0")+COUNTIF('C084'!$F$36,"&lt;0")</f>
        <v>0</v>
      </c>
      <c r="BX3" s="379">
        <f>COUNTIF('C086'!$C$34:$E$34,"&lt;0")+COUNTIF('C086'!$F$36,"&lt;0")</f>
        <v>0</v>
      </c>
    </row>
  </sheetData>
  <sheetProtection algorithmName="SHA-512" hashValue="e/MZYbk3qTIgyvagBjgpyxnpqaVF1UTrNH+kxMIykBGZxxWCymy5m9qoO6GvU+PjusUyQQDFnB8lFSGG22jyUw==" saltValue="9gMHZn9YbvIEqycdL8P2bw==" spinCount="100000" sheet="1" objects="1" scenarios="1"/>
  <printOptions horizontalCentered="1"/>
  <pageMargins left="0.75" right="0.75" top="0.5" bottom="0.5" header="0.3" footer="0.3"/>
  <pageSetup orientation="portrait" r:id="rId1"/>
  <headerFooter alignWithMargins="0">
    <oddHeader>&amp;CBUDGET CONTENTS - FUNDS</oddHeader>
    <oddFooter>&amp;L&amp;F(&amp;A)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Z3"/>
  <sheetViews>
    <sheetView workbookViewId="0"/>
  </sheetViews>
  <sheetFormatPr defaultColWidth="8.88671875" defaultRowHeight="13.2"/>
  <cols>
    <col min="1" max="40" width="9.109375" style="667"/>
    <col min="41" max="41" width="10.109375" style="667" customWidth="1"/>
    <col min="42" max="42" width="9.109375" style="667"/>
    <col min="43" max="43" width="11" style="667" customWidth="1"/>
    <col min="44" max="44" width="10.88671875" style="667" customWidth="1"/>
    <col min="45" max="45" width="12.44140625" style="667" customWidth="1"/>
    <col min="46" max="46" width="11.44140625" style="667" customWidth="1"/>
    <col min="47" max="47" width="11.6640625" style="667" customWidth="1"/>
    <col min="48" max="48" width="11" style="667" customWidth="1"/>
    <col min="49" max="49" width="12.44140625" style="667" customWidth="1"/>
    <col min="50" max="50" width="11.33203125" style="667" customWidth="1"/>
    <col min="51" max="51" width="11.88671875" style="667" customWidth="1"/>
    <col min="52" max="52" width="9.109375" style="667"/>
  </cols>
  <sheetData>
    <row r="1" spans="1:51">
      <c r="A1" s="667" t="s">
        <v>1155</v>
      </c>
    </row>
    <row r="2" spans="1:51">
      <c r="A2" s="443" t="s">
        <v>834</v>
      </c>
      <c r="B2" s="443" t="s">
        <v>1156</v>
      </c>
      <c r="C2" s="443" t="s">
        <v>1157</v>
      </c>
      <c r="D2" s="443" t="s">
        <v>1158</v>
      </c>
      <c r="E2" s="443" t="s">
        <v>1159</v>
      </c>
      <c r="F2" s="443" t="s">
        <v>1160</v>
      </c>
      <c r="G2" s="443" t="s">
        <v>1161</v>
      </c>
      <c r="H2" s="443" t="s">
        <v>1162</v>
      </c>
      <c r="I2" s="443" t="s">
        <v>1163</v>
      </c>
      <c r="J2" s="443" t="s">
        <v>1164</v>
      </c>
      <c r="K2" s="443" t="s">
        <v>1165</v>
      </c>
      <c r="L2" s="443" t="s">
        <v>1166</v>
      </c>
      <c r="M2" s="443" t="s">
        <v>1167</v>
      </c>
      <c r="N2" s="443" t="s">
        <v>1168</v>
      </c>
      <c r="O2" s="443" t="s">
        <v>1169</v>
      </c>
      <c r="P2" s="443" t="s">
        <v>1170</v>
      </c>
      <c r="Q2" s="443" t="s">
        <v>1171</v>
      </c>
      <c r="R2" s="443" t="s">
        <v>1172</v>
      </c>
      <c r="S2" s="443" t="s">
        <v>1173</v>
      </c>
      <c r="T2" s="443" t="s">
        <v>1174</v>
      </c>
      <c r="U2" s="443" t="s">
        <v>1175</v>
      </c>
      <c r="V2" s="443" t="s">
        <v>1176</v>
      </c>
      <c r="W2" s="443" t="s">
        <v>1177</v>
      </c>
      <c r="X2" s="443" t="s">
        <v>1178</v>
      </c>
      <c r="Y2" s="443" t="s">
        <v>1179</v>
      </c>
      <c r="Z2" s="443" t="s">
        <v>1180</v>
      </c>
      <c r="AA2" s="443" t="s">
        <v>1181</v>
      </c>
      <c r="AB2" s="443" t="s">
        <v>1182</v>
      </c>
      <c r="AC2" s="443" t="s">
        <v>1183</v>
      </c>
      <c r="AD2" s="443" t="s">
        <v>1184</v>
      </c>
      <c r="AE2" s="606" t="s">
        <v>1185</v>
      </c>
      <c r="AF2" s="443" t="s">
        <v>1186</v>
      </c>
      <c r="AG2" s="443" t="s">
        <v>1187</v>
      </c>
      <c r="AH2" s="443" t="s">
        <v>1188</v>
      </c>
      <c r="AI2" s="443" t="s">
        <v>1189</v>
      </c>
      <c r="AJ2" s="443" t="s">
        <v>1190</v>
      </c>
      <c r="AK2" s="443" t="s">
        <v>1191</v>
      </c>
      <c r="AL2" s="443" t="s">
        <v>1192</v>
      </c>
      <c r="AM2" s="443" t="s">
        <v>1193</v>
      </c>
      <c r="AN2" s="443" t="s">
        <v>1194</v>
      </c>
      <c r="AO2" s="443" t="s">
        <v>1195</v>
      </c>
      <c r="AP2" s="443" t="s">
        <v>1196</v>
      </c>
      <c r="AQ2" s="457" t="s">
        <v>1294</v>
      </c>
      <c r="AR2" s="457" t="s">
        <v>1295</v>
      </c>
      <c r="AS2" s="457" t="s">
        <v>1296</v>
      </c>
      <c r="AT2" s="457" t="s">
        <v>1297</v>
      </c>
      <c r="AU2" s="457" t="s">
        <v>1298</v>
      </c>
      <c r="AV2" s="457" t="s">
        <v>1299</v>
      </c>
      <c r="AW2" s="457" t="s">
        <v>1300</v>
      </c>
      <c r="AX2" s="457" t="s">
        <v>1301</v>
      </c>
      <c r="AY2" s="457" t="s">
        <v>1302</v>
      </c>
    </row>
    <row r="3" spans="1:51">
      <c r="A3" s="667">
        <f>OPEN!$B$4</f>
        <v>237</v>
      </c>
      <c r="B3" s="281">
        <f>COUNTIF('C06'!$C$9:$C$29,"&lt;0")+COUNTIF('C06'!$D$8:$D$29,"&lt;0")+COUNTIF('C06'!$E$8:$E$29,"&lt;0")</f>
        <v>0</v>
      </c>
      <c r="C3" s="281">
        <f>COUNTIF('C07'!$C$10:$C$21,"&lt;0")+COUNTIF('C07'!$D$10:$D$21,"&lt;0")+COUNTIF('C07'!$E$10:$E$21,"&lt;0")+COUNTIF('C07'!$E$24,"=ERROR")</f>
        <v>0</v>
      </c>
      <c r="D3" s="281">
        <f>COUNTIF('C08'!$C$9:$C$30,"&lt;0")+COUNTIF('C08'!$D$9:$D$28,"&lt;0")+COUNTIF('C08'!$E$9:$E$28,"&lt;0")</f>
        <v>0</v>
      </c>
      <c r="E3" s="281">
        <f>COUNTIF('C010'!$C$9:$C$48,"&lt;0")+COUNTIF('C010'!$D$9:$D$48,"&lt;0")+COUNTIF('C010'!$E$9:$E$46,"&lt;0")+COUNTIF('C010'!$F$9:$F$47,"&lt;0")</f>
        <v>0</v>
      </c>
      <c r="F3" s="281">
        <f>COUNTIF('C011'!$C$9:$C$27,"&lt;0")+COUNTIF('C011'!$D$9:$D$27,"&lt;0")+COUNTIF('C011'!$E$9:$E$26,"&lt;0")</f>
        <v>0</v>
      </c>
      <c r="G3" s="281">
        <f>COUNTIF('C012'!$C$9:$C$23,"&lt;0")+COUNTIF('C012'!$D$9:$D$23,"&lt;0")+COUNTIF('C012'!$E$9:$E$22,"&lt;0")</f>
        <v>0</v>
      </c>
      <c r="H3" s="281">
        <f>COUNTIF('C013'!$C$9:$C$27,"&lt;0")+COUNTIF('C013'!$D$9:$D$27,"&lt;0")+COUNTIF('C013'!$E$9:$E$26,"&lt;0")</f>
        <v>0</v>
      </c>
      <c r="I3" s="281">
        <f>COUNTIF('C014'!$C$9:$C$22,"&lt;0")+COUNTIF('C014'!$D$9:$D$22,"&lt;0")+COUNTIF('C014'!$E$9:$E$21,"&lt;0")</f>
        <v>0</v>
      </c>
      <c r="J3" s="281">
        <f>COUNTIF('C015'!$C$9:$C$23,"&lt;0")+COUNTIF('C015'!$D$9:$D$23,"&lt;0")+COUNTIF('C015'!$E$9:$E$22,"&lt;0")</f>
        <v>0</v>
      </c>
      <c r="K3" s="281">
        <f>COUNTIF('C016'!$C$9:$C$42,"&lt;0")+COUNTIF('C016'!$D$9:$D$42,"&lt;0")+COUNTIF('C016'!$E$9:$E$42,"&lt;0")+COUNTIF('C016'!$F$9:$F$42,"&lt;0")</f>
        <v>0</v>
      </c>
      <c r="L3" s="281">
        <f>COUNTIF('C018'!$C$9:$C$23,"&lt;0")+COUNTIF('C018'!$D$9:$D$23,"&lt;0")+COUNTIF('C018'!$E$9:$E$22,"&lt;0")</f>
        <v>0</v>
      </c>
      <c r="M3" s="281">
        <f>COUNTIF('C019'!$C$9:$C$26,"&lt;0")+COUNTIF('C019'!$D$9:$D$25,"&lt;0")+COUNTIF('C019'!$E$9:$E$25,"&lt;0")</f>
        <v>0</v>
      </c>
      <c r="N3" s="281">
        <f>COUNTIF('C022'!$C$9:$C$22,"&lt;0")+COUNTIF('C022'!$D$9:$D$22,"&lt;0")+COUNTIF('C022'!$E$9:$E$21,"&lt;0")</f>
        <v>0</v>
      </c>
      <c r="O3" s="281">
        <f>COUNTIF('C024'!$C$9:$C$30,"&lt;0")+COUNTIF('C024'!$D$9:$D$30,"&lt;0")+COUNTIF('C024'!$E$9:$E$29,"&lt;0")</f>
        <v>0</v>
      </c>
      <c r="P3" s="281">
        <f>COUNTIF('C026'!$C$9:$C$23,"&lt;0")+COUNTIF('C026'!$D$9:$D$23,"&lt;0")+COUNTIF('C026'!$E$9:$E$22,"&lt;0")</f>
        <v>0</v>
      </c>
      <c r="Q3" s="281">
        <f>COUNTIF('C028'!$C$9:$C$24,"&lt;0")+COUNTIF('C028'!$D$9:$D$24,"&lt;0")+COUNTIF('C028'!$E$9:$E$23,"&lt;0")</f>
        <v>0</v>
      </c>
      <c r="R3" s="281">
        <f>COUNTIF('C029'!$C$9:$C$26,"&lt;0")+COUNTIF('C029'!$D$9:$D$26,"&lt;0")+COUNTIF('C029'!$E$9:$E$25,"&lt;0")</f>
        <v>0</v>
      </c>
      <c r="S3" s="281">
        <f>COUNTIF('C030'!$C$9:$C$29,"&lt;0")+COUNTIF('C030'!$D$9:$D$29,"&lt;0")+COUNTIF('C030'!$E$9:$E$28,"&lt;0")</f>
        <v>0</v>
      </c>
      <c r="T3" s="281">
        <f>COUNTIF('C033'!$C$9:$C$24,"&lt;0")+COUNTIF('C033'!$D$9:$D$24,"&lt;0")+COUNTIF('C033'!$E$9:$E$24,"&lt;0")</f>
        <v>0</v>
      </c>
      <c r="U3" s="281">
        <f>COUNTIF('C034'!$C$9:$C$34,"&lt;0")+COUNTIF('C034'!$D$9:$D$34,"&lt;0")+COUNTIF('C034'!$E$9:$E$33,"&lt;0")</f>
        <v>0</v>
      </c>
      <c r="V3" s="281">
        <f>COUNTIF('C035'!$C$9:$C$23,"&lt;0")+COUNTIF('C035'!$D$9:$D$23,"&lt;0")+COUNTIF('C035'!$E$9:$E$23,"&lt;0")</f>
        <v>0</v>
      </c>
      <c r="W3" s="281">
        <f>COUNTIF('C042'!$C$9:$C$37,"&lt;0")+COUNTIF('C042'!$D$9:$D$37,"&lt;0")+COUNTIF('C042'!$E$9:$E$36,"&lt;0")+COUNTIF('C042'!$F$9:$F$36,"&lt;0")</f>
        <v>0</v>
      </c>
      <c r="X3" s="281">
        <f>COUNTIF('C044'!$C$9:$C$29,"&lt;0")+COUNTIF('C044'!$D$9:$D$29,"&lt;0")+COUNTIF('C044'!$E$9:$E$29,"&lt;0")+COUNTIF('C044'!$F$9:$F$29,"&lt;0")</f>
        <v>0</v>
      </c>
      <c r="Y3" s="281">
        <f>COUNTIF('C045'!$C$9:$C$24,"&lt;0")+COUNTIF('C045'!$D$9:$D$24,"&lt;0")+COUNTIF('C045'!$E$9:$E$24,"&lt;0")</f>
        <v>0</v>
      </c>
      <c r="Z3" s="281">
        <f>COUNTIF('C047'!$C$9:$C$34,"&lt;0")+COUNTIF('C047'!$D$9:$D$34,"&lt;0")</f>
        <v>0</v>
      </c>
      <c r="AA3" s="667">
        <f>COUNTIF('C051'!$C$14:$E$14,"&lt;0")</f>
        <v>0</v>
      </c>
      <c r="AB3" s="281">
        <f>COUNTIF('C053'!$C$9:$C$14,"&lt;0")+COUNTIF('C053'!$D$9:$D$14,"&lt;0")+COUNTIF('C053'!$E$9,"&lt;0")</f>
        <v>0</v>
      </c>
      <c r="AC3" s="281">
        <f>COUNTIF('C055'!$C$9:$C$24,"&lt;0")+COUNTIF('C055'!$D$9:$D$24,"&lt;0")+COUNTIF('C055'!$E$9,"&lt;0")</f>
        <v>0</v>
      </c>
      <c r="AD3" s="281">
        <f>COUNTIF('C056'!$C$9:$C$18,"&lt;0")+COUNTIF('C056'!$D$9:$D$18,"&lt;0")+COUNTIF('C056'!$E$9,"&lt;0")</f>
        <v>0</v>
      </c>
      <c r="AE3" s="281">
        <v>0</v>
      </c>
      <c r="AF3" s="281">
        <f>COUNTIF('C062'!$C$9:$C$41,"&lt;0")+COUNTIF('C062'!$D$9:$D$41,"&lt;0")+COUNTIF('C062'!$E$9:$E$41,"&lt;0")+COUNTIF('C062'!$F$9:$F$41,"&lt;0")</f>
        <v>0</v>
      </c>
      <c r="AG3" s="281">
        <f>COUNTIF('C063'!$C$9:$C$41,"&lt;0")+COUNTIF('C063'!$D$9:$D$41,"&lt;0")+COUNTIF('C063'!$E$9:$E$41,"&lt;0")+COUNTIF('C063'!$F$9:$F$41,"&lt;0")</f>
        <v>0</v>
      </c>
      <c r="AH3" s="281">
        <f>COUNTIF('C066'!$C$9:$C$29,"&lt;0")+COUNTIF('C066'!$D$9:$D$29,"&lt;0")+COUNTIF('C066'!$E$9:$E$29,"&lt;0")+COUNTIF('C066'!$F$9:$F$29,"&lt;0")</f>
        <v>0</v>
      </c>
      <c r="AI3" s="281">
        <f>COUNTIF('C067'!$C$9:$C$29,"&lt;0")+COUNTIF('C067'!$D$9:$D$29,"&lt;0")+COUNTIF('C067'!$E$9:$E$29,"&lt;0")+COUNTIF('C067'!$F$9:$F$29,"&lt;0")</f>
        <v>0</v>
      </c>
      <c r="AJ3" s="281">
        <f>COUNTIF('C068'!$C$9:$C$30,"&lt;0")+COUNTIF('C068'!$D$9:$D$30,"&lt;0")+COUNTIF('C068'!$E$9:$E$30,"&lt;0")+COUNTIF('C068'!$F$9:$F$30,"&lt;0")</f>
        <v>0</v>
      </c>
      <c r="AK3" s="281">
        <f>COUNTIF('C078'!$C$9:$C$22,"&lt;0")+COUNTIF('C078'!$D$9:$D$22,"&lt;0")+COUNTIF('C078'!$E$9:$E$22,"&lt;0")</f>
        <v>0</v>
      </c>
      <c r="AL3" s="281">
        <f>COUNTIF('C080'!$C$9:$C$30,"&lt;0")+COUNTIF('C080'!$D$9:$D$30,"&lt;0")+COUNTIF('C080'!$E$9:$E$30,"&lt;0")+COUNTIF('C080'!$F$9:$F$30,"&lt;0")</f>
        <v>0</v>
      </c>
      <c r="AM3" s="281">
        <f>COUNTIF('C082'!$C$9:$C$30,"&lt;0")+COUNTIF('C082'!$D$9:$D$30,"&lt;0")+COUNTIF('C082'!$E$9:$E$30,"&lt;0")+COUNTIF('C082'!$F$9:$F$30,"&lt;0")</f>
        <v>0</v>
      </c>
      <c r="AN3" s="281">
        <f>COUNTIF('C083'!$C$9:$C$30,"&lt;0")+COUNTIF('C083'!$D$9:$D$30,"&lt;0")+COUNTIF('C083'!$E$9:$E$30,"&lt;0")+COUNTIF('C083'!$F$9:$F$30,"&lt;0")</f>
        <v>0</v>
      </c>
      <c r="AO3" s="281">
        <f>COUNTIF('C084'!$C$9:$C$30,"&lt;0")+COUNTIF('C084'!$D$9:$D$30,"&lt;0")+COUNTIF('C084'!$E$9:$E$30,"&lt;0")+COUNTIF('C084'!$F$9:$F$30,"&lt;0")</f>
        <v>0</v>
      </c>
      <c r="AP3" s="281">
        <f>COUNTIF('C086'!$C$9:$C$30,"&lt;0")+COUNTIF('C086'!$D$9:$D$30,"&lt;0")+COUNTIF('C086'!$E$9:$E$30,"&lt;0")+COUNTIF('C086'!$F$9:$F$30,"&lt;0")</f>
        <v>0</v>
      </c>
    </row>
  </sheetData>
  <sheetProtection algorithmName="SHA-512" hashValue="U7p37TvBVFZu1PX+Q3UddutALUWoONTp0Bv0suZODJK9dBl5f3y1GD/os5dEKIDixfPBdKAeCnE4NOwMWy8oSg==" saltValue="4rVSIPQw15qp1Zq+jzhw5g==" spinCount="100000" sheet="1" objects="1" scenarios="1"/>
  <printOptions horizontalCentered="1"/>
  <pageMargins left="0.75" right="0.75" top="0.5" bottom="0.5" header="0.3" footer="0.3"/>
  <pageSetup orientation="portrait" r:id="rId1"/>
  <headerFooter alignWithMargins="0">
    <oddHeader>&amp;CBUDGET CONTENTS - FUNDS</oddHeader>
    <oddFooter>&amp;L&amp;F(&amp;A)</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theme="6" tint="-0.249977111117893"/>
  </sheetPr>
  <dimension ref="A1:Z354"/>
  <sheetViews>
    <sheetView showGridLines="0" topLeftCell="A19" zoomScaleNormal="100" zoomScaleSheetLayoutView="100" workbookViewId="0">
      <selection activeCell="H35" sqref="H35"/>
    </sheetView>
  </sheetViews>
  <sheetFormatPr defaultColWidth="9.109375" defaultRowHeight="14.85" customHeight="1"/>
  <cols>
    <col min="1" max="1" width="8.44140625" style="661" customWidth="1"/>
    <col min="2" max="2" width="10.109375" style="661" customWidth="1"/>
    <col min="3" max="3" width="5.6640625" style="661" customWidth="1"/>
    <col min="4" max="4" width="17.6640625" style="661" customWidth="1"/>
    <col min="5" max="5" width="16.88671875" style="661" customWidth="1"/>
    <col min="6" max="6" width="11.33203125" style="661" customWidth="1"/>
    <col min="7" max="7" width="7.33203125" style="661" customWidth="1"/>
    <col min="8" max="8" width="14.33203125" style="661" customWidth="1"/>
    <col min="9" max="9" width="1.88671875" style="661" customWidth="1"/>
    <col min="10" max="10" width="14.33203125" style="661" customWidth="1"/>
    <col min="11" max="11" width="3" style="661" customWidth="1"/>
    <col min="12" max="12" width="14.88671875" style="661" customWidth="1"/>
    <col min="13" max="13" width="10.109375" style="661" customWidth="1"/>
    <col min="14" max="14" width="13.33203125" style="661" customWidth="1"/>
    <col min="15" max="26" width="9.109375" style="661"/>
    <col min="27" max="16384" width="9.109375" style="5100"/>
  </cols>
  <sheetData>
    <row r="1" spans="1:17" ht="14.85" customHeight="1">
      <c r="A1" s="4888" t="s">
        <v>1511</v>
      </c>
      <c r="B1" s="4888"/>
      <c r="C1" s="4888"/>
      <c r="D1" s="4888"/>
      <c r="E1" s="4888"/>
      <c r="F1" s="4888"/>
      <c r="G1" s="4888"/>
      <c r="H1" s="5254"/>
      <c r="I1" s="5255"/>
      <c r="J1" s="5256"/>
      <c r="K1" s="5257" t="str">
        <f>"USD #"&amp;OPEN!$B$4</f>
        <v>USD #237</v>
      </c>
      <c r="L1" s="4891" t="s">
        <v>754</v>
      </c>
    </row>
    <row r="2" spans="1:17" ht="14.85" customHeight="1">
      <c r="A2" s="4888" t="s">
        <v>4973</v>
      </c>
      <c r="B2" s="4888"/>
      <c r="C2" s="4888"/>
      <c r="D2" s="4888"/>
      <c r="E2" s="4888"/>
      <c r="F2" s="4888"/>
      <c r="G2" s="4888"/>
      <c r="H2" s="4888"/>
      <c r="I2" s="4888"/>
      <c r="J2" s="5959">
        <f>OpenData!$N$3</f>
        <v>44348</v>
      </c>
      <c r="K2" s="5959"/>
      <c r="L2" s="4888"/>
    </row>
    <row r="3" spans="1:17" ht="14.85" hidden="1" customHeight="1">
      <c r="A3" s="4897"/>
      <c r="B3" s="4888"/>
      <c r="C3" s="4888"/>
      <c r="D3" s="4888"/>
      <c r="E3" s="4888"/>
      <c r="F3" s="4888"/>
      <c r="G3" s="4888"/>
      <c r="H3" s="4888"/>
      <c r="I3" s="4888"/>
      <c r="J3" s="4888"/>
      <c r="K3" s="4888"/>
      <c r="L3" s="4888"/>
    </row>
    <row r="4" spans="1:17" ht="14.85" customHeight="1">
      <c r="A4" s="4888"/>
      <c r="B4" s="4888"/>
      <c r="C4" s="4888"/>
      <c r="D4" s="4888"/>
      <c r="E4" s="4888"/>
      <c r="F4" s="4888"/>
      <c r="G4" s="4888"/>
      <c r="H4" s="4888"/>
      <c r="I4" s="4888"/>
      <c r="J4" s="4888"/>
      <c r="K4" s="4888"/>
      <c r="L4" s="4888"/>
    </row>
    <row r="5" spans="1:17" ht="14.85" customHeight="1">
      <c r="A5" s="5258" t="s">
        <v>1512</v>
      </c>
      <c r="B5" s="5259"/>
      <c r="C5" s="5259"/>
      <c r="D5" s="5259"/>
      <c r="E5" s="5259"/>
      <c r="F5" s="5259"/>
      <c r="G5" s="5259"/>
      <c r="H5" s="5259"/>
      <c r="I5" s="5259"/>
      <c r="J5" s="5259"/>
      <c r="K5" s="5259"/>
      <c r="L5" s="4888"/>
    </row>
    <row r="6" spans="1:17" ht="14.85" customHeight="1">
      <c r="A6" s="5258" t="str">
        <f>OpenData!$P$4&amp;" LOCAL OPTION BUDGET"</f>
        <v>2021-2022 LOCAL OPTION BUDGET</v>
      </c>
      <c r="B6" s="5259"/>
      <c r="C6" s="5259"/>
      <c r="D6" s="5259"/>
      <c r="E6" s="5259"/>
      <c r="F6" s="5259"/>
      <c r="G6" s="5259"/>
      <c r="H6" s="5259"/>
      <c r="I6" s="5259"/>
      <c r="J6" s="5259"/>
      <c r="K6" s="5259"/>
      <c r="L6" s="4888"/>
    </row>
    <row r="7" spans="1:17" ht="14.85" customHeight="1">
      <c r="N7" s="4958"/>
      <c r="O7" s="4958"/>
      <c r="P7" s="4958"/>
      <c r="Q7" s="4958"/>
    </row>
    <row r="8" spans="1:17" ht="14.85" customHeight="1">
      <c r="A8" s="661" t="str">
        <f>"1.  Authorized percent for " &amp; OpenData!P14 &amp; " school year  (Max 31%)"</f>
        <v>1.  Authorized percent for 2021-22 school year  (Max 31%)</v>
      </c>
      <c r="G8" s="5260"/>
      <c r="I8" s="5261" t="s">
        <v>907</v>
      </c>
      <c r="J8" s="5262">
        <v>31</v>
      </c>
      <c r="K8" s="661" t="s">
        <v>886</v>
      </c>
      <c r="N8" s="5263"/>
      <c r="O8" s="4958"/>
      <c r="P8" s="4958"/>
      <c r="Q8" s="4958"/>
    </row>
    <row r="9" spans="1:17" ht="14.85" customHeight="1">
      <c r="N9" s="4958"/>
      <c r="O9" s="4958"/>
      <c r="P9" s="4958"/>
      <c r="Q9" s="4958"/>
    </row>
    <row r="10" spans="1:17" ht="14.85" customHeight="1">
      <c r="A10" s="661" t="s">
        <v>1808</v>
      </c>
      <c r="H10" s="4958"/>
      <c r="J10" s="5264"/>
      <c r="L10" s="5265"/>
      <c r="N10" s="5263"/>
      <c r="O10" s="4958"/>
      <c r="P10" s="4958"/>
      <c r="Q10" s="4958"/>
    </row>
    <row r="11" spans="1:17" ht="14.85" customHeight="1">
      <c r="G11" s="661" t="s">
        <v>1514</v>
      </c>
      <c r="H11" s="5266">
        <f>IF(OPEN!$A$104=0,"",OPEN!$A$104)</f>
        <v>9999</v>
      </c>
      <c r="I11" s="661" t="s">
        <v>907</v>
      </c>
      <c r="J11" s="5262">
        <f>OPEN!$A$103</f>
        <v>33</v>
      </c>
      <c r="K11" s="661" t="s">
        <v>886</v>
      </c>
      <c r="N11" s="5263"/>
      <c r="O11" s="4958"/>
      <c r="P11" s="4958"/>
      <c r="Q11" s="4958"/>
    </row>
    <row r="12" spans="1:17" ht="14.85" customHeight="1">
      <c r="N12" s="4958"/>
      <c r="O12" s="4958"/>
      <c r="P12" s="4958"/>
      <c r="Q12" s="4958"/>
    </row>
    <row r="13" spans="1:17" ht="14.85" customHeight="1">
      <c r="A13" s="661" t="s">
        <v>3050</v>
      </c>
      <c r="H13" s="490"/>
      <c r="I13" s="3857"/>
      <c r="J13" s="5264"/>
      <c r="L13" s="5265"/>
      <c r="M13" s="5265"/>
      <c r="N13" s="4958"/>
      <c r="O13" s="4958"/>
      <c r="P13" s="4958"/>
      <c r="Q13" s="4958"/>
    </row>
    <row r="14" spans="1:17" ht="14.85" customHeight="1">
      <c r="E14" s="661" t="s">
        <v>1513</v>
      </c>
      <c r="G14" s="661" t="s">
        <v>1514</v>
      </c>
      <c r="H14" s="5267" t="str">
        <f>IF(OPEN!$A$108=0,"",OPEN!$A$108)</f>
        <v/>
      </c>
      <c r="J14" s="5268">
        <f>OPEN!$J$107</f>
        <v>0</v>
      </c>
      <c r="K14" s="661" t="s">
        <v>886</v>
      </c>
      <c r="L14" s="5265"/>
      <c r="M14" s="5265"/>
      <c r="N14" s="4958"/>
      <c r="O14" s="4958"/>
      <c r="P14" s="4958"/>
      <c r="Q14" s="4958"/>
    </row>
    <row r="15" spans="1:17" ht="14.85" customHeight="1">
      <c r="J15" s="789"/>
      <c r="N15" s="4958"/>
      <c r="O15" s="4958"/>
      <c r="P15" s="4958"/>
      <c r="Q15" s="4958"/>
    </row>
    <row r="16" spans="1:17" ht="14.85" customHeight="1">
      <c r="A16" s="661" t="s">
        <v>3038</v>
      </c>
      <c r="I16" s="661" t="s">
        <v>907</v>
      </c>
      <c r="J16" s="5268">
        <f>IF(OR(J8&gt;33,J11&gt;33,J14&gt;33),33,MAX(J8,J11,J14))</f>
        <v>33</v>
      </c>
      <c r="K16" s="661" t="s">
        <v>886</v>
      </c>
      <c r="N16" s="5269"/>
      <c r="O16" s="5270"/>
      <c r="P16" s="5271"/>
      <c r="Q16" s="4958"/>
    </row>
    <row r="17" spans="1:17" ht="14.85" customHeight="1">
      <c r="J17" s="5271"/>
      <c r="N17" s="5269"/>
      <c r="O17" s="5270"/>
      <c r="P17" s="5271"/>
      <c r="Q17" s="4958"/>
    </row>
    <row r="18" spans="1:17" ht="14.85" customHeight="1">
      <c r="A18" s="5261" t="s">
        <v>4545</v>
      </c>
      <c r="I18" s="5261" t="s">
        <v>907</v>
      </c>
      <c r="J18" s="5268">
        <f>VLOOKUP(OPEN!$B$4,DATA!A4:'DATA'!BJ289,60,FALSE)</f>
        <v>33</v>
      </c>
      <c r="K18" s="5261" t="s">
        <v>886</v>
      </c>
      <c r="N18" s="5272"/>
      <c r="O18" s="5270"/>
      <c r="P18" s="4958"/>
      <c r="Q18" s="4958"/>
    </row>
    <row r="19" spans="1:17" ht="14.85" customHeight="1">
      <c r="J19" s="5271"/>
    </row>
    <row r="20" spans="1:17" ht="14.85" customHeight="1">
      <c r="A20" s="661" t="str">
        <f>"6.  COMPUTED LOB FOR "&amp;OpenData!$P$4</f>
        <v>6.  COMPUTED LOB FOR 2021-2022</v>
      </c>
      <c r="J20" s="789"/>
    </row>
    <row r="21" spans="1:17" ht="14.85" customHeight="1">
      <c r="A21" s="661" t="str">
        <f>"            (" &amp; OpenData!P14 &amp; " LOB Base General Fund    $"</f>
        <v xml:space="preserve">            (2021-22 LOB Base General Fund    $</v>
      </c>
      <c r="E21" s="5273">
        <f>'F150'!J56</f>
        <v>3938334</v>
      </c>
      <c r="F21" s="661" t="s">
        <v>4546</v>
      </c>
      <c r="I21" s="661" t="s">
        <v>883</v>
      </c>
      <c r="J21" s="5274">
        <f>ROUND(E21*(MIN(J16,J18)/100),0)</f>
        <v>1299650</v>
      </c>
      <c r="L21" s="5275" t="str">
        <f>IF(J16=33,"&lt;-- computed at 33%, enter lower adopted figure on line 7 if not using 33%"," ")</f>
        <v>&lt;-- computed at 33%, enter lower adopted figure on line 7 if not using 33%</v>
      </c>
      <c r="M21" s="3857"/>
      <c r="N21" s="5276"/>
      <c r="Q21" s="5276"/>
    </row>
    <row r="22" spans="1:17" ht="14.85" customHeight="1">
      <c r="J22" s="789"/>
      <c r="N22" s="5277">
        <f>IF(J23=0,J21,IF(J23&gt;J21,J21,J23))</f>
        <v>1299650</v>
      </c>
      <c r="O22" s="661" t="s">
        <v>4429</v>
      </c>
    </row>
    <row r="23" spans="1:17" ht="14.85" customHeight="1">
      <c r="A23" s="661" t="str">
        <f>"7.  ADOPTED LOB FOR "&amp;OpenData!$P$4&amp;" ……………......................................................................................................................................"</f>
        <v>7.  ADOPTED LOB FOR 2021-2022 ……………......................................................................................................................................</v>
      </c>
      <c r="I23" s="661" t="s">
        <v>883</v>
      </c>
      <c r="J23" s="5278">
        <v>1299650</v>
      </c>
      <c r="N23" s="5277">
        <f>IF(N22&gt;=E21*0.15,N22,0)</f>
        <v>1299650</v>
      </c>
      <c r="O23" s="5279" t="s">
        <v>4491</v>
      </c>
    </row>
    <row r="24" spans="1:17" ht="14.85" customHeight="1">
      <c r="J24" s="5280" t="str">
        <f>IF((J23&gt;J21),"ERROR!!!"," ")</f>
        <v xml:space="preserve"> </v>
      </c>
    </row>
    <row r="25" spans="1:17" ht="14.85" customHeight="1">
      <c r="J25" s="5280" t="str">
        <f>IF((J23&gt;J21),"Adopted LOB&gt;Max"," ")</f>
        <v xml:space="preserve"> </v>
      </c>
    </row>
    <row r="26" spans="1:17" ht="14.85" customHeight="1">
      <c r="A26" s="5281" t="s">
        <v>5284</v>
      </c>
      <c r="J26" s="5280" t="str">
        <f>IF(N23&lt;(E21*0.15),"Minimum adopted LOB must be 15%!","")</f>
        <v/>
      </c>
    </row>
    <row r="27" spans="1:17" ht="14.85" hidden="1" customHeight="1"/>
    <row r="29" spans="1:17" ht="14.85" customHeight="1">
      <c r="A29" s="5282" t="s">
        <v>4547</v>
      </c>
    </row>
    <row r="30" spans="1:17" ht="14.85" customHeight="1">
      <c r="B30" s="5283" t="s">
        <v>5285</v>
      </c>
    </row>
    <row r="31" spans="1:17" ht="14.85" customHeight="1">
      <c r="B31" s="5283" t="s">
        <v>5286</v>
      </c>
    </row>
    <row r="32" spans="1:17" ht="14.85" customHeight="1">
      <c r="B32" s="5283" t="s">
        <v>5287</v>
      </c>
    </row>
    <row r="34" spans="1:8" ht="14.85" customHeight="1">
      <c r="A34" s="661" t="s">
        <v>4416</v>
      </c>
      <c r="F34" s="5284">
        <f>IF('F150'!J29=0,0,ROUND(('F150'!J29/('F150'!E51-'F150'!J12-'F150'!J42))*100,2))</f>
        <v>8.7100000000000009</v>
      </c>
      <c r="G34" s="661" t="s">
        <v>886</v>
      </c>
    </row>
    <row r="35" spans="1:8" ht="14.85" customHeight="1">
      <c r="A35" s="661" t="s">
        <v>4417</v>
      </c>
      <c r="H35" s="5285">
        <f>(F34/100)*N23</f>
        <v>113200</v>
      </c>
    </row>
    <row r="37" spans="1:8" ht="14.85" customHeight="1">
      <c r="B37" s="5283" t="s">
        <v>5288</v>
      </c>
    </row>
    <row r="38" spans="1:8" ht="14.85" customHeight="1">
      <c r="B38" s="5283" t="s">
        <v>5289</v>
      </c>
    </row>
    <row r="39" spans="1:8" ht="14.85" customHeight="1">
      <c r="B39" s="5283" t="s">
        <v>5290</v>
      </c>
    </row>
    <row r="41" spans="1:8" ht="14.85" customHeight="1">
      <c r="A41" s="661" t="s">
        <v>4418</v>
      </c>
      <c r="F41" s="5284">
        <f>IF('F150'!J19=0,0,ROUND(('F150'!J19/('F150'!E51-'F150'!J12-'F150'!J42))*100,2))</f>
        <v>7.0000000000000007E-2</v>
      </c>
      <c r="G41" s="661" t="s">
        <v>886</v>
      </c>
    </row>
    <row r="42" spans="1:8" ht="14.85" customHeight="1">
      <c r="A42" s="661" t="s">
        <v>4419</v>
      </c>
      <c r="H42" s="5285">
        <f>(F41/100)*N23</f>
        <v>910</v>
      </c>
    </row>
    <row r="62" spans="1:4" ht="14.85" customHeight="1">
      <c r="B62" s="5286"/>
    </row>
    <row r="63" spans="1:4" ht="14.85" customHeight="1">
      <c r="A63" s="5958"/>
      <c r="B63" s="5958"/>
      <c r="C63" s="5958"/>
      <c r="D63" s="5287"/>
    </row>
    <row r="64" spans="1:4" ht="14.85" customHeight="1">
      <c r="A64" s="5279"/>
      <c r="B64" s="5279"/>
      <c r="C64" s="5279"/>
    </row>
    <row r="65" spans="1:3" ht="14.85" customHeight="1">
      <c r="A65" s="5279"/>
      <c r="B65" s="5279"/>
      <c r="C65" s="5279"/>
    </row>
    <row r="66" spans="1:3" ht="14.85" customHeight="1">
      <c r="A66" s="5288"/>
      <c r="C66" s="5200"/>
    </row>
    <row r="67" spans="1:3" ht="14.85" customHeight="1">
      <c r="A67" s="5288"/>
      <c r="C67" s="5200"/>
    </row>
    <row r="68" spans="1:3" ht="14.85" customHeight="1">
      <c r="A68" s="5288"/>
      <c r="C68" s="5200"/>
    </row>
    <row r="69" spans="1:3" ht="14.85" customHeight="1">
      <c r="A69" s="5288"/>
      <c r="C69" s="5200"/>
    </row>
    <row r="70" spans="1:3" ht="14.85" customHeight="1">
      <c r="A70" s="5288"/>
      <c r="C70" s="5200"/>
    </row>
    <row r="71" spans="1:3" ht="14.85" customHeight="1">
      <c r="A71" s="5288"/>
      <c r="C71" s="5200"/>
    </row>
    <row r="72" spans="1:3" ht="14.85" customHeight="1">
      <c r="A72" s="5288"/>
      <c r="C72" s="5200"/>
    </row>
    <row r="73" spans="1:3" ht="14.85" customHeight="1">
      <c r="A73" s="5288"/>
      <c r="C73" s="5200"/>
    </row>
    <row r="74" spans="1:3" ht="14.85" customHeight="1">
      <c r="A74" s="5288"/>
      <c r="C74" s="5200"/>
    </row>
    <row r="75" spans="1:3" ht="14.85" customHeight="1">
      <c r="A75" s="5288"/>
      <c r="C75" s="5200"/>
    </row>
    <row r="76" spans="1:3" ht="14.85" customHeight="1">
      <c r="A76" s="5289"/>
      <c r="B76" s="3857"/>
      <c r="C76" s="5217"/>
    </row>
    <row r="77" spans="1:3" ht="14.85" customHeight="1">
      <c r="A77" s="5289"/>
      <c r="B77" s="3857"/>
      <c r="C77" s="5217"/>
    </row>
    <row r="78" spans="1:3" ht="14.85" customHeight="1">
      <c r="A78" s="5289"/>
      <c r="B78" s="3857"/>
      <c r="C78" s="5217"/>
    </row>
    <row r="79" spans="1:3" ht="14.85" customHeight="1">
      <c r="A79" s="5288"/>
      <c r="C79" s="5200"/>
    </row>
    <row r="80" spans="1:3" ht="14.85" customHeight="1">
      <c r="A80" s="5288"/>
      <c r="C80" s="5200"/>
    </row>
    <row r="81" spans="1:3" ht="14.85" customHeight="1">
      <c r="A81" s="5288"/>
      <c r="C81" s="5200"/>
    </row>
    <row r="82" spans="1:3" ht="14.85" customHeight="1">
      <c r="A82" s="5288"/>
      <c r="C82" s="5200"/>
    </row>
    <row r="83" spans="1:3" ht="14.85" customHeight="1">
      <c r="A83" s="5288"/>
      <c r="C83" s="5200"/>
    </row>
    <row r="84" spans="1:3" ht="14.85" customHeight="1">
      <c r="A84" s="5288"/>
      <c r="C84" s="5200"/>
    </row>
    <row r="85" spans="1:3" ht="14.85" customHeight="1">
      <c r="A85" s="5288"/>
      <c r="C85" s="5200"/>
    </row>
    <row r="86" spans="1:3" ht="14.85" customHeight="1">
      <c r="A86" s="5288"/>
      <c r="C86" s="5200"/>
    </row>
    <row r="87" spans="1:3" ht="14.85" customHeight="1">
      <c r="A87" s="5288"/>
      <c r="C87" s="5200"/>
    </row>
    <row r="88" spans="1:3" ht="14.85" customHeight="1">
      <c r="A88" s="5288"/>
      <c r="C88" s="5200"/>
    </row>
    <row r="89" spans="1:3" ht="14.85" customHeight="1">
      <c r="A89" s="5288"/>
      <c r="C89" s="5200"/>
    </row>
    <row r="90" spans="1:3" ht="14.85" customHeight="1">
      <c r="A90" s="5288"/>
      <c r="C90" s="5200"/>
    </row>
    <row r="91" spans="1:3" ht="14.85" customHeight="1">
      <c r="A91" s="5288"/>
      <c r="C91" s="5200"/>
    </row>
    <row r="92" spans="1:3" ht="14.85" customHeight="1">
      <c r="A92" s="5288"/>
      <c r="C92" s="5200"/>
    </row>
    <row r="93" spans="1:3" ht="14.85" customHeight="1">
      <c r="A93" s="5288"/>
      <c r="C93" s="5200"/>
    </row>
    <row r="94" spans="1:3" ht="14.85" customHeight="1">
      <c r="A94" s="5288"/>
      <c r="C94" s="5200"/>
    </row>
    <row r="95" spans="1:3" ht="14.85" customHeight="1">
      <c r="A95" s="5288"/>
      <c r="C95" s="5200"/>
    </row>
    <row r="96" spans="1:3" ht="14.85" customHeight="1">
      <c r="A96" s="5288"/>
      <c r="C96" s="5200"/>
    </row>
    <row r="97" spans="1:3" ht="14.85" customHeight="1">
      <c r="A97" s="5288"/>
      <c r="C97" s="5200"/>
    </row>
    <row r="98" spans="1:3" ht="14.85" customHeight="1">
      <c r="A98" s="5288"/>
      <c r="C98" s="5200"/>
    </row>
    <row r="99" spans="1:3" ht="14.85" customHeight="1">
      <c r="A99" s="5288"/>
      <c r="C99" s="5200"/>
    </row>
    <row r="100" spans="1:3" ht="14.85" customHeight="1">
      <c r="A100" s="5288"/>
      <c r="C100" s="5200"/>
    </row>
    <row r="101" spans="1:3" ht="14.85" customHeight="1">
      <c r="A101" s="5288"/>
      <c r="C101" s="5200"/>
    </row>
    <row r="102" spans="1:3" ht="14.85" customHeight="1">
      <c r="A102" s="5288"/>
      <c r="C102" s="5200"/>
    </row>
    <row r="103" spans="1:3" ht="14.85" customHeight="1">
      <c r="A103" s="5288"/>
      <c r="C103" s="5200"/>
    </row>
    <row r="104" spans="1:3" ht="14.85" customHeight="1">
      <c r="A104" s="5288"/>
      <c r="C104" s="5200"/>
    </row>
    <row r="105" spans="1:3" ht="14.85" customHeight="1">
      <c r="A105" s="5288"/>
      <c r="C105" s="5200"/>
    </row>
    <row r="106" spans="1:3" ht="14.85" customHeight="1">
      <c r="A106" s="5288"/>
      <c r="C106" s="5200"/>
    </row>
    <row r="107" spans="1:3" ht="14.85" customHeight="1">
      <c r="A107" s="5288"/>
      <c r="C107" s="5200"/>
    </row>
    <row r="108" spans="1:3" ht="14.85" customHeight="1">
      <c r="A108" s="5288"/>
      <c r="C108" s="5200"/>
    </row>
    <row r="109" spans="1:3" ht="14.85" customHeight="1">
      <c r="A109" s="5288"/>
      <c r="C109" s="5200"/>
    </row>
    <row r="110" spans="1:3" ht="14.85" customHeight="1">
      <c r="A110" s="5288"/>
      <c r="C110" s="5200"/>
    </row>
    <row r="111" spans="1:3" ht="14.85" customHeight="1">
      <c r="A111" s="5288"/>
      <c r="C111" s="5200"/>
    </row>
    <row r="112" spans="1:3" ht="14.85" customHeight="1">
      <c r="A112" s="5288"/>
      <c r="C112" s="5200"/>
    </row>
    <row r="113" spans="1:3" ht="14.85" customHeight="1">
      <c r="A113" s="5288"/>
      <c r="C113" s="5200"/>
    </row>
    <row r="114" spans="1:3" ht="14.85" customHeight="1">
      <c r="A114" s="5288"/>
      <c r="C114" s="5200"/>
    </row>
    <row r="115" spans="1:3" ht="14.85" customHeight="1">
      <c r="A115" s="5288"/>
      <c r="C115" s="5200"/>
    </row>
    <row r="116" spans="1:3" ht="14.85" customHeight="1">
      <c r="A116" s="5288"/>
      <c r="C116" s="5200"/>
    </row>
    <row r="117" spans="1:3" ht="14.85" customHeight="1">
      <c r="A117" s="5288"/>
      <c r="C117" s="5200"/>
    </row>
    <row r="118" spans="1:3" ht="14.85" customHeight="1">
      <c r="A118" s="5288"/>
      <c r="C118" s="5200"/>
    </row>
    <row r="119" spans="1:3" ht="14.85" customHeight="1">
      <c r="A119" s="5288"/>
      <c r="C119" s="5200"/>
    </row>
    <row r="120" spans="1:3" ht="14.85" customHeight="1">
      <c r="A120" s="5288"/>
      <c r="C120" s="5200"/>
    </row>
    <row r="121" spans="1:3" ht="14.85" customHeight="1">
      <c r="A121" s="5288"/>
      <c r="C121" s="5200"/>
    </row>
    <row r="122" spans="1:3" ht="14.85" customHeight="1">
      <c r="A122" s="5288"/>
      <c r="C122" s="5200"/>
    </row>
    <row r="123" spans="1:3" ht="14.85" customHeight="1">
      <c r="A123" s="5288"/>
      <c r="C123" s="5200"/>
    </row>
    <row r="124" spans="1:3" ht="14.85" customHeight="1">
      <c r="A124" s="5288"/>
      <c r="C124" s="5200"/>
    </row>
    <row r="125" spans="1:3" ht="14.85" customHeight="1">
      <c r="A125" s="5288"/>
      <c r="C125" s="5200"/>
    </row>
    <row r="126" spans="1:3" ht="14.85" customHeight="1">
      <c r="A126" s="5288"/>
      <c r="C126" s="5200"/>
    </row>
    <row r="127" spans="1:3" ht="14.85" customHeight="1">
      <c r="A127" s="5288"/>
      <c r="C127" s="5200"/>
    </row>
    <row r="128" spans="1:3" ht="14.85" customHeight="1">
      <c r="A128" s="5288"/>
      <c r="C128" s="5200"/>
    </row>
    <row r="129" spans="1:3" ht="14.85" customHeight="1">
      <c r="A129" s="5288"/>
      <c r="C129" s="5200"/>
    </row>
    <row r="130" spans="1:3" ht="14.85" customHeight="1">
      <c r="A130" s="5288"/>
      <c r="C130" s="5200"/>
    </row>
    <row r="131" spans="1:3" ht="14.85" customHeight="1">
      <c r="A131" s="5288"/>
      <c r="C131" s="5200"/>
    </row>
    <row r="132" spans="1:3" ht="14.85" customHeight="1">
      <c r="A132" s="5288"/>
      <c r="C132" s="5200"/>
    </row>
    <row r="133" spans="1:3" ht="14.85" customHeight="1">
      <c r="A133" s="5288"/>
      <c r="C133" s="5200"/>
    </row>
    <row r="134" spans="1:3" ht="14.85" customHeight="1">
      <c r="A134" s="5288"/>
      <c r="C134" s="5200"/>
    </row>
    <row r="135" spans="1:3" ht="14.85" customHeight="1">
      <c r="A135" s="5288"/>
      <c r="C135" s="5200"/>
    </row>
    <row r="136" spans="1:3" ht="14.85" customHeight="1">
      <c r="A136" s="5288"/>
      <c r="C136" s="5200"/>
    </row>
    <row r="137" spans="1:3" ht="14.85" customHeight="1">
      <c r="A137" s="5288"/>
      <c r="C137" s="5200"/>
    </row>
    <row r="138" spans="1:3" ht="14.85" customHeight="1">
      <c r="A138" s="5288"/>
      <c r="C138" s="5200"/>
    </row>
    <row r="139" spans="1:3" ht="14.85" customHeight="1">
      <c r="A139" s="5288"/>
      <c r="C139" s="5200"/>
    </row>
    <row r="140" spans="1:3" ht="14.85" customHeight="1">
      <c r="A140" s="5288"/>
      <c r="C140" s="5200"/>
    </row>
    <row r="141" spans="1:3" ht="14.85" customHeight="1">
      <c r="A141" s="5288"/>
      <c r="C141" s="5200"/>
    </row>
    <row r="142" spans="1:3" ht="14.85" customHeight="1">
      <c r="A142" s="5288"/>
      <c r="C142" s="5200"/>
    </row>
    <row r="143" spans="1:3" ht="14.85" customHeight="1">
      <c r="A143" s="5288"/>
      <c r="C143" s="5200"/>
    </row>
    <row r="144" spans="1:3" ht="14.85" customHeight="1">
      <c r="A144" s="5288"/>
      <c r="C144" s="5200"/>
    </row>
    <row r="145" spans="1:3" ht="14.85" customHeight="1">
      <c r="A145" s="5288"/>
      <c r="C145" s="5200"/>
    </row>
    <row r="146" spans="1:3" ht="14.85" customHeight="1">
      <c r="A146" s="5288"/>
      <c r="C146" s="5200"/>
    </row>
    <row r="147" spans="1:3" ht="14.85" customHeight="1">
      <c r="A147" s="5288"/>
      <c r="C147" s="5200"/>
    </row>
    <row r="148" spans="1:3" ht="14.85" customHeight="1">
      <c r="A148" s="5288"/>
      <c r="C148" s="5200"/>
    </row>
    <row r="149" spans="1:3" ht="14.85" customHeight="1">
      <c r="A149" s="5288"/>
      <c r="C149" s="5200"/>
    </row>
    <row r="150" spans="1:3" ht="14.85" customHeight="1">
      <c r="A150" s="5288"/>
      <c r="C150" s="5200"/>
    </row>
    <row r="151" spans="1:3" ht="14.85" customHeight="1">
      <c r="A151" s="5288"/>
      <c r="C151" s="5200"/>
    </row>
    <row r="152" spans="1:3" ht="14.85" customHeight="1">
      <c r="A152" s="5288"/>
      <c r="C152" s="5200"/>
    </row>
    <row r="153" spans="1:3" ht="14.85" customHeight="1">
      <c r="A153" s="5288"/>
      <c r="C153" s="5200"/>
    </row>
    <row r="154" spans="1:3" ht="14.85" customHeight="1">
      <c r="A154" s="5288"/>
      <c r="C154" s="5200"/>
    </row>
    <row r="155" spans="1:3" ht="14.85" customHeight="1">
      <c r="A155" s="5288"/>
      <c r="C155" s="5200"/>
    </row>
    <row r="156" spans="1:3" ht="14.85" customHeight="1">
      <c r="A156" s="5288"/>
      <c r="C156" s="5200"/>
    </row>
    <row r="157" spans="1:3" ht="14.85" customHeight="1">
      <c r="A157" s="5288"/>
      <c r="C157" s="5200"/>
    </row>
    <row r="158" spans="1:3" ht="14.85" customHeight="1">
      <c r="A158" s="5288"/>
      <c r="C158" s="5200"/>
    </row>
    <row r="159" spans="1:3" ht="14.85" customHeight="1">
      <c r="A159" s="5288"/>
      <c r="C159" s="5200"/>
    </row>
    <row r="160" spans="1:3" ht="14.85" customHeight="1">
      <c r="A160" s="5288"/>
      <c r="C160" s="5200"/>
    </row>
    <row r="161" spans="1:3" ht="14.85" customHeight="1">
      <c r="A161" s="5288"/>
      <c r="C161" s="5200"/>
    </row>
    <row r="162" spans="1:3" ht="14.85" customHeight="1">
      <c r="A162" s="5288"/>
      <c r="C162" s="5200"/>
    </row>
    <row r="163" spans="1:3" ht="14.85" customHeight="1">
      <c r="A163" s="5288"/>
      <c r="C163" s="5200"/>
    </row>
    <row r="164" spans="1:3" ht="14.85" customHeight="1">
      <c r="A164" s="5288"/>
      <c r="C164" s="5200"/>
    </row>
    <row r="165" spans="1:3" ht="14.85" customHeight="1">
      <c r="A165" s="5288"/>
      <c r="C165" s="5200"/>
    </row>
    <row r="166" spans="1:3" ht="14.85" customHeight="1">
      <c r="A166" s="5288"/>
      <c r="C166" s="5200"/>
    </row>
    <row r="167" spans="1:3" ht="14.85" customHeight="1">
      <c r="A167" s="5288"/>
      <c r="C167" s="5200"/>
    </row>
    <row r="168" spans="1:3" ht="14.85" customHeight="1">
      <c r="A168" s="5288"/>
      <c r="C168" s="5200"/>
    </row>
    <row r="169" spans="1:3" ht="14.85" customHeight="1">
      <c r="A169" s="5288"/>
      <c r="C169" s="5200"/>
    </row>
    <row r="170" spans="1:3" ht="14.85" customHeight="1">
      <c r="A170" s="5288"/>
      <c r="C170" s="5200"/>
    </row>
    <row r="171" spans="1:3" ht="14.85" customHeight="1">
      <c r="A171" s="5288"/>
      <c r="C171" s="5200"/>
    </row>
    <row r="172" spans="1:3" ht="14.85" customHeight="1">
      <c r="A172" s="5288"/>
      <c r="C172" s="5200"/>
    </row>
    <row r="173" spans="1:3" ht="14.85" customHeight="1">
      <c r="A173" s="5288"/>
      <c r="C173" s="5200"/>
    </row>
    <row r="174" spans="1:3" ht="14.85" customHeight="1">
      <c r="A174" s="5288"/>
      <c r="C174" s="5200"/>
    </row>
    <row r="175" spans="1:3" ht="14.85" customHeight="1">
      <c r="A175" s="5288"/>
      <c r="C175" s="5200"/>
    </row>
    <row r="176" spans="1:3" ht="14.85" customHeight="1">
      <c r="A176" s="5288"/>
      <c r="C176" s="5200"/>
    </row>
    <row r="177" spans="1:3" ht="14.85" customHeight="1">
      <c r="A177" s="5288"/>
      <c r="C177" s="5200"/>
    </row>
    <row r="178" spans="1:3" ht="14.85" customHeight="1">
      <c r="A178" s="5288"/>
      <c r="C178" s="5200"/>
    </row>
    <row r="179" spans="1:3" ht="14.85" customHeight="1">
      <c r="A179" s="5288"/>
      <c r="C179" s="5200"/>
    </row>
    <row r="180" spans="1:3" ht="14.85" customHeight="1">
      <c r="A180" s="5288"/>
      <c r="C180" s="5200"/>
    </row>
    <row r="181" spans="1:3" ht="14.85" customHeight="1">
      <c r="A181" s="5288"/>
      <c r="C181" s="5200"/>
    </row>
    <row r="182" spans="1:3" ht="14.85" customHeight="1">
      <c r="A182" s="5288"/>
      <c r="C182" s="5200"/>
    </row>
    <row r="183" spans="1:3" ht="14.85" customHeight="1">
      <c r="A183" s="5288"/>
      <c r="C183" s="5200"/>
    </row>
    <row r="184" spans="1:3" ht="14.85" customHeight="1">
      <c r="A184" s="5288"/>
      <c r="C184" s="5200"/>
    </row>
    <row r="185" spans="1:3" ht="14.85" customHeight="1">
      <c r="A185" s="5288"/>
      <c r="C185" s="5200"/>
    </row>
    <row r="186" spans="1:3" ht="14.85" customHeight="1">
      <c r="A186" s="5288"/>
      <c r="C186" s="5200"/>
    </row>
    <row r="187" spans="1:3" ht="14.85" customHeight="1">
      <c r="A187" s="5288"/>
      <c r="C187" s="5200"/>
    </row>
    <row r="188" spans="1:3" ht="14.85" customHeight="1">
      <c r="A188" s="5288"/>
      <c r="C188" s="5200"/>
    </row>
    <row r="189" spans="1:3" ht="14.85" customHeight="1">
      <c r="A189" s="5288"/>
      <c r="C189" s="5200"/>
    </row>
    <row r="190" spans="1:3" ht="14.85" customHeight="1">
      <c r="A190" s="5288"/>
      <c r="C190" s="5200"/>
    </row>
    <row r="191" spans="1:3" ht="14.85" customHeight="1">
      <c r="A191" s="5288"/>
      <c r="C191" s="5200"/>
    </row>
    <row r="192" spans="1:3" ht="14.85" customHeight="1">
      <c r="A192" s="5288"/>
      <c r="C192" s="5200"/>
    </row>
    <row r="193" spans="1:3" ht="14.85" customHeight="1">
      <c r="A193" s="5288"/>
      <c r="C193" s="5200"/>
    </row>
    <row r="194" spans="1:3" ht="14.85" customHeight="1">
      <c r="A194" s="5288"/>
      <c r="C194" s="5200"/>
    </row>
    <row r="195" spans="1:3" ht="14.85" customHeight="1">
      <c r="A195" s="5288"/>
      <c r="C195" s="5200"/>
    </row>
    <row r="196" spans="1:3" ht="14.85" customHeight="1">
      <c r="A196" s="5288"/>
      <c r="C196" s="5200"/>
    </row>
    <row r="197" spans="1:3" ht="14.85" customHeight="1">
      <c r="A197" s="5288"/>
      <c r="C197" s="5200"/>
    </row>
    <row r="198" spans="1:3" ht="14.85" customHeight="1">
      <c r="A198" s="5288"/>
      <c r="C198" s="5200"/>
    </row>
    <row r="199" spans="1:3" ht="14.85" customHeight="1">
      <c r="A199" s="5288"/>
      <c r="C199" s="5200"/>
    </row>
    <row r="200" spans="1:3" ht="14.85" customHeight="1">
      <c r="A200" s="5288"/>
      <c r="C200" s="5200"/>
    </row>
    <row r="201" spans="1:3" ht="14.85" customHeight="1">
      <c r="A201" s="5288"/>
      <c r="C201" s="5200"/>
    </row>
    <row r="202" spans="1:3" ht="14.85" customHeight="1">
      <c r="A202" s="5288"/>
      <c r="C202" s="5200"/>
    </row>
    <row r="203" spans="1:3" ht="14.85" customHeight="1">
      <c r="A203" s="5288"/>
      <c r="C203" s="5200"/>
    </row>
    <row r="204" spans="1:3" ht="14.85" customHeight="1">
      <c r="A204" s="5288"/>
      <c r="C204" s="5200"/>
    </row>
    <row r="205" spans="1:3" ht="14.85" customHeight="1">
      <c r="A205" s="5288"/>
      <c r="C205" s="5200"/>
    </row>
    <row r="206" spans="1:3" ht="14.85" customHeight="1">
      <c r="A206" s="5288"/>
      <c r="C206" s="5200"/>
    </row>
    <row r="207" spans="1:3" ht="14.85" customHeight="1">
      <c r="A207" s="5288"/>
      <c r="C207" s="5200"/>
    </row>
    <row r="208" spans="1:3" ht="14.85" customHeight="1">
      <c r="A208" s="5288"/>
      <c r="C208" s="5200"/>
    </row>
    <row r="209" spans="1:3" ht="14.85" customHeight="1">
      <c r="A209" s="5288"/>
      <c r="C209" s="5200"/>
    </row>
    <row r="210" spans="1:3" ht="14.85" customHeight="1">
      <c r="A210" s="5288"/>
      <c r="C210" s="5200"/>
    </row>
    <row r="211" spans="1:3" ht="14.85" customHeight="1">
      <c r="A211" s="5288"/>
      <c r="C211" s="5200"/>
    </row>
    <row r="212" spans="1:3" ht="14.85" customHeight="1">
      <c r="A212" s="5288"/>
      <c r="C212" s="5200"/>
    </row>
    <row r="213" spans="1:3" ht="14.85" customHeight="1">
      <c r="A213" s="5288"/>
      <c r="C213" s="5200"/>
    </row>
    <row r="214" spans="1:3" ht="14.85" customHeight="1">
      <c r="A214" s="5288"/>
      <c r="C214" s="5200"/>
    </row>
    <row r="215" spans="1:3" ht="14.85" customHeight="1">
      <c r="A215" s="5288"/>
      <c r="C215" s="5200"/>
    </row>
    <row r="216" spans="1:3" ht="14.85" customHeight="1">
      <c r="A216" s="5288"/>
      <c r="C216" s="5200"/>
    </row>
    <row r="217" spans="1:3" ht="14.85" customHeight="1">
      <c r="A217" s="5288"/>
      <c r="C217" s="5200"/>
    </row>
    <row r="218" spans="1:3" ht="14.85" customHeight="1">
      <c r="A218" s="5288"/>
      <c r="C218" s="5200"/>
    </row>
    <row r="219" spans="1:3" ht="14.85" customHeight="1">
      <c r="A219" s="5288"/>
      <c r="C219" s="5200"/>
    </row>
    <row r="220" spans="1:3" ht="14.85" customHeight="1">
      <c r="A220" s="5288"/>
      <c r="C220" s="5200"/>
    </row>
    <row r="221" spans="1:3" ht="14.85" customHeight="1">
      <c r="A221" s="5288"/>
      <c r="C221" s="5200"/>
    </row>
    <row r="222" spans="1:3" ht="14.85" customHeight="1">
      <c r="A222" s="5288"/>
      <c r="C222" s="5200"/>
    </row>
    <row r="223" spans="1:3" ht="14.85" customHeight="1">
      <c r="A223" s="5288"/>
      <c r="C223" s="5200"/>
    </row>
    <row r="224" spans="1:3" ht="14.85" customHeight="1">
      <c r="A224" s="5288"/>
      <c r="C224" s="5200"/>
    </row>
    <row r="225" spans="1:3" ht="14.85" customHeight="1">
      <c r="A225" s="5288"/>
      <c r="C225" s="5200"/>
    </row>
    <row r="226" spans="1:3" ht="14.85" customHeight="1">
      <c r="A226" s="5288"/>
      <c r="C226" s="5200"/>
    </row>
    <row r="227" spans="1:3" ht="14.85" customHeight="1">
      <c r="A227" s="5288"/>
      <c r="C227" s="5200"/>
    </row>
    <row r="228" spans="1:3" ht="14.85" customHeight="1">
      <c r="A228" s="5288"/>
      <c r="C228" s="5200"/>
    </row>
    <row r="229" spans="1:3" ht="14.85" customHeight="1">
      <c r="A229" s="5288"/>
      <c r="C229" s="5200"/>
    </row>
    <row r="230" spans="1:3" ht="14.85" customHeight="1">
      <c r="A230" s="5288"/>
      <c r="C230" s="5200"/>
    </row>
    <row r="231" spans="1:3" ht="14.85" customHeight="1">
      <c r="A231" s="5288"/>
      <c r="C231" s="5200"/>
    </row>
    <row r="232" spans="1:3" ht="14.85" customHeight="1">
      <c r="A232" s="5288"/>
      <c r="C232" s="5200"/>
    </row>
    <row r="233" spans="1:3" ht="14.85" customHeight="1">
      <c r="A233" s="5288"/>
      <c r="C233" s="5200"/>
    </row>
    <row r="234" spans="1:3" ht="14.85" customHeight="1">
      <c r="A234" s="5288"/>
      <c r="C234" s="5200"/>
    </row>
    <row r="235" spans="1:3" ht="14.85" customHeight="1">
      <c r="A235" s="5288"/>
      <c r="C235" s="5200"/>
    </row>
    <row r="236" spans="1:3" ht="14.85" customHeight="1">
      <c r="A236" s="5288"/>
      <c r="C236" s="5200"/>
    </row>
    <row r="237" spans="1:3" ht="14.85" customHeight="1">
      <c r="A237" s="5288"/>
      <c r="C237" s="5200"/>
    </row>
    <row r="238" spans="1:3" ht="14.85" customHeight="1">
      <c r="A238" s="5288"/>
      <c r="C238" s="5200"/>
    </row>
    <row r="239" spans="1:3" ht="14.85" customHeight="1">
      <c r="A239" s="5288"/>
      <c r="C239" s="5200"/>
    </row>
    <row r="240" spans="1:3" ht="14.85" customHeight="1">
      <c r="A240" s="5288"/>
      <c r="C240" s="5200"/>
    </row>
    <row r="241" spans="1:3" ht="14.85" customHeight="1">
      <c r="A241" s="5288"/>
      <c r="C241" s="5200"/>
    </row>
    <row r="242" spans="1:3" ht="14.85" customHeight="1">
      <c r="A242" s="5288"/>
      <c r="C242" s="5200"/>
    </row>
    <row r="243" spans="1:3" ht="14.85" customHeight="1">
      <c r="A243" s="5288"/>
      <c r="C243" s="5200"/>
    </row>
    <row r="244" spans="1:3" ht="14.85" customHeight="1">
      <c r="A244" s="5288"/>
      <c r="C244" s="5200"/>
    </row>
    <row r="245" spans="1:3" ht="14.85" customHeight="1">
      <c r="A245" s="5288"/>
      <c r="C245" s="5200"/>
    </row>
    <row r="246" spans="1:3" ht="14.85" customHeight="1">
      <c r="A246" s="5288"/>
      <c r="C246" s="5200"/>
    </row>
    <row r="247" spans="1:3" ht="14.85" customHeight="1">
      <c r="A247" s="5288"/>
      <c r="C247" s="5200"/>
    </row>
    <row r="248" spans="1:3" ht="14.85" customHeight="1">
      <c r="A248" s="5288"/>
      <c r="C248" s="5200"/>
    </row>
    <row r="249" spans="1:3" ht="14.85" customHeight="1">
      <c r="A249" s="5288"/>
      <c r="C249" s="5200"/>
    </row>
    <row r="250" spans="1:3" ht="14.85" customHeight="1">
      <c r="A250" s="5288"/>
      <c r="C250" s="5200"/>
    </row>
    <row r="251" spans="1:3" ht="14.85" customHeight="1">
      <c r="A251" s="5288"/>
      <c r="C251" s="5200"/>
    </row>
    <row r="252" spans="1:3" ht="14.85" customHeight="1">
      <c r="A252" s="5288"/>
      <c r="C252" s="5200"/>
    </row>
    <row r="253" spans="1:3" ht="14.85" customHeight="1">
      <c r="A253" s="5288"/>
      <c r="C253" s="5200"/>
    </row>
    <row r="254" spans="1:3" ht="14.85" customHeight="1">
      <c r="A254" s="5288"/>
      <c r="C254" s="5200"/>
    </row>
    <row r="255" spans="1:3" ht="14.85" customHeight="1">
      <c r="A255" s="5288"/>
      <c r="C255" s="5200"/>
    </row>
    <row r="256" spans="1:3" ht="14.85" customHeight="1">
      <c r="A256" s="5288"/>
      <c r="C256" s="5200"/>
    </row>
    <row r="257" spans="1:3" ht="14.85" customHeight="1">
      <c r="A257" s="5288"/>
      <c r="C257" s="5200"/>
    </row>
    <row r="258" spans="1:3" ht="14.85" customHeight="1">
      <c r="A258" s="5288"/>
      <c r="C258" s="5200"/>
    </row>
    <row r="259" spans="1:3" ht="14.85" customHeight="1">
      <c r="A259" s="5288"/>
      <c r="C259" s="5200"/>
    </row>
    <row r="260" spans="1:3" ht="14.85" customHeight="1">
      <c r="A260" s="5288"/>
      <c r="C260" s="5200"/>
    </row>
    <row r="261" spans="1:3" ht="14.85" customHeight="1">
      <c r="A261" s="5288"/>
      <c r="C261" s="5200"/>
    </row>
    <row r="262" spans="1:3" ht="14.85" customHeight="1">
      <c r="A262" s="5288"/>
      <c r="C262" s="5200"/>
    </row>
    <row r="263" spans="1:3" ht="14.85" customHeight="1">
      <c r="A263" s="5288"/>
      <c r="C263" s="5200"/>
    </row>
    <row r="264" spans="1:3" ht="14.85" customHeight="1">
      <c r="A264" s="5288"/>
      <c r="C264" s="5200"/>
    </row>
    <row r="265" spans="1:3" ht="14.85" customHeight="1">
      <c r="A265" s="5288"/>
      <c r="C265" s="5200"/>
    </row>
    <row r="266" spans="1:3" ht="14.85" customHeight="1">
      <c r="A266" s="5288"/>
      <c r="C266" s="5200"/>
    </row>
    <row r="267" spans="1:3" ht="14.85" customHeight="1">
      <c r="A267" s="5288"/>
      <c r="C267" s="5200"/>
    </row>
    <row r="268" spans="1:3" ht="14.85" customHeight="1">
      <c r="A268" s="5288"/>
      <c r="C268" s="5200"/>
    </row>
    <row r="269" spans="1:3" ht="14.85" customHeight="1">
      <c r="A269" s="5288"/>
      <c r="C269" s="5200"/>
    </row>
    <row r="270" spans="1:3" ht="14.85" customHeight="1">
      <c r="A270" s="5288"/>
      <c r="C270" s="5200"/>
    </row>
    <row r="271" spans="1:3" ht="14.85" customHeight="1">
      <c r="A271" s="5288"/>
      <c r="C271" s="5200"/>
    </row>
    <row r="272" spans="1:3" ht="14.85" customHeight="1">
      <c r="A272" s="5288"/>
      <c r="C272" s="5200"/>
    </row>
    <row r="273" spans="1:3" ht="14.85" customHeight="1">
      <c r="A273" s="5288"/>
      <c r="C273" s="5200"/>
    </row>
    <row r="274" spans="1:3" ht="14.85" customHeight="1">
      <c r="A274" s="5288"/>
      <c r="C274" s="5200"/>
    </row>
    <row r="275" spans="1:3" ht="14.85" customHeight="1">
      <c r="A275" s="5288"/>
      <c r="C275" s="5200"/>
    </row>
    <row r="276" spans="1:3" ht="14.85" customHeight="1">
      <c r="A276" s="5288"/>
      <c r="C276" s="5200"/>
    </row>
    <row r="277" spans="1:3" ht="14.85" customHeight="1">
      <c r="A277" s="5288"/>
      <c r="C277" s="5200"/>
    </row>
    <row r="278" spans="1:3" ht="14.85" customHeight="1">
      <c r="A278" s="5288"/>
      <c r="C278" s="5200"/>
    </row>
    <row r="279" spans="1:3" ht="14.85" customHeight="1">
      <c r="A279" s="5288"/>
      <c r="C279" s="5200"/>
    </row>
    <row r="280" spans="1:3" ht="14.85" customHeight="1">
      <c r="A280" s="5288"/>
      <c r="C280" s="5200"/>
    </row>
    <row r="281" spans="1:3" ht="14.85" customHeight="1">
      <c r="A281" s="5288"/>
      <c r="C281" s="5200"/>
    </row>
    <row r="282" spans="1:3" ht="14.85" customHeight="1">
      <c r="A282" s="5288"/>
      <c r="C282" s="5200"/>
    </row>
    <row r="283" spans="1:3" ht="14.85" customHeight="1">
      <c r="A283" s="5288"/>
      <c r="C283" s="5200"/>
    </row>
    <row r="284" spans="1:3" ht="14.85" customHeight="1">
      <c r="A284" s="5288"/>
      <c r="C284" s="5200"/>
    </row>
    <row r="285" spans="1:3" ht="14.85" customHeight="1">
      <c r="A285" s="5288"/>
      <c r="C285" s="5200"/>
    </row>
    <row r="286" spans="1:3" ht="14.85" customHeight="1">
      <c r="A286" s="5288"/>
      <c r="C286" s="5200"/>
    </row>
    <row r="287" spans="1:3" ht="14.85" customHeight="1">
      <c r="A287" s="5288"/>
      <c r="C287" s="5200"/>
    </row>
    <row r="288" spans="1:3" ht="14.85" customHeight="1">
      <c r="A288" s="5288"/>
      <c r="C288" s="5200"/>
    </row>
    <row r="289" spans="1:3" ht="14.85" customHeight="1">
      <c r="A289" s="5288"/>
      <c r="C289" s="5200"/>
    </row>
    <row r="290" spans="1:3" ht="14.85" customHeight="1">
      <c r="A290" s="5288"/>
      <c r="C290" s="5200"/>
    </row>
    <row r="291" spans="1:3" ht="14.85" customHeight="1">
      <c r="A291" s="5288"/>
      <c r="C291" s="5200"/>
    </row>
    <row r="292" spans="1:3" ht="14.85" customHeight="1">
      <c r="A292" s="5288"/>
      <c r="C292" s="5200"/>
    </row>
    <row r="293" spans="1:3" ht="14.85" customHeight="1">
      <c r="A293" s="5288"/>
      <c r="C293" s="5200"/>
    </row>
    <row r="294" spans="1:3" ht="14.85" customHeight="1">
      <c r="A294" s="5288"/>
      <c r="C294" s="5200"/>
    </row>
    <row r="295" spans="1:3" ht="14.85" customHeight="1">
      <c r="A295" s="5288"/>
      <c r="C295" s="5200"/>
    </row>
    <row r="296" spans="1:3" ht="14.85" customHeight="1">
      <c r="A296" s="5288"/>
      <c r="C296" s="5200"/>
    </row>
    <row r="297" spans="1:3" ht="14.85" customHeight="1">
      <c r="A297" s="5288"/>
      <c r="C297" s="5200"/>
    </row>
    <row r="298" spans="1:3" ht="14.85" customHeight="1">
      <c r="A298" s="5288"/>
      <c r="C298" s="5200"/>
    </row>
    <row r="299" spans="1:3" ht="14.85" customHeight="1">
      <c r="A299" s="5288"/>
      <c r="C299" s="5200"/>
    </row>
    <row r="300" spans="1:3" ht="14.85" customHeight="1">
      <c r="A300" s="5288"/>
      <c r="C300" s="5200"/>
    </row>
    <row r="301" spans="1:3" ht="14.85" customHeight="1">
      <c r="A301" s="5288"/>
      <c r="C301" s="5200"/>
    </row>
    <row r="302" spans="1:3" ht="14.85" customHeight="1">
      <c r="A302" s="5288"/>
      <c r="C302" s="5200"/>
    </row>
    <row r="303" spans="1:3" ht="14.85" customHeight="1">
      <c r="A303" s="5288"/>
      <c r="C303" s="5200"/>
    </row>
    <row r="304" spans="1:3" ht="14.85" customHeight="1">
      <c r="A304" s="5288"/>
      <c r="C304" s="5200"/>
    </row>
    <row r="305" spans="1:3" ht="14.85" customHeight="1">
      <c r="A305" s="5288"/>
      <c r="C305" s="5200"/>
    </row>
    <row r="306" spans="1:3" ht="14.85" customHeight="1">
      <c r="A306" s="5288"/>
      <c r="C306" s="5200"/>
    </row>
    <row r="307" spans="1:3" ht="14.85" customHeight="1">
      <c r="A307" s="5288"/>
      <c r="C307" s="5200"/>
    </row>
    <row r="308" spans="1:3" ht="14.85" customHeight="1">
      <c r="A308" s="5288"/>
      <c r="C308" s="5200"/>
    </row>
    <row r="309" spans="1:3" ht="14.85" customHeight="1">
      <c r="A309" s="5288"/>
      <c r="C309" s="5200"/>
    </row>
    <row r="310" spans="1:3" ht="14.85" customHeight="1">
      <c r="A310" s="5288"/>
      <c r="C310" s="5200"/>
    </row>
    <row r="311" spans="1:3" ht="14.85" customHeight="1">
      <c r="A311" s="5288"/>
      <c r="C311" s="5200"/>
    </row>
    <row r="312" spans="1:3" ht="14.85" customHeight="1">
      <c r="A312" s="5288"/>
      <c r="C312" s="5200"/>
    </row>
    <row r="313" spans="1:3" ht="14.85" customHeight="1">
      <c r="A313" s="5288"/>
      <c r="C313" s="5200"/>
    </row>
    <row r="314" spans="1:3" ht="14.85" customHeight="1">
      <c r="A314" s="5288"/>
      <c r="C314" s="5200"/>
    </row>
    <row r="315" spans="1:3" ht="14.85" customHeight="1">
      <c r="A315" s="5288"/>
      <c r="C315" s="5200"/>
    </row>
    <row r="316" spans="1:3" ht="14.85" customHeight="1">
      <c r="A316" s="5288"/>
      <c r="C316" s="5200"/>
    </row>
    <row r="317" spans="1:3" ht="14.85" customHeight="1">
      <c r="A317" s="5288"/>
      <c r="C317" s="5200"/>
    </row>
    <row r="318" spans="1:3" ht="14.85" customHeight="1">
      <c r="A318" s="5288"/>
      <c r="C318" s="5200"/>
    </row>
    <row r="319" spans="1:3" ht="14.85" customHeight="1">
      <c r="A319" s="5288"/>
      <c r="C319" s="5200"/>
    </row>
    <row r="320" spans="1:3" ht="14.85" customHeight="1">
      <c r="A320" s="5288"/>
      <c r="C320" s="5200"/>
    </row>
    <row r="321" spans="1:3" ht="14.85" customHeight="1">
      <c r="A321" s="5288"/>
      <c r="C321" s="5200"/>
    </row>
    <row r="322" spans="1:3" ht="14.85" customHeight="1">
      <c r="A322" s="5288"/>
      <c r="C322" s="5200"/>
    </row>
    <row r="323" spans="1:3" ht="14.85" customHeight="1">
      <c r="A323" s="5288"/>
      <c r="C323" s="5200"/>
    </row>
    <row r="324" spans="1:3" ht="14.85" customHeight="1">
      <c r="A324" s="5288"/>
      <c r="C324" s="5200"/>
    </row>
    <row r="325" spans="1:3" ht="14.85" customHeight="1">
      <c r="A325" s="5288"/>
      <c r="C325" s="5200"/>
    </row>
    <row r="326" spans="1:3" ht="14.85" customHeight="1">
      <c r="A326" s="5288"/>
      <c r="C326" s="5200"/>
    </row>
    <row r="327" spans="1:3" ht="14.85" customHeight="1">
      <c r="A327" s="5288"/>
      <c r="C327" s="5200"/>
    </row>
    <row r="328" spans="1:3" ht="14.85" customHeight="1">
      <c r="A328" s="5288"/>
      <c r="C328" s="5200"/>
    </row>
    <row r="329" spans="1:3" ht="14.85" customHeight="1">
      <c r="A329" s="5288"/>
      <c r="C329" s="5200"/>
    </row>
    <row r="330" spans="1:3" ht="14.85" customHeight="1">
      <c r="A330" s="5288"/>
      <c r="C330" s="5200"/>
    </row>
    <row r="331" spans="1:3" ht="14.85" customHeight="1">
      <c r="A331" s="5288"/>
      <c r="C331" s="5200"/>
    </row>
    <row r="332" spans="1:3" ht="14.85" customHeight="1">
      <c r="A332" s="5288"/>
      <c r="C332" s="5200"/>
    </row>
    <row r="333" spans="1:3" ht="14.85" customHeight="1">
      <c r="A333" s="5288"/>
      <c r="C333" s="5200"/>
    </row>
    <row r="334" spans="1:3" ht="14.85" customHeight="1">
      <c r="A334" s="5288"/>
      <c r="C334" s="5200"/>
    </row>
    <row r="335" spans="1:3" ht="14.85" customHeight="1">
      <c r="A335" s="5288"/>
      <c r="C335" s="5200"/>
    </row>
    <row r="336" spans="1:3" ht="14.85" customHeight="1">
      <c r="A336" s="5288"/>
      <c r="C336" s="5200"/>
    </row>
    <row r="337" spans="1:3" ht="14.85" customHeight="1">
      <c r="A337" s="5288"/>
      <c r="C337" s="5200"/>
    </row>
    <row r="338" spans="1:3" ht="14.85" customHeight="1">
      <c r="A338" s="5288"/>
      <c r="C338" s="5200"/>
    </row>
    <row r="339" spans="1:3" ht="14.85" customHeight="1">
      <c r="A339" s="5288"/>
      <c r="C339" s="5200"/>
    </row>
    <row r="340" spans="1:3" ht="14.85" customHeight="1">
      <c r="A340" s="5288"/>
      <c r="C340" s="5200"/>
    </row>
    <row r="341" spans="1:3" ht="14.85" customHeight="1">
      <c r="A341" s="5288"/>
      <c r="C341" s="5200"/>
    </row>
    <row r="342" spans="1:3" ht="14.85" customHeight="1">
      <c r="A342" s="5288"/>
      <c r="C342" s="5200"/>
    </row>
    <row r="343" spans="1:3" ht="14.85" customHeight="1">
      <c r="A343" s="5288"/>
      <c r="C343" s="5200"/>
    </row>
    <row r="344" spans="1:3" ht="14.85" customHeight="1">
      <c r="A344" s="5288"/>
      <c r="C344" s="5200"/>
    </row>
    <row r="345" spans="1:3" ht="14.85" customHeight="1">
      <c r="A345" s="5288"/>
      <c r="C345" s="5200"/>
    </row>
    <row r="346" spans="1:3" ht="14.85" customHeight="1">
      <c r="A346" s="5288"/>
      <c r="C346" s="5200"/>
    </row>
    <row r="347" spans="1:3" ht="14.85" customHeight="1">
      <c r="A347" s="5288"/>
      <c r="C347" s="5200"/>
    </row>
    <row r="348" spans="1:3" ht="14.85" customHeight="1">
      <c r="A348" s="5288"/>
      <c r="C348" s="5200"/>
    </row>
    <row r="349" spans="1:3" ht="14.85" customHeight="1">
      <c r="A349" s="5288"/>
      <c r="C349" s="5200"/>
    </row>
    <row r="350" spans="1:3" ht="14.85" customHeight="1">
      <c r="A350" s="5288"/>
      <c r="C350" s="5200"/>
    </row>
    <row r="351" spans="1:3" ht="14.85" customHeight="1">
      <c r="A351" s="5288"/>
      <c r="C351" s="5200"/>
    </row>
    <row r="352" spans="1:3" ht="14.85" customHeight="1">
      <c r="A352" s="5288"/>
      <c r="C352" s="5200"/>
    </row>
    <row r="353" spans="1:3" ht="14.85" customHeight="1">
      <c r="A353" s="5288"/>
      <c r="C353" s="5200"/>
    </row>
    <row r="354" spans="1:3" ht="14.85" customHeight="1">
      <c r="A354" s="5288"/>
      <c r="C354" s="5200"/>
    </row>
  </sheetData>
  <sheetProtection algorithmName="SHA-512" hashValue="tsDJDMww8DA/By7AIJLMgnU63OEGJDqxpneAaS+bJxXgq86yBFVzYyhEDMNwXKeCiGKELTYkuLvn+b4rKcTEnA==" saltValue="EpwOO0kdUFDryPwx8Bu0EA==" spinCount="100000" sheet="1" objects="1" scenarios="1"/>
  <mergeCells count="2">
    <mergeCell ref="A63:C63"/>
    <mergeCell ref="J2:K2"/>
  </mergeCells>
  <dataValidations count="4">
    <dataValidation allowBlank="1" promptTitle="Expected Data Entry" prompt="Enter school year it expires (Ex: 2017-2018 or use 9999-9999 for perpetual).  Leave blank if n/a." sqref="H14"/>
    <dataValidation type="decimal" allowBlank="1" showErrorMessage="1" errorTitle="Invalid data entry" error="Enter a value between 0 and 30.00" sqref="J10:J11">
      <formula1>0</formula1>
      <formula2>30</formula2>
    </dataValidation>
    <dataValidation allowBlank="1" showInputMessage="1" showErrorMessage="1" promptTitle="Expected Data Entry" prompt="Enter school year it expires (Ex: 2017-2018 or use 9999-9999 for perpetual).  Leave blank if n/a." sqref="H13"/>
    <dataValidation type="decimal" allowBlank="1" showInputMessage="1" showErrorMessage="1" errorTitle="Invalid Data Entry" error="Valid values are between 0.00 and 1.00.  Press enter and re-enter a valid value OR press the delete key and then &lt;enter&gt; to leave blank." sqref="J13">
      <formula1>0</formula1>
      <formula2>1</formula2>
    </dataValidation>
  </dataValidations>
  <hyperlinks>
    <hyperlink ref="L1" location="Contents!A1" display="Return to Contents page"/>
  </hyperlinks>
  <printOptions horizontalCentered="1"/>
  <pageMargins left="0.75" right="0.75" top="0.5" bottom="0.5" header="0.3" footer="0.3"/>
  <pageSetup scale="75" fitToWidth="0" fitToHeight="0" orientation="portrait" blackAndWhite="1" r:id="rId1"/>
  <headerFooter scaleWithDoc="0">
    <oddFooter>&amp;L&amp;"Open Sans Light,Regular"&amp;8&amp;D   &amp;T&amp;C&amp;"Open Sans Light,Regular"&amp;8Page &amp;P&amp;R&amp;"Open Sans Light,Regular"&amp;8Form 155</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tabColor theme="6" tint="-0.249977111117893"/>
  </sheetPr>
  <dimension ref="A1:M117"/>
  <sheetViews>
    <sheetView showGridLines="0" zoomScaleNormal="100" zoomScaleSheetLayoutView="100" workbookViewId="0">
      <pane ySplit="10" topLeftCell="A11" activePane="bottomLeft" state="frozen"/>
      <selection activeCell="B22" sqref="B22"/>
      <selection pane="bottomLeft" activeCell="J112" sqref="J112"/>
    </sheetView>
  </sheetViews>
  <sheetFormatPr defaultColWidth="10.6640625" defaultRowHeight="14.85" customHeight="1"/>
  <cols>
    <col min="1" max="1" width="31.109375" style="5296" customWidth="1"/>
    <col min="2" max="2" width="6.109375" style="5478" customWidth="1"/>
    <col min="3" max="3" width="14.33203125" style="5296" customWidth="1"/>
    <col min="4" max="4" width="7.6640625" style="5296" customWidth="1"/>
    <col min="5" max="5" width="14.33203125" style="5296" customWidth="1"/>
    <col min="6" max="6" width="7.6640625" style="5296" customWidth="1"/>
    <col min="7" max="7" width="14.33203125" style="5296" customWidth="1"/>
    <col min="8" max="8" width="7.6640625" style="5296" customWidth="1"/>
    <col min="9" max="9" width="14.33203125" style="5296" customWidth="1"/>
    <col min="10" max="10" width="18.109375" style="5296" customWidth="1"/>
    <col min="11" max="11" width="3" style="5296" customWidth="1"/>
    <col min="12" max="12" width="20.88671875" style="5296" customWidth="1"/>
    <col min="13" max="13" width="10.6640625" style="5297"/>
    <col min="14" max="16384" width="10.6640625" style="5296"/>
  </cols>
  <sheetData>
    <row r="1" spans="1:12" ht="14.85" customHeight="1">
      <c r="A1" s="4888" t="s">
        <v>1511</v>
      </c>
      <c r="B1" s="5290"/>
      <c r="C1" s="5291"/>
      <c r="D1" s="5292"/>
      <c r="E1" s="5292"/>
      <c r="F1" s="5293"/>
      <c r="G1" s="5293"/>
      <c r="H1" s="5293"/>
      <c r="I1" s="5294"/>
      <c r="J1" s="5295" t="str">
        <f>"USD #"&amp;OPEN!$B$4</f>
        <v>USD #237</v>
      </c>
      <c r="L1" s="4891" t="s">
        <v>754</v>
      </c>
    </row>
    <row r="2" spans="1:12" ht="14.85" customHeight="1">
      <c r="A2" s="4980" t="s">
        <v>4974</v>
      </c>
      <c r="B2" s="5297"/>
      <c r="J2" s="4981">
        <f>OpenData!$N$3</f>
        <v>44348</v>
      </c>
    </row>
    <row r="3" spans="1:12" ht="14.85" customHeight="1">
      <c r="A3" s="5298"/>
      <c r="B3" s="5297"/>
      <c r="C3" s="5960" t="s">
        <v>1515</v>
      </c>
      <c r="D3" s="5960"/>
      <c r="E3" s="5960"/>
      <c r="F3" s="5960"/>
      <c r="G3" s="5960"/>
      <c r="H3" s="5960"/>
      <c r="I3" s="5960"/>
      <c r="J3" s="5960"/>
    </row>
    <row r="4" spans="1:12" ht="14.85" customHeight="1">
      <c r="B4" s="5299"/>
      <c r="C4" s="5960" t="str">
        <f>OpenData!$N$2&amp;" ESTIMATED FOOD SERVICE REVENUE"</f>
        <v>2021-2022 ESTIMATED FOOD SERVICE REVENUE</v>
      </c>
      <c r="D4" s="5960"/>
      <c r="E4" s="5960"/>
      <c r="F4" s="5960"/>
      <c r="G4" s="5960"/>
      <c r="H4" s="5960"/>
      <c r="I4" s="5960"/>
      <c r="J4" s="5960"/>
    </row>
    <row r="5" spans="1:12" ht="14.85" customHeight="1">
      <c r="A5" s="5300"/>
      <c r="B5" s="5299"/>
      <c r="C5" s="5966" t="s">
        <v>1690</v>
      </c>
      <c r="D5" s="5966"/>
      <c r="E5" s="5966"/>
      <c r="F5" s="5966"/>
      <c r="G5" s="5966"/>
      <c r="H5" s="5966"/>
      <c r="I5" s="5966"/>
      <c r="J5" s="5966"/>
    </row>
    <row r="6" spans="1:12" ht="14.85" customHeight="1">
      <c r="A6" s="5297"/>
      <c r="B6" s="5290"/>
      <c r="C6" s="5301"/>
      <c r="D6" s="5302"/>
      <c r="E6" s="5303"/>
      <c r="F6" s="5302"/>
      <c r="G6" s="5303"/>
      <c r="H6" s="5302"/>
      <c r="I6" s="5303"/>
      <c r="J6" s="5301"/>
    </row>
    <row r="7" spans="1:12" ht="14.85" customHeight="1">
      <c r="A7" s="5297"/>
      <c r="B7" s="5290"/>
      <c r="C7" s="5304" t="s">
        <v>884</v>
      </c>
      <c r="D7" s="5305"/>
      <c r="E7" s="5306"/>
      <c r="F7" s="5305"/>
      <c r="G7" s="5306"/>
      <c r="H7" s="5963" t="s">
        <v>1516</v>
      </c>
      <c r="I7" s="5964"/>
      <c r="J7" s="5965" t="s">
        <v>884</v>
      </c>
    </row>
    <row r="8" spans="1:12" ht="14.85" customHeight="1">
      <c r="A8" s="5297"/>
      <c r="B8" s="5290"/>
      <c r="C8" s="5304" t="s">
        <v>1517</v>
      </c>
      <c r="D8" s="5961" t="s">
        <v>1518</v>
      </c>
      <c r="E8" s="5962"/>
      <c r="F8" s="5961" t="s">
        <v>1519</v>
      </c>
      <c r="G8" s="5962"/>
      <c r="H8" s="5961" t="s">
        <v>1520</v>
      </c>
      <c r="I8" s="5962"/>
      <c r="J8" s="5965"/>
    </row>
    <row r="9" spans="1:12" ht="15.6" thickBot="1">
      <c r="A9" s="5307" t="s">
        <v>4444</v>
      </c>
      <c r="B9" s="5308"/>
      <c r="C9" s="5309" t="s">
        <v>1521</v>
      </c>
      <c r="D9" s="5310" t="s">
        <v>1522</v>
      </c>
      <c r="E9" s="5309" t="s">
        <v>1523</v>
      </c>
      <c r="F9" s="5310" t="s">
        <v>1522</v>
      </c>
      <c r="G9" s="5309" t="s">
        <v>1523</v>
      </c>
      <c r="H9" s="5310" t="s">
        <v>1524</v>
      </c>
      <c r="I9" s="5311" t="s">
        <v>1525</v>
      </c>
      <c r="J9" s="5309" t="s">
        <v>5193</v>
      </c>
    </row>
    <row r="10" spans="1:12" ht="14.85" hidden="1" customHeight="1" thickTop="1">
      <c r="A10" s="5297"/>
      <c r="B10" s="5290"/>
      <c r="C10" s="5312"/>
      <c r="D10" s="5312"/>
      <c r="E10" s="5313"/>
      <c r="F10" s="5314"/>
      <c r="G10" s="5315"/>
      <c r="H10" s="5316"/>
      <c r="I10" s="5317"/>
      <c r="J10" s="5318"/>
    </row>
    <row r="11" spans="1:12" ht="14.85" customHeight="1" thickTop="1">
      <c r="A11" s="5319" t="s">
        <v>4445</v>
      </c>
      <c r="B11" s="5290"/>
      <c r="C11" s="5320"/>
      <c r="D11" s="5321"/>
      <c r="E11" s="5322"/>
      <c r="F11" s="5323"/>
      <c r="G11" s="5322"/>
      <c r="H11" s="5324"/>
      <c r="I11" s="5322"/>
      <c r="J11" s="5325"/>
    </row>
    <row r="12" spans="1:12" ht="14.85" customHeight="1">
      <c r="A12" s="5297" t="s">
        <v>4446</v>
      </c>
      <c r="B12" s="5290">
        <v>1</v>
      </c>
      <c r="C12" s="5326">
        <v>0</v>
      </c>
      <c r="D12" s="5312"/>
      <c r="E12" s="5327">
        <f>C12*D12</f>
        <v>0</v>
      </c>
      <c r="F12" s="5312">
        <v>0.04</v>
      </c>
      <c r="G12" s="5327">
        <f>C12*F12</f>
        <v>0</v>
      </c>
      <c r="H12" s="5328"/>
      <c r="I12" s="5327">
        <f>C12*H12</f>
        <v>0</v>
      </c>
      <c r="J12" s="5329">
        <f t="shared" ref="J12:J17" si="0">SUM(E12+G12+I12)</f>
        <v>0</v>
      </c>
    </row>
    <row r="13" spans="1:12" ht="14.85" customHeight="1">
      <c r="A13" s="5297" t="s">
        <v>4447</v>
      </c>
      <c r="B13" s="5290">
        <v>2</v>
      </c>
      <c r="C13" s="5326">
        <v>0</v>
      </c>
      <c r="D13" s="5312"/>
      <c r="E13" s="5330">
        <f>C13*D13</f>
        <v>0</v>
      </c>
      <c r="F13" s="5312">
        <v>0.04</v>
      </c>
      <c r="G13" s="5330">
        <f>C13*F13</f>
        <v>0</v>
      </c>
      <c r="H13" s="5328"/>
      <c r="I13" s="5329">
        <f>C13*H13</f>
        <v>0</v>
      </c>
      <c r="J13" s="5329">
        <f t="shared" si="0"/>
        <v>0</v>
      </c>
    </row>
    <row r="14" spans="1:12" ht="14.85" customHeight="1">
      <c r="A14" s="5297" t="s">
        <v>4448</v>
      </c>
      <c r="B14" s="5290">
        <v>3</v>
      </c>
      <c r="C14" s="5331">
        <v>0</v>
      </c>
      <c r="D14" s="5312"/>
      <c r="E14" s="5330">
        <f>C14*D14</f>
        <v>0</v>
      </c>
      <c r="F14" s="5312">
        <v>0.04</v>
      </c>
      <c r="G14" s="5330">
        <f>C14*F14</f>
        <v>0</v>
      </c>
      <c r="H14" s="5332"/>
      <c r="I14" s="5333">
        <f>C14*H14</f>
        <v>0</v>
      </c>
      <c r="J14" s="5329">
        <f t="shared" si="0"/>
        <v>0</v>
      </c>
    </row>
    <row r="15" spans="1:12" ht="14.85" customHeight="1">
      <c r="A15" s="5297" t="s">
        <v>4449</v>
      </c>
      <c r="B15" s="5290">
        <v>4</v>
      </c>
      <c r="C15" s="5331">
        <v>66000</v>
      </c>
      <c r="D15" s="5312">
        <v>4.5</v>
      </c>
      <c r="E15" s="5330">
        <f>C15*D15</f>
        <v>297000</v>
      </c>
      <c r="F15" s="5312">
        <v>0.04</v>
      </c>
      <c r="G15" s="5330">
        <f>C15*F15</f>
        <v>2640</v>
      </c>
      <c r="H15" s="5334"/>
      <c r="I15" s="5335"/>
      <c r="J15" s="5336">
        <f t="shared" si="0"/>
        <v>299640</v>
      </c>
    </row>
    <row r="16" spans="1:12" ht="14.85" customHeight="1">
      <c r="A16" s="5297" t="s">
        <v>4450</v>
      </c>
      <c r="B16" s="5290">
        <v>5</v>
      </c>
      <c r="C16" s="5331">
        <v>0</v>
      </c>
      <c r="D16" s="5312"/>
      <c r="E16" s="5330">
        <f>C16*D16</f>
        <v>0</v>
      </c>
      <c r="F16" s="5312">
        <v>0.04</v>
      </c>
      <c r="G16" s="5330">
        <f>C16*F16</f>
        <v>0</v>
      </c>
      <c r="H16" s="5337">
        <v>0.4</v>
      </c>
      <c r="I16" s="5327">
        <f>C16*H16</f>
        <v>0</v>
      </c>
      <c r="J16" s="5336">
        <f t="shared" si="0"/>
        <v>0</v>
      </c>
    </row>
    <row r="17" spans="1:10" ht="14.85" customHeight="1">
      <c r="A17" s="5297" t="s">
        <v>4451</v>
      </c>
      <c r="B17" s="5290">
        <v>6</v>
      </c>
      <c r="C17" s="5331">
        <v>1000</v>
      </c>
      <c r="D17" s="5338"/>
      <c r="E17" s="5339"/>
      <c r="F17" s="5323"/>
      <c r="G17" s="5339"/>
      <c r="H17" s="5328">
        <v>4</v>
      </c>
      <c r="I17" s="5336">
        <f>C17*H17</f>
        <v>4000</v>
      </c>
      <c r="J17" s="5329">
        <f t="shared" si="0"/>
        <v>4000</v>
      </c>
    </row>
    <row r="18" spans="1:10" ht="14.85" customHeight="1">
      <c r="A18" s="5294" t="s">
        <v>884</v>
      </c>
      <c r="B18" s="5340">
        <v>7</v>
      </c>
      <c r="C18" s="5341">
        <f>SUM(C12:C17)</f>
        <v>67000</v>
      </c>
      <c r="D18" s="5321"/>
      <c r="E18" s="5342">
        <f>SUM(E12:E16)</f>
        <v>297000</v>
      </c>
      <c r="F18" s="5323"/>
      <c r="G18" s="5330">
        <f>SUM(G12:G16)</f>
        <v>2640</v>
      </c>
      <c r="H18" s="5324"/>
      <c r="I18" s="5342">
        <f>SUM(I12:I17)</f>
        <v>4000</v>
      </c>
      <c r="J18" s="5342">
        <f>SUM(J12:J17)</f>
        <v>303640</v>
      </c>
    </row>
    <row r="19" spans="1:10" ht="14.85" hidden="1" customHeight="1">
      <c r="A19" s="5319"/>
      <c r="B19" s="5290"/>
      <c r="C19" s="5320"/>
      <c r="D19" s="5321"/>
      <c r="E19" s="5322"/>
      <c r="F19" s="5323"/>
      <c r="G19" s="5322"/>
      <c r="H19" s="5324"/>
      <c r="I19" s="5322"/>
      <c r="J19" s="5325"/>
    </row>
    <row r="20" spans="1:10" ht="14.85" customHeight="1">
      <c r="A20" s="5343" t="s">
        <v>4452</v>
      </c>
      <c r="B20" s="5290"/>
      <c r="C20" s="5320"/>
      <c r="D20" s="5321"/>
      <c r="E20" s="5322"/>
      <c r="F20" s="5323"/>
      <c r="G20" s="5322"/>
      <c r="H20" s="5324"/>
      <c r="I20" s="5322"/>
      <c r="J20" s="5325"/>
    </row>
    <row r="21" spans="1:10" ht="14.85" customHeight="1">
      <c r="A21" s="4980" t="s">
        <v>4446</v>
      </c>
      <c r="B21" s="5290">
        <v>8</v>
      </c>
      <c r="C21" s="5344">
        <v>0</v>
      </c>
      <c r="D21" s="5345"/>
      <c r="E21" s="5329">
        <f>C21*D21</f>
        <v>0</v>
      </c>
      <c r="F21" s="5323"/>
      <c r="G21" s="5322"/>
      <c r="H21" s="5346">
        <v>0</v>
      </c>
      <c r="I21" s="5347">
        <f>C21*H21</f>
        <v>0</v>
      </c>
      <c r="J21" s="5329">
        <f t="shared" ref="J21:J26" si="1">SUM(E21+G21+I21)</f>
        <v>0</v>
      </c>
    </row>
    <row r="22" spans="1:10" ht="14.85" customHeight="1">
      <c r="A22" s="4980" t="s">
        <v>4447</v>
      </c>
      <c r="B22" s="5290">
        <v>9</v>
      </c>
      <c r="C22" s="5348">
        <v>0</v>
      </c>
      <c r="D22" s="5345"/>
      <c r="E22" s="5329">
        <f>C22*D22</f>
        <v>0</v>
      </c>
      <c r="F22" s="5323"/>
      <c r="G22" s="5322"/>
      <c r="H22" s="5346">
        <v>0</v>
      </c>
      <c r="I22" s="5329">
        <f>C22*H22</f>
        <v>0</v>
      </c>
      <c r="J22" s="5329">
        <f t="shared" si="1"/>
        <v>0</v>
      </c>
    </row>
    <row r="23" spans="1:10" ht="14.85" customHeight="1">
      <c r="A23" s="4980" t="s">
        <v>4448</v>
      </c>
      <c r="B23" s="5290">
        <v>10</v>
      </c>
      <c r="C23" s="5348">
        <v>0</v>
      </c>
      <c r="D23" s="5345"/>
      <c r="E23" s="5329">
        <f>C23*D23</f>
        <v>0</v>
      </c>
      <c r="F23" s="5323"/>
      <c r="G23" s="5322"/>
      <c r="H23" s="5346">
        <v>0</v>
      </c>
      <c r="I23" s="5318">
        <f>C23*H23</f>
        <v>0</v>
      </c>
      <c r="J23" s="5329">
        <f t="shared" si="1"/>
        <v>0</v>
      </c>
    </row>
    <row r="24" spans="1:10" ht="14.85" customHeight="1">
      <c r="A24" s="4980" t="s">
        <v>4449</v>
      </c>
      <c r="B24" s="5290">
        <v>11</v>
      </c>
      <c r="C24" s="5331">
        <v>25000</v>
      </c>
      <c r="D24" s="5312">
        <v>2.4</v>
      </c>
      <c r="E24" s="5336">
        <f>C24*D24</f>
        <v>60000</v>
      </c>
      <c r="F24" s="5323"/>
      <c r="G24" s="5322"/>
      <c r="H24" s="5349"/>
      <c r="I24" s="5350"/>
      <c r="J24" s="5336">
        <f t="shared" si="1"/>
        <v>60000</v>
      </c>
    </row>
    <row r="25" spans="1:10" ht="14.85" customHeight="1">
      <c r="A25" s="4980" t="s">
        <v>4450</v>
      </c>
      <c r="B25" s="5290">
        <v>12</v>
      </c>
      <c r="C25" s="5331">
        <v>0</v>
      </c>
      <c r="D25" s="5312"/>
      <c r="E25" s="5333">
        <f>C25*D25</f>
        <v>0</v>
      </c>
      <c r="F25" s="5323"/>
      <c r="G25" s="5322"/>
      <c r="H25" s="5337">
        <v>0.3</v>
      </c>
      <c r="I25" s="5327">
        <f>C25*H25</f>
        <v>0</v>
      </c>
      <c r="J25" s="5336">
        <f t="shared" si="1"/>
        <v>0</v>
      </c>
    </row>
    <row r="26" spans="1:10" ht="14.85" customHeight="1">
      <c r="A26" s="4980" t="s">
        <v>4451</v>
      </c>
      <c r="B26" s="5290">
        <v>13</v>
      </c>
      <c r="C26" s="5348">
        <v>5</v>
      </c>
      <c r="D26" s="5321"/>
      <c r="E26" s="5321"/>
      <c r="F26" s="5323"/>
      <c r="G26" s="5322"/>
      <c r="H26" s="5346">
        <v>2.5</v>
      </c>
      <c r="I26" s="5330">
        <f>C26*H26</f>
        <v>13</v>
      </c>
      <c r="J26" s="5329">
        <f t="shared" si="1"/>
        <v>13</v>
      </c>
    </row>
    <row r="27" spans="1:10" ht="14.85" customHeight="1">
      <c r="A27" s="5294" t="s">
        <v>884</v>
      </c>
      <c r="B27" s="5351">
        <v>14</v>
      </c>
      <c r="C27" s="5352">
        <f>SUM(C21:C26)</f>
        <v>25005</v>
      </c>
      <c r="D27" s="5321"/>
      <c r="E27" s="5330">
        <f>SUM(E21:E25)</f>
        <v>60000</v>
      </c>
      <c r="F27" s="5324"/>
      <c r="G27" s="5324"/>
      <c r="H27" s="5324"/>
      <c r="I27" s="5353">
        <f>SUM(I21:I26)</f>
        <v>13</v>
      </c>
      <c r="J27" s="5318">
        <f>SUM(J21:J26)</f>
        <v>60013</v>
      </c>
    </row>
    <row r="28" spans="1:10" ht="14.85" hidden="1" customHeight="1">
      <c r="A28" s="5297"/>
      <c r="B28" s="5290"/>
      <c r="C28" s="5320"/>
      <c r="D28" s="5321"/>
      <c r="E28" s="5322"/>
      <c r="F28" s="5323"/>
      <c r="G28" s="5322"/>
      <c r="H28" s="5324"/>
      <c r="I28" s="5322"/>
      <c r="J28" s="5325"/>
    </row>
    <row r="29" spans="1:10" ht="14.85" customHeight="1">
      <c r="A29" s="5319" t="s">
        <v>4453</v>
      </c>
      <c r="B29" s="5290"/>
      <c r="C29" s="5320"/>
      <c r="D29" s="5321"/>
      <c r="E29" s="5322"/>
      <c r="F29" s="5323"/>
      <c r="G29" s="5322"/>
      <c r="H29" s="5324"/>
      <c r="I29" s="5322"/>
      <c r="J29" s="5325"/>
    </row>
    <row r="30" spans="1:10" ht="14.85" customHeight="1">
      <c r="A30" s="5297" t="s">
        <v>4446</v>
      </c>
      <c r="B30" s="5290">
        <v>15</v>
      </c>
      <c r="C30" s="5326"/>
      <c r="D30" s="5312"/>
      <c r="E30" s="5336">
        <f>C30*D30</f>
        <v>0</v>
      </c>
      <c r="F30" s="5323"/>
      <c r="G30" s="5322"/>
      <c r="H30" s="5354"/>
      <c r="I30" s="5347">
        <f>C30*H30</f>
        <v>0</v>
      </c>
      <c r="J30" s="5329">
        <f t="shared" ref="J30:J35" si="2">SUM(E30+G30+I30)</f>
        <v>0</v>
      </c>
    </row>
    <row r="31" spans="1:10" ht="14.85" customHeight="1">
      <c r="A31" s="5297" t="s">
        <v>4447</v>
      </c>
      <c r="B31" s="5290">
        <v>16</v>
      </c>
      <c r="C31" s="5326"/>
      <c r="D31" s="5312"/>
      <c r="E31" s="5336">
        <f>C31*D31</f>
        <v>0</v>
      </c>
      <c r="F31" s="5323"/>
      <c r="G31" s="5322"/>
      <c r="H31" s="5328"/>
      <c r="I31" s="5329">
        <f>C31*H31</f>
        <v>0</v>
      </c>
      <c r="J31" s="5329">
        <f t="shared" si="2"/>
        <v>0</v>
      </c>
    </row>
    <row r="32" spans="1:10" ht="14.85" customHeight="1">
      <c r="A32" s="5297" t="s">
        <v>4448</v>
      </c>
      <c r="B32" s="5290">
        <v>17</v>
      </c>
      <c r="C32" s="5331"/>
      <c r="D32" s="5312"/>
      <c r="E32" s="5355">
        <f>C32*D32</f>
        <v>0</v>
      </c>
      <c r="F32" s="5323"/>
      <c r="G32" s="5322"/>
      <c r="H32" s="5356"/>
      <c r="I32" s="5330">
        <f>C32*H32</f>
        <v>0</v>
      </c>
      <c r="J32" s="5329">
        <f t="shared" si="2"/>
        <v>0</v>
      </c>
    </row>
    <row r="33" spans="1:10" ht="14.85" customHeight="1">
      <c r="A33" s="5297" t="s">
        <v>4449</v>
      </c>
      <c r="B33" s="5290">
        <v>18</v>
      </c>
      <c r="C33" s="5331">
        <v>1200</v>
      </c>
      <c r="D33" s="5312">
        <v>1</v>
      </c>
      <c r="E33" s="5355">
        <f>C33*D33</f>
        <v>1200</v>
      </c>
      <c r="F33" s="5323"/>
      <c r="G33" s="5322"/>
      <c r="H33" s="5322"/>
      <c r="I33" s="5325"/>
      <c r="J33" s="5336">
        <f t="shared" si="2"/>
        <v>1200</v>
      </c>
    </row>
    <row r="34" spans="1:10" ht="14.85" customHeight="1">
      <c r="A34" s="5297" t="s">
        <v>4450</v>
      </c>
      <c r="B34" s="5290">
        <v>19</v>
      </c>
      <c r="C34" s="5331"/>
      <c r="D34" s="5357"/>
      <c r="E34" s="5358">
        <f>C34*D34</f>
        <v>0</v>
      </c>
      <c r="F34" s="5323"/>
      <c r="G34" s="5322"/>
      <c r="H34" s="5337">
        <v>0.15</v>
      </c>
      <c r="I34" s="5327">
        <f>C34*H34</f>
        <v>0</v>
      </c>
      <c r="J34" s="5336">
        <f t="shared" si="2"/>
        <v>0</v>
      </c>
    </row>
    <row r="35" spans="1:10" ht="14.85" customHeight="1">
      <c r="A35" s="5297" t="s">
        <v>4451</v>
      </c>
      <c r="B35" s="5290">
        <v>20</v>
      </c>
      <c r="C35" s="5348"/>
      <c r="D35" s="5359"/>
      <c r="E35" s="5360"/>
      <c r="F35" s="5323"/>
      <c r="G35" s="5322"/>
      <c r="H35" s="5361"/>
      <c r="I35" s="5336">
        <f>C35*H35</f>
        <v>0</v>
      </c>
      <c r="J35" s="5329">
        <f t="shared" si="2"/>
        <v>0</v>
      </c>
    </row>
    <row r="36" spans="1:10" ht="14.85" customHeight="1">
      <c r="A36" s="5294" t="s">
        <v>884</v>
      </c>
      <c r="B36" s="5340">
        <v>21</v>
      </c>
      <c r="C36" s="5341">
        <f>SUM(C30:C35)</f>
        <v>1200</v>
      </c>
      <c r="D36" s="5321"/>
      <c r="E36" s="5330">
        <f>SUM(E30:E34)</f>
        <v>1200</v>
      </c>
      <c r="F36" s="5323"/>
      <c r="G36" s="5322"/>
      <c r="H36" s="5362"/>
      <c r="I36" s="5355">
        <f>SUM(I30:I35)</f>
        <v>0</v>
      </c>
      <c r="J36" s="5342">
        <f>SUM(J30:J35)</f>
        <v>1200</v>
      </c>
    </row>
    <row r="37" spans="1:10" ht="14.85" hidden="1" customHeight="1">
      <c r="A37" s="5297"/>
      <c r="B37" s="5290"/>
      <c r="C37" s="5320"/>
      <c r="D37" s="5321"/>
      <c r="E37" s="5322"/>
      <c r="F37" s="5323"/>
      <c r="G37" s="5322"/>
      <c r="H37" s="5363"/>
      <c r="I37" s="5321"/>
      <c r="J37" s="5364"/>
    </row>
    <row r="38" spans="1:10" ht="15.6" thickBot="1">
      <c r="A38" s="5365" t="s">
        <v>4454</v>
      </c>
      <c r="B38" s="5308"/>
      <c r="C38" s="5366"/>
      <c r="D38" s="5367"/>
      <c r="E38" s="5368"/>
      <c r="F38" s="5369"/>
      <c r="G38" s="5368"/>
      <c r="H38" s="5368"/>
      <c r="I38" s="5368"/>
      <c r="J38" s="5368"/>
    </row>
    <row r="39" spans="1:10" ht="14.85" customHeight="1" thickTop="1">
      <c r="A39" s="5319" t="s">
        <v>4455</v>
      </c>
      <c r="B39" s="5290"/>
      <c r="C39" s="5320"/>
      <c r="D39" s="5321"/>
      <c r="E39" s="5322"/>
      <c r="F39" s="5370"/>
      <c r="G39" s="5371"/>
      <c r="H39" s="5372"/>
      <c r="I39" s="5373"/>
      <c r="J39" s="5374"/>
    </row>
    <row r="40" spans="1:10" ht="14.85" customHeight="1">
      <c r="A40" s="5297" t="s">
        <v>4456</v>
      </c>
      <c r="B40" s="5290">
        <v>22</v>
      </c>
      <c r="C40" s="5326">
        <v>0</v>
      </c>
      <c r="D40" s="5312">
        <v>0.215</v>
      </c>
      <c r="E40" s="5336">
        <f>C40*D40</f>
        <v>0</v>
      </c>
      <c r="F40" s="5370"/>
      <c r="G40" s="5371"/>
      <c r="H40" s="5328"/>
      <c r="I40" s="5317">
        <f>C40*H40</f>
        <v>0</v>
      </c>
      <c r="J40" s="5329">
        <f>SUM(E40+G40+I40)</f>
        <v>0</v>
      </c>
    </row>
    <row r="41" spans="1:10" ht="14.85" customHeight="1">
      <c r="A41" s="5297" t="s">
        <v>4457</v>
      </c>
      <c r="B41" s="5290">
        <v>23</v>
      </c>
      <c r="C41" s="5326"/>
      <c r="D41" s="5375"/>
      <c r="E41" s="5336">
        <f>C41*D41</f>
        <v>0</v>
      </c>
      <c r="F41" s="5370"/>
      <c r="G41" s="5373"/>
      <c r="H41" s="5372"/>
      <c r="I41" s="5376"/>
      <c r="J41" s="5336">
        <f>SUM(E41+G41+I41)</f>
        <v>0</v>
      </c>
    </row>
    <row r="42" spans="1:10" ht="14.85" customHeight="1">
      <c r="A42" s="5294" t="s">
        <v>884</v>
      </c>
      <c r="B42" s="5340">
        <v>24</v>
      </c>
      <c r="C42" s="5341">
        <f>SUM(C40:C41)</f>
        <v>0</v>
      </c>
      <c r="D42" s="5377"/>
      <c r="E42" s="5342">
        <f>SUM(E40:E41)</f>
        <v>0</v>
      </c>
      <c r="F42" s="5370"/>
      <c r="G42" s="5373"/>
      <c r="H42" s="5372"/>
      <c r="I42" s="5329">
        <f>I40</f>
        <v>0</v>
      </c>
      <c r="J42" s="5329">
        <f>SUM(J40:J41)</f>
        <v>0</v>
      </c>
    </row>
    <row r="43" spans="1:10" ht="15">
      <c r="A43" s="5378" t="s">
        <v>5192</v>
      </c>
      <c r="B43" s="5290"/>
      <c r="C43" s="5379"/>
      <c r="D43" s="5380"/>
      <c r="E43" s="5373"/>
      <c r="F43" s="5380"/>
      <c r="G43" s="5373"/>
      <c r="H43" s="5372"/>
      <c r="I43" s="5373"/>
      <c r="J43" s="5376"/>
    </row>
    <row r="44" spans="1:10" ht="15.6" thickBot="1">
      <c r="A44" s="5365" t="s">
        <v>5191</v>
      </c>
      <c r="B44" s="5308"/>
      <c r="C44" s="5381"/>
      <c r="D44" s="5382"/>
      <c r="E44" s="5383"/>
      <c r="F44" s="5382"/>
      <c r="G44" s="5383"/>
      <c r="H44" s="5384"/>
      <c r="I44" s="5383"/>
      <c r="J44" s="5385"/>
    </row>
    <row r="45" spans="1:10" ht="14.85" customHeight="1" thickTop="1">
      <c r="A45" s="5319" t="s">
        <v>4452</v>
      </c>
      <c r="B45" s="5290"/>
      <c r="C45" s="5386"/>
      <c r="D45" s="5387"/>
      <c r="E45" s="5388"/>
      <c r="F45" s="5389"/>
      <c r="G45" s="5388"/>
      <c r="H45" s="5390"/>
      <c r="I45" s="5388"/>
      <c r="J45" s="5391"/>
    </row>
    <row r="46" spans="1:10" ht="14.85" customHeight="1">
      <c r="A46" s="5297" t="s">
        <v>4446</v>
      </c>
      <c r="B46" s="5290">
        <v>25</v>
      </c>
      <c r="C46" s="5326"/>
      <c r="D46" s="5392"/>
      <c r="E46" s="5393">
        <f>C46*D46</f>
        <v>0</v>
      </c>
      <c r="F46" s="5394"/>
      <c r="G46" s="5374"/>
      <c r="H46" s="5328"/>
      <c r="I46" s="5395">
        <f>C46*H46</f>
        <v>0</v>
      </c>
      <c r="J46" s="5329">
        <f t="shared" ref="J46:J51" si="3">SUM(E46+G46+I46)</f>
        <v>0</v>
      </c>
    </row>
    <row r="47" spans="1:10" ht="14.85" customHeight="1">
      <c r="A47" s="5297" t="s">
        <v>4447</v>
      </c>
      <c r="B47" s="5290">
        <v>26</v>
      </c>
      <c r="C47" s="5326"/>
      <c r="D47" s="5396"/>
      <c r="E47" s="5336">
        <f>C47*D47</f>
        <v>0</v>
      </c>
      <c r="F47" s="5370"/>
      <c r="G47" s="5371"/>
      <c r="H47" s="5328"/>
      <c r="I47" s="5329">
        <f>C47*H47</f>
        <v>0</v>
      </c>
      <c r="J47" s="5329">
        <f t="shared" si="3"/>
        <v>0</v>
      </c>
    </row>
    <row r="48" spans="1:10" ht="14.85" customHeight="1">
      <c r="A48" s="5297" t="s">
        <v>4448</v>
      </c>
      <c r="B48" s="5290">
        <v>27</v>
      </c>
      <c r="C48" s="5331"/>
      <c r="D48" s="5396"/>
      <c r="E48" s="5355">
        <f>C48*D48</f>
        <v>0</v>
      </c>
      <c r="F48" s="5370"/>
      <c r="G48" s="5371"/>
      <c r="H48" s="5397"/>
      <c r="I48" s="5398">
        <f>C48*H48</f>
        <v>0</v>
      </c>
      <c r="J48" s="5329">
        <f t="shared" si="3"/>
        <v>0</v>
      </c>
    </row>
    <row r="49" spans="1:10" ht="14.85" customHeight="1">
      <c r="A49" s="5297" t="s">
        <v>4449</v>
      </c>
      <c r="B49" s="5290">
        <v>28</v>
      </c>
      <c r="C49" s="5331"/>
      <c r="D49" s="5312">
        <v>2.4</v>
      </c>
      <c r="E49" s="5355">
        <f>C49*D49</f>
        <v>0</v>
      </c>
      <c r="F49" s="5370"/>
      <c r="G49" s="5371"/>
      <c r="H49" s="5399"/>
      <c r="I49" s="5400"/>
      <c r="J49" s="5336">
        <f t="shared" si="3"/>
        <v>0</v>
      </c>
    </row>
    <row r="50" spans="1:10" ht="14.85" customHeight="1">
      <c r="A50" s="5297" t="s">
        <v>4450</v>
      </c>
      <c r="B50" s="5290">
        <v>29</v>
      </c>
      <c r="C50" s="5331"/>
      <c r="D50" s="5312"/>
      <c r="E50" s="5355">
        <f>C50*D50</f>
        <v>0</v>
      </c>
      <c r="F50" s="5370"/>
      <c r="G50" s="5371"/>
      <c r="H50" s="5380"/>
      <c r="I50" s="5401"/>
      <c r="J50" s="5336">
        <f t="shared" si="3"/>
        <v>0</v>
      </c>
    </row>
    <row r="51" spans="1:10" ht="14.85" customHeight="1">
      <c r="A51" s="5297" t="s">
        <v>4451</v>
      </c>
      <c r="B51" s="5290">
        <v>30</v>
      </c>
      <c r="C51" s="5331"/>
      <c r="D51" s="5402"/>
      <c r="E51" s="5403"/>
      <c r="F51" s="5370"/>
      <c r="G51" s="5371"/>
      <c r="H51" s="5346"/>
      <c r="I51" s="5336">
        <f>C51*H51</f>
        <v>0</v>
      </c>
      <c r="J51" s="5329">
        <f t="shared" si="3"/>
        <v>0</v>
      </c>
    </row>
    <row r="52" spans="1:10" ht="14.85" customHeight="1">
      <c r="A52" s="5294" t="s">
        <v>884</v>
      </c>
      <c r="B52" s="5351">
        <v>31</v>
      </c>
      <c r="C52" s="5404">
        <f>SUM(C46:C51)</f>
        <v>0</v>
      </c>
      <c r="D52" s="5377"/>
      <c r="E52" s="5327">
        <f>SUM(E46:E50)</f>
        <v>0</v>
      </c>
      <c r="F52" s="5370"/>
      <c r="G52" s="5371"/>
      <c r="H52" s="5405"/>
      <c r="I52" s="5358">
        <f>SUM(I46:I51)</f>
        <v>0</v>
      </c>
      <c r="J52" s="5318">
        <f>SUM(J46:J51)</f>
        <v>0</v>
      </c>
    </row>
    <row r="53" spans="1:10" ht="14.85" hidden="1" customHeight="1">
      <c r="A53" s="5294"/>
      <c r="B53" s="5340"/>
      <c r="C53" s="5406"/>
      <c r="D53" s="5407"/>
      <c r="E53" s="5408"/>
      <c r="F53" s="5409"/>
      <c r="G53" s="5410"/>
      <c r="H53" s="5411"/>
      <c r="I53" s="5412"/>
      <c r="J53" s="5413"/>
    </row>
    <row r="54" spans="1:10" ht="14.85" customHeight="1">
      <c r="A54" s="5319" t="s">
        <v>4445</v>
      </c>
      <c r="B54" s="5290"/>
      <c r="C54" s="5320"/>
      <c r="D54" s="5414"/>
      <c r="E54" s="5373"/>
      <c r="F54" s="5370"/>
      <c r="G54" s="5371"/>
      <c r="H54" s="5372"/>
      <c r="I54" s="5373"/>
      <c r="J54" s="5374"/>
    </row>
    <row r="55" spans="1:10" ht="14.85" customHeight="1">
      <c r="A55" s="5297" t="s">
        <v>4446</v>
      </c>
      <c r="B55" s="5290">
        <v>32</v>
      </c>
      <c r="C55" s="5326"/>
      <c r="D55" s="5312"/>
      <c r="E55" s="5327">
        <f>C55*D55</f>
        <v>0</v>
      </c>
      <c r="F55" s="5380"/>
      <c r="G55" s="5373"/>
      <c r="H55" s="5346"/>
      <c r="I55" s="5336">
        <f>C55*H55</f>
        <v>0</v>
      </c>
      <c r="J55" s="5329">
        <f t="shared" ref="J55:J60" si="4">SUM(E55+G55+I55)</f>
        <v>0</v>
      </c>
    </row>
    <row r="56" spans="1:10" ht="14.85" customHeight="1">
      <c r="A56" s="5297" t="s">
        <v>4447</v>
      </c>
      <c r="B56" s="5290">
        <v>33</v>
      </c>
      <c r="C56" s="5331"/>
      <c r="D56" s="5312"/>
      <c r="E56" s="5327">
        <f>C56*D56</f>
        <v>0</v>
      </c>
      <c r="F56" s="5380"/>
      <c r="G56" s="5373"/>
      <c r="H56" s="5346"/>
      <c r="I56" s="5329">
        <f>C56*H56</f>
        <v>0</v>
      </c>
      <c r="J56" s="5329">
        <f t="shared" si="4"/>
        <v>0</v>
      </c>
    </row>
    <row r="57" spans="1:10" ht="14.85" customHeight="1">
      <c r="A57" s="5297" t="s">
        <v>4448</v>
      </c>
      <c r="B57" s="5290">
        <v>34</v>
      </c>
      <c r="C57" s="5331"/>
      <c r="D57" s="5312"/>
      <c r="E57" s="5327">
        <f>C57*D57</f>
        <v>0</v>
      </c>
      <c r="F57" s="5380"/>
      <c r="G57" s="5373"/>
      <c r="H57" s="5415"/>
      <c r="I57" s="5318">
        <f>C57*H57</f>
        <v>0</v>
      </c>
      <c r="J57" s="5329">
        <f t="shared" si="4"/>
        <v>0</v>
      </c>
    </row>
    <row r="58" spans="1:10" ht="14.85" customHeight="1">
      <c r="A58" s="5297" t="s">
        <v>4449</v>
      </c>
      <c r="B58" s="5290">
        <v>35</v>
      </c>
      <c r="C58" s="5331"/>
      <c r="D58" s="5312">
        <v>4.5</v>
      </c>
      <c r="E58" s="5327">
        <f>C58*D58</f>
        <v>0</v>
      </c>
      <c r="F58" s="5380"/>
      <c r="G58" s="5373"/>
      <c r="H58" s="5416"/>
      <c r="I58" s="5376"/>
      <c r="J58" s="5336">
        <f t="shared" si="4"/>
        <v>0</v>
      </c>
    </row>
    <row r="59" spans="1:10" ht="14.85" customHeight="1">
      <c r="A59" s="5297" t="s">
        <v>4450</v>
      </c>
      <c r="B59" s="5290">
        <v>36</v>
      </c>
      <c r="C59" s="5331"/>
      <c r="D59" s="5312"/>
      <c r="E59" s="5327">
        <f>C59*D59</f>
        <v>0</v>
      </c>
      <c r="F59" s="5380"/>
      <c r="G59" s="5373"/>
      <c r="H59" s="5372"/>
      <c r="I59" s="5374"/>
      <c r="J59" s="5336">
        <f t="shared" si="4"/>
        <v>0</v>
      </c>
    </row>
    <row r="60" spans="1:10" ht="14.85" customHeight="1">
      <c r="A60" s="5297" t="s">
        <v>4451</v>
      </c>
      <c r="B60" s="5290">
        <v>37</v>
      </c>
      <c r="C60" s="5331"/>
      <c r="D60" s="5417"/>
      <c r="E60" s="5418"/>
      <c r="F60" s="5370"/>
      <c r="G60" s="5373"/>
      <c r="H60" s="5346"/>
      <c r="I60" s="5336">
        <f>C60*H60</f>
        <v>0</v>
      </c>
      <c r="J60" s="5329">
        <f t="shared" si="4"/>
        <v>0</v>
      </c>
    </row>
    <row r="61" spans="1:10" ht="14.85" customHeight="1">
      <c r="A61" s="5294" t="s">
        <v>884</v>
      </c>
      <c r="B61" s="5351">
        <v>38</v>
      </c>
      <c r="C61" s="5404">
        <f>SUM(C55:C60)</f>
        <v>0</v>
      </c>
      <c r="D61" s="5419"/>
      <c r="E61" s="5336">
        <f>SUM(E55:E59)</f>
        <v>0</v>
      </c>
      <c r="F61" s="5380"/>
      <c r="G61" s="5373"/>
      <c r="H61" s="5420"/>
      <c r="I61" s="5358">
        <f>SUM(I55:I60)</f>
        <v>0</v>
      </c>
      <c r="J61" s="5318">
        <f>SUM(J55:J60)</f>
        <v>0</v>
      </c>
    </row>
    <row r="62" spans="1:10" ht="14.85" hidden="1" customHeight="1">
      <c r="A62" s="5297"/>
      <c r="B62" s="5290"/>
      <c r="C62" s="5406"/>
      <c r="D62" s="5407"/>
      <c r="E62" s="5408"/>
      <c r="F62" s="5409"/>
      <c r="G62" s="5410"/>
      <c r="H62" s="5411"/>
      <c r="I62" s="5412"/>
      <c r="J62" s="5413"/>
    </row>
    <row r="63" spans="1:10" ht="14.85" customHeight="1">
      <c r="A63" s="5319" t="s">
        <v>4453</v>
      </c>
      <c r="B63" s="5290"/>
      <c r="C63" s="5320"/>
      <c r="D63" s="5414"/>
      <c r="E63" s="5373"/>
      <c r="F63" s="5370"/>
      <c r="G63" s="5371"/>
      <c r="H63" s="5372"/>
      <c r="I63" s="5373"/>
      <c r="J63" s="5374"/>
    </row>
    <row r="64" spans="1:10" ht="14.85" customHeight="1">
      <c r="A64" s="5297" t="s">
        <v>4446</v>
      </c>
      <c r="B64" s="5290">
        <v>39</v>
      </c>
      <c r="C64" s="5326"/>
      <c r="D64" s="5312"/>
      <c r="E64" s="5336">
        <f>C64*D64</f>
        <v>0</v>
      </c>
      <c r="F64" s="5370"/>
      <c r="G64" s="5371"/>
      <c r="H64" s="5354"/>
      <c r="I64" s="5347">
        <f>C64*H64</f>
        <v>0</v>
      </c>
      <c r="J64" s="5329">
        <f t="shared" ref="J64:J69" si="5">SUM(E64+G64+I64)</f>
        <v>0</v>
      </c>
    </row>
    <row r="65" spans="1:10" ht="14.85" customHeight="1">
      <c r="A65" s="5297" t="s">
        <v>4447</v>
      </c>
      <c r="B65" s="5290">
        <v>40</v>
      </c>
      <c r="C65" s="5326"/>
      <c r="D65" s="5312"/>
      <c r="E65" s="5336">
        <f>C65*D65</f>
        <v>0</v>
      </c>
      <c r="F65" s="5370"/>
      <c r="G65" s="5371"/>
      <c r="H65" s="5328"/>
      <c r="I65" s="5329">
        <f>C65*H65</f>
        <v>0</v>
      </c>
      <c r="J65" s="5329">
        <f t="shared" si="5"/>
        <v>0</v>
      </c>
    </row>
    <row r="66" spans="1:10" ht="14.85" customHeight="1">
      <c r="A66" s="5297" t="s">
        <v>4448</v>
      </c>
      <c r="B66" s="5290">
        <v>41</v>
      </c>
      <c r="C66" s="5331"/>
      <c r="D66" s="5312"/>
      <c r="E66" s="5355">
        <f>C66*D66</f>
        <v>0</v>
      </c>
      <c r="F66" s="5370"/>
      <c r="G66" s="5371"/>
      <c r="H66" s="5397"/>
      <c r="I66" s="5398">
        <f>C66*H66</f>
        <v>0</v>
      </c>
      <c r="J66" s="5329">
        <f t="shared" si="5"/>
        <v>0</v>
      </c>
    </row>
    <row r="67" spans="1:10" ht="14.85" customHeight="1">
      <c r="A67" s="5297" t="s">
        <v>4449</v>
      </c>
      <c r="B67" s="5290">
        <v>42</v>
      </c>
      <c r="C67" s="5331"/>
      <c r="D67" s="5312">
        <v>1</v>
      </c>
      <c r="E67" s="5355">
        <f>C67*D67</f>
        <v>0</v>
      </c>
      <c r="F67" s="5370"/>
      <c r="G67" s="5371"/>
      <c r="H67" s="5416"/>
      <c r="I67" s="5376"/>
      <c r="J67" s="5336">
        <f t="shared" si="5"/>
        <v>0</v>
      </c>
    </row>
    <row r="68" spans="1:10" ht="14.85" customHeight="1">
      <c r="A68" s="5297" t="s">
        <v>4450</v>
      </c>
      <c r="B68" s="5290">
        <v>43</v>
      </c>
      <c r="C68" s="5331"/>
      <c r="D68" s="5357"/>
      <c r="E68" s="5355">
        <f>C68*D68</f>
        <v>0</v>
      </c>
      <c r="F68" s="5370"/>
      <c r="G68" s="5371"/>
      <c r="H68" s="5372"/>
      <c r="I68" s="5374"/>
      <c r="J68" s="5336">
        <f t="shared" si="5"/>
        <v>0</v>
      </c>
    </row>
    <row r="69" spans="1:10" ht="14.85" customHeight="1">
      <c r="A69" s="5297" t="s">
        <v>4451</v>
      </c>
      <c r="B69" s="5290">
        <v>44</v>
      </c>
      <c r="C69" s="5331"/>
      <c r="D69" s="5402"/>
      <c r="E69" s="5421"/>
      <c r="F69" s="5370"/>
      <c r="G69" s="5371"/>
      <c r="H69" s="5346"/>
      <c r="I69" s="5336">
        <f>C69*H69</f>
        <v>0</v>
      </c>
      <c r="J69" s="5329">
        <f t="shared" si="5"/>
        <v>0</v>
      </c>
    </row>
    <row r="70" spans="1:10" ht="14.85" customHeight="1">
      <c r="A70" s="5294" t="s">
        <v>884</v>
      </c>
      <c r="B70" s="5340">
        <v>45</v>
      </c>
      <c r="C70" s="5422">
        <f>SUM(C64:C69)</f>
        <v>0</v>
      </c>
      <c r="D70" s="5423"/>
      <c r="E70" s="5424">
        <f>SUM(E64:E68)</f>
        <v>0</v>
      </c>
      <c r="F70" s="5394"/>
      <c r="G70" s="5373"/>
      <c r="H70" s="5425"/>
      <c r="I70" s="5355">
        <f>SUM(I64:I69)</f>
        <v>0</v>
      </c>
      <c r="J70" s="5329">
        <f>SUM(J64:J69)</f>
        <v>0</v>
      </c>
    </row>
    <row r="71" spans="1:10" ht="14.85" hidden="1" customHeight="1">
      <c r="A71" s="5294"/>
      <c r="B71" s="5340"/>
      <c r="C71" s="5406"/>
      <c r="D71" s="5407"/>
      <c r="E71" s="5408"/>
      <c r="F71" s="5409"/>
      <c r="G71" s="5410"/>
      <c r="H71" s="5411"/>
      <c r="I71" s="5412"/>
      <c r="J71" s="5413"/>
    </row>
    <row r="72" spans="1:10" ht="14.85" customHeight="1">
      <c r="A72" s="5319" t="s">
        <v>4458</v>
      </c>
      <c r="B72" s="5290"/>
      <c r="C72" s="5320"/>
      <c r="D72" s="5414"/>
      <c r="E72" s="5373"/>
      <c r="F72" s="5370"/>
      <c r="G72" s="5371"/>
      <c r="H72" s="5372"/>
      <c r="I72" s="5373"/>
      <c r="J72" s="5374"/>
    </row>
    <row r="73" spans="1:10" ht="14.85" customHeight="1">
      <c r="A73" s="5297" t="s">
        <v>4446</v>
      </c>
      <c r="B73" s="5290">
        <v>46</v>
      </c>
      <c r="C73" s="5326"/>
      <c r="D73" s="5312"/>
      <c r="E73" s="5336">
        <f>C73*D73</f>
        <v>0</v>
      </c>
      <c r="F73" s="5370"/>
      <c r="G73" s="5371"/>
      <c r="H73" s="5354"/>
      <c r="I73" s="5347">
        <f>C73*H73</f>
        <v>0</v>
      </c>
      <c r="J73" s="5329">
        <f t="shared" ref="J73:J78" si="6">SUM(E73+G73+I73)</f>
        <v>0</v>
      </c>
    </row>
    <row r="74" spans="1:10" ht="14.85" customHeight="1">
      <c r="A74" s="5297" t="s">
        <v>4447</v>
      </c>
      <c r="B74" s="5290">
        <v>47</v>
      </c>
      <c r="C74" s="5326"/>
      <c r="D74" s="5312"/>
      <c r="E74" s="5336">
        <f>C74*D74</f>
        <v>0</v>
      </c>
      <c r="F74" s="5370"/>
      <c r="G74" s="5371"/>
      <c r="H74" s="5328"/>
      <c r="I74" s="5329">
        <f>C74*H74</f>
        <v>0</v>
      </c>
      <c r="J74" s="5329">
        <f t="shared" si="6"/>
        <v>0</v>
      </c>
    </row>
    <row r="75" spans="1:10" ht="14.85" customHeight="1">
      <c r="A75" s="5297" t="s">
        <v>4448</v>
      </c>
      <c r="B75" s="5290">
        <v>48</v>
      </c>
      <c r="C75" s="5331"/>
      <c r="D75" s="5312"/>
      <c r="E75" s="5355">
        <f>C75*D75</f>
        <v>0</v>
      </c>
      <c r="F75" s="5370"/>
      <c r="G75" s="5371"/>
      <c r="H75" s="5397"/>
      <c r="I75" s="5398">
        <f>C75*H75</f>
        <v>0</v>
      </c>
      <c r="J75" s="5329">
        <f t="shared" si="6"/>
        <v>0</v>
      </c>
    </row>
    <row r="76" spans="1:10" ht="14.85" customHeight="1">
      <c r="A76" s="5297" t="s">
        <v>4449</v>
      </c>
      <c r="B76" s="5290">
        <v>49</v>
      </c>
      <c r="C76" s="5331"/>
      <c r="D76" s="5312">
        <v>4.5</v>
      </c>
      <c r="E76" s="5355">
        <f>C76*D76</f>
        <v>0</v>
      </c>
      <c r="F76" s="5370"/>
      <c r="G76" s="5371"/>
      <c r="H76" s="5416"/>
      <c r="I76" s="5376"/>
      <c r="J76" s="5336">
        <f t="shared" si="6"/>
        <v>0</v>
      </c>
    </row>
    <row r="77" spans="1:10" ht="14.85" customHeight="1">
      <c r="A77" s="5297" t="s">
        <v>4450</v>
      </c>
      <c r="B77" s="5290">
        <v>50</v>
      </c>
      <c r="C77" s="5331"/>
      <c r="D77" s="5312"/>
      <c r="E77" s="5330">
        <f>C77*D77</f>
        <v>0</v>
      </c>
      <c r="F77" s="5370"/>
      <c r="G77" s="5371"/>
      <c r="H77" s="5372"/>
      <c r="I77" s="5374"/>
      <c r="J77" s="5336">
        <f t="shared" si="6"/>
        <v>0</v>
      </c>
    </row>
    <row r="78" spans="1:10" ht="14.85" customHeight="1">
      <c r="A78" s="5297" t="s">
        <v>4451</v>
      </c>
      <c r="B78" s="5290">
        <v>51</v>
      </c>
      <c r="C78" s="5331"/>
      <c r="D78" s="5402"/>
      <c r="E78" s="5418"/>
      <c r="F78" s="5370"/>
      <c r="G78" s="5371"/>
      <c r="H78" s="5346"/>
      <c r="I78" s="5426">
        <f>C78*H78</f>
        <v>0</v>
      </c>
      <c r="J78" s="5329">
        <f t="shared" si="6"/>
        <v>0</v>
      </c>
    </row>
    <row r="79" spans="1:10" ht="14.85" customHeight="1">
      <c r="A79" s="5294" t="s">
        <v>884</v>
      </c>
      <c r="B79" s="5351">
        <v>52</v>
      </c>
      <c r="C79" s="5427">
        <f>SUM(C73:C78)</f>
        <v>0</v>
      </c>
      <c r="D79" s="5428"/>
      <c r="E79" s="5333">
        <f>SUM(E73:E77)</f>
        <v>0</v>
      </c>
      <c r="F79" s="5429"/>
      <c r="G79" s="5430"/>
      <c r="H79" s="5431"/>
      <c r="I79" s="5432">
        <f>SUM(I73:I78)</f>
        <v>0</v>
      </c>
      <c r="J79" s="5327">
        <f>SUM(J73:J78)</f>
        <v>0</v>
      </c>
    </row>
    <row r="80" spans="1:10" ht="14.85" customHeight="1">
      <c r="A80" s="5433"/>
      <c r="B80" s="5434"/>
      <c r="C80" s="5435"/>
      <c r="D80" s="5436"/>
      <c r="E80" s="5317"/>
      <c r="F80" s="5437"/>
      <c r="G80" s="5317"/>
      <c r="H80" s="5438"/>
      <c r="I80" s="5317"/>
      <c r="J80" s="5317"/>
    </row>
    <row r="81" spans="1:13" ht="14.85" hidden="1" customHeight="1">
      <c r="A81" s="5433"/>
      <c r="B81" s="5434"/>
      <c r="C81" s="5435"/>
      <c r="D81" s="5436"/>
      <c r="E81" s="5317"/>
      <c r="F81" s="5437"/>
      <c r="G81" s="5317"/>
      <c r="H81" s="5438"/>
      <c r="I81" s="5317"/>
      <c r="J81" s="5317"/>
    </row>
    <row r="82" spans="1:13" ht="14.85" hidden="1" customHeight="1">
      <c r="A82" s="5433"/>
      <c r="B82" s="5434"/>
      <c r="C82" s="5435"/>
      <c r="D82" s="5436"/>
      <c r="E82" s="5317"/>
      <c r="F82" s="5437"/>
      <c r="G82" s="5317"/>
      <c r="H82" s="5438"/>
      <c r="I82" s="5317"/>
      <c r="J82" s="5317"/>
    </row>
    <row r="83" spans="1:13" ht="14.85" customHeight="1">
      <c r="A83" s="5297"/>
      <c r="B83" s="5290"/>
      <c r="C83" s="5301"/>
      <c r="D83" s="5302"/>
      <c r="E83" s="5303"/>
      <c r="F83" s="5302"/>
      <c r="G83" s="5303"/>
      <c r="H83" s="5302"/>
      <c r="I83" s="5303"/>
      <c r="J83" s="5301"/>
    </row>
    <row r="84" spans="1:13" ht="14.85" customHeight="1">
      <c r="A84" s="5297"/>
      <c r="B84" s="5290"/>
      <c r="C84" s="5304" t="s">
        <v>884</v>
      </c>
      <c r="D84" s="5305"/>
      <c r="E84" s="5306"/>
      <c r="F84" s="5305"/>
      <c r="G84" s="5306"/>
      <c r="H84" s="5963" t="s">
        <v>1516</v>
      </c>
      <c r="I84" s="5964"/>
      <c r="J84" s="5965" t="s">
        <v>884</v>
      </c>
    </row>
    <row r="85" spans="1:13" ht="14.85" customHeight="1">
      <c r="A85" s="5439" t="s">
        <v>5195</v>
      </c>
      <c r="B85" s="5290"/>
      <c r="C85" s="5304" t="s">
        <v>1517</v>
      </c>
      <c r="D85" s="5961" t="s">
        <v>1518</v>
      </c>
      <c r="E85" s="5962"/>
      <c r="F85" s="5961" t="s">
        <v>1519</v>
      </c>
      <c r="G85" s="5962"/>
      <c r="H85" s="5961" t="s">
        <v>1520</v>
      </c>
      <c r="I85" s="5962"/>
      <c r="J85" s="5965"/>
    </row>
    <row r="86" spans="1:13" ht="15.6" thickBot="1">
      <c r="A86" s="5440" t="s">
        <v>5194</v>
      </c>
      <c r="B86" s="5441"/>
      <c r="C86" s="5442" t="s">
        <v>1521</v>
      </c>
      <c r="D86" s="5443" t="s">
        <v>1522</v>
      </c>
      <c r="E86" s="5309" t="s">
        <v>1523</v>
      </c>
      <c r="F86" s="5443" t="s">
        <v>1522</v>
      </c>
      <c r="G86" s="5309" t="s">
        <v>1523</v>
      </c>
      <c r="H86" s="5443" t="s">
        <v>1524</v>
      </c>
      <c r="I86" s="5311" t="s">
        <v>1525</v>
      </c>
      <c r="J86" s="5442" t="str">
        <f>J9</f>
        <v>7-1-21 to 6-30-22</v>
      </c>
    </row>
    <row r="87" spans="1:13" ht="14.85" hidden="1" customHeight="1" thickTop="1">
      <c r="A87" s="5444"/>
      <c r="B87" s="5445"/>
      <c r="C87" s="5446"/>
      <c r="D87" s="5447"/>
      <c r="E87" s="5444"/>
      <c r="F87" s="5447"/>
      <c r="G87" s="5444"/>
      <c r="H87" s="5448"/>
      <c r="I87" s="5444"/>
      <c r="J87" s="5449"/>
    </row>
    <row r="88" spans="1:13" ht="14.85" customHeight="1" thickTop="1">
      <c r="A88" s="5319" t="s">
        <v>4452</v>
      </c>
      <c r="B88" s="5290"/>
      <c r="C88" s="5320"/>
      <c r="D88" s="5414"/>
      <c r="E88" s="5373"/>
      <c r="F88" s="5370"/>
      <c r="G88" s="5371"/>
      <c r="H88" s="5372"/>
      <c r="I88" s="5373"/>
      <c r="J88" s="5374"/>
    </row>
    <row r="89" spans="1:13" s="5452" customFormat="1" ht="14.85" customHeight="1">
      <c r="A89" s="5297" t="s">
        <v>4449</v>
      </c>
      <c r="B89" s="5290">
        <v>53</v>
      </c>
      <c r="C89" s="5450"/>
      <c r="D89" s="5451">
        <v>2.3450000000000002</v>
      </c>
      <c r="E89" s="5327">
        <f>C89*D89</f>
        <v>0</v>
      </c>
      <c r="F89" s="5370"/>
      <c r="G89" s="5371"/>
      <c r="H89" s="5372"/>
      <c r="I89" s="5373"/>
      <c r="J89" s="5327">
        <f>SUM(E89+G89+I89)</f>
        <v>0</v>
      </c>
      <c r="M89" s="5297"/>
    </row>
    <row r="90" spans="1:13" s="5452" customFormat="1" ht="14.85" customHeight="1">
      <c r="A90" s="5297" t="s">
        <v>4459</v>
      </c>
      <c r="B90" s="5290">
        <v>54</v>
      </c>
      <c r="C90" s="5331"/>
      <c r="D90" s="5402"/>
      <c r="E90" s="5453"/>
      <c r="F90" s="5370"/>
      <c r="G90" s="5371"/>
      <c r="H90" s="5346"/>
      <c r="I90" s="5336">
        <f>C90*H90</f>
        <v>0</v>
      </c>
      <c r="J90" s="5329">
        <f>SUM(E90+G90+I90)</f>
        <v>0</v>
      </c>
      <c r="M90" s="5297"/>
    </row>
    <row r="91" spans="1:13" s="5452" customFormat="1" ht="14.85" customHeight="1">
      <c r="A91" s="5294" t="s">
        <v>884</v>
      </c>
      <c r="B91" s="5340">
        <v>55</v>
      </c>
      <c r="C91" s="5404">
        <f>SUM(C89:C90)</f>
        <v>0</v>
      </c>
      <c r="D91" s="5377"/>
      <c r="E91" s="5333">
        <f>SUM(E89:E89)</f>
        <v>0</v>
      </c>
      <c r="F91" s="5370"/>
      <c r="G91" s="5371"/>
      <c r="H91" s="5420"/>
      <c r="I91" s="5358">
        <f>I90</f>
        <v>0</v>
      </c>
      <c r="J91" s="5318">
        <f>SUM(J89:J90)</f>
        <v>0</v>
      </c>
      <c r="M91" s="5297"/>
    </row>
    <row r="92" spans="1:13" ht="14.85" hidden="1" customHeight="1">
      <c r="A92" s="5294"/>
      <c r="B92" s="5340"/>
      <c r="C92" s="5406"/>
      <c r="D92" s="5407"/>
      <c r="E92" s="5408"/>
      <c r="F92" s="5409"/>
      <c r="G92" s="5410"/>
      <c r="H92" s="5411"/>
      <c r="I92" s="5412"/>
      <c r="J92" s="5413"/>
    </row>
    <row r="93" spans="1:13" ht="14.85" customHeight="1">
      <c r="A93" s="5319" t="s">
        <v>4445</v>
      </c>
      <c r="B93" s="5290"/>
      <c r="C93" s="5454"/>
      <c r="D93" s="5414"/>
      <c r="E93" s="5380"/>
      <c r="F93" s="5455"/>
      <c r="G93" s="5380"/>
      <c r="H93" s="5372"/>
      <c r="I93" s="5380"/>
      <c r="J93" s="5456"/>
    </row>
    <row r="94" spans="1:13" ht="14.85" customHeight="1">
      <c r="A94" s="5297" t="s">
        <v>4449</v>
      </c>
      <c r="B94" s="5290">
        <v>56</v>
      </c>
      <c r="C94" s="5450">
        <v>3520</v>
      </c>
      <c r="D94" s="5312">
        <v>4.1025</v>
      </c>
      <c r="E94" s="5336">
        <f>C94*D94</f>
        <v>14441</v>
      </c>
      <c r="F94" s="5457"/>
      <c r="G94" s="5317">
        <v>0</v>
      </c>
      <c r="H94" s="5372"/>
      <c r="I94" s="5374"/>
      <c r="J94" s="5336">
        <f>SUM(E94+G94+I94)</f>
        <v>14441</v>
      </c>
    </row>
    <row r="95" spans="1:13" ht="14.85" customHeight="1">
      <c r="A95" s="5297" t="s">
        <v>4459</v>
      </c>
      <c r="B95" s="5290">
        <v>57</v>
      </c>
      <c r="C95" s="5348">
        <v>150</v>
      </c>
      <c r="D95" s="5414"/>
      <c r="E95" s="5418"/>
      <c r="F95" s="5370"/>
      <c r="G95" s="5373"/>
      <c r="H95" s="5346">
        <v>3.5</v>
      </c>
      <c r="I95" s="5426">
        <f>C95*H95</f>
        <v>525</v>
      </c>
      <c r="J95" s="5336">
        <f>SUM(E95+G95+I95)</f>
        <v>525</v>
      </c>
    </row>
    <row r="96" spans="1:13" ht="14.85" customHeight="1">
      <c r="A96" s="5294" t="s">
        <v>884</v>
      </c>
      <c r="B96" s="5340">
        <v>58</v>
      </c>
      <c r="C96" s="5352">
        <f>SUM(C94:C95)</f>
        <v>3670</v>
      </c>
      <c r="D96" s="5414"/>
      <c r="E96" s="5333">
        <f>SUM(E94:E94)</f>
        <v>14441</v>
      </c>
      <c r="F96" s="5370"/>
      <c r="G96" s="5373"/>
      <c r="H96" s="5458"/>
      <c r="I96" s="5313">
        <f>I95</f>
        <v>525</v>
      </c>
      <c r="J96" s="5318">
        <f>SUM(J94:J95)</f>
        <v>14966</v>
      </c>
    </row>
    <row r="97" spans="1:13" ht="14.85" hidden="1" customHeight="1">
      <c r="A97" s="5297"/>
      <c r="B97" s="5290"/>
      <c r="C97" s="5459"/>
      <c r="D97" s="5414"/>
      <c r="E97" s="5418"/>
      <c r="F97" s="5370"/>
      <c r="G97" s="5371"/>
      <c r="H97" s="5372"/>
      <c r="I97" s="5418"/>
      <c r="J97" s="5460"/>
    </row>
    <row r="98" spans="1:13" ht="14.85" customHeight="1">
      <c r="A98" s="5319" t="s">
        <v>4453</v>
      </c>
      <c r="B98" s="5290"/>
      <c r="C98" s="5461"/>
      <c r="D98" s="5414"/>
      <c r="E98" s="5373"/>
      <c r="F98" s="5370"/>
      <c r="G98" s="5371"/>
      <c r="H98" s="5372"/>
      <c r="I98" s="5373"/>
      <c r="J98" s="5374"/>
    </row>
    <row r="99" spans="1:13" ht="14.85" customHeight="1">
      <c r="A99" s="5297" t="s">
        <v>4449</v>
      </c>
      <c r="B99" s="5290">
        <v>59</v>
      </c>
      <c r="C99" s="5462"/>
      <c r="D99" s="5312">
        <v>0.97</v>
      </c>
      <c r="E99" s="5327">
        <f>C99*D99</f>
        <v>0</v>
      </c>
      <c r="F99" s="5370"/>
      <c r="G99" s="5371"/>
      <c r="H99" s="5372"/>
      <c r="I99" s="5373"/>
      <c r="J99" s="5336">
        <f>SUM(E99+G99+I99)</f>
        <v>0</v>
      </c>
    </row>
    <row r="100" spans="1:13" ht="14.85" customHeight="1">
      <c r="A100" s="5297" t="s">
        <v>4459</v>
      </c>
      <c r="B100" s="5290">
        <v>60</v>
      </c>
      <c r="C100" s="5331"/>
      <c r="D100" s="5402"/>
      <c r="E100" s="5453"/>
      <c r="F100" s="5370"/>
      <c r="G100" s="5371"/>
      <c r="H100" s="5354"/>
      <c r="I100" s="5329">
        <f>C100*H100</f>
        <v>0</v>
      </c>
      <c r="J100" s="5336">
        <f>SUM(E100+G100+I100)</f>
        <v>0</v>
      </c>
    </row>
    <row r="101" spans="1:13" ht="14.85" customHeight="1">
      <c r="A101" s="5294" t="s">
        <v>884</v>
      </c>
      <c r="B101" s="5340">
        <v>61</v>
      </c>
      <c r="C101" s="5422">
        <f>SUM(C99:C100)</f>
        <v>0</v>
      </c>
      <c r="D101" s="5402"/>
      <c r="E101" s="5333">
        <f>SUM(E99:E99)</f>
        <v>0</v>
      </c>
      <c r="F101" s="5380"/>
      <c r="G101" s="5373"/>
      <c r="H101" s="5458"/>
      <c r="I101" s="5313">
        <f>I100</f>
        <v>0</v>
      </c>
      <c r="J101" s="5329">
        <f>SUM(J99:J100)</f>
        <v>0</v>
      </c>
    </row>
    <row r="102" spans="1:13" ht="14.85" hidden="1" customHeight="1">
      <c r="A102" s="5297"/>
      <c r="B102" s="5290"/>
      <c r="C102" s="5379"/>
      <c r="D102" s="5380"/>
      <c r="E102" s="5418"/>
      <c r="F102" s="5380"/>
      <c r="G102" s="5373"/>
      <c r="H102" s="5372"/>
      <c r="I102" s="5418"/>
      <c r="J102" s="5460"/>
    </row>
    <row r="103" spans="1:13" ht="14.85" customHeight="1">
      <c r="A103" s="5319" t="s">
        <v>4458</v>
      </c>
      <c r="B103" s="5290"/>
      <c r="C103" s="5320"/>
      <c r="D103" s="5414"/>
      <c r="E103" s="5373"/>
      <c r="F103" s="5380"/>
      <c r="G103" s="5373"/>
      <c r="H103" s="5372"/>
      <c r="I103" s="5373"/>
      <c r="J103" s="5374"/>
    </row>
    <row r="104" spans="1:13" ht="14.85" customHeight="1">
      <c r="A104" s="5297" t="s">
        <v>4449</v>
      </c>
      <c r="B104" s="5290">
        <v>62</v>
      </c>
      <c r="C104" s="5450"/>
      <c r="D104" s="5312">
        <v>4.1025</v>
      </c>
      <c r="E104" s="5327">
        <f>C104*D104</f>
        <v>0</v>
      </c>
      <c r="F104" s="5370"/>
      <c r="G104" s="5371"/>
      <c r="H104" s="5372"/>
      <c r="I104" s="5373"/>
      <c r="J104" s="5336">
        <f>SUM(E104+G104+I104)</f>
        <v>0</v>
      </c>
    </row>
    <row r="105" spans="1:13" ht="14.85" customHeight="1">
      <c r="A105" s="5297" t="s">
        <v>4459</v>
      </c>
      <c r="B105" s="5290">
        <v>63</v>
      </c>
      <c r="C105" s="5331"/>
      <c r="D105" s="5402"/>
      <c r="E105" s="5453"/>
      <c r="F105" s="5370"/>
      <c r="G105" s="5371"/>
      <c r="H105" s="5361"/>
      <c r="I105" s="5336">
        <f>C105*H105</f>
        <v>0</v>
      </c>
      <c r="J105" s="5336">
        <f>SUM(E105+G105+I105)</f>
        <v>0</v>
      </c>
    </row>
    <row r="106" spans="1:13" ht="14.85" customHeight="1">
      <c r="A106" s="5294" t="s">
        <v>884</v>
      </c>
      <c r="B106" s="5340">
        <v>64</v>
      </c>
      <c r="C106" s="5422">
        <f>SUM(C104:C105)</f>
        <v>0</v>
      </c>
      <c r="D106" s="5377"/>
      <c r="E106" s="5355">
        <f>SUM(E104:E104)</f>
        <v>0</v>
      </c>
      <c r="F106" s="5394"/>
      <c r="G106" s="5373"/>
      <c r="H106" s="5458"/>
      <c r="I106" s="5336">
        <f>I105</f>
        <v>0</v>
      </c>
      <c r="J106" s="5329">
        <f>SUM(J104:J105)</f>
        <v>0</v>
      </c>
    </row>
    <row r="107" spans="1:13" ht="14.85" hidden="1" customHeight="1">
      <c r="A107" s="5297"/>
      <c r="B107" s="5290"/>
      <c r="C107" s="5379"/>
      <c r="D107" s="5380"/>
      <c r="E107" s="5418"/>
      <c r="F107" s="5380"/>
      <c r="G107" s="5373"/>
      <c r="H107" s="5372"/>
      <c r="I107" s="5418"/>
      <c r="J107" s="5376"/>
    </row>
    <row r="108" spans="1:13" ht="14.85" customHeight="1">
      <c r="A108" s="5319" t="s">
        <v>1526</v>
      </c>
      <c r="B108" s="5290"/>
      <c r="C108" s="5394"/>
      <c r="D108" s="5380"/>
      <c r="E108" s="5373"/>
      <c r="F108" s="5373"/>
      <c r="G108" s="5373"/>
      <c r="H108" s="5372"/>
      <c r="I108" s="5373"/>
      <c r="J108" s="5374"/>
    </row>
    <row r="109" spans="1:13" ht="14.85" customHeight="1" thickBot="1">
      <c r="A109" s="5319" t="s">
        <v>1527</v>
      </c>
      <c r="B109" s="5340">
        <v>65</v>
      </c>
      <c r="C109" s="5428" t="s">
        <v>4460</v>
      </c>
      <c r="D109" s="5382"/>
      <c r="E109" s="5463" t="s">
        <v>4460</v>
      </c>
      <c r="F109" s="5383"/>
      <c r="G109" s="5383"/>
      <c r="H109" s="5464" t="s">
        <v>917</v>
      </c>
      <c r="I109" s="5465"/>
      <c r="J109" s="5466">
        <f>I109</f>
        <v>0</v>
      </c>
    </row>
    <row r="110" spans="1:13" ht="14.85" customHeight="1" thickTop="1">
      <c r="A110" s="5444"/>
      <c r="B110" s="5445"/>
      <c r="C110" s="5467"/>
      <c r="D110" s="5468"/>
      <c r="E110" s="5468"/>
      <c r="F110" s="5468"/>
      <c r="G110" s="5468"/>
      <c r="H110" s="5468"/>
      <c r="I110" s="5468"/>
      <c r="J110" s="5469"/>
    </row>
    <row r="111" spans="1:13" ht="14.85" customHeight="1">
      <c r="A111" s="5319" t="s">
        <v>1528</v>
      </c>
      <c r="B111" s="5290"/>
      <c r="C111" s="5470"/>
      <c r="D111" s="5471"/>
      <c r="E111" s="5408"/>
      <c r="F111" s="5471"/>
      <c r="G111" s="5408"/>
      <c r="H111" s="5408"/>
      <c r="I111" s="5471"/>
      <c r="J111" s="5472"/>
    </row>
    <row r="112" spans="1:13" ht="14.85" customHeight="1" thickBot="1">
      <c r="A112" s="5319" t="s">
        <v>4975</v>
      </c>
      <c r="B112" s="5340">
        <v>66</v>
      </c>
      <c r="C112" s="5473" t="s">
        <v>4460</v>
      </c>
      <c r="D112" s="5474"/>
      <c r="E112" s="5475">
        <f>SUM(E18+E27+E36+E42+E52+E61+E70+E79+E91+E96+E101+E106)</f>
        <v>372641</v>
      </c>
      <c r="F112" s="5476"/>
      <c r="G112" s="5475">
        <f>SUM(G18+G61+G96)</f>
        <v>2640</v>
      </c>
      <c r="H112" s="5476"/>
      <c r="I112" s="5315">
        <f>SUM(I18+I27+I36+I42+I61+I52+I70+I79+I96+I91+I101+I109+I106)</f>
        <v>4538</v>
      </c>
      <c r="J112" s="5329">
        <f>SUM(E112+G112+I112)</f>
        <v>379819</v>
      </c>
      <c r="L112" s="5477">
        <f>SUM(J18+J27+J36+J42+J52+J61+J70+J79+J91+J96+J101+J106+J109)</f>
        <v>379819</v>
      </c>
      <c r="M112" s="5297" t="s">
        <v>4976</v>
      </c>
    </row>
    <row r="113" spans="1:13" ht="14.85" customHeight="1" thickTop="1">
      <c r="A113" s="5444"/>
      <c r="B113" s="5445"/>
      <c r="C113" s="5444"/>
      <c r="D113" s="5444"/>
      <c r="E113" s="5444"/>
      <c r="F113" s="5444"/>
      <c r="G113" s="5444"/>
      <c r="H113" s="5444"/>
      <c r="I113" s="5444"/>
      <c r="J113" s="5444"/>
    </row>
    <row r="117" spans="1:13" ht="14.85" customHeight="1">
      <c r="M117" s="5314"/>
    </row>
  </sheetData>
  <sheetProtection algorithmName="SHA-512" hashValue="1zciN/XJOu0kTQ4bDNdWgQGfrEuepQj8+hn/Ga86DkPBt4Dry9iN6qXA7a3aC7mdeoQO0VnAeoZAyAVYkcFKDw==" saltValue="/n1vR2CLp5xA70X+Z/XKuw==" spinCount="100000" sheet="1" objects="1" scenarios="1"/>
  <mergeCells count="13">
    <mergeCell ref="C4:J4"/>
    <mergeCell ref="C3:J3"/>
    <mergeCell ref="D85:E85"/>
    <mergeCell ref="F85:G85"/>
    <mergeCell ref="H85:I85"/>
    <mergeCell ref="H84:I84"/>
    <mergeCell ref="J84:J85"/>
    <mergeCell ref="J7:J8"/>
    <mergeCell ref="H7:I7"/>
    <mergeCell ref="H8:I8"/>
    <mergeCell ref="F8:G8"/>
    <mergeCell ref="D8:E8"/>
    <mergeCell ref="C5:J5"/>
  </mergeCells>
  <dataValidations count="4">
    <dataValidation type="whole" operator="greaterThanOrEqual" showInputMessage="1" showErrorMessage="1" errorTitle="Invalid Data Entry" error="Enter a positive whole number or press the delete key or enter a zero." sqref="I109">
      <formula1>0</formula1>
    </dataValidation>
    <dataValidation type="decimal" operator="greaterThanOrEqual" showInputMessage="1" showErrorMessage="1" errorTitle="Invalid Data Entry" error="Enter price or press the delete key or enter a zero." sqref="H21:H23 H26 H30:H32 H35 H40 H17 H55:H57 H60 H46:H48 H51 H64:H66 H69 H95 H90 H100 H105 H73:H75 H78 H12:H14">
      <formula1>0</formula1>
    </dataValidation>
    <dataValidation type="whole" operator="greaterThanOrEqual" showInputMessage="1" showErrorMessage="1" errorTitle="Invalid Data Entry" error="Enter a positive whole number or press the delete key or enter zero." sqref="C21:C26 C30:C35 C40:C41 C55:C60 C46:C51 C64:C69 C73:C78 C89:C90 C94:C95 C99:C100 C104:C105 C12:C17">
      <formula1>0</formula1>
    </dataValidation>
    <dataValidation type="decimal" operator="greaterThanOrEqual" showInputMessage="1" showErrorMessage="1" errorTitle="Invalid Data Entry" error="Enter rate or press the delete key or enter a zero." sqref="D41">
      <formula1>0</formula1>
    </dataValidation>
  </dataValidations>
  <hyperlinks>
    <hyperlink ref="L1" location="Contents!A1" display="Return to Contents page"/>
  </hyperlinks>
  <printOptions horizontalCentered="1"/>
  <pageMargins left="0.75" right="0.75" top="0.5" bottom="0.5" header="0.25" footer="0.25"/>
  <pageSetup scale="61" fitToWidth="0" fitToHeight="0" orientation="portrait" r:id="rId1"/>
  <headerFooter scaleWithDoc="0">
    <oddFooter>&amp;L&amp;"Open Sans Light,Regular"&amp;8&amp;D   &amp;T&amp;C&amp;"Open Sans Light,Regular"&amp;8Page &amp;P&amp;R&amp;"Open Sans Light,Regular"&amp;8Form 162</oddFooter>
  </headerFooter>
  <rowBreaks count="1" manualBreakCount="1">
    <brk id="79" max="9"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74</vt:i4>
      </vt:variant>
      <vt:variant>
        <vt:lpstr>Named Ranges</vt:lpstr>
      </vt:variant>
      <vt:variant>
        <vt:i4>164</vt:i4>
      </vt:variant>
    </vt:vector>
  </HeadingPairs>
  <TitlesOfParts>
    <vt:vector size="238" baseType="lpstr">
      <vt:lpstr>Contents</vt:lpstr>
      <vt:lpstr>OPEN</vt:lpstr>
      <vt:lpstr>F110</vt:lpstr>
      <vt:lpstr>F118</vt:lpstr>
      <vt:lpstr>F148</vt:lpstr>
      <vt:lpstr>F150</vt:lpstr>
      <vt:lpstr>HD-AR_BLDG</vt:lpstr>
      <vt:lpstr>F155</vt:lpstr>
      <vt:lpstr>F162</vt:lpstr>
      <vt:lpstr>F194</vt:lpstr>
      <vt:lpstr>F195</vt:lpstr>
      <vt:lpstr>F196</vt:lpstr>
      <vt:lpstr>F239</vt:lpstr>
      <vt:lpstr>F242</vt:lpstr>
      <vt:lpstr>F242A</vt:lpstr>
      <vt:lpstr>C01</vt:lpstr>
      <vt:lpstr>C02</vt:lpstr>
      <vt:lpstr>C04</vt:lpstr>
      <vt:lpstr>C05</vt:lpstr>
      <vt:lpstr>C05a</vt:lpstr>
      <vt:lpstr>C06</vt:lpstr>
      <vt:lpstr>C07</vt:lpstr>
      <vt:lpstr>C08</vt:lpstr>
      <vt:lpstr>C010</vt:lpstr>
      <vt:lpstr>C011</vt:lpstr>
      <vt:lpstr>C012</vt:lpstr>
      <vt:lpstr>C013</vt:lpstr>
      <vt:lpstr>C014</vt:lpstr>
      <vt:lpstr>C015</vt:lpstr>
      <vt:lpstr>C016</vt:lpstr>
      <vt:lpstr>C018</vt:lpstr>
      <vt:lpstr>C019</vt:lpstr>
      <vt:lpstr>C022</vt:lpstr>
      <vt:lpstr>C024</vt:lpstr>
      <vt:lpstr>C026</vt:lpstr>
      <vt:lpstr>C028</vt:lpstr>
      <vt:lpstr>C029</vt:lpstr>
      <vt:lpstr>C030</vt:lpstr>
      <vt:lpstr>C033</vt:lpstr>
      <vt:lpstr>C034</vt:lpstr>
      <vt:lpstr>C035</vt:lpstr>
      <vt:lpstr>C042</vt:lpstr>
      <vt:lpstr>C044</vt:lpstr>
      <vt:lpstr>C045</vt:lpstr>
      <vt:lpstr>C047</vt:lpstr>
      <vt:lpstr>C051</vt:lpstr>
      <vt:lpstr>C053</vt:lpstr>
      <vt:lpstr>C055</vt:lpstr>
      <vt:lpstr>C056</vt:lpstr>
      <vt:lpstr>C062</vt:lpstr>
      <vt:lpstr>C063</vt:lpstr>
      <vt:lpstr>C066</vt:lpstr>
      <vt:lpstr>C067</vt:lpstr>
      <vt:lpstr>C068</vt:lpstr>
      <vt:lpstr>C078</vt:lpstr>
      <vt:lpstr>C080</vt:lpstr>
      <vt:lpstr>C082</vt:lpstr>
      <vt:lpstr>C083</vt:lpstr>
      <vt:lpstr>C084</vt:lpstr>
      <vt:lpstr>C086</vt:lpstr>
      <vt:lpstr>CO99</vt:lpstr>
      <vt:lpstr>Certify</vt:lpstr>
      <vt:lpstr>RevenueNeutral</vt:lpstr>
      <vt:lpstr>Headings</vt:lpstr>
      <vt:lpstr>AMEND</vt:lpstr>
      <vt:lpstr>AveSalary</vt:lpstr>
      <vt:lpstr>Salaries</vt:lpstr>
      <vt:lpstr>CashBalances</vt:lpstr>
      <vt:lpstr>Bdgt Checks</vt:lpstr>
      <vt:lpstr>OpenData</vt:lpstr>
      <vt:lpstr>DATA</vt:lpstr>
      <vt:lpstr>DATA1</vt:lpstr>
      <vt:lpstr>Edits</vt:lpstr>
      <vt:lpstr>Edits1</vt:lpstr>
      <vt:lpstr>_300_Purchased_Professional_and_Tech_Svcs</vt:lpstr>
      <vt:lpstr>April</vt:lpstr>
      <vt:lpstr>August</vt:lpstr>
      <vt:lpstr>'F150'!BSAPP</vt:lpstr>
      <vt:lpstr>CC.P</vt:lpstr>
      <vt:lpstr>Code_78</vt:lpstr>
      <vt:lpstr>'F150'!Criteria</vt:lpstr>
      <vt:lpstr>Criteria</vt:lpstr>
      <vt:lpstr>December</vt:lpstr>
      <vt:lpstr>'F150'!Factor_A</vt:lpstr>
      <vt:lpstr>'F150'!Factor_B</vt:lpstr>
      <vt:lpstr>February</vt:lpstr>
      <vt:lpstr>FillDOWN1</vt:lpstr>
      <vt:lpstr>FILLDOWN2</vt:lpstr>
      <vt:lpstr>FILLDOWN3</vt:lpstr>
      <vt:lpstr>FILLDOWN4</vt:lpstr>
      <vt:lpstr>FILLDOWN5</vt:lpstr>
      <vt:lpstr>'F150'!Form_4_212_150</vt:lpstr>
      <vt:lpstr>January</vt:lpstr>
      <vt:lpstr>July</vt:lpstr>
      <vt:lpstr>June</vt:lpstr>
      <vt:lpstr>March</vt:lpstr>
      <vt:lpstr>May</vt:lpstr>
      <vt:lpstr>'F150'!Min_Cost</vt:lpstr>
      <vt:lpstr>Notice_of_hearing</vt:lpstr>
      <vt:lpstr>November</vt:lpstr>
      <vt:lpstr>October</vt:lpstr>
      <vt:lpstr>'F150'!Percent_Inflate</vt:lpstr>
      <vt:lpstr>AMEND!Print_Area</vt:lpstr>
      <vt:lpstr>AveSalary!Print_Area</vt:lpstr>
      <vt:lpstr>'Bdgt Checks'!Print_Area</vt:lpstr>
      <vt:lpstr>'C01'!Print_Area</vt:lpstr>
      <vt:lpstr>'C010'!Print_Area</vt:lpstr>
      <vt:lpstr>'C011'!Print_Area</vt:lpstr>
      <vt:lpstr>'C012'!Print_Area</vt:lpstr>
      <vt:lpstr>'C013'!Print_Area</vt:lpstr>
      <vt:lpstr>'C014'!Print_Area</vt:lpstr>
      <vt:lpstr>'C015'!Print_Area</vt:lpstr>
      <vt:lpstr>'C016'!Print_Area</vt:lpstr>
      <vt:lpstr>'C018'!Print_Area</vt:lpstr>
      <vt:lpstr>'C019'!Print_Area</vt:lpstr>
      <vt:lpstr>'C02'!Print_Area</vt:lpstr>
      <vt:lpstr>'C022'!Print_Area</vt:lpstr>
      <vt:lpstr>'C024'!Print_Area</vt:lpstr>
      <vt:lpstr>'C026'!Print_Area</vt:lpstr>
      <vt:lpstr>'C028'!Print_Area</vt:lpstr>
      <vt:lpstr>'C029'!Print_Area</vt:lpstr>
      <vt:lpstr>'C030'!Print_Area</vt:lpstr>
      <vt:lpstr>'C033'!Print_Area</vt:lpstr>
      <vt:lpstr>'C034'!Print_Area</vt:lpstr>
      <vt:lpstr>'C035'!Print_Area</vt:lpstr>
      <vt:lpstr>'C04'!Print_Area</vt:lpstr>
      <vt:lpstr>'C042'!Print_Area</vt:lpstr>
      <vt:lpstr>'C044'!Print_Area</vt:lpstr>
      <vt:lpstr>'C045'!Print_Area</vt:lpstr>
      <vt:lpstr>'C047'!Print_Area</vt:lpstr>
      <vt:lpstr>'C05'!Print_Area</vt:lpstr>
      <vt:lpstr>'C051'!Print_Area</vt:lpstr>
      <vt:lpstr>'C053'!Print_Area</vt:lpstr>
      <vt:lpstr>'C055'!Print_Area</vt:lpstr>
      <vt:lpstr>'C056'!Print_Area</vt:lpstr>
      <vt:lpstr>'C05a'!Print_Area</vt:lpstr>
      <vt:lpstr>'C06'!Print_Area</vt:lpstr>
      <vt:lpstr>'C062'!Print_Area</vt:lpstr>
      <vt:lpstr>'C063'!Print_Area</vt:lpstr>
      <vt:lpstr>'C066'!Print_Area</vt:lpstr>
      <vt:lpstr>'C067'!Print_Area</vt:lpstr>
      <vt:lpstr>'C068'!Print_Area</vt:lpstr>
      <vt:lpstr>'C07'!Print_Area</vt:lpstr>
      <vt:lpstr>'C078'!Print_Area</vt:lpstr>
      <vt:lpstr>'C08'!Print_Area</vt:lpstr>
      <vt:lpstr>'C080'!Print_Area</vt:lpstr>
      <vt:lpstr>'C082'!Print_Area</vt:lpstr>
      <vt:lpstr>'C083'!Print_Area</vt:lpstr>
      <vt:lpstr>'C084'!Print_Area</vt:lpstr>
      <vt:lpstr>'C086'!Print_Area</vt:lpstr>
      <vt:lpstr>CashBalances!Print_Area</vt:lpstr>
      <vt:lpstr>Certify!Print_Area</vt:lpstr>
      <vt:lpstr>'CO99'!Print_Area</vt:lpstr>
      <vt:lpstr>Contents!Print_Area</vt:lpstr>
      <vt:lpstr>DATA!Print_Area</vt:lpstr>
      <vt:lpstr>DATA1!Print_Area</vt:lpstr>
      <vt:lpstr>Edits!Print_Area</vt:lpstr>
      <vt:lpstr>Edits1!Print_Area</vt:lpstr>
      <vt:lpstr>'F110'!Print_Area</vt:lpstr>
      <vt:lpstr>'F118'!Print_Area</vt:lpstr>
      <vt:lpstr>'F148'!Print_Area</vt:lpstr>
      <vt:lpstr>'F150'!Print_Area</vt:lpstr>
      <vt:lpstr>'F155'!Print_Area</vt:lpstr>
      <vt:lpstr>'F162'!Print_Area</vt:lpstr>
      <vt:lpstr>'F194'!Print_Area</vt:lpstr>
      <vt:lpstr>'F195'!Print_Area</vt:lpstr>
      <vt:lpstr>'F196'!Print_Area</vt:lpstr>
      <vt:lpstr>'F239'!Print_Area</vt:lpstr>
      <vt:lpstr>'F242'!Print_Area</vt:lpstr>
      <vt:lpstr>F242A!Print_Area</vt:lpstr>
      <vt:lpstr>'HD-AR_BLDG'!Print_Area</vt:lpstr>
      <vt:lpstr>Headings!Print_Area</vt:lpstr>
      <vt:lpstr>OPEN!Print_Area</vt:lpstr>
      <vt:lpstr>OpenData!Print_Area</vt:lpstr>
      <vt:lpstr>RevenueNeutral!Print_Area</vt:lpstr>
      <vt:lpstr>Salaries!Print_Area</vt:lpstr>
      <vt:lpstr>AveSalary!Print_Titles</vt:lpstr>
      <vt:lpstr>'C010'!Print_Titles</vt:lpstr>
      <vt:lpstr>'C011'!Print_Titles</vt:lpstr>
      <vt:lpstr>'C012'!Print_Titles</vt:lpstr>
      <vt:lpstr>'C013'!Print_Titles</vt:lpstr>
      <vt:lpstr>'C014'!Print_Titles</vt:lpstr>
      <vt:lpstr>'C015'!Print_Titles</vt:lpstr>
      <vt:lpstr>'C016'!Print_Titles</vt:lpstr>
      <vt:lpstr>'C018'!Print_Titles</vt:lpstr>
      <vt:lpstr>'C022'!Print_Titles</vt:lpstr>
      <vt:lpstr>'C024'!Print_Titles</vt:lpstr>
      <vt:lpstr>'C026'!Print_Titles</vt:lpstr>
      <vt:lpstr>'C028'!Print_Titles</vt:lpstr>
      <vt:lpstr>'C029'!Print_Titles</vt:lpstr>
      <vt:lpstr>'C030'!Print_Titles</vt:lpstr>
      <vt:lpstr>'C034'!Print_Titles</vt:lpstr>
      <vt:lpstr>'C035'!Print_Titles</vt:lpstr>
      <vt:lpstr>'C042'!Print_Titles</vt:lpstr>
      <vt:lpstr>'C047'!Print_Titles</vt:lpstr>
      <vt:lpstr>'C05'!Print_Titles</vt:lpstr>
      <vt:lpstr>'C051'!Print_Titles</vt:lpstr>
      <vt:lpstr>'C053'!Print_Titles</vt:lpstr>
      <vt:lpstr>'C055'!Print_Titles</vt:lpstr>
      <vt:lpstr>'C056'!Print_Titles</vt:lpstr>
      <vt:lpstr>'C05a'!Print_Titles</vt:lpstr>
      <vt:lpstr>'C06'!Print_Titles</vt:lpstr>
      <vt:lpstr>'C07'!Print_Titles</vt:lpstr>
      <vt:lpstr>'C078'!Print_Titles</vt:lpstr>
      <vt:lpstr>'C08'!Print_Titles</vt:lpstr>
      <vt:lpstr>CashBalances!Print_Titles</vt:lpstr>
      <vt:lpstr>'F118'!Print_Titles</vt:lpstr>
      <vt:lpstr>'F148'!Print_Titles</vt:lpstr>
      <vt:lpstr>'F150'!Print_Titles</vt:lpstr>
      <vt:lpstr>'F155'!Print_Titles</vt:lpstr>
      <vt:lpstr>'F162'!Print_Titles</vt:lpstr>
      <vt:lpstr>'F195'!Print_Titles</vt:lpstr>
      <vt:lpstr>'HD-AR_BLDG'!Print_Titles</vt:lpstr>
      <vt:lpstr>Prior_to_July_1_2015_Total</vt:lpstr>
      <vt:lpstr>'F150'!pupils_trans_2.5</vt:lpstr>
      <vt:lpstr>'C045'!Range1</vt:lpstr>
      <vt:lpstr>'C078'!Range1</vt:lpstr>
      <vt:lpstr>'C083'!Range1</vt:lpstr>
      <vt:lpstr>Range1</vt:lpstr>
      <vt:lpstr>'C045'!Range2</vt:lpstr>
      <vt:lpstr>'C078'!Range2</vt:lpstr>
      <vt:lpstr>'C083'!Range2</vt:lpstr>
      <vt:lpstr>Range2</vt:lpstr>
      <vt:lpstr>'C045'!Range3</vt:lpstr>
      <vt:lpstr>'C078'!Range3</vt:lpstr>
      <vt:lpstr>'C083'!Range3</vt:lpstr>
      <vt:lpstr>Range3</vt:lpstr>
      <vt:lpstr>'C045'!Range4</vt:lpstr>
      <vt:lpstr>'C078'!Range4</vt:lpstr>
      <vt:lpstr>'C083'!Range4</vt:lpstr>
      <vt:lpstr>Range4</vt:lpstr>
      <vt:lpstr>'C045'!Range5</vt:lpstr>
      <vt:lpstr>'C078'!Range5</vt:lpstr>
      <vt:lpstr>'C083'!Range5</vt:lpstr>
      <vt:lpstr>Range5</vt:lpstr>
      <vt:lpstr>Revenue_Neutral</vt:lpstr>
      <vt:lpstr>September</vt:lpstr>
      <vt:lpstr>'F150'!USD</vt:lpstr>
    </vt:vector>
  </TitlesOfParts>
  <Company>Kansas Department of Education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dreinert</dc:creator>
  <cp:lastModifiedBy>usd237</cp:lastModifiedBy>
  <cp:lastPrinted>2021-09-28T19:29:52Z</cp:lastPrinted>
  <dcterms:created xsi:type="dcterms:W3CDTF">2002-06-10T16:39:38Z</dcterms:created>
  <dcterms:modified xsi:type="dcterms:W3CDTF">2021-11-29T20:05:09Z</dcterms:modified>
</cp:coreProperties>
</file>